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8800" windowHeight="1237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Docente'!$A$8:$BB$328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Docente'!$C$1:$AO$328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AN165" i="2" l="1"/>
  <c r="AN164" i="2"/>
  <c r="AN163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6" i="2"/>
  <c r="AN75" i="2"/>
  <c r="AN74" i="2"/>
  <c r="AN73" i="2"/>
  <c r="AN72" i="2"/>
  <c r="AN71" i="2"/>
  <c r="AN70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162" i="2"/>
  <c r="AN161" i="2"/>
  <c r="AN141" i="2"/>
  <c r="AN168" i="2"/>
  <c r="AN167" i="2"/>
  <c r="AN166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2" i="2"/>
  <c r="AN191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25" i="2"/>
  <c r="AN124" i="2"/>
  <c r="AN69" i="2"/>
  <c r="AN46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V8" i="2"/>
  <c r="AV7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D62" i="1" l="1"/>
  <c r="AL157" i="2"/>
  <c r="AB157" i="2"/>
  <c r="AL84" i="2"/>
  <c r="AL83" i="2"/>
  <c r="AL82" i="2"/>
  <c r="AL81" i="2"/>
  <c r="AB82" i="2"/>
  <c r="AB83" i="2"/>
  <c r="AB81" i="2"/>
  <c r="AB80" i="2"/>
  <c r="AB75" i="2"/>
  <c r="AB74" i="2"/>
  <c r="AB73" i="2"/>
  <c r="AB72" i="2"/>
  <c r="AB71" i="2"/>
  <c r="AB41" i="2"/>
  <c r="AI303" i="2"/>
  <c r="AH303" i="2"/>
  <c r="AL80" i="2"/>
  <c r="AL75" i="2"/>
  <c r="AL74" i="2"/>
  <c r="AL73" i="2"/>
  <c r="AL42" i="2" l="1"/>
  <c r="AL41" i="2"/>
  <c r="AB70" i="2"/>
  <c r="AB33" i="2"/>
  <c r="AB31" i="2"/>
  <c r="AB29" i="2"/>
  <c r="AL33" i="2"/>
  <c r="AL31" i="2" l="1"/>
  <c r="AL29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0" i="2"/>
  <c r="Q9" i="2"/>
  <c r="Q31" i="2"/>
  <c r="AN7" i="2" l="1"/>
  <c r="AL7" i="2" l="1"/>
  <c r="AB7" i="2"/>
  <c r="T7" i="2"/>
  <c r="G35" i="1"/>
  <c r="BA303" i="2" l="1"/>
  <c r="F38" i="1"/>
  <c r="AK7" i="2" s="1"/>
  <c r="Q129" i="2" l="1"/>
  <c r="D60" i="1" l="1"/>
  <c r="F87" i="1" l="1"/>
  <c r="F58" i="1"/>
  <c r="F59" i="1"/>
  <c r="E59" i="1" s="1"/>
  <c r="F92" i="1"/>
  <c r="F45" i="1"/>
  <c r="Q32" i="2" l="1"/>
  <c r="Q30" i="2"/>
  <c r="AL32" i="2"/>
  <c r="AL30" i="2"/>
  <c r="AL28" i="2"/>
  <c r="AL27" i="2"/>
  <c r="AL26" i="2"/>
  <c r="AL22" i="2"/>
  <c r="AB32" i="2"/>
  <c r="AB30" i="2"/>
  <c r="AB28" i="2"/>
  <c r="AB27" i="2"/>
  <c r="AB26" i="2"/>
  <c r="AB22" i="2"/>
  <c r="Q34" i="2" l="1"/>
  <c r="Q33" i="2"/>
  <c r="Q29" i="2"/>
  <c r="Q28" i="2"/>
  <c r="Q27" i="2"/>
  <c r="Q26" i="2"/>
  <c r="Q22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77" i="2"/>
  <c r="AB78" i="2"/>
  <c r="AB79" i="2"/>
  <c r="AB76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9" i="2"/>
  <c r="AB48" i="2" l="1"/>
  <c r="Q90" i="2" l="1"/>
  <c r="Q89" i="2"/>
  <c r="H303" i="2" l="1"/>
  <c r="F62" i="1" l="1"/>
  <c r="AI7" i="2" s="1"/>
  <c r="F60" i="1"/>
  <c r="AH194" i="2" l="1"/>
  <c r="AH7" i="2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7" i="1"/>
  <c r="F31" i="1"/>
  <c r="H9" i="2"/>
  <c r="F34" i="1" l="1"/>
  <c r="AC7" i="2"/>
  <c r="U232" i="2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O328" i="2"/>
  <c r="AG328" i="2"/>
  <c r="N328" i="2"/>
  <c r="L328" i="2"/>
  <c r="J328" i="2"/>
  <c r="H328" i="2"/>
  <c r="E328" i="2"/>
  <c r="AO327" i="2"/>
  <c r="AG327" i="2"/>
  <c r="N327" i="2"/>
  <c r="L327" i="2"/>
  <c r="J327" i="2"/>
  <c r="H327" i="2"/>
  <c r="E327" i="2"/>
  <c r="AO326" i="2"/>
  <c r="AG326" i="2"/>
  <c r="N326" i="2"/>
  <c r="L326" i="2"/>
  <c r="J326" i="2"/>
  <c r="H326" i="2"/>
  <c r="E326" i="2"/>
  <c r="AO325" i="2"/>
  <c r="AG325" i="2"/>
  <c r="N325" i="2"/>
  <c r="L325" i="2"/>
  <c r="J325" i="2"/>
  <c r="H325" i="2"/>
  <c r="E325" i="2"/>
  <c r="AO324" i="2"/>
  <c r="AG324" i="2"/>
  <c r="N324" i="2"/>
  <c r="L324" i="2"/>
  <c r="J324" i="2"/>
  <c r="H324" i="2"/>
  <c r="E324" i="2"/>
  <c r="AO323" i="2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O307" i="2"/>
  <c r="AG307" i="2"/>
  <c r="N307" i="2"/>
  <c r="L307" i="2"/>
  <c r="J307" i="2"/>
  <c r="H307" i="2"/>
  <c r="E307" i="2"/>
  <c r="AO306" i="2"/>
  <c r="AG306" i="2"/>
  <c r="N306" i="2"/>
  <c r="L306" i="2"/>
  <c r="J306" i="2"/>
  <c r="H306" i="2"/>
  <c r="E306" i="2"/>
  <c r="AO305" i="2"/>
  <c r="AG305" i="2"/>
  <c r="N305" i="2"/>
  <c r="L305" i="2"/>
  <c r="J305" i="2"/>
  <c r="H305" i="2"/>
  <c r="E305" i="2"/>
  <c r="AO304" i="2"/>
  <c r="AG304" i="2"/>
  <c r="N304" i="2"/>
  <c r="L304" i="2"/>
  <c r="J304" i="2"/>
  <c r="H304" i="2"/>
  <c r="E304" i="2"/>
  <c r="AG303" i="2"/>
  <c r="N303" i="2"/>
  <c r="L303" i="2"/>
  <c r="J303" i="2"/>
  <c r="E303" i="2"/>
  <c r="BA302" i="2"/>
  <c r="AL302" i="2"/>
  <c r="AG302" i="2"/>
  <c r="Z302" i="2"/>
  <c r="U302" i="2"/>
  <c r="Q302" i="2"/>
  <c r="N302" i="2"/>
  <c r="L302" i="2"/>
  <c r="J302" i="2"/>
  <c r="H302" i="2"/>
  <c r="E302" i="2"/>
  <c r="BA301" i="2"/>
  <c r="AL301" i="2"/>
  <c r="AG301" i="2"/>
  <c r="Z301" i="2"/>
  <c r="U301" i="2"/>
  <c r="Q301" i="2"/>
  <c r="N301" i="2"/>
  <c r="L301" i="2"/>
  <c r="J301" i="2"/>
  <c r="G301" i="2"/>
  <c r="H301" i="2" s="1"/>
  <c r="F301" i="2"/>
  <c r="E301" i="2" s="1"/>
  <c r="BA300" i="2"/>
  <c r="AL300" i="2"/>
  <c r="AG300" i="2"/>
  <c r="Z300" i="2"/>
  <c r="U300" i="2"/>
  <c r="Q300" i="2"/>
  <c r="N300" i="2"/>
  <c r="L300" i="2"/>
  <c r="J300" i="2"/>
  <c r="G300" i="2"/>
  <c r="H300" i="2" s="1"/>
  <c r="F300" i="2"/>
  <c r="E300" i="2" s="1"/>
  <c r="BA299" i="2"/>
  <c r="AL299" i="2"/>
  <c r="AG299" i="2"/>
  <c r="Z299" i="2"/>
  <c r="U299" i="2"/>
  <c r="Q299" i="2"/>
  <c r="N299" i="2"/>
  <c r="L299" i="2"/>
  <c r="J299" i="2"/>
  <c r="G299" i="2"/>
  <c r="H299" i="2" s="1"/>
  <c r="F299" i="2"/>
  <c r="E299" i="2" s="1"/>
  <c r="BA298" i="2"/>
  <c r="AL298" i="2"/>
  <c r="AG298" i="2"/>
  <c r="Z298" i="2"/>
  <c r="U298" i="2"/>
  <c r="Q298" i="2"/>
  <c r="N298" i="2"/>
  <c r="L298" i="2"/>
  <c r="J298" i="2"/>
  <c r="G298" i="2"/>
  <c r="H298" i="2" s="1"/>
  <c r="F298" i="2"/>
  <c r="E298" i="2" s="1"/>
  <c r="BA297" i="2"/>
  <c r="AL297" i="2"/>
  <c r="AG297" i="2"/>
  <c r="Z297" i="2"/>
  <c r="U297" i="2"/>
  <c r="Q297" i="2"/>
  <c r="N297" i="2"/>
  <c r="L297" i="2"/>
  <c r="J297" i="2"/>
  <c r="G297" i="2"/>
  <c r="H297" i="2" s="1"/>
  <c r="F297" i="2"/>
  <c r="E297" i="2" s="1"/>
  <c r="BA296" i="2"/>
  <c r="AL296" i="2"/>
  <c r="AG296" i="2"/>
  <c r="Z296" i="2"/>
  <c r="U296" i="2"/>
  <c r="Q296" i="2"/>
  <c r="N296" i="2"/>
  <c r="L296" i="2"/>
  <c r="J296" i="2"/>
  <c r="G296" i="2"/>
  <c r="H296" i="2" s="1"/>
  <c r="F296" i="2"/>
  <c r="E296" i="2" s="1"/>
  <c r="BA295" i="2"/>
  <c r="AL295" i="2"/>
  <c r="AG295" i="2"/>
  <c r="Z295" i="2"/>
  <c r="U295" i="2"/>
  <c r="Q295" i="2"/>
  <c r="N295" i="2"/>
  <c r="L295" i="2"/>
  <c r="J295" i="2"/>
  <c r="G295" i="2"/>
  <c r="H295" i="2" s="1"/>
  <c r="F295" i="2"/>
  <c r="E295" i="2" s="1"/>
  <c r="BA294" i="2"/>
  <c r="AL294" i="2"/>
  <c r="AG294" i="2"/>
  <c r="Z294" i="2"/>
  <c r="U294" i="2"/>
  <c r="Q294" i="2"/>
  <c r="N294" i="2"/>
  <c r="L294" i="2"/>
  <c r="J294" i="2"/>
  <c r="G294" i="2"/>
  <c r="H294" i="2" s="1"/>
  <c r="F294" i="2"/>
  <c r="E294" i="2" s="1"/>
  <c r="BA293" i="2"/>
  <c r="AL293" i="2"/>
  <c r="AG293" i="2"/>
  <c r="Z293" i="2"/>
  <c r="U293" i="2"/>
  <c r="Q293" i="2"/>
  <c r="N293" i="2"/>
  <c r="L293" i="2"/>
  <c r="J293" i="2"/>
  <c r="G293" i="2"/>
  <c r="H293" i="2" s="1"/>
  <c r="F293" i="2"/>
  <c r="E293" i="2" s="1"/>
  <c r="BA292" i="2"/>
  <c r="AL292" i="2"/>
  <c r="AG292" i="2"/>
  <c r="Z292" i="2"/>
  <c r="U292" i="2"/>
  <c r="Q292" i="2"/>
  <c r="N292" i="2"/>
  <c r="L292" i="2"/>
  <c r="J292" i="2"/>
  <c r="G292" i="2"/>
  <c r="H292" i="2" s="1"/>
  <c r="F292" i="2"/>
  <c r="E292" i="2" s="1"/>
  <c r="BA291" i="2"/>
  <c r="AL291" i="2"/>
  <c r="AG291" i="2"/>
  <c r="Z291" i="2"/>
  <c r="U291" i="2"/>
  <c r="Q291" i="2"/>
  <c r="N291" i="2"/>
  <c r="L291" i="2"/>
  <c r="J291" i="2"/>
  <c r="G291" i="2"/>
  <c r="H291" i="2" s="1"/>
  <c r="F291" i="2"/>
  <c r="E291" i="2" s="1"/>
  <c r="BA290" i="2"/>
  <c r="AL290" i="2"/>
  <c r="AG290" i="2"/>
  <c r="Z290" i="2"/>
  <c r="U290" i="2"/>
  <c r="Q290" i="2"/>
  <c r="N290" i="2"/>
  <c r="L290" i="2"/>
  <c r="J290" i="2"/>
  <c r="G290" i="2"/>
  <c r="H290" i="2" s="1"/>
  <c r="F290" i="2"/>
  <c r="E290" i="2" s="1"/>
  <c r="BA289" i="2"/>
  <c r="AL289" i="2"/>
  <c r="AG289" i="2"/>
  <c r="Z289" i="2"/>
  <c r="U289" i="2"/>
  <c r="Q289" i="2"/>
  <c r="N289" i="2"/>
  <c r="L289" i="2"/>
  <c r="J289" i="2"/>
  <c r="G289" i="2"/>
  <c r="H289" i="2" s="1"/>
  <c r="F289" i="2"/>
  <c r="E289" i="2" s="1"/>
  <c r="BA288" i="2"/>
  <c r="AL288" i="2"/>
  <c r="AG288" i="2"/>
  <c r="Z288" i="2"/>
  <c r="U288" i="2"/>
  <c r="Q288" i="2"/>
  <c r="N288" i="2"/>
  <c r="L288" i="2"/>
  <c r="J288" i="2"/>
  <c r="G288" i="2"/>
  <c r="H288" i="2" s="1"/>
  <c r="F288" i="2"/>
  <c r="E288" i="2" s="1"/>
  <c r="BA287" i="2"/>
  <c r="AL287" i="2"/>
  <c r="AG287" i="2"/>
  <c r="Z287" i="2"/>
  <c r="U287" i="2"/>
  <c r="Q287" i="2"/>
  <c r="N287" i="2"/>
  <c r="L287" i="2"/>
  <c r="J287" i="2"/>
  <c r="G287" i="2"/>
  <c r="H287" i="2" s="1"/>
  <c r="F287" i="2"/>
  <c r="E287" i="2" s="1"/>
  <c r="BA286" i="2"/>
  <c r="AL286" i="2"/>
  <c r="AG286" i="2"/>
  <c r="Z286" i="2"/>
  <c r="U286" i="2"/>
  <c r="Q286" i="2"/>
  <c r="N286" i="2"/>
  <c r="L286" i="2"/>
  <c r="J286" i="2"/>
  <c r="G286" i="2"/>
  <c r="H286" i="2" s="1"/>
  <c r="F286" i="2"/>
  <c r="E286" i="2" s="1"/>
  <c r="BA285" i="2"/>
  <c r="AL285" i="2"/>
  <c r="AG285" i="2"/>
  <c r="Z285" i="2"/>
  <c r="U285" i="2"/>
  <c r="Q285" i="2"/>
  <c r="N285" i="2"/>
  <c r="L285" i="2"/>
  <c r="J285" i="2"/>
  <c r="G285" i="2"/>
  <c r="H285" i="2" s="1"/>
  <c r="F285" i="2"/>
  <c r="E285" i="2" s="1"/>
  <c r="BA284" i="2"/>
  <c r="AL284" i="2"/>
  <c r="AG284" i="2"/>
  <c r="Z284" i="2"/>
  <c r="U284" i="2"/>
  <c r="Q284" i="2"/>
  <c r="N284" i="2"/>
  <c r="L284" i="2"/>
  <c r="J284" i="2"/>
  <c r="G284" i="2"/>
  <c r="H284" i="2" s="1"/>
  <c r="F284" i="2"/>
  <c r="E284" i="2" s="1"/>
  <c r="BA283" i="2"/>
  <c r="AL283" i="2"/>
  <c r="AG283" i="2"/>
  <c r="Z283" i="2"/>
  <c r="U283" i="2"/>
  <c r="Q283" i="2"/>
  <c r="N283" i="2"/>
  <c r="L283" i="2"/>
  <c r="J283" i="2"/>
  <c r="G283" i="2"/>
  <c r="H283" i="2" s="1"/>
  <c r="F283" i="2"/>
  <c r="E283" i="2" s="1"/>
  <c r="BA282" i="2"/>
  <c r="AL282" i="2"/>
  <c r="AG282" i="2"/>
  <c r="Z282" i="2"/>
  <c r="U282" i="2"/>
  <c r="Q282" i="2"/>
  <c r="N282" i="2"/>
  <c r="L282" i="2"/>
  <c r="J282" i="2"/>
  <c r="G282" i="2"/>
  <c r="H282" i="2" s="1"/>
  <c r="F282" i="2"/>
  <c r="E282" i="2" s="1"/>
  <c r="BA281" i="2"/>
  <c r="AL281" i="2"/>
  <c r="AG281" i="2"/>
  <c r="Z281" i="2"/>
  <c r="U281" i="2"/>
  <c r="Q281" i="2"/>
  <c r="N281" i="2"/>
  <c r="L281" i="2"/>
  <c r="J281" i="2"/>
  <c r="G281" i="2"/>
  <c r="H281" i="2" s="1"/>
  <c r="F281" i="2"/>
  <c r="E281" i="2" s="1"/>
  <c r="BA280" i="2"/>
  <c r="AL280" i="2"/>
  <c r="AG280" i="2"/>
  <c r="Z280" i="2"/>
  <c r="U280" i="2"/>
  <c r="Q280" i="2"/>
  <c r="N280" i="2"/>
  <c r="L280" i="2"/>
  <c r="J280" i="2"/>
  <c r="G280" i="2"/>
  <c r="H280" i="2" s="1"/>
  <c r="F280" i="2"/>
  <c r="E280" i="2" s="1"/>
  <c r="BA279" i="2"/>
  <c r="AL279" i="2"/>
  <c r="AG279" i="2"/>
  <c r="Z279" i="2"/>
  <c r="U279" i="2"/>
  <c r="Q279" i="2"/>
  <c r="N279" i="2"/>
  <c r="L279" i="2"/>
  <c r="J279" i="2"/>
  <c r="G279" i="2"/>
  <c r="H279" i="2" s="1"/>
  <c r="F279" i="2"/>
  <c r="E279" i="2" s="1"/>
  <c r="BA278" i="2"/>
  <c r="AL278" i="2"/>
  <c r="AG278" i="2"/>
  <c r="Z278" i="2"/>
  <c r="U278" i="2"/>
  <c r="Q278" i="2"/>
  <c r="N278" i="2"/>
  <c r="L278" i="2"/>
  <c r="J278" i="2"/>
  <c r="G278" i="2"/>
  <c r="H278" i="2" s="1"/>
  <c r="F278" i="2"/>
  <c r="E278" i="2" s="1"/>
  <c r="BA277" i="2"/>
  <c r="AL277" i="2"/>
  <c r="AG277" i="2"/>
  <c r="Z277" i="2"/>
  <c r="U277" i="2"/>
  <c r="Q277" i="2"/>
  <c r="N277" i="2"/>
  <c r="L277" i="2"/>
  <c r="J277" i="2"/>
  <c r="G277" i="2"/>
  <c r="H277" i="2" s="1"/>
  <c r="F277" i="2"/>
  <c r="E277" i="2" s="1"/>
  <c r="BA276" i="2"/>
  <c r="AL276" i="2"/>
  <c r="AG276" i="2"/>
  <c r="Z276" i="2"/>
  <c r="U276" i="2"/>
  <c r="Q276" i="2"/>
  <c r="N276" i="2"/>
  <c r="L276" i="2"/>
  <c r="J276" i="2"/>
  <c r="G276" i="2"/>
  <c r="H276" i="2" s="1"/>
  <c r="F276" i="2"/>
  <c r="E276" i="2" s="1"/>
  <c r="BA275" i="2"/>
  <c r="AL275" i="2"/>
  <c r="AG275" i="2"/>
  <c r="Z275" i="2"/>
  <c r="U275" i="2"/>
  <c r="Q275" i="2"/>
  <c r="N275" i="2"/>
  <c r="L275" i="2"/>
  <c r="J275" i="2"/>
  <c r="G275" i="2"/>
  <c r="H275" i="2" s="1"/>
  <c r="F275" i="2"/>
  <c r="E275" i="2" s="1"/>
  <c r="BA274" i="2"/>
  <c r="AL274" i="2"/>
  <c r="AG274" i="2"/>
  <c r="Z274" i="2"/>
  <c r="U274" i="2"/>
  <c r="Q274" i="2"/>
  <c r="N274" i="2"/>
  <c r="L274" i="2"/>
  <c r="J274" i="2"/>
  <c r="G274" i="2"/>
  <c r="H274" i="2" s="1"/>
  <c r="F274" i="2"/>
  <c r="E274" i="2" s="1"/>
  <c r="BA273" i="2"/>
  <c r="AL273" i="2"/>
  <c r="AG273" i="2"/>
  <c r="Z273" i="2"/>
  <c r="U273" i="2"/>
  <c r="Q273" i="2"/>
  <c r="N273" i="2"/>
  <c r="L273" i="2"/>
  <c r="J273" i="2"/>
  <c r="G273" i="2"/>
  <c r="H273" i="2" s="1"/>
  <c r="F273" i="2"/>
  <c r="E273" i="2" s="1"/>
  <c r="BA272" i="2"/>
  <c r="AL272" i="2"/>
  <c r="AG272" i="2"/>
  <c r="Z272" i="2"/>
  <c r="U272" i="2"/>
  <c r="Q272" i="2"/>
  <c r="N272" i="2"/>
  <c r="L272" i="2"/>
  <c r="J272" i="2"/>
  <c r="G272" i="2"/>
  <c r="H272" i="2" s="1"/>
  <c r="F272" i="2"/>
  <c r="E272" i="2" s="1"/>
  <c r="BA271" i="2"/>
  <c r="AL271" i="2"/>
  <c r="AG271" i="2"/>
  <c r="Z271" i="2"/>
  <c r="U271" i="2"/>
  <c r="Q271" i="2"/>
  <c r="N271" i="2"/>
  <c r="L271" i="2"/>
  <c r="J271" i="2"/>
  <c r="G271" i="2"/>
  <c r="H271" i="2" s="1"/>
  <c r="F271" i="2"/>
  <c r="E271" i="2" s="1"/>
  <c r="BA270" i="2"/>
  <c r="AL270" i="2"/>
  <c r="AG270" i="2"/>
  <c r="Z270" i="2"/>
  <c r="U270" i="2"/>
  <c r="Q270" i="2"/>
  <c r="N270" i="2"/>
  <c r="L270" i="2"/>
  <c r="J270" i="2"/>
  <c r="G270" i="2"/>
  <c r="H270" i="2" s="1"/>
  <c r="F270" i="2"/>
  <c r="E270" i="2" s="1"/>
  <c r="BA269" i="2"/>
  <c r="AL269" i="2"/>
  <c r="AG269" i="2"/>
  <c r="Z269" i="2"/>
  <c r="U269" i="2"/>
  <c r="Q269" i="2"/>
  <c r="N269" i="2"/>
  <c r="L269" i="2"/>
  <c r="J269" i="2"/>
  <c r="G269" i="2"/>
  <c r="H269" i="2" s="1"/>
  <c r="F269" i="2"/>
  <c r="E269" i="2" s="1"/>
  <c r="BA268" i="2"/>
  <c r="AL268" i="2"/>
  <c r="AG268" i="2"/>
  <c r="Z268" i="2"/>
  <c r="U268" i="2"/>
  <c r="Q268" i="2"/>
  <c r="N268" i="2"/>
  <c r="L268" i="2"/>
  <c r="J268" i="2"/>
  <c r="G268" i="2"/>
  <c r="H268" i="2" s="1"/>
  <c r="F268" i="2"/>
  <c r="E268" i="2" s="1"/>
  <c r="BA267" i="2"/>
  <c r="AL267" i="2"/>
  <c r="AG267" i="2"/>
  <c r="Z267" i="2"/>
  <c r="U267" i="2"/>
  <c r="Q267" i="2"/>
  <c r="N267" i="2"/>
  <c r="L267" i="2"/>
  <c r="J267" i="2"/>
  <c r="G267" i="2"/>
  <c r="H267" i="2" s="1"/>
  <c r="F267" i="2"/>
  <c r="E267" i="2" s="1"/>
  <c r="BA266" i="2"/>
  <c r="AL266" i="2"/>
  <c r="AG266" i="2"/>
  <c r="Z266" i="2"/>
  <c r="U266" i="2"/>
  <c r="Q266" i="2"/>
  <c r="N266" i="2"/>
  <c r="L266" i="2"/>
  <c r="J266" i="2"/>
  <c r="G266" i="2"/>
  <c r="H266" i="2" s="1"/>
  <c r="F266" i="2"/>
  <c r="E266" i="2" s="1"/>
  <c r="BA265" i="2"/>
  <c r="AL265" i="2"/>
  <c r="AG265" i="2"/>
  <c r="Z265" i="2"/>
  <c r="U265" i="2"/>
  <c r="Q265" i="2"/>
  <c r="N265" i="2"/>
  <c r="L265" i="2"/>
  <c r="J265" i="2"/>
  <c r="G265" i="2"/>
  <c r="H265" i="2" s="1"/>
  <c r="F265" i="2"/>
  <c r="E265" i="2" s="1"/>
  <c r="BA264" i="2"/>
  <c r="AL264" i="2"/>
  <c r="AG264" i="2"/>
  <c r="Z264" i="2"/>
  <c r="U264" i="2"/>
  <c r="Q264" i="2"/>
  <c r="N264" i="2"/>
  <c r="L264" i="2"/>
  <c r="J264" i="2"/>
  <c r="G264" i="2"/>
  <c r="H264" i="2" s="1"/>
  <c r="F264" i="2"/>
  <c r="E264" i="2" s="1"/>
  <c r="BA263" i="2"/>
  <c r="AL263" i="2"/>
  <c r="AG263" i="2"/>
  <c r="Z263" i="2"/>
  <c r="U263" i="2"/>
  <c r="Q263" i="2"/>
  <c r="N263" i="2"/>
  <c r="L263" i="2"/>
  <c r="J263" i="2"/>
  <c r="G263" i="2"/>
  <c r="H263" i="2" s="1"/>
  <c r="F263" i="2"/>
  <c r="E263" i="2" s="1"/>
  <c r="BA262" i="2"/>
  <c r="AL262" i="2"/>
  <c r="AG262" i="2"/>
  <c r="Z262" i="2"/>
  <c r="U262" i="2"/>
  <c r="Q262" i="2"/>
  <c r="N262" i="2"/>
  <c r="L262" i="2"/>
  <c r="J262" i="2"/>
  <c r="G262" i="2"/>
  <c r="H262" i="2" s="1"/>
  <c r="F262" i="2"/>
  <c r="E262" i="2" s="1"/>
  <c r="BA261" i="2"/>
  <c r="AL261" i="2"/>
  <c r="AG261" i="2"/>
  <c r="Z261" i="2"/>
  <c r="U261" i="2"/>
  <c r="Q261" i="2"/>
  <c r="N261" i="2"/>
  <c r="L261" i="2"/>
  <c r="J261" i="2"/>
  <c r="G261" i="2"/>
  <c r="H261" i="2" s="1"/>
  <c r="F261" i="2"/>
  <c r="E261" i="2" s="1"/>
  <c r="BA260" i="2"/>
  <c r="AL260" i="2"/>
  <c r="AG260" i="2"/>
  <c r="Z260" i="2"/>
  <c r="U260" i="2"/>
  <c r="Q260" i="2"/>
  <c r="N260" i="2"/>
  <c r="L260" i="2"/>
  <c r="J260" i="2"/>
  <c r="G260" i="2"/>
  <c r="H260" i="2" s="1"/>
  <c r="F260" i="2"/>
  <c r="E260" i="2" s="1"/>
  <c r="BA259" i="2"/>
  <c r="AL259" i="2"/>
  <c r="AG259" i="2"/>
  <c r="Z259" i="2"/>
  <c r="U259" i="2"/>
  <c r="Q259" i="2"/>
  <c r="N259" i="2"/>
  <c r="L259" i="2"/>
  <c r="J259" i="2"/>
  <c r="G259" i="2"/>
  <c r="H259" i="2" s="1"/>
  <c r="F259" i="2"/>
  <c r="E259" i="2" s="1"/>
  <c r="BA258" i="2"/>
  <c r="AL258" i="2"/>
  <c r="AG258" i="2"/>
  <c r="Z258" i="2"/>
  <c r="U258" i="2"/>
  <c r="Q258" i="2"/>
  <c r="N258" i="2"/>
  <c r="L258" i="2"/>
  <c r="J258" i="2"/>
  <c r="G258" i="2"/>
  <c r="H258" i="2" s="1"/>
  <c r="F258" i="2"/>
  <c r="E258" i="2" s="1"/>
  <c r="BA257" i="2"/>
  <c r="AL257" i="2"/>
  <c r="AG257" i="2"/>
  <c r="Z257" i="2"/>
  <c r="U257" i="2"/>
  <c r="Q257" i="2"/>
  <c r="N257" i="2"/>
  <c r="L257" i="2"/>
  <c r="J257" i="2"/>
  <c r="G257" i="2"/>
  <c r="H257" i="2" s="1"/>
  <c r="F257" i="2"/>
  <c r="E257" i="2" s="1"/>
  <c r="BA256" i="2"/>
  <c r="AL256" i="2"/>
  <c r="AG256" i="2"/>
  <c r="Z256" i="2"/>
  <c r="U256" i="2"/>
  <c r="Q256" i="2"/>
  <c r="N256" i="2"/>
  <c r="L256" i="2"/>
  <c r="J256" i="2"/>
  <c r="G256" i="2"/>
  <c r="H256" i="2" s="1"/>
  <c r="F256" i="2"/>
  <c r="E256" i="2" s="1"/>
  <c r="BA255" i="2"/>
  <c r="AL255" i="2"/>
  <c r="AG255" i="2"/>
  <c r="Z255" i="2"/>
  <c r="U255" i="2"/>
  <c r="Q255" i="2"/>
  <c r="N255" i="2"/>
  <c r="L255" i="2"/>
  <c r="J255" i="2"/>
  <c r="G255" i="2"/>
  <c r="H255" i="2" s="1"/>
  <c r="F255" i="2"/>
  <c r="E255" i="2" s="1"/>
  <c r="BA254" i="2"/>
  <c r="AL254" i="2"/>
  <c r="AG254" i="2"/>
  <c r="Z254" i="2"/>
  <c r="U254" i="2"/>
  <c r="Q254" i="2"/>
  <c r="N254" i="2"/>
  <c r="L254" i="2"/>
  <c r="J254" i="2"/>
  <c r="G254" i="2"/>
  <c r="H254" i="2" s="1"/>
  <c r="F254" i="2"/>
  <c r="E254" i="2" s="1"/>
  <c r="BA253" i="2"/>
  <c r="AL253" i="2"/>
  <c r="AG253" i="2"/>
  <c r="Z253" i="2"/>
  <c r="U253" i="2"/>
  <c r="Q253" i="2"/>
  <c r="N253" i="2"/>
  <c r="L253" i="2"/>
  <c r="J253" i="2"/>
  <c r="G253" i="2"/>
  <c r="H253" i="2" s="1"/>
  <c r="F253" i="2"/>
  <c r="E253" i="2" s="1"/>
  <c r="BA252" i="2"/>
  <c r="AL252" i="2"/>
  <c r="AG252" i="2"/>
  <c r="Z252" i="2"/>
  <c r="U252" i="2"/>
  <c r="Q252" i="2"/>
  <c r="N252" i="2"/>
  <c r="L252" i="2"/>
  <c r="J252" i="2"/>
  <c r="G252" i="2"/>
  <c r="H252" i="2" s="1"/>
  <c r="F252" i="2"/>
  <c r="E252" i="2" s="1"/>
  <c r="BA251" i="2"/>
  <c r="AL251" i="2"/>
  <c r="AG251" i="2"/>
  <c r="Z251" i="2"/>
  <c r="U251" i="2"/>
  <c r="Q251" i="2"/>
  <c r="N251" i="2"/>
  <c r="L251" i="2"/>
  <c r="J251" i="2"/>
  <c r="G251" i="2"/>
  <c r="H251" i="2" s="1"/>
  <c r="F251" i="2"/>
  <c r="E251" i="2" s="1"/>
  <c r="BA250" i="2"/>
  <c r="AL250" i="2"/>
  <c r="AG250" i="2"/>
  <c r="Z250" i="2"/>
  <c r="U250" i="2"/>
  <c r="Q250" i="2"/>
  <c r="N250" i="2"/>
  <c r="L250" i="2"/>
  <c r="J250" i="2"/>
  <c r="G250" i="2"/>
  <c r="H250" i="2" s="1"/>
  <c r="F250" i="2"/>
  <c r="E250" i="2" s="1"/>
  <c r="BA249" i="2"/>
  <c r="AL249" i="2"/>
  <c r="AG249" i="2"/>
  <c r="Z249" i="2"/>
  <c r="U249" i="2"/>
  <c r="Q249" i="2"/>
  <c r="N249" i="2"/>
  <c r="L249" i="2"/>
  <c r="J249" i="2"/>
  <c r="G249" i="2"/>
  <c r="H249" i="2" s="1"/>
  <c r="F249" i="2"/>
  <c r="E249" i="2" s="1"/>
  <c r="BA248" i="2"/>
  <c r="AL248" i="2"/>
  <c r="AG248" i="2"/>
  <c r="Z248" i="2"/>
  <c r="Q248" i="2"/>
  <c r="N248" i="2"/>
  <c r="L248" i="2"/>
  <c r="J248" i="2"/>
  <c r="G248" i="2"/>
  <c r="H248" i="2" s="1"/>
  <c r="F248" i="2"/>
  <c r="E248" i="2" s="1"/>
  <c r="BA247" i="2"/>
  <c r="AL247" i="2"/>
  <c r="AG247" i="2"/>
  <c r="Z247" i="2"/>
  <c r="U247" i="2"/>
  <c r="Q247" i="2"/>
  <c r="N247" i="2"/>
  <c r="L247" i="2"/>
  <c r="J247" i="2"/>
  <c r="G247" i="2"/>
  <c r="H247" i="2" s="1"/>
  <c r="F247" i="2"/>
  <c r="E247" i="2" s="1"/>
  <c r="BA246" i="2"/>
  <c r="AL246" i="2"/>
  <c r="AG246" i="2"/>
  <c r="Z246" i="2"/>
  <c r="U246" i="2"/>
  <c r="Q246" i="2"/>
  <c r="N246" i="2"/>
  <c r="L246" i="2"/>
  <c r="J246" i="2"/>
  <c r="G246" i="2"/>
  <c r="H246" i="2" s="1"/>
  <c r="F246" i="2"/>
  <c r="E246" i="2" s="1"/>
  <c r="BA245" i="2"/>
  <c r="AL245" i="2"/>
  <c r="AG245" i="2"/>
  <c r="Z245" i="2"/>
  <c r="U245" i="2"/>
  <c r="Q245" i="2"/>
  <c r="N245" i="2"/>
  <c r="L245" i="2"/>
  <c r="J245" i="2"/>
  <c r="G245" i="2"/>
  <c r="H245" i="2" s="1"/>
  <c r="F245" i="2"/>
  <c r="E245" i="2" s="1"/>
  <c r="BA244" i="2"/>
  <c r="AL244" i="2"/>
  <c r="AG244" i="2"/>
  <c r="Z244" i="2"/>
  <c r="U244" i="2"/>
  <c r="Q244" i="2"/>
  <c r="N244" i="2"/>
  <c r="L244" i="2"/>
  <c r="J244" i="2"/>
  <c r="G244" i="2"/>
  <c r="H244" i="2" s="1"/>
  <c r="F244" i="2"/>
  <c r="E244" i="2" s="1"/>
  <c r="BA243" i="2"/>
  <c r="AL243" i="2"/>
  <c r="AG243" i="2"/>
  <c r="Z243" i="2"/>
  <c r="U243" i="2"/>
  <c r="Q243" i="2"/>
  <c r="N243" i="2"/>
  <c r="L243" i="2"/>
  <c r="J243" i="2"/>
  <c r="G243" i="2"/>
  <c r="H243" i="2" s="1"/>
  <c r="F243" i="2"/>
  <c r="E243" i="2" s="1"/>
  <c r="BA242" i="2"/>
  <c r="AL242" i="2"/>
  <c r="AG242" i="2"/>
  <c r="Z242" i="2"/>
  <c r="U242" i="2"/>
  <c r="Q242" i="2"/>
  <c r="N242" i="2"/>
  <c r="L242" i="2"/>
  <c r="J242" i="2"/>
  <c r="G242" i="2"/>
  <c r="H242" i="2" s="1"/>
  <c r="F242" i="2"/>
  <c r="E242" i="2" s="1"/>
  <c r="BA241" i="2"/>
  <c r="AL241" i="2"/>
  <c r="AG241" i="2"/>
  <c r="Z241" i="2"/>
  <c r="U241" i="2"/>
  <c r="Q241" i="2"/>
  <c r="N241" i="2"/>
  <c r="L241" i="2"/>
  <c r="J241" i="2"/>
  <c r="G241" i="2"/>
  <c r="H241" i="2" s="1"/>
  <c r="F241" i="2"/>
  <c r="E241" i="2" s="1"/>
  <c r="BA240" i="2"/>
  <c r="AL240" i="2"/>
  <c r="AG240" i="2"/>
  <c r="Z240" i="2"/>
  <c r="U240" i="2"/>
  <c r="Q240" i="2"/>
  <c r="N240" i="2"/>
  <c r="L240" i="2"/>
  <c r="J240" i="2"/>
  <c r="G240" i="2"/>
  <c r="H240" i="2" s="1"/>
  <c r="F240" i="2"/>
  <c r="E240" i="2" s="1"/>
  <c r="BA239" i="2"/>
  <c r="AL239" i="2"/>
  <c r="AG239" i="2"/>
  <c r="Z239" i="2"/>
  <c r="U239" i="2"/>
  <c r="Q239" i="2"/>
  <c r="N239" i="2"/>
  <c r="L239" i="2"/>
  <c r="J239" i="2"/>
  <c r="G239" i="2"/>
  <c r="H239" i="2" s="1"/>
  <c r="F239" i="2"/>
  <c r="E239" i="2" s="1"/>
  <c r="BA238" i="2"/>
  <c r="AL238" i="2"/>
  <c r="AG238" i="2"/>
  <c r="Z238" i="2"/>
  <c r="U238" i="2"/>
  <c r="Q238" i="2"/>
  <c r="N238" i="2"/>
  <c r="L238" i="2"/>
  <c r="J238" i="2"/>
  <c r="G238" i="2"/>
  <c r="H238" i="2" s="1"/>
  <c r="F238" i="2"/>
  <c r="E238" i="2" s="1"/>
  <c r="BA237" i="2"/>
  <c r="AL237" i="2"/>
  <c r="AG237" i="2"/>
  <c r="Z237" i="2"/>
  <c r="U237" i="2"/>
  <c r="Q237" i="2"/>
  <c r="N237" i="2"/>
  <c r="L237" i="2"/>
  <c r="J237" i="2"/>
  <c r="G237" i="2"/>
  <c r="H237" i="2" s="1"/>
  <c r="F237" i="2"/>
  <c r="E237" i="2" s="1"/>
  <c r="BA236" i="2"/>
  <c r="AL236" i="2"/>
  <c r="AG236" i="2"/>
  <c r="Z236" i="2"/>
  <c r="U236" i="2"/>
  <c r="Q236" i="2"/>
  <c r="N236" i="2"/>
  <c r="L236" i="2"/>
  <c r="J236" i="2"/>
  <c r="G236" i="2"/>
  <c r="H236" i="2" s="1"/>
  <c r="F236" i="2"/>
  <c r="E236" i="2" s="1"/>
  <c r="BA235" i="2"/>
  <c r="AL235" i="2"/>
  <c r="AG235" i="2"/>
  <c r="Z235" i="2"/>
  <c r="U235" i="2"/>
  <c r="Q235" i="2"/>
  <c r="N235" i="2"/>
  <c r="L235" i="2"/>
  <c r="J235" i="2"/>
  <c r="G235" i="2"/>
  <c r="H235" i="2" s="1"/>
  <c r="F235" i="2"/>
  <c r="E235" i="2" s="1"/>
  <c r="BA234" i="2"/>
  <c r="AL234" i="2"/>
  <c r="AG234" i="2"/>
  <c r="Z234" i="2"/>
  <c r="U234" i="2"/>
  <c r="Q234" i="2"/>
  <c r="N234" i="2"/>
  <c r="L234" i="2"/>
  <c r="J234" i="2"/>
  <c r="G234" i="2"/>
  <c r="H234" i="2" s="1"/>
  <c r="F234" i="2"/>
  <c r="E234" i="2" s="1"/>
  <c r="BA233" i="2"/>
  <c r="AL233" i="2"/>
  <c r="AG233" i="2"/>
  <c r="Z233" i="2"/>
  <c r="U233" i="2"/>
  <c r="Q233" i="2"/>
  <c r="N233" i="2"/>
  <c r="L233" i="2"/>
  <c r="J233" i="2"/>
  <c r="G233" i="2"/>
  <c r="H233" i="2" s="1"/>
  <c r="F233" i="2"/>
  <c r="E233" i="2" s="1"/>
  <c r="BA232" i="2"/>
  <c r="AL232" i="2"/>
  <c r="AG232" i="2"/>
  <c r="Z232" i="2"/>
  <c r="Q232" i="2"/>
  <c r="N232" i="2"/>
  <c r="L232" i="2"/>
  <c r="J232" i="2"/>
  <c r="G232" i="2"/>
  <c r="H232" i="2" s="1"/>
  <c r="F232" i="2"/>
  <c r="E232" i="2" s="1"/>
  <c r="BA231" i="2"/>
  <c r="AL231" i="2"/>
  <c r="AG231" i="2"/>
  <c r="Z231" i="2"/>
  <c r="U231" i="2"/>
  <c r="Q231" i="2"/>
  <c r="N231" i="2"/>
  <c r="L231" i="2"/>
  <c r="J231" i="2"/>
  <c r="G231" i="2"/>
  <c r="H231" i="2" s="1"/>
  <c r="F231" i="2"/>
  <c r="E231" i="2" s="1"/>
  <c r="BA230" i="2"/>
  <c r="AL230" i="2"/>
  <c r="AG230" i="2"/>
  <c r="Z230" i="2"/>
  <c r="U230" i="2"/>
  <c r="Q230" i="2"/>
  <c r="N230" i="2"/>
  <c r="L230" i="2"/>
  <c r="J230" i="2"/>
  <c r="G230" i="2"/>
  <c r="H230" i="2" s="1"/>
  <c r="F230" i="2"/>
  <c r="E230" i="2" s="1"/>
  <c r="BA229" i="2"/>
  <c r="AL229" i="2"/>
  <c r="AG229" i="2"/>
  <c r="Z229" i="2"/>
  <c r="U229" i="2"/>
  <c r="Q229" i="2"/>
  <c r="N229" i="2"/>
  <c r="L229" i="2"/>
  <c r="J229" i="2"/>
  <c r="G229" i="2"/>
  <c r="H229" i="2" s="1"/>
  <c r="F229" i="2"/>
  <c r="E229" i="2" s="1"/>
  <c r="BA228" i="2"/>
  <c r="AL228" i="2"/>
  <c r="AG228" i="2"/>
  <c r="Z228" i="2"/>
  <c r="U228" i="2"/>
  <c r="Q228" i="2"/>
  <c r="N228" i="2"/>
  <c r="L228" i="2"/>
  <c r="J228" i="2"/>
  <c r="G228" i="2"/>
  <c r="H228" i="2" s="1"/>
  <c r="F228" i="2"/>
  <c r="E228" i="2" s="1"/>
  <c r="BA227" i="2"/>
  <c r="AL227" i="2"/>
  <c r="AG227" i="2"/>
  <c r="Z227" i="2"/>
  <c r="U227" i="2"/>
  <c r="Q227" i="2"/>
  <c r="N227" i="2"/>
  <c r="L227" i="2"/>
  <c r="J227" i="2"/>
  <c r="G227" i="2"/>
  <c r="H227" i="2" s="1"/>
  <c r="F227" i="2"/>
  <c r="E227" i="2" s="1"/>
  <c r="BA226" i="2"/>
  <c r="AL226" i="2"/>
  <c r="AG226" i="2"/>
  <c r="Z226" i="2"/>
  <c r="U226" i="2"/>
  <c r="Q226" i="2"/>
  <c r="N226" i="2"/>
  <c r="L226" i="2"/>
  <c r="J226" i="2"/>
  <c r="G226" i="2"/>
  <c r="H226" i="2" s="1"/>
  <c r="F226" i="2"/>
  <c r="E226" i="2" s="1"/>
  <c r="BA225" i="2"/>
  <c r="AL225" i="2"/>
  <c r="AG225" i="2"/>
  <c r="Z225" i="2"/>
  <c r="U225" i="2"/>
  <c r="Q225" i="2"/>
  <c r="N225" i="2"/>
  <c r="L225" i="2"/>
  <c r="J225" i="2"/>
  <c r="G225" i="2"/>
  <c r="H225" i="2" s="1"/>
  <c r="F225" i="2"/>
  <c r="E225" i="2" s="1"/>
  <c r="BA224" i="2"/>
  <c r="AL224" i="2"/>
  <c r="AG224" i="2"/>
  <c r="Z224" i="2"/>
  <c r="U224" i="2"/>
  <c r="Q224" i="2"/>
  <c r="N224" i="2"/>
  <c r="L224" i="2"/>
  <c r="J224" i="2"/>
  <c r="G224" i="2"/>
  <c r="H224" i="2" s="1"/>
  <c r="F224" i="2"/>
  <c r="E224" i="2" s="1"/>
  <c r="BA223" i="2"/>
  <c r="AL223" i="2"/>
  <c r="AG223" i="2"/>
  <c r="Z223" i="2"/>
  <c r="U223" i="2"/>
  <c r="Q223" i="2"/>
  <c r="N223" i="2"/>
  <c r="L223" i="2"/>
  <c r="J223" i="2"/>
  <c r="G223" i="2"/>
  <c r="H223" i="2" s="1"/>
  <c r="F223" i="2"/>
  <c r="E223" i="2" s="1"/>
  <c r="BA222" i="2"/>
  <c r="AL222" i="2"/>
  <c r="AG222" i="2"/>
  <c r="Z222" i="2"/>
  <c r="U222" i="2"/>
  <c r="Q222" i="2"/>
  <c r="N222" i="2"/>
  <c r="L222" i="2"/>
  <c r="J222" i="2"/>
  <c r="G222" i="2"/>
  <c r="H222" i="2" s="1"/>
  <c r="F222" i="2"/>
  <c r="E222" i="2" s="1"/>
  <c r="BA221" i="2"/>
  <c r="AL221" i="2"/>
  <c r="AG221" i="2"/>
  <c r="Z221" i="2"/>
  <c r="U221" i="2"/>
  <c r="Q221" i="2"/>
  <c r="N221" i="2"/>
  <c r="L221" i="2"/>
  <c r="J221" i="2"/>
  <c r="G221" i="2"/>
  <c r="H221" i="2" s="1"/>
  <c r="F221" i="2"/>
  <c r="E221" i="2" s="1"/>
  <c r="BA220" i="2"/>
  <c r="AL220" i="2"/>
  <c r="AG220" i="2"/>
  <c r="Z220" i="2"/>
  <c r="U220" i="2"/>
  <c r="Q220" i="2"/>
  <c r="N220" i="2"/>
  <c r="L220" i="2"/>
  <c r="J220" i="2"/>
  <c r="G220" i="2"/>
  <c r="H220" i="2" s="1"/>
  <c r="F220" i="2"/>
  <c r="E220" i="2" s="1"/>
  <c r="BA219" i="2"/>
  <c r="AL219" i="2"/>
  <c r="AG219" i="2"/>
  <c r="Z219" i="2"/>
  <c r="U219" i="2"/>
  <c r="Q219" i="2"/>
  <c r="N219" i="2"/>
  <c r="L219" i="2"/>
  <c r="J219" i="2"/>
  <c r="G219" i="2"/>
  <c r="H219" i="2" s="1"/>
  <c r="F219" i="2"/>
  <c r="E219" i="2" s="1"/>
  <c r="BA218" i="2"/>
  <c r="AL218" i="2"/>
  <c r="AG218" i="2"/>
  <c r="Z218" i="2"/>
  <c r="U218" i="2"/>
  <c r="Q218" i="2"/>
  <c r="N218" i="2"/>
  <c r="L218" i="2"/>
  <c r="J218" i="2"/>
  <c r="G218" i="2"/>
  <c r="H218" i="2" s="1"/>
  <c r="F218" i="2"/>
  <c r="E218" i="2" s="1"/>
  <c r="BA217" i="2"/>
  <c r="AL217" i="2"/>
  <c r="AG217" i="2"/>
  <c r="Z217" i="2"/>
  <c r="U217" i="2"/>
  <c r="Q217" i="2"/>
  <c r="N217" i="2"/>
  <c r="L217" i="2"/>
  <c r="J217" i="2"/>
  <c r="G217" i="2"/>
  <c r="H217" i="2" s="1"/>
  <c r="F217" i="2"/>
  <c r="E217" i="2" s="1"/>
  <c r="BA216" i="2"/>
  <c r="AL216" i="2"/>
  <c r="AG216" i="2"/>
  <c r="Z216" i="2"/>
  <c r="U216" i="2"/>
  <c r="Q216" i="2"/>
  <c r="N216" i="2"/>
  <c r="L216" i="2"/>
  <c r="J216" i="2"/>
  <c r="G216" i="2"/>
  <c r="H216" i="2" s="1"/>
  <c r="F216" i="2"/>
  <c r="E216" i="2" s="1"/>
  <c r="BA215" i="2"/>
  <c r="AL215" i="2"/>
  <c r="AG215" i="2"/>
  <c r="Z215" i="2"/>
  <c r="U215" i="2"/>
  <c r="Q215" i="2"/>
  <c r="N215" i="2"/>
  <c r="L215" i="2"/>
  <c r="J215" i="2"/>
  <c r="G215" i="2"/>
  <c r="H215" i="2" s="1"/>
  <c r="F215" i="2"/>
  <c r="E215" i="2" s="1"/>
  <c r="BA214" i="2"/>
  <c r="AL214" i="2"/>
  <c r="AG214" i="2"/>
  <c r="Z214" i="2"/>
  <c r="U214" i="2"/>
  <c r="Q214" i="2"/>
  <c r="N214" i="2"/>
  <c r="L214" i="2"/>
  <c r="J214" i="2"/>
  <c r="G214" i="2"/>
  <c r="H214" i="2" s="1"/>
  <c r="F214" i="2"/>
  <c r="E214" i="2" s="1"/>
  <c r="BA213" i="2"/>
  <c r="AL213" i="2"/>
  <c r="AG213" i="2"/>
  <c r="Z213" i="2"/>
  <c r="U213" i="2"/>
  <c r="Q213" i="2"/>
  <c r="N213" i="2"/>
  <c r="L213" i="2"/>
  <c r="J213" i="2"/>
  <c r="G213" i="2"/>
  <c r="H213" i="2" s="1"/>
  <c r="F213" i="2"/>
  <c r="E213" i="2" s="1"/>
  <c r="BA212" i="2"/>
  <c r="AL212" i="2"/>
  <c r="AG212" i="2"/>
  <c r="Z212" i="2"/>
  <c r="U212" i="2"/>
  <c r="Q212" i="2"/>
  <c r="N212" i="2"/>
  <c r="L212" i="2"/>
  <c r="J212" i="2"/>
  <c r="G212" i="2"/>
  <c r="H212" i="2" s="1"/>
  <c r="F212" i="2"/>
  <c r="E212" i="2" s="1"/>
  <c r="BA211" i="2"/>
  <c r="AL211" i="2"/>
  <c r="AG211" i="2"/>
  <c r="Z211" i="2"/>
  <c r="U211" i="2"/>
  <c r="Q211" i="2"/>
  <c r="N211" i="2"/>
  <c r="L211" i="2"/>
  <c r="J211" i="2"/>
  <c r="G211" i="2"/>
  <c r="H211" i="2" s="1"/>
  <c r="F211" i="2"/>
  <c r="E211" i="2" s="1"/>
  <c r="BA210" i="2"/>
  <c r="AL210" i="2"/>
  <c r="AG210" i="2"/>
  <c r="Z210" i="2"/>
  <c r="U210" i="2"/>
  <c r="Q210" i="2"/>
  <c r="N210" i="2"/>
  <c r="L210" i="2"/>
  <c r="J210" i="2"/>
  <c r="G210" i="2"/>
  <c r="H210" i="2" s="1"/>
  <c r="F210" i="2"/>
  <c r="E210" i="2" s="1"/>
  <c r="BA209" i="2"/>
  <c r="AL209" i="2"/>
  <c r="AG209" i="2"/>
  <c r="Z209" i="2"/>
  <c r="U209" i="2"/>
  <c r="Q209" i="2"/>
  <c r="N209" i="2"/>
  <c r="L209" i="2"/>
  <c r="J209" i="2"/>
  <c r="G209" i="2"/>
  <c r="H209" i="2" s="1"/>
  <c r="F209" i="2"/>
  <c r="E209" i="2" s="1"/>
  <c r="BA208" i="2"/>
  <c r="AL208" i="2"/>
  <c r="AG208" i="2"/>
  <c r="Z208" i="2"/>
  <c r="U208" i="2"/>
  <c r="Q208" i="2"/>
  <c r="N208" i="2"/>
  <c r="L208" i="2"/>
  <c r="J208" i="2"/>
  <c r="G208" i="2"/>
  <c r="H208" i="2" s="1"/>
  <c r="F208" i="2"/>
  <c r="E208" i="2" s="1"/>
  <c r="BA207" i="2"/>
  <c r="AL207" i="2"/>
  <c r="AG207" i="2"/>
  <c r="Z207" i="2"/>
  <c r="U207" i="2"/>
  <c r="Q207" i="2"/>
  <c r="N207" i="2"/>
  <c r="L207" i="2"/>
  <c r="J207" i="2"/>
  <c r="G207" i="2"/>
  <c r="H207" i="2" s="1"/>
  <c r="F207" i="2"/>
  <c r="E207" i="2" s="1"/>
  <c r="BA206" i="2"/>
  <c r="AL206" i="2"/>
  <c r="AG206" i="2"/>
  <c r="Z206" i="2"/>
  <c r="U206" i="2"/>
  <c r="Q206" i="2"/>
  <c r="N206" i="2"/>
  <c r="L206" i="2"/>
  <c r="J206" i="2"/>
  <c r="G206" i="2"/>
  <c r="H206" i="2" s="1"/>
  <c r="F206" i="2"/>
  <c r="E206" i="2" s="1"/>
  <c r="BA205" i="2"/>
  <c r="AL205" i="2"/>
  <c r="AG205" i="2"/>
  <c r="Z205" i="2"/>
  <c r="U205" i="2"/>
  <c r="Q205" i="2"/>
  <c r="N205" i="2"/>
  <c r="L205" i="2"/>
  <c r="J205" i="2"/>
  <c r="G205" i="2"/>
  <c r="H205" i="2" s="1"/>
  <c r="F205" i="2"/>
  <c r="E205" i="2" s="1"/>
  <c r="BA204" i="2"/>
  <c r="AL204" i="2"/>
  <c r="AG204" i="2"/>
  <c r="Z204" i="2"/>
  <c r="U204" i="2"/>
  <c r="Q204" i="2"/>
  <c r="N204" i="2"/>
  <c r="L204" i="2"/>
  <c r="J204" i="2"/>
  <c r="G204" i="2"/>
  <c r="H204" i="2" s="1"/>
  <c r="F204" i="2"/>
  <c r="E204" i="2" s="1"/>
  <c r="BA203" i="2"/>
  <c r="AL203" i="2"/>
  <c r="AG203" i="2"/>
  <c r="Z203" i="2"/>
  <c r="U203" i="2"/>
  <c r="Q203" i="2"/>
  <c r="N203" i="2"/>
  <c r="L203" i="2"/>
  <c r="J203" i="2"/>
  <c r="G203" i="2"/>
  <c r="H203" i="2" s="1"/>
  <c r="F203" i="2"/>
  <c r="E203" i="2" s="1"/>
  <c r="BA202" i="2"/>
  <c r="AL202" i="2"/>
  <c r="AG202" i="2"/>
  <c r="Z202" i="2"/>
  <c r="U202" i="2"/>
  <c r="Q202" i="2"/>
  <c r="N202" i="2"/>
  <c r="L202" i="2"/>
  <c r="J202" i="2"/>
  <c r="G202" i="2"/>
  <c r="H202" i="2" s="1"/>
  <c r="F202" i="2"/>
  <c r="E202" i="2" s="1"/>
  <c r="BA201" i="2"/>
  <c r="AL201" i="2"/>
  <c r="AG201" i="2"/>
  <c r="Z201" i="2"/>
  <c r="U201" i="2"/>
  <c r="Q201" i="2"/>
  <c r="N201" i="2"/>
  <c r="L201" i="2"/>
  <c r="J201" i="2"/>
  <c r="G201" i="2"/>
  <c r="H201" i="2" s="1"/>
  <c r="F201" i="2"/>
  <c r="E201" i="2" s="1"/>
  <c r="BA200" i="2"/>
  <c r="AL200" i="2"/>
  <c r="AG200" i="2"/>
  <c r="Z200" i="2"/>
  <c r="U200" i="2"/>
  <c r="Q200" i="2"/>
  <c r="N200" i="2"/>
  <c r="L200" i="2"/>
  <c r="J200" i="2"/>
  <c r="G200" i="2"/>
  <c r="H200" i="2" s="1"/>
  <c r="F200" i="2"/>
  <c r="E200" i="2" s="1"/>
  <c r="BA199" i="2"/>
  <c r="AL199" i="2"/>
  <c r="AG199" i="2"/>
  <c r="Z199" i="2"/>
  <c r="U199" i="2"/>
  <c r="Q199" i="2"/>
  <c r="N199" i="2"/>
  <c r="L199" i="2"/>
  <c r="J199" i="2"/>
  <c r="G199" i="2"/>
  <c r="H199" i="2" s="1"/>
  <c r="F199" i="2"/>
  <c r="E199" i="2" s="1"/>
  <c r="BA198" i="2"/>
  <c r="AL198" i="2"/>
  <c r="AG198" i="2"/>
  <c r="Z198" i="2"/>
  <c r="U198" i="2"/>
  <c r="Q198" i="2"/>
  <c r="N198" i="2"/>
  <c r="L198" i="2"/>
  <c r="J198" i="2"/>
  <c r="G198" i="2"/>
  <c r="H198" i="2" s="1"/>
  <c r="F198" i="2"/>
  <c r="E198" i="2" s="1"/>
  <c r="BA197" i="2"/>
  <c r="AL197" i="2"/>
  <c r="AG197" i="2"/>
  <c r="Z197" i="2"/>
  <c r="U197" i="2"/>
  <c r="Q197" i="2"/>
  <c r="N197" i="2"/>
  <c r="L197" i="2"/>
  <c r="J197" i="2"/>
  <c r="G197" i="2"/>
  <c r="H197" i="2" s="1"/>
  <c r="F197" i="2"/>
  <c r="E197" i="2" s="1"/>
  <c r="BA196" i="2"/>
  <c r="AL196" i="2"/>
  <c r="AG196" i="2"/>
  <c r="Z196" i="2"/>
  <c r="U196" i="2"/>
  <c r="Q196" i="2"/>
  <c r="N196" i="2"/>
  <c r="L196" i="2"/>
  <c r="J196" i="2"/>
  <c r="G196" i="2"/>
  <c r="H196" i="2" s="1"/>
  <c r="F196" i="2"/>
  <c r="E196" i="2" s="1"/>
  <c r="BA195" i="2"/>
  <c r="AL195" i="2"/>
  <c r="AG195" i="2"/>
  <c r="Z195" i="2"/>
  <c r="U195" i="2"/>
  <c r="Q195" i="2"/>
  <c r="N195" i="2"/>
  <c r="L195" i="2"/>
  <c r="J195" i="2"/>
  <c r="G195" i="2"/>
  <c r="H195" i="2" s="1"/>
  <c r="F195" i="2"/>
  <c r="E195" i="2" s="1"/>
  <c r="BA194" i="2"/>
  <c r="AL194" i="2"/>
  <c r="AG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L89" i="2"/>
  <c r="AL47" i="2" s="1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L87" i="2"/>
  <c r="AK87" i="2"/>
  <c r="AG87" i="2"/>
  <c r="AE87" i="2"/>
  <c r="AC87" i="2"/>
  <c r="Z87" i="2"/>
  <c r="U87" i="2"/>
  <c r="N87" i="2"/>
  <c r="L87" i="2"/>
  <c r="J87" i="2"/>
  <c r="H87" i="2"/>
  <c r="E87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K83" i="2"/>
  <c r="AG83" i="2"/>
  <c r="AE83" i="2"/>
  <c r="AC83" i="2"/>
  <c r="Z83" i="2"/>
  <c r="U83" i="2"/>
  <c r="Q83" i="2"/>
  <c r="N83" i="2"/>
  <c r="L83" i="2"/>
  <c r="J83" i="2"/>
  <c r="H83" i="2"/>
  <c r="E83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K75" i="2"/>
  <c r="AG75" i="2"/>
  <c r="AE75" i="2"/>
  <c r="AC75" i="2"/>
  <c r="Z75" i="2"/>
  <c r="U75" i="2"/>
  <c r="Q75" i="2"/>
  <c r="N75" i="2"/>
  <c r="L75" i="2"/>
  <c r="J75" i="2"/>
  <c r="H75" i="2"/>
  <c r="E75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K73" i="2"/>
  <c r="AG73" i="2"/>
  <c r="AE73" i="2"/>
  <c r="AC73" i="2"/>
  <c r="Z73" i="2"/>
  <c r="U73" i="2"/>
  <c r="Q73" i="2"/>
  <c r="N73" i="2"/>
  <c r="L73" i="2"/>
  <c r="J73" i="2"/>
  <c r="H73" i="2"/>
  <c r="E73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K42" i="2"/>
  <c r="AG42" i="2"/>
  <c r="AE42" i="2"/>
  <c r="AC42" i="2"/>
  <c r="Z42" i="2"/>
  <c r="U42" i="2"/>
  <c r="Q42" i="2"/>
  <c r="N42" i="2"/>
  <c r="L42" i="2"/>
  <c r="J42" i="2"/>
  <c r="H42" i="2"/>
  <c r="E42" i="2"/>
  <c r="AK41" i="2"/>
  <c r="AG41" i="2"/>
  <c r="AE41" i="2"/>
  <c r="AC41" i="2"/>
  <c r="Z41" i="2"/>
  <c r="U41" i="2"/>
  <c r="Q41" i="2"/>
  <c r="N41" i="2"/>
  <c r="L41" i="2"/>
  <c r="J41" i="2"/>
  <c r="H41" i="2"/>
  <c r="E41" i="2"/>
  <c r="AL40" i="2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L34" i="2"/>
  <c r="AK34" i="2"/>
  <c r="AG34" i="2"/>
  <c r="AE34" i="2"/>
  <c r="AC34" i="2"/>
  <c r="Z34" i="2"/>
  <c r="U34" i="2"/>
  <c r="N34" i="2"/>
  <c r="L34" i="2"/>
  <c r="J34" i="2"/>
  <c r="H34" i="2"/>
  <c r="E34" i="2"/>
  <c r="AK33" i="2"/>
  <c r="AG33" i="2"/>
  <c r="AE33" i="2"/>
  <c r="AC33" i="2"/>
  <c r="Z33" i="2"/>
  <c r="U33" i="2"/>
  <c r="N33" i="2"/>
  <c r="L33" i="2"/>
  <c r="J33" i="2"/>
  <c r="H33" i="2"/>
  <c r="E33" i="2"/>
  <c r="AK32" i="2"/>
  <c r="AG32" i="2"/>
  <c r="AE32" i="2"/>
  <c r="AC32" i="2"/>
  <c r="Z32" i="2"/>
  <c r="U32" i="2"/>
  <c r="N32" i="2"/>
  <c r="L32" i="2"/>
  <c r="J32" i="2"/>
  <c r="H32" i="2"/>
  <c r="E32" i="2"/>
  <c r="AK31" i="2"/>
  <c r="AG31" i="2"/>
  <c r="AE31" i="2"/>
  <c r="AC31" i="2"/>
  <c r="Z31" i="2"/>
  <c r="U31" i="2"/>
  <c r="N31" i="2"/>
  <c r="L31" i="2"/>
  <c r="J31" i="2"/>
  <c r="H31" i="2"/>
  <c r="E31" i="2"/>
  <c r="AK30" i="2"/>
  <c r="AG30" i="2"/>
  <c r="AE30" i="2"/>
  <c r="AC30" i="2"/>
  <c r="Z30" i="2"/>
  <c r="U30" i="2"/>
  <c r="N30" i="2"/>
  <c r="L30" i="2"/>
  <c r="J30" i="2"/>
  <c r="H30" i="2"/>
  <c r="E30" i="2"/>
  <c r="AK29" i="2"/>
  <c r="AG29" i="2"/>
  <c r="AE29" i="2"/>
  <c r="AC29" i="2"/>
  <c r="Z29" i="2"/>
  <c r="U29" i="2"/>
  <c r="N29" i="2"/>
  <c r="L29" i="2"/>
  <c r="J29" i="2"/>
  <c r="H29" i="2"/>
  <c r="E29" i="2"/>
  <c r="AK28" i="2"/>
  <c r="AG28" i="2"/>
  <c r="AE28" i="2"/>
  <c r="AC28" i="2"/>
  <c r="Z28" i="2"/>
  <c r="U28" i="2"/>
  <c r="N28" i="2"/>
  <c r="L28" i="2"/>
  <c r="J28" i="2"/>
  <c r="H28" i="2"/>
  <c r="E28" i="2"/>
  <c r="AK27" i="2"/>
  <c r="AG27" i="2"/>
  <c r="AE27" i="2"/>
  <c r="AC27" i="2"/>
  <c r="Z27" i="2"/>
  <c r="U27" i="2"/>
  <c r="N27" i="2"/>
  <c r="L27" i="2"/>
  <c r="J27" i="2"/>
  <c r="H27" i="2"/>
  <c r="E27" i="2"/>
  <c r="AK26" i="2"/>
  <c r="AG26" i="2"/>
  <c r="AE26" i="2"/>
  <c r="AC26" i="2"/>
  <c r="Z26" i="2"/>
  <c r="U26" i="2"/>
  <c r="N26" i="2"/>
  <c r="L26" i="2"/>
  <c r="J26" i="2"/>
  <c r="H26" i="2"/>
  <c r="E26" i="2"/>
  <c r="AL25" i="2"/>
  <c r="AK25" i="2"/>
  <c r="AG25" i="2"/>
  <c r="AE25" i="2"/>
  <c r="AC25" i="2"/>
  <c r="Z25" i="2"/>
  <c r="N25" i="2"/>
  <c r="L25" i="2"/>
  <c r="J25" i="2"/>
  <c r="H25" i="2"/>
  <c r="E25" i="2"/>
  <c r="AL24" i="2"/>
  <c r="AK24" i="2"/>
  <c r="AG24" i="2"/>
  <c r="AE24" i="2"/>
  <c r="AC24" i="2"/>
  <c r="Z24" i="2"/>
  <c r="N24" i="2"/>
  <c r="L24" i="2"/>
  <c r="J24" i="2"/>
  <c r="H24" i="2"/>
  <c r="E24" i="2"/>
  <c r="AL23" i="2"/>
  <c r="AK23" i="2"/>
  <c r="AG23" i="2"/>
  <c r="AE23" i="2"/>
  <c r="AC23" i="2"/>
  <c r="Z23" i="2"/>
  <c r="N23" i="2"/>
  <c r="L23" i="2"/>
  <c r="J23" i="2"/>
  <c r="H23" i="2"/>
  <c r="E23" i="2"/>
  <c r="AK22" i="2"/>
  <c r="AG22" i="2"/>
  <c r="AE22" i="2"/>
  <c r="AC22" i="2"/>
  <c r="Z22" i="2"/>
  <c r="U22" i="2"/>
  <c r="N22" i="2"/>
  <c r="L22" i="2"/>
  <c r="J22" i="2"/>
  <c r="H22" i="2"/>
  <c r="E22" i="2"/>
  <c r="AL21" i="2"/>
  <c r="AK21" i="2"/>
  <c r="AG21" i="2"/>
  <c r="AE21" i="2"/>
  <c r="AC21" i="2"/>
  <c r="Z21" i="2"/>
  <c r="N21" i="2"/>
  <c r="L21" i="2"/>
  <c r="J21" i="2"/>
  <c r="H21" i="2"/>
  <c r="E21" i="2"/>
  <c r="AL20" i="2"/>
  <c r="AK20" i="2"/>
  <c r="AG20" i="2"/>
  <c r="AE20" i="2"/>
  <c r="AC20" i="2"/>
  <c r="Z20" i="2"/>
  <c r="N20" i="2"/>
  <c r="L20" i="2"/>
  <c r="J20" i="2"/>
  <c r="H20" i="2"/>
  <c r="E20" i="2"/>
  <c r="AL19" i="2"/>
  <c r="AK19" i="2"/>
  <c r="AG19" i="2"/>
  <c r="AE19" i="2"/>
  <c r="AC19" i="2"/>
  <c r="Z19" i="2"/>
  <c r="N19" i="2"/>
  <c r="L19" i="2"/>
  <c r="J19" i="2"/>
  <c r="H19" i="2"/>
  <c r="E19" i="2"/>
  <c r="AL18" i="2"/>
  <c r="AK18" i="2"/>
  <c r="AG18" i="2"/>
  <c r="AE18" i="2"/>
  <c r="AC18" i="2"/>
  <c r="Z18" i="2"/>
  <c r="N18" i="2"/>
  <c r="L18" i="2"/>
  <c r="J18" i="2"/>
  <c r="H18" i="2"/>
  <c r="E18" i="2"/>
  <c r="AL17" i="2"/>
  <c r="AK17" i="2"/>
  <c r="AG17" i="2"/>
  <c r="AE17" i="2"/>
  <c r="AC17" i="2"/>
  <c r="Z17" i="2"/>
  <c r="N17" i="2"/>
  <c r="L17" i="2"/>
  <c r="J17" i="2"/>
  <c r="H17" i="2"/>
  <c r="E17" i="2"/>
  <c r="AL16" i="2"/>
  <c r="AK16" i="2"/>
  <c r="AG16" i="2"/>
  <c r="AE16" i="2"/>
  <c r="AC16" i="2"/>
  <c r="Z16" i="2"/>
  <c r="N16" i="2"/>
  <c r="L16" i="2"/>
  <c r="J16" i="2"/>
  <c r="H16" i="2"/>
  <c r="E16" i="2"/>
  <c r="AL15" i="2"/>
  <c r="AK15" i="2"/>
  <c r="AG15" i="2"/>
  <c r="AE15" i="2"/>
  <c r="AC15" i="2"/>
  <c r="Z15" i="2"/>
  <c r="N15" i="2"/>
  <c r="L15" i="2"/>
  <c r="J15" i="2"/>
  <c r="H15" i="2"/>
  <c r="E15" i="2"/>
  <c r="AL14" i="2"/>
  <c r="AK14" i="2"/>
  <c r="AG14" i="2"/>
  <c r="AE14" i="2"/>
  <c r="AC14" i="2"/>
  <c r="Z14" i="2"/>
  <c r="N14" i="2"/>
  <c r="L14" i="2"/>
  <c r="J14" i="2"/>
  <c r="H14" i="2"/>
  <c r="E14" i="2"/>
  <c r="AL13" i="2"/>
  <c r="AK13" i="2"/>
  <c r="AG13" i="2"/>
  <c r="AE13" i="2"/>
  <c r="AC13" i="2"/>
  <c r="Z13" i="2"/>
  <c r="N13" i="2"/>
  <c r="L13" i="2"/>
  <c r="J13" i="2"/>
  <c r="H13" i="2"/>
  <c r="E13" i="2"/>
  <c r="AL12" i="2"/>
  <c r="AK12" i="2"/>
  <c r="AG12" i="2"/>
  <c r="AE12" i="2"/>
  <c r="AC12" i="2"/>
  <c r="Z12" i="2"/>
  <c r="N12" i="2"/>
  <c r="L12" i="2"/>
  <c r="J12" i="2"/>
  <c r="H12" i="2"/>
  <c r="E12" i="2"/>
  <c r="AL11" i="2"/>
  <c r="AK11" i="2"/>
  <c r="AG11" i="2"/>
  <c r="AE11" i="2"/>
  <c r="AC11" i="2"/>
  <c r="Z11" i="2"/>
  <c r="U11" i="2"/>
  <c r="N11" i="2"/>
  <c r="L11" i="2"/>
  <c r="J11" i="2"/>
  <c r="H11" i="2"/>
  <c r="E11" i="2"/>
  <c r="AL10" i="2"/>
  <c r="AK10" i="2"/>
  <c r="AG10" i="2"/>
  <c r="AE10" i="2"/>
  <c r="AC10" i="2"/>
  <c r="Z10" i="2"/>
  <c r="N10" i="2"/>
  <c r="L10" i="2"/>
  <c r="J10" i="2"/>
  <c r="H10" i="2"/>
  <c r="E10" i="2"/>
  <c r="AL9" i="2"/>
  <c r="AK9" i="2"/>
  <c r="AG9" i="2"/>
  <c r="AE9" i="2"/>
  <c r="AC9" i="2"/>
  <c r="Z9" i="2"/>
  <c r="N9" i="2"/>
  <c r="L9" i="2"/>
  <c r="J9" i="2"/>
  <c r="E9" i="2"/>
  <c r="AQ3" i="2"/>
  <c r="K3" i="2"/>
  <c r="J2" i="2"/>
  <c r="AL303" i="2"/>
  <c r="E58" i="1"/>
  <c r="D50" i="1"/>
  <c r="C50" i="1" s="1"/>
  <c r="F32" i="1"/>
  <c r="F35" i="1" l="1"/>
  <c r="AE7" i="2"/>
  <c r="E4" i="1"/>
  <c r="R303" i="2" s="1"/>
  <c r="R7" i="2"/>
  <c r="Q48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O9" i="2"/>
  <c r="AO47" i="2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I22" i="3"/>
  <c r="W22" i="3" s="1"/>
  <c r="I31" i="3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R190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2" i="3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T12" i="3"/>
  <c r="I47" i="2"/>
  <c r="J47" i="2" s="1"/>
  <c r="AL48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Q10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I8" i="3" l="1"/>
  <c r="R237" i="2"/>
  <c r="AJ237" i="2" s="1"/>
  <c r="R236" i="2"/>
  <c r="R252" i="2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O251" i="2"/>
  <c r="AJ324" i="2"/>
  <c r="AJ303" i="2"/>
  <c r="AJ326" i="2"/>
  <c r="AJ304" i="2"/>
  <c r="AJ305" i="2"/>
  <c r="AJ325" i="2"/>
  <c r="AJ327" i="2"/>
  <c r="AJ306" i="2"/>
  <c r="AJ190" i="2"/>
  <c r="AJ328" i="2"/>
  <c r="AJ323" i="2"/>
  <c r="AO242" i="2"/>
  <c r="R28" i="3"/>
  <c r="U22" i="3"/>
  <c r="Y10" i="3"/>
  <c r="S28" i="3"/>
  <c r="Q12" i="3"/>
  <c r="Y12" i="3" s="1"/>
  <c r="V12" i="3"/>
  <c r="V28" i="3"/>
  <c r="U12" i="3"/>
  <c r="AO300" i="2"/>
  <c r="U16" i="3"/>
  <c r="R14" i="2"/>
  <c r="AO206" i="2"/>
  <c r="S22" i="3"/>
  <c r="Y22" i="3" s="1"/>
  <c r="T28" i="3"/>
  <c r="T16" i="3"/>
  <c r="U26" i="3"/>
  <c r="V22" i="3"/>
  <c r="AO302" i="2"/>
  <c r="T22" i="3"/>
  <c r="Y9" i="3"/>
  <c r="S8" i="3"/>
  <c r="Q8" i="3"/>
  <c r="W8" i="3"/>
  <c r="V8" i="3"/>
  <c r="U8" i="3"/>
  <c r="W26" i="3"/>
  <c r="AO220" i="2"/>
  <c r="AO267" i="2"/>
  <c r="AO227" i="2"/>
  <c r="Q19" i="3"/>
  <c r="Q16" i="3"/>
  <c r="S26" i="3"/>
  <c r="V26" i="3"/>
  <c r="AO286" i="2"/>
  <c r="Q26" i="3"/>
  <c r="AO199" i="2"/>
  <c r="X25" i="3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O309" i="2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R59" i="2"/>
  <c r="R98" i="2"/>
  <c r="R141" i="2"/>
  <c r="BB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1" i="3"/>
  <c r="S11" i="3"/>
  <c r="V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AJ236" i="2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R206" i="2" l="1"/>
  <c r="AP206" i="2"/>
  <c r="AR194" i="2"/>
  <c r="AP194" i="2"/>
  <c r="AR242" i="2"/>
  <c r="AP242" i="2"/>
  <c r="AU242" i="2" s="1"/>
  <c r="AR239" i="2"/>
  <c r="AP239" i="2"/>
  <c r="AV239" i="2" s="1"/>
  <c r="AP256" i="2"/>
  <c r="AR256" i="2"/>
  <c r="AR277" i="2"/>
  <c r="AP277" i="2"/>
  <c r="AR271" i="2"/>
  <c r="AP271" i="2"/>
  <c r="AR71" i="2"/>
  <c r="AP71" i="2"/>
  <c r="AR104" i="2"/>
  <c r="AP104" i="2"/>
  <c r="AV104" i="2" s="1"/>
  <c r="AR84" i="2"/>
  <c r="AP84" i="2"/>
  <c r="AR281" i="2"/>
  <c r="AP281" i="2"/>
  <c r="AU281" i="2" s="1"/>
  <c r="AR212" i="2"/>
  <c r="AP212" i="2"/>
  <c r="AP56" i="2"/>
  <c r="AR56" i="2"/>
  <c r="AU56" i="2" s="1"/>
  <c r="AP275" i="2"/>
  <c r="AR275" i="2"/>
  <c r="AR165" i="2"/>
  <c r="AP165" i="2"/>
  <c r="AU165" i="2" s="1"/>
  <c r="AP216" i="2"/>
  <c r="AV216" i="2" s="1"/>
  <c r="AR216" i="2"/>
  <c r="AR12" i="2"/>
  <c r="AP12" i="2"/>
  <c r="AV12" i="2" s="1"/>
  <c r="AP267" i="2"/>
  <c r="AR267" i="2"/>
  <c r="AR105" i="2"/>
  <c r="AP105" i="2"/>
  <c r="AU105" i="2" s="1"/>
  <c r="AR54" i="2"/>
  <c r="AP54" i="2"/>
  <c r="AV54" i="2" s="1"/>
  <c r="AY54" i="2" s="1"/>
  <c r="AR100" i="2"/>
  <c r="AP100" i="2"/>
  <c r="AR283" i="2"/>
  <c r="AP283" i="2"/>
  <c r="AV283" i="2" s="1"/>
  <c r="AY283" i="2" s="1"/>
  <c r="AR169" i="2"/>
  <c r="AP169" i="2"/>
  <c r="AV169" i="2" s="1"/>
  <c r="AY169" i="2" s="1"/>
  <c r="AR226" i="2"/>
  <c r="AP226" i="2"/>
  <c r="AR213" i="2"/>
  <c r="AP213" i="2"/>
  <c r="AV213" i="2" s="1"/>
  <c r="AY213" i="2" s="1"/>
  <c r="AR325" i="2"/>
  <c r="AP325" i="2"/>
  <c r="AR196" i="2"/>
  <c r="AP196" i="2"/>
  <c r="AR230" i="2"/>
  <c r="AP230" i="2"/>
  <c r="AP199" i="2"/>
  <c r="AV199" i="2" s="1"/>
  <c r="AR199" i="2"/>
  <c r="AR250" i="2"/>
  <c r="AP250" i="2"/>
  <c r="AU250" i="2" s="1"/>
  <c r="AP240" i="2"/>
  <c r="AV240" i="2" s="1"/>
  <c r="AR240" i="2"/>
  <c r="AR249" i="2"/>
  <c r="AP249" i="2"/>
  <c r="AP269" i="2"/>
  <c r="AV269" i="2" s="1"/>
  <c r="AR269" i="2"/>
  <c r="AR137" i="2"/>
  <c r="AP137" i="2"/>
  <c r="AU137" i="2" s="1"/>
  <c r="AR10" i="2"/>
  <c r="AP10" i="2"/>
  <c r="AP273" i="2"/>
  <c r="AU273" i="2" s="1"/>
  <c r="AR273" i="2"/>
  <c r="AP259" i="2"/>
  <c r="AR259" i="2"/>
  <c r="AR66" i="2"/>
  <c r="AP66" i="2"/>
  <c r="AR115" i="2"/>
  <c r="AP115" i="2"/>
  <c r="AV115" i="2" s="1"/>
  <c r="AR21" i="2"/>
  <c r="AP21" i="2"/>
  <c r="AR163" i="2"/>
  <c r="AP163" i="2"/>
  <c r="AU163" i="2" s="1"/>
  <c r="AR44" i="2"/>
  <c r="AP44" i="2"/>
  <c r="AV44" i="2" s="1"/>
  <c r="AP288" i="2"/>
  <c r="AR288" i="2"/>
  <c r="AR111" i="2"/>
  <c r="AP111" i="2"/>
  <c r="AV111" i="2" s="1"/>
  <c r="AR18" i="2"/>
  <c r="AP18" i="2"/>
  <c r="AV18" i="2" s="1"/>
  <c r="AR218" i="2"/>
  <c r="AP218" i="2"/>
  <c r="AV218" i="2" s="1"/>
  <c r="AP88" i="2"/>
  <c r="AR88" i="2"/>
  <c r="AR131" i="2"/>
  <c r="AP131" i="2"/>
  <c r="AV131" i="2" s="1"/>
  <c r="AR38" i="2"/>
  <c r="AP38" i="2"/>
  <c r="AR78" i="2"/>
  <c r="AP78" i="2"/>
  <c r="AV78" i="2" s="1"/>
  <c r="AR190" i="2"/>
  <c r="AP190" i="2"/>
  <c r="AP305" i="2"/>
  <c r="AV305" i="2" s="1"/>
  <c r="AR305" i="2"/>
  <c r="AP203" i="2"/>
  <c r="AR203" i="2"/>
  <c r="AR245" i="2"/>
  <c r="AP245" i="2"/>
  <c r="AR200" i="2"/>
  <c r="AP200" i="2"/>
  <c r="AR251" i="2"/>
  <c r="AP251" i="2"/>
  <c r="AR243" i="2"/>
  <c r="AP243" i="2"/>
  <c r="AV243" i="2" s="1"/>
  <c r="AP252" i="2"/>
  <c r="AR252" i="2"/>
  <c r="AR302" i="2"/>
  <c r="AP302" i="2"/>
  <c r="AV302" i="2" s="1"/>
  <c r="AR293" i="2"/>
  <c r="AP293" i="2"/>
  <c r="AR90" i="2"/>
  <c r="AP90" i="2"/>
  <c r="AR278" i="2"/>
  <c r="AP278" i="2"/>
  <c r="AV278" i="2" s="1"/>
  <c r="AR70" i="2"/>
  <c r="AP70" i="2"/>
  <c r="AR39" i="2"/>
  <c r="AP39" i="2"/>
  <c r="AR228" i="2"/>
  <c r="AP228" i="2"/>
  <c r="AV228" i="2" s="1"/>
  <c r="AR121" i="2"/>
  <c r="AP121" i="2"/>
  <c r="AR65" i="2"/>
  <c r="AP65" i="2"/>
  <c r="AU65" i="2" s="1"/>
  <c r="AR298" i="2"/>
  <c r="AP298" i="2"/>
  <c r="AR265" i="2"/>
  <c r="AP265" i="2"/>
  <c r="AP188" i="2"/>
  <c r="AV188" i="2" s="1"/>
  <c r="AR188" i="2"/>
  <c r="AP167" i="2"/>
  <c r="AU167" i="2" s="1"/>
  <c r="AR167" i="2"/>
  <c r="AR125" i="2"/>
  <c r="AP125" i="2"/>
  <c r="AR95" i="2"/>
  <c r="AP95" i="2"/>
  <c r="AR58" i="2"/>
  <c r="AU58" i="2" s="1"/>
  <c r="AP58" i="2"/>
  <c r="AR143" i="2"/>
  <c r="AP143" i="2"/>
  <c r="AR97" i="2"/>
  <c r="AP97" i="2"/>
  <c r="AR45" i="2"/>
  <c r="AP45" i="2"/>
  <c r="AP13" i="2"/>
  <c r="AU13" i="2" s="1"/>
  <c r="AR13" i="2"/>
  <c r="AP152" i="2"/>
  <c r="AR152" i="2"/>
  <c r="AR132" i="2"/>
  <c r="AP132" i="2"/>
  <c r="AP280" i="2"/>
  <c r="AR280" i="2"/>
  <c r="AU280" i="2" s="1"/>
  <c r="AR148" i="2"/>
  <c r="AP148" i="2"/>
  <c r="AR72" i="2"/>
  <c r="AP72" i="2"/>
  <c r="AR118" i="2"/>
  <c r="AP118" i="2"/>
  <c r="AR25" i="2"/>
  <c r="AP25" i="2"/>
  <c r="AR211" i="2"/>
  <c r="AP211" i="2"/>
  <c r="AP75" i="2"/>
  <c r="AV75" i="2" s="1"/>
  <c r="AY75" i="2" s="1"/>
  <c r="AR75" i="2"/>
  <c r="AR287" i="2"/>
  <c r="AP287" i="2"/>
  <c r="AV287" i="2" s="1"/>
  <c r="AR82" i="2"/>
  <c r="AP82" i="2"/>
  <c r="AR114" i="2"/>
  <c r="AP114" i="2"/>
  <c r="AR229" i="2"/>
  <c r="AP229" i="2"/>
  <c r="AR64" i="2"/>
  <c r="AP64" i="2"/>
  <c r="AR27" i="2"/>
  <c r="AP27" i="2"/>
  <c r="AR276" i="2"/>
  <c r="AP276" i="2"/>
  <c r="AR270" i="2"/>
  <c r="AP270" i="2"/>
  <c r="AV270" i="2" s="1"/>
  <c r="AR142" i="2"/>
  <c r="AP142" i="2"/>
  <c r="AP67" i="2"/>
  <c r="AR67" i="2"/>
  <c r="AR116" i="2"/>
  <c r="AP116" i="2"/>
  <c r="AR178" i="2"/>
  <c r="AP178" i="2"/>
  <c r="AP272" i="2"/>
  <c r="AV272" i="2" s="1"/>
  <c r="AR272" i="2"/>
  <c r="AR109" i="2"/>
  <c r="AP109" i="2"/>
  <c r="AY109" i="2"/>
  <c r="AR144" i="2"/>
  <c r="AP144" i="2"/>
  <c r="AP284" i="2"/>
  <c r="AV284" i="2" s="1"/>
  <c r="AR284" i="2"/>
  <c r="AR126" i="2"/>
  <c r="AP126" i="2"/>
  <c r="AU126" i="2" s="1"/>
  <c r="AR127" i="2"/>
  <c r="AP127" i="2"/>
  <c r="AV127" i="2" s="1"/>
  <c r="AR306" i="2"/>
  <c r="AU306" i="2" s="1"/>
  <c r="AP306" i="2"/>
  <c r="AP304" i="2"/>
  <c r="AV304" i="2" s="1"/>
  <c r="AR304" i="2"/>
  <c r="AP237" i="2"/>
  <c r="AU237" i="2" s="1"/>
  <c r="AR237" i="2"/>
  <c r="AR197" i="2"/>
  <c r="AP197" i="2"/>
  <c r="AR247" i="2"/>
  <c r="AP247" i="2"/>
  <c r="AR202" i="2"/>
  <c r="AP202" i="2"/>
  <c r="AV202" i="2" s="1"/>
  <c r="AR231" i="2"/>
  <c r="AP231" i="2"/>
  <c r="AV231" i="2" s="1"/>
  <c r="AP248" i="2"/>
  <c r="AR248" i="2"/>
  <c r="AR86" i="2"/>
  <c r="AP86" i="2"/>
  <c r="AR274" i="2"/>
  <c r="AP274" i="2"/>
  <c r="AR147" i="2"/>
  <c r="AP147" i="2"/>
  <c r="AP145" i="2"/>
  <c r="AR145" i="2"/>
  <c r="AR164" i="2"/>
  <c r="AP164" i="2"/>
  <c r="AR282" i="2"/>
  <c r="AP282" i="2"/>
  <c r="AR108" i="2"/>
  <c r="AP108" i="2"/>
  <c r="AR101" i="2"/>
  <c r="AP101" i="2"/>
  <c r="AR107" i="2"/>
  <c r="AP107" i="2"/>
  <c r="AR221" i="2"/>
  <c r="AP221" i="2"/>
  <c r="AR139" i="2"/>
  <c r="AP139" i="2"/>
  <c r="AP301" i="2"/>
  <c r="AR301" i="2"/>
  <c r="AP173" i="2"/>
  <c r="AR173" i="2"/>
  <c r="AR161" i="2"/>
  <c r="AP161" i="2"/>
  <c r="AR219" i="2"/>
  <c r="AP219" i="2"/>
  <c r="AV219" i="2" s="1"/>
  <c r="AR102" i="2"/>
  <c r="AP102" i="2"/>
  <c r="AV102" i="2" s="1"/>
  <c r="AR69" i="2"/>
  <c r="AP69" i="2"/>
  <c r="AR151" i="2"/>
  <c r="AP151" i="2"/>
  <c r="AR328" i="2"/>
  <c r="AP328" i="2"/>
  <c r="AR303" i="2"/>
  <c r="AU303" i="2" s="1"/>
  <c r="AP303" i="2"/>
  <c r="AY161" i="2"/>
  <c r="AR198" i="2"/>
  <c r="AP198" i="2"/>
  <c r="AU198" i="2" s="1"/>
  <c r="AR238" i="2"/>
  <c r="AP238" i="2"/>
  <c r="AV238" i="2" s="1"/>
  <c r="AR233" i="2"/>
  <c r="AP233" i="2"/>
  <c r="AP232" i="2"/>
  <c r="AV232" i="2" s="1"/>
  <c r="AR232" i="2"/>
  <c r="AR257" i="2"/>
  <c r="AP257" i="2"/>
  <c r="AV257" i="2" s="1"/>
  <c r="AR19" i="2"/>
  <c r="AP19" i="2"/>
  <c r="AV19" i="2" s="1"/>
  <c r="AY19" i="2" s="1"/>
  <c r="AR170" i="2"/>
  <c r="AP170" i="2"/>
  <c r="AU170" i="2" s="1"/>
  <c r="AP43" i="2"/>
  <c r="AR43" i="2"/>
  <c r="AP300" i="2"/>
  <c r="AR300" i="2"/>
  <c r="AR266" i="2"/>
  <c r="AP266" i="2"/>
  <c r="AV266" i="2" s="1"/>
  <c r="AP156" i="2"/>
  <c r="AR156" i="2"/>
  <c r="AR53" i="2"/>
  <c r="AP53" i="2"/>
  <c r="AV53" i="2" s="1"/>
  <c r="AR214" i="2"/>
  <c r="AP214" i="2"/>
  <c r="AV214" i="2" s="1"/>
  <c r="AY214" i="2" s="1"/>
  <c r="AR138" i="2"/>
  <c r="AP138" i="2"/>
  <c r="AU138" i="2" s="1"/>
  <c r="AR149" i="2"/>
  <c r="AP149" i="2"/>
  <c r="AU149" i="2" s="1"/>
  <c r="AR29" i="2"/>
  <c r="AP29" i="2"/>
  <c r="AV29" i="2" s="1"/>
  <c r="AP181" i="2"/>
  <c r="AR181" i="2"/>
  <c r="AR130" i="2"/>
  <c r="AP130" i="2"/>
  <c r="AR52" i="2"/>
  <c r="AP52" i="2"/>
  <c r="AR159" i="2"/>
  <c r="AP159" i="2"/>
  <c r="AV159" i="2" s="1"/>
  <c r="AR135" i="2"/>
  <c r="AP135" i="2"/>
  <c r="AR146" i="2"/>
  <c r="AP146" i="2"/>
  <c r="AR177" i="2"/>
  <c r="AP177" i="2"/>
  <c r="AP85" i="2"/>
  <c r="AR85" i="2"/>
  <c r="AR324" i="2"/>
  <c r="AP324" i="2"/>
  <c r="AU66" i="2"/>
  <c r="AR204" i="2"/>
  <c r="AP204" i="2"/>
  <c r="AV204" i="2" s="1"/>
  <c r="AR254" i="2"/>
  <c r="AP254" i="2"/>
  <c r="AR234" i="2"/>
  <c r="AP234" i="2"/>
  <c r="AP235" i="2"/>
  <c r="AR235" i="2"/>
  <c r="AR195" i="2"/>
  <c r="AP195" i="2"/>
  <c r="AR205" i="2"/>
  <c r="AP205" i="2"/>
  <c r="AV205" i="2" s="1"/>
  <c r="AR246" i="2"/>
  <c r="AP246" i="2"/>
  <c r="AR255" i="2"/>
  <c r="AP255" i="2"/>
  <c r="AR201" i="2"/>
  <c r="AP201" i="2"/>
  <c r="AV201" i="2" s="1"/>
  <c r="AP241" i="2"/>
  <c r="AR241" i="2"/>
  <c r="AR207" i="2"/>
  <c r="AP207" i="2"/>
  <c r="AV207" i="2" s="1"/>
  <c r="AP236" i="2"/>
  <c r="AR236" i="2"/>
  <c r="AR244" i="2"/>
  <c r="AP244" i="2"/>
  <c r="AV244" i="2" s="1"/>
  <c r="AR253" i="2"/>
  <c r="AP253" i="2"/>
  <c r="AV253" i="2" s="1"/>
  <c r="AP32" i="2"/>
  <c r="AR32" i="2"/>
  <c r="AR285" i="2"/>
  <c r="AP285" i="2"/>
  <c r="AR286" i="2"/>
  <c r="AP286" i="2"/>
  <c r="AU286" i="2" s="1"/>
  <c r="AR110" i="2"/>
  <c r="AP110" i="2"/>
  <c r="AR185" i="2"/>
  <c r="AP185" i="2"/>
  <c r="AU185" i="2" s="1"/>
  <c r="AR117" i="2"/>
  <c r="AP117" i="2"/>
  <c r="AR60" i="2"/>
  <c r="AP60" i="2"/>
  <c r="AP24" i="2"/>
  <c r="AV24" i="2" s="1"/>
  <c r="AY24" i="2" s="1"/>
  <c r="AR24" i="2"/>
  <c r="AR191" i="2"/>
  <c r="AP191" i="2"/>
  <c r="AR77" i="2"/>
  <c r="AP77" i="2"/>
  <c r="AR57" i="2"/>
  <c r="AP57" i="2"/>
  <c r="AR289" i="2"/>
  <c r="AP289" i="2"/>
  <c r="AR217" i="2"/>
  <c r="AU217" i="2" s="1"/>
  <c r="AP217" i="2"/>
  <c r="AR182" i="2"/>
  <c r="AP182" i="2"/>
  <c r="AR155" i="2"/>
  <c r="AP155" i="2"/>
  <c r="AR112" i="2"/>
  <c r="AP112" i="2"/>
  <c r="AR87" i="2"/>
  <c r="AP87" i="2"/>
  <c r="AR41" i="2"/>
  <c r="AP41" i="2"/>
  <c r="AR128" i="2"/>
  <c r="AP128" i="2"/>
  <c r="AR15" i="2"/>
  <c r="AP15" i="2"/>
  <c r="AP264" i="2"/>
  <c r="AV264" i="2" s="1"/>
  <c r="AR264" i="2"/>
  <c r="AP124" i="2"/>
  <c r="AR124" i="2"/>
  <c r="AR94" i="2"/>
  <c r="AP94" i="2"/>
  <c r="AR261" i="2"/>
  <c r="AU261" i="2" s="1"/>
  <c r="AP261" i="2"/>
  <c r="AR63" i="2"/>
  <c r="AP63" i="2"/>
  <c r="AR79" i="2"/>
  <c r="AP79" i="2"/>
  <c r="AR263" i="2"/>
  <c r="AP263" i="2"/>
  <c r="AV263" i="2" s="1"/>
  <c r="AY263" i="2" s="1"/>
  <c r="AR16" i="2"/>
  <c r="AP16" i="2"/>
  <c r="AV16" i="2" s="1"/>
  <c r="AR179" i="2"/>
  <c r="AP179" i="2"/>
  <c r="AP299" i="2"/>
  <c r="AV299" i="2" s="1"/>
  <c r="AR299" i="2"/>
  <c r="AR210" i="2"/>
  <c r="AP210" i="2"/>
  <c r="AR37" i="2"/>
  <c r="AP37" i="2"/>
  <c r="AP323" i="2"/>
  <c r="AV323" i="2" s="1"/>
  <c r="AY323" i="2" s="1"/>
  <c r="AR323" i="2"/>
  <c r="AP327" i="2"/>
  <c r="AR327" i="2"/>
  <c r="AR326" i="2"/>
  <c r="AP326" i="2"/>
  <c r="AV326" i="2" s="1"/>
  <c r="AR307" i="2"/>
  <c r="AP307" i="2"/>
  <c r="AU307" i="2" s="1"/>
  <c r="AU72" i="2"/>
  <c r="AU127" i="2"/>
  <c r="AU159" i="2"/>
  <c r="AU230" i="2"/>
  <c r="AU241" i="2"/>
  <c r="AU267" i="2"/>
  <c r="AU283" i="2"/>
  <c r="AU204" i="2"/>
  <c r="AU293" i="2"/>
  <c r="AU233" i="2"/>
  <c r="AX198" i="2"/>
  <c r="AW198" i="2"/>
  <c r="AX204" i="2"/>
  <c r="AW204" i="2"/>
  <c r="AX234" i="2"/>
  <c r="AW234" i="2"/>
  <c r="AX205" i="2"/>
  <c r="AW205" i="2"/>
  <c r="AX206" i="2"/>
  <c r="AW206" i="2"/>
  <c r="AX194" i="2"/>
  <c r="AW194" i="2"/>
  <c r="AX242" i="2"/>
  <c r="AW242" i="2"/>
  <c r="AX239" i="2"/>
  <c r="AW239" i="2"/>
  <c r="AX256" i="2"/>
  <c r="AW256" i="2"/>
  <c r="AX274" i="2"/>
  <c r="AW274" i="2"/>
  <c r="AX145" i="2"/>
  <c r="AW145" i="2"/>
  <c r="AX164" i="2"/>
  <c r="AW164" i="2"/>
  <c r="AW281" i="2"/>
  <c r="AX281" i="2"/>
  <c r="AX212" i="2"/>
  <c r="AW212" i="2"/>
  <c r="AX56" i="2"/>
  <c r="AW56" i="2"/>
  <c r="AX165" i="2"/>
  <c r="AW165" i="2"/>
  <c r="AX221" i="2"/>
  <c r="AW221" i="2"/>
  <c r="AX139" i="2"/>
  <c r="AW139" i="2"/>
  <c r="AW301" i="2"/>
  <c r="AX301" i="2"/>
  <c r="AX173" i="2"/>
  <c r="AW173" i="2"/>
  <c r="AX161" i="2"/>
  <c r="AW161" i="2"/>
  <c r="AX219" i="2"/>
  <c r="AW219" i="2"/>
  <c r="AX283" i="2"/>
  <c r="AW283" i="2"/>
  <c r="AX169" i="2"/>
  <c r="AW169" i="2"/>
  <c r="AX151" i="2"/>
  <c r="AW151" i="2"/>
  <c r="AX325" i="2"/>
  <c r="AW325" i="2"/>
  <c r="AX196" i="2"/>
  <c r="AW196" i="2"/>
  <c r="AX230" i="2"/>
  <c r="AW230" i="2"/>
  <c r="AX199" i="2"/>
  <c r="AW199" i="2"/>
  <c r="AX250" i="2"/>
  <c r="AW250" i="2"/>
  <c r="AX240" i="2"/>
  <c r="AW240" i="2"/>
  <c r="AW257" i="2"/>
  <c r="AX257" i="2"/>
  <c r="AX170" i="2"/>
  <c r="AW170" i="2"/>
  <c r="AX137" i="2"/>
  <c r="AW137" i="2"/>
  <c r="AX43" i="2"/>
  <c r="AW43" i="2"/>
  <c r="AW273" i="2"/>
  <c r="AX273" i="2"/>
  <c r="AX259" i="2"/>
  <c r="AW259" i="2"/>
  <c r="AX66" i="2"/>
  <c r="AW66" i="2"/>
  <c r="AX115" i="2"/>
  <c r="AW115" i="2"/>
  <c r="AX21" i="2"/>
  <c r="AW21" i="2"/>
  <c r="AX163" i="2"/>
  <c r="AW163" i="2"/>
  <c r="AX138" i="2"/>
  <c r="AW138" i="2"/>
  <c r="AX149" i="2"/>
  <c r="AW149" i="2"/>
  <c r="AX288" i="2"/>
  <c r="AW288" i="2"/>
  <c r="AX111" i="2"/>
  <c r="AW111" i="2"/>
  <c r="AX18" i="2"/>
  <c r="AW18" i="2"/>
  <c r="AX159" i="2"/>
  <c r="AW159" i="2"/>
  <c r="AX135" i="2"/>
  <c r="AW135" i="2"/>
  <c r="AX131" i="2"/>
  <c r="AW131" i="2"/>
  <c r="AX38" i="2"/>
  <c r="AW38" i="2"/>
  <c r="AX177" i="2"/>
  <c r="AW177" i="2"/>
  <c r="AX78" i="2"/>
  <c r="AW78" i="2"/>
  <c r="AW305" i="2"/>
  <c r="AX305" i="2"/>
  <c r="AX251" i="2"/>
  <c r="AW251" i="2"/>
  <c r="AW293" i="2"/>
  <c r="AX293" i="2"/>
  <c r="AX90" i="2"/>
  <c r="AW90" i="2"/>
  <c r="AX121" i="2"/>
  <c r="AW121" i="2"/>
  <c r="AW265" i="2"/>
  <c r="AX265" i="2"/>
  <c r="AX188" i="2"/>
  <c r="AW188" i="2"/>
  <c r="AX125" i="2"/>
  <c r="AW125" i="2"/>
  <c r="AX58" i="2"/>
  <c r="AW58" i="2"/>
  <c r="AX97" i="2"/>
  <c r="AW97" i="2"/>
  <c r="AX13" i="2"/>
  <c r="AW13" i="2"/>
  <c r="AX132" i="2"/>
  <c r="AW132" i="2"/>
  <c r="AX280" i="2"/>
  <c r="AW280" i="2"/>
  <c r="AX148" i="2"/>
  <c r="AW148" i="2"/>
  <c r="AX118" i="2"/>
  <c r="AW118" i="2"/>
  <c r="AX211" i="2"/>
  <c r="AW211" i="2"/>
  <c r="AX287" i="2"/>
  <c r="AW287" i="2"/>
  <c r="AX82" i="2"/>
  <c r="AW82" i="2"/>
  <c r="AX229" i="2"/>
  <c r="AW229" i="2"/>
  <c r="AX276" i="2"/>
  <c r="AW276" i="2"/>
  <c r="AX142" i="2"/>
  <c r="AW142" i="2"/>
  <c r="AX116" i="2"/>
  <c r="AW116" i="2"/>
  <c r="AX178" i="2"/>
  <c r="AW178" i="2"/>
  <c r="AX272" i="2"/>
  <c r="AW272" i="2"/>
  <c r="AX109" i="2"/>
  <c r="AW109" i="2"/>
  <c r="AX144" i="2"/>
  <c r="AW144" i="2"/>
  <c r="AX126" i="2"/>
  <c r="AW126" i="2"/>
  <c r="AX304" i="2"/>
  <c r="AW304" i="2"/>
  <c r="AX302" i="2"/>
  <c r="AW302" i="2"/>
  <c r="AX39" i="2"/>
  <c r="AW39" i="2"/>
  <c r="AX195" i="2"/>
  <c r="AW195" i="2"/>
  <c r="AX246" i="2"/>
  <c r="AW246" i="2"/>
  <c r="AX201" i="2"/>
  <c r="AW201" i="2"/>
  <c r="AX207" i="2"/>
  <c r="AW207" i="2"/>
  <c r="AX244" i="2"/>
  <c r="AW244" i="2"/>
  <c r="AW285" i="2"/>
  <c r="AX285" i="2"/>
  <c r="AX117" i="2"/>
  <c r="AW117" i="2"/>
  <c r="AX24" i="2"/>
  <c r="AW24" i="2"/>
  <c r="AX191" i="2"/>
  <c r="AW191" i="2"/>
  <c r="AX57" i="2"/>
  <c r="AW57" i="2"/>
  <c r="AX182" i="2"/>
  <c r="AW182" i="2"/>
  <c r="AX112" i="2"/>
  <c r="AW112" i="2"/>
  <c r="AX15" i="2"/>
  <c r="AW15" i="2"/>
  <c r="AX264" i="2"/>
  <c r="AW264" i="2"/>
  <c r="AX124" i="2"/>
  <c r="AW124" i="2"/>
  <c r="AX94" i="2"/>
  <c r="AW94" i="2"/>
  <c r="AW261" i="2"/>
  <c r="AX261" i="2"/>
  <c r="AX63" i="2"/>
  <c r="AW63" i="2"/>
  <c r="AX179" i="2"/>
  <c r="AW179" i="2"/>
  <c r="AX37" i="2"/>
  <c r="AW37" i="2"/>
  <c r="AX323" i="2"/>
  <c r="AW323" i="2"/>
  <c r="AX326" i="2"/>
  <c r="AW326" i="2"/>
  <c r="AX243" i="2"/>
  <c r="AW243" i="2"/>
  <c r="AX197" i="2"/>
  <c r="AW197" i="2"/>
  <c r="AX247" i="2"/>
  <c r="AW247" i="2"/>
  <c r="AX202" i="2"/>
  <c r="AW202" i="2"/>
  <c r="AX231" i="2"/>
  <c r="AW231" i="2"/>
  <c r="AX248" i="2"/>
  <c r="AW248" i="2"/>
  <c r="AX86" i="2"/>
  <c r="AW86" i="2"/>
  <c r="AW277" i="2"/>
  <c r="AX277" i="2"/>
  <c r="AX271" i="2"/>
  <c r="AW271" i="2"/>
  <c r="AX147" i="2"/>
  <c r="AW147" i="2"/>
  <c r="AX71" i="2"/>
  <c r="AW71" i="2"/>
  <c r="AX104" i="2"/>
  <c r="AW104" i="2"/>
  <c r="AX84" i="2"/>
  <c r="AW84" i="2"/>
  <c r="AX282" i="2"/>
  <c r="AW282" i="2"/>
  <c r="AX108" i="2"/>
  <c r="AW108" i="2"/>
  <c r="AX101" i="2"/>
  <c r="AW101" i="2"/>
  <c r="AX275" i="2"/>
  <c r="AW275" i="2"/>
  <c r="AX107" i="2"/>
  <c r="AW107" i="2"/>
  <c r="AX216" i="2"/>
  <c r="AW216" i="2"/>
  <c r="AX12" i="2"/>
  <c r="AW12" i="2"/>
  <c r="AX267" i="2"/>
  <c r="AW267" i="2"/>
  <c r="AX105" i="2"/>
  <c r="AW105" i="2"/>
  <c r="AX54" i="2"/>
  <c r="AW54" i="2"/>
  <c r="AX100" i="2"/>
  <c r="AW100" i="2"/>
  <c r="AX102" i="2"/>
  <c r="AW102" i="2"/>
  <c r="AX69" i="2"/>
  <c r="AW69" i="2"/>
  <c r="AX226" i="2"/>
  <c r="AW226" i="2"/>
  <c r="AX213" i="2"/>
  <c r="AW213" i="2"/>
  <c r="AX328" i="2"/>
  <c r="AW328" i="2"/>
  <c r="AX303" i="2"/>
  <c r="AW303" i="2"/>
  <c r="AX203" i="2"/>
  <c r="AW203" i="2"/>
  <c r="AX238" i="2"/>
  <c r="AW238" i="2"/>
  <c r="AX233" i="2"/>
  <c r="AW233" i="2"/>
  <c r="AX232" i="2"/>
  <c r="AW232" i="2"/>
  <c r="AW249" i="2"/>
  <c r="AX249" i="2"/>
  <c r="AX19" i="2"/>
  <c r="AW19" i="2"/>
  <c r="AW269" i="2"/>
  <c r="AX269" i="2"/>
  <c r="AX10" i="2"/>
  <c r="AW10" i="2"/>
  <c r="AX300" i="2"/>
  <c r="AW300" i="2"/>
  <c r="AX266" i="2"/>
  <c r="AW266" i="2"/>
  <c r="AX156" i="2"/>
  <c r="AW156" i="2"/>
  <c r="AX53" i="2"/>
  <c r="AW53" i="2"/>
  <c r="AX214" i="2"/>
  <c r="AW214" i="2"/>
  <c r="AX44" i="2"/>
  <c r="AW44" i="2"/>
  <c r="AX29" i="2"/>
  <c r="AW29" i="2"/>
  <c r="AX181" i="2"/>
  <c r="AW181" i="2"/>
  <c r="AX130" i="2"/>
  <c r="AW130" i="2"/>
  <c r="AX52" i="2"/>
  <c r="AW52" i="2"/>
  <c r="AX218" i="2"/>
  <c r="AW218" i="2"/>
  <c r="AX88" i="2"/>
  <c r="AW88" i="2"/>
  <c r="AX146" i="2"/>
  <c r="AW146" i="2"/>
  <c r="AX85" i="2"/>
  <c r="AW85" i="2"/>
  <c r="AX190" i="2"/>
  <c r="AW190" i="2"/>
  <c r="AX324" i="2"/>
  <c r="AW324" i="2"/>
  <c r="AW245" i="2"/>
  <c r="AX245" i="2"/>
  <c r="AX252" i="2"/>
  <c r="AW252" i="2"/>
  <c r="AX278" i="2"/>
  <c r="AW278" i="2"/>
  <c r="AX70" i="2"/>
  <c r="AW70" i="2"/>
  <c r="AX228" i="2"/>
  <c r="AW228" i="2"/>
  <c r="AX65" i="2"/>
  <c r="AW65" i="2"/>
  <c r="AX298" i="2"/>
  <c r="AW298" i="2"/>
  <c r="AX167" i="2"/>
  <c r="AW167" i="2"/>
  <c r="AX95" i="2"/>
  <c r="AW95" i="2"/>
  <c r="AX143" i="2"/>
  <c r="AW143" i="2"/>
  <c r="AX45" i="2"/>
  <c r="AW45" i="2"/>
  <c r="AX152" i="2"/>
  <c r="AW152" i="2"/>
  <c r="AX72" i="2"/>
  <c r="AW72" i="2"/>
  <c r="AX25" i="2"/>
  <c r="AW25" i="2"/>
  <c r="AX75" i="2"/>
  <c r="AW75" i="2"/>
  <c r="AX114" i="2"/>
  <c r="AW114" i="2"/>
  <c r="AX64" i="2"/>
  <c r="AW64" i="2"/>
  <c r="AX27" i="2"/>
  <c r="AW27" i="2"/>
  <c r="AX270" i="2"/>
  <c r="AW270" i="2"/>
  <c r="AX67" i="2"/>
  <c r="AW67" i="2"/>
  <c r="AX284" i="2"/>
  <c r="AW284" i="2"/>
  <c r="AX127" i="2"/>
  <c r="AW127" i="2"/>
  <c r="AX306" i="2"/>
  <c r="AW306" i="2"/>
  <c r="AW237" i="2"/>
  <c r="AX237" i="2"/>
  <c r="AX200" i="2"/>
  <c r="AW200" i="2"/>
  <c r="AX254" i="2"/>
  <c r="AW254" i="2"/>
  <c r="AX235" i="2"/>
  <c r="AW235" i="2"/>
  <c r="AX255" i="2"/>
  <c r="AW255" i="2"/>
  <c r="AW241" i="2"/>
  <c r="AX241" i="2"/>
  <c r="AX236" i="2"/>
  <c r="AW236" i="2"/>
  <c r="AW253" i="2"/>
  <c r="AX253" i="2"/>
  <c r="AX32" i="2"/>
  <c r="AW32" i="2"/>
  <c r="AX286" i="2"/>
  <c r="AW286" i="2"/>
  <c r="AX110" i="2"/>
  <c r="AW110" i="2"/>
  <c r="AX185" i="2"/>
  <c r="AW185" i="2"/>
  <c r="AX60" i="2"/>
  <c r="AW60" i="2"/>
  <c r="AX77" i="2"/>
  <c r="AW77" i="2"/>
  <c r="AW289" i="2"/>
  <c r="AX289" i="2"/>
  <c r="AX217" i="2"/>
  <c r="AW217" i="2"/>
  <c r="AX155" i="2"/>
  <c r="AW155" i="2"/>
  <c r="AX87" i="2"/>
  <c r="AW87" i="2"/>
  <c r="AX41" i="2"/>
  <c r="AW41" i="2"/>
  <c r="AX128" i="2"/>
  <c r="AW128" i="2"/>
  <c r="AX79" i="2"/>
  <c r="AW79" i="2"/>
  <c r="AX263" i="2"/>
  <c r="AW263" i="2"/>
  <c r="AX16" i="2"/>
  <c r="AW16" i="2"/>
  <c r="AX299" i="2"/>
  <c r="AW299" i="2"/>
  <c r="AX210" i="2"/>
  <c r="AW210" i="2"/>
  <c r="AX327" i="2"/>
  <c r="AW327" i="2"/>
  <c r="AX307" i="2"/>
  <c r="AW307" i="2"/>
  <c r="X10" i="3"/>
  <c r="AO310" i="2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Q304" i="2"/>
  <c r="AJ308" i="2"/>
  <c r="AJ40" i="2"/>
  <c r="AJ141" i="2"/>
  <c r="AJ296" i="2"/>
  <c r="AJ99" i="2"/>
  <c r="R47" i="2"/>
  <c r="AJ47" i="2" s="1"/>
  <c r="AJ89" i="2"/>
  <c r="AJ209" i="2"/>
  <c r="AJ176" i="2"/>
  <c r="AJ150" i="2"/>
  <c r="AJ76" i="2"/>
  <c r="AJ168" i="2"/>
  <c r="AJ119" i="2"/>
  <c r="AJ68" i="2"/>
  <c r="AJ35" i="2"/>
  <c r="AJ260" i="2"/>
  <c r="AJ193" i="2"/>
  <c r="AJ134" i="2"/>
  <c r="AJ62" i="2"/>
  <c r="AJ49" i="2"/>
  <c r="AJ17" i="2"/>
  <c r="AJ157" i="2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Q71" i="2"/>
  <c r="AJ220" i="2"/>
  <c r="AJ290" i="2"/>
  <c r="AJ189" i="2"/>
  <c r="AJ133" i="2"/>
  <c r="AQ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J122" i="2"/>
  <c r="AJ120" i="2"/>
  <c r="AJ14" i="2"/>
  <c r="AJ36" i="2"/>
  <c r="AJ113" i="2"/>
  <c r="AJ223" i="2"/>
  <c r="AJ162" i="2"/>
  <c r="AJ92" i="2"/>
  <c r="AJ172" i="2"/>
  <c r="AJ183" i="2"/>
  <c r="AV70" i="2"/>
  <c r="AQ65" i="2"/>
  <c r="AV265" i="2"/>
  <c r="AJ23" i="2"/>
  <c r="AJ295" i="2"/>
  <c r="AJ93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J106" i="2"/>
  <c r="AJ98" i="2"/>
  <c r="AJ81" i="2"/>
  <c r="AJ129" i="2"/>
  <c r="AJ160" i="2"/>
  <c r="AJ158" i="2"/>
  <c r="AJ297" i="2"/>
  <c r="AJ46" i="2"/>
  <c r="AJ61" i="2"/>
  <c r="AJ186" i="2"/>
  <c r="AJ51" i="2"/>
  <c r="AQ137" i="2"/>
  <c r="AJ309" i="2"/>
  <c r="AQ161" i="2"/>
  <c r="AJ48" i="2"/>
  <c r="AQ86" i="2"/>
  <c r="AQ41" i="2"/>
  <c r="AV25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X18" i="3"/>
  <c r="X11" i="3"/>
  <c r="Y11" i="3"/>
  <c r="Y27" i="3"/>
  <c r="X13" i="3"/>
  <c r="X27" i="3"/>
  <c r="Y18" i="3"/>
  <c r="R14" i="3"/>
  <c r="T17" i="3"/>
  <c r="V17" i="3"/>
  <c r="W17" i="3"/>
  <c r="AQ16" i="2"/>
  <c r="AV135" i="2"/>
  <c r="AQ135" i="2"/>
  <c r="AQ272" i="2"/>
  <c r="AQ325" i="2"/>
  <c r="AV190" i="2"/>
  <c r="AY190" i="2" s="1"/>
  <c r="AQ303" i="2"/>
  <c r="AV328" i="2"/>
  <c r="AY328" i="2" s="1"/>
  <c r="AQ39" i="2"/>
  <c r="AV303" i="2"/>
  <c r="AQ326" i="2"/>
  <c r="AQ111" i="2"/>
  <c r="AQ190" i="2"/>
  <c r="AV39" i="2"/>
  <c r="AV77" i="2"/>
  <c r="AQ131" i="2"/>
  <c r="AU131" i="2" s="1"/>
  <c r="AV167" i="2"/>
  <c r="AQ177" i="2"/>
  <c r="AQ107" i="2"/>
  <c r="AQ327" i="2"/>
  <c r="AU327" i="2" s="1"/>
  <c r="AQ191" i="2"/>
  <c r="AQ305" i="2"/>
  <c r="AQ77" i="2"/>
  <c r="AQ60" i="2"/>
  <c r="AQ156" i="2"/>
  <c r="AU156" i="2" s="1"/>
  <c r="AV327" i="2"/>
  <c r="AQ323" i="2"/>
  <c r="AU323" i="2" s="1"/>
  <c r="AQ307" i="2"/>
  <c r="AQ43" i="2"/>
  <c r="AV66" i="2"/>
  <c r="AQ221" i="2"/>
  <c r="AQ90" i="2"/>
  <c r="AV60" i="2"/>
  <c r="AV110" i="2"/>
  <c r="AQ110" i="2"/>
  <c r="AQ27" i="2"/>
  <c r="AQ127" i="2"/>
  <c r="AQ328" i="2"/>
  <c r="AU328" i="2" s="1"/>
  <c r="AV298" i="2"/>
  <c r="AQ45" i="2"/>
  <c r="AQ25" i="2"/>
  <c r="AU25" i="2" s="1"/>
  <c r="AV27" i="2"/>
  <c r="AY27" i="2" s="1"/>
  <c r="AQ147" i="2"/>
  <c r="AQ265" i="2"/>
  <c r="AU265" i="2" s="1"/>
  <c r="AV289" i="2"/>
  <c r="AV43" i="2"/>
  <c r="AY43" i="2" s="1"/>
  <c r="AQ165" i="2"/>
  <c r="AQ138" i="2"/>
  <c r="AQ169" i="2"/>
  <c r="AV229" i="2"/>
  <c r="AV161" i="2"/>
  <c r="AQ101" i="2"/>
  <c r="AV101" i="2"/>
  <c r="AQ281" i="2"/>
  <c r="AQ29" i="2"/>
  <c r="AU29" i="2" s="1"/>
  <c r="AQ87" i="2"/>
  <c r="AQ179" i="2"/>
  <c r="AQ178" i="2"/>
  <c r="AQ37" i="2"/>
  <c r="AV95" i="2"/>
  <c r="AV86" i="2"/>
  <c r="AY86" i="2" s="1"/>
  <c r="AV301" i="2"/>
  <c r="AY301" i="2" s="1"/>
  <c r="AQ66" i="2"/>
  <c r="AQ95" i="2"/>
  <c r="AQ213" i="2"/>
  <c r="AQ214" i="2"/>
  <c r="AU214" i="2" s="1"/>
  <c r="AQ271" i="2"/>
  <c r="AV286" i="2"/>
  <c r="AY286" i="2" s="1"/>
  <c r="AV217" i="2"/>
  <c r="AQ324" i="2"/>
  <c r="AQ286" i="2"/>
  <c r="AQ264" i="2"/>
  <c r="AU264" i="2" s="1"/>
  <c r="AQ217" i="2"/>
  <c r="AQ301" i="2"/>
  <c r="AV142" i="2"/>
  <c r="AQ142" i="2"/>
  <c r="AQ228" i="2"/>
  <c r="AV288" i="2"/>
  <c r="AQ288" i="2"/>
  <c r="AU288" i="2" s="1"/>
  <c r="AV10" i="2"/>
  <c r="AQ10" i="2"/>
  <c r="AQ278" i="2"/>
  <c r="AU278" i="2" s="1"/>
  <c r="AV280" i="2"/>
  <c r="AY280" i="2" s="1"/>
  <c r="AQ280" i="2"/>
  <c r="AV293" i="2"/>
  <c r="AY293" i="2" s="1"/>
  <c r="AQ293" i="2"/>
  <c r="AQ32" i="2"/>
  <c r="AV32" i="2"/>
  <c r="AQ170" i="2"/>
  <c r="AQ84" i="2"/>
  <c r="AQ144" i="2"/>
  <c r="AQ282" i="2"/>
  <c r="AU282" i="2" s="1"/>
  <c r="AV282" i="2"/>
  <c r="AQ44" i="2"/>
  <c r="AV87" i="2"/>
  <c r="AQ69" i="2"/>
  <c r="AV69" i="2"/>
  <c r="AQ116" i="2"/>
  <c r="AV116" i="2"/>
  <c r="AQ18" i="2"/>
  <c r="AV117" i="2"/>
  <c r="AY117" i="2" s="1"/>
  <c r="AV221" i="2"/>
  <c r="AQ298" i="2"/>
  <c r="AU298" i="2" s="1"/>
  <c r="AQ12" i="2"/>
  <c r="AQ117" i="2"/>
  <c r="AQ97" i="2"/>
  <c r="AV52" i="2"/>
  <c r="AQ52" i="2"/>
  <c r="AQ181" i="2"/>
  <c r="AQ143" i="2"/>
  <c r="AQ79" i="2"/>
  <c r="AV72" i="2"/>
  <c r="AY72" i="2" s="1"/>
  <c r="AQ72" i="2"/>
  <c r="AV178" i="2"/>
  <c r="AQ67" i="2"/>
  <c r="AV97" i="2"/>
  <c r="AV156" i="2"/>
  <c r="AQ121" i="2"/>
  <c r="AV152" i="2"/>
  <c r="AY152" i="2" s="1"/>
  <c r="AV41" i="2"/>
  <c r="AQ274" i="2"/>
  <c r="AV182" i="2"/>
  <c r="AY182" i="2" s="1"/>
  <c r="AQ57" i="2"/>
  <c r="AQ85" i="2"/>
  <c r="AV85" i="2"/>
  <c r="AQ267" i="2"/>
  <c r="AV267" i="2"/>
  <c r="AV88" i="2"/>
  <c r="AQ88" i="2"/>
  <c r="AQ94" i="2"/>
  <c r="AQ263" i="2"/>
  <c r="AV147" i="2"/>
  <c r="AQ289" i="2"/>
  <c r="AV65" i="2"/>
  <c r="AQ100" i="2"/>
  <c r="AQ148" i="2"/>
  <c r="AV146" i="2"/>
  <c r="AQ78" i="2"/>
  <c r="AU78" i="2" s="1"/>
  <c r="AQ104" i="2"/>
  <c r="AU104" i="2" s="1"/>
  <c r="AQ185" i="2"/>
  <c r="AQ105" i="2"/>
  <c r="AQ152" i="2"/>
  <c r="AQ283" i="2"/>
  <c r="AV109" i="2"/>
  <c r="AV63" i="2"/>
  <c r="AQ259" i="2"/>
  <c r="AV300" i="2"/>
  <c r="AY300" i="2" s="1"/>
  <c r="AQ15" i="2"/>
  <c r="AV56" i="2"/>
  <c r="AY56" i="2" s="1"/>
  <c r="AQ284" i="2"/>
  <c r="AU284" i="2" s="1"/>
  <c r="AQ146" i="2"/>
  <c r="AU146" i="2" s="1"/>
  <c r="AV118" i="2"/>
  <c r="AY118" i="2" s="1"/>
  <c r="AQ118" i="2"/>
  <c r="AQ70" i="2"/>
  <c r="AQ54" i="2"/>
  <c r="AU54" i="2" s="1"/>
  <c r="AQ300" i="2"/>
  <c r="AQ109" i="2"/>
  <c r="AQ216" i="2"/>
  <c r="AV273" i="2"/>
  <c r="AQ273" i="2"/>
  <c r="AV149" i="2"/>
  <c r="AY149" i="2" s="1"/>
  <c r="AV211" i="2"/>
  <c r="AQ24" i="2"/>
  <c r="AQ219" i="2"/>
  <c r="AQ82" i="2"/>
  <c r="AV274" i="2"/>
  <c r="AV64" i="2"/>
  <c r="AV275" i="2"/>
  <c r="AQ167" i="2"/>
  <c r="AQ64" i="2"/>
  <c r="AQ159" i="2"/>
  <c r="AQ58" i="2"/>
  <c r="AV212" i="2"/>
  <c r="AV128" i="2"/>
  <c r="AQ128" i="2"/>
  <c r="AQ276" i="2"/>
  <c r="AV58" i="2"/>
  <c r="AQ182" i="2"/>
  <c r="AQ285" i="2"/>
  <c r="AQ299" i="2"/>
  <c r="AQ63" i="2"/>
  <c r="AU63" i="2" s="1"/>
  <c r="AQ212" i="2"/>
  <c r="AV143" i="2"/>
  <c r="AQ56" i="2"/>
  <c r="AQ211" i="2"/>
  <c r="AQ287" i="2"/>
  <c r="AQ108" i="2"/>
  <c r="AQ53" i="2"/>
  <c r="AQ163" i="2"/>
  <c r="AV163" i="2"/>
  <c r="AY163" i="2" s="1"/>
  <c r="AQ149" i="2"/>
  <c r="AQ102" i="2"/>
  <c r="AU102" i="2" s="1"/>
  <c r="AQ306" i="2"/>
  <c r="AQ21" i="2"/>
  <c r="AU21" i="2" s="1"/>
  <c r="AV21" i="2"/>
  <c r="AQ229" i="2"/>
  <c r="AV285" i="2"/>
  <c r="AV306" i="2"/>
  <c r="AQ266" i="2"/>
  <c r="AQ114" i="2"/>
  <c r="AQ275" i="2"/>
  <c r="AU275" i="2" s="1"/>
  <c r="AQ126" i="2"/>
  <c r="AQ125" i="2"/>
  <c r="AV164" i="2"/>
  <c r="AQ164" i="2"/>
  <c r="AQ13" i="2"/>
  <c r="AQ38" i="2"/>
  <c r="AQ173" i="2"/>
  <c r="AV112" i="2"/>
  <c r="AQ112" i="2"/>
  <c r="AQ115" i="2"/>
  <c r="AU115" i="2" s="1"/>
  <c r="AQ151" i="2"/>
  <c r="AV151" i="2"/>
  <c r="AY151" i="2" s="1"/>
  <c r="AV196" i="2"/>
  <c r="AY196" i="2" s="1"/>
  <c r="AQ196" i="2"/>
  <c r="AU196" i="2" s="1"/>
  <c r="AQ195" i="2"/>
  <c r="AQ198" i="2"/>
  <c r="AV198" i="2"/>
  <c r="AY198" i="2" s="1"/>
  <c r="AQ205" i="2"/>
  <c r="AU205" i="2" s="1"/>
  <c r="AQ254" i="2"/>
  <c r="AV254" i="2"/>
  <c r="AY254" i="2" s="1"/>
  <c r="AQ234" i="2"/>
  <c r="AQ242" i="2"/>
  <c r="AQ251" i="2"/>
  <c r="AV251" i="2"/>
  <c r="AV235" i="2"/>
  <c r="AY235" i="2" s="1"/>
  <c r="AQ235" i="2"/>
  <c r="AU235" i="2" s="1"/>
  <c r="AQ243" i="2"/>
  <c r="AV252" i="2"/>
  <c r="AQ252" i="2"/>
  <c r="AU252" i="2" s="1"/>
  <c r="AV256" i="2"/>
  <c r="AY256" i="2" s="1"/>
  <c r="AQ256" i="2"/>
  <c r="AU256" i="2" s="1"/>
  <c r="AQ302" i="2"/>
  <c r="AQ203" i="2"/>
  <c r="AV203" i="2"/>
  <c r="AY203" i="2" s="1"/>
  <c r="AQ206" i="2"/>
  <c r="AV206" i="2"/>
  <c r="AY206" i="2" s="1"/>
  <c r="AQ255" i="2"/>
  <c r="AU255" i="2" s="1"/>
  <c r="AV255" i="2"/>
  <c r="AQ201" i="2"/>
  <c r="AQ233" i="2"/>
  <c r="AV233" i="2"/>
  <c r="AY233" i="2" s="1"/>
  <c r="AQ241" i="2"/>
  <c r="AV241" i="2"/>
  <c r="AY241" i="2" s="1"/>
  <c r="AQ250" i="2"/>
  <c r="AV250" i="2"/>
  <c r="AY250" i="2" s="1"/>
  <c r="AQ207" i="2"/>
  <c r="AQ232" i="2"/>
  <c r="AQ240" i="2"/>
  <c r="AU240" i="2" s="1"/>
  <c r="AV249" i="2"/>
  <c r="AY249" i="2" s="1"/>
  <c r="AQ249" i="2"/>
  <c r="AQ19" i="2"/>
  <c r="AQ124" i="2"/>
  <c r="AQ139" i="2"/>
  <c r="AU139" i="2" s="1"/>
  <c r="AV139" i="2"/>
  <c r="AY139" i="2" s="1"/>
  <c r="AQ188" i="2"/>
  <c r="AU188" i="2" s="1"/>
  <c r="AQ202" i="2"/>
  <c r="AQ218" i="2"/>
  <c r="AV236" i="2"/>
  <c r="AQ236" i="2"/>
  <c r="AU236" i="2" s="1"/>
  <c r="AQ253" i="2"/>
  <c r="AU253" i="2" s="1"/>
  <c r="AQ269" i="2"/>
  <c r="AU269" i="2" s="1"/>
  <c r="AQ197" i="2"/>
  <c r="AV197" i="2"/>
  <c r="AY197" i="2" s="1"/>
  <c r="AQ204" i="2"/>
  <c r="AQ245" i="2"/>
  <c r="AU245" i="2" s="1"/>
  <c r="AV245" i="2"/>
  <c r="AY245" i="2" s="1"/>
  <c r="AQ247" i="2"/>
  <c r="AU247" i="2" s="1"/>
  <c r="AV247" i="2"/>
  <c r="AY247" i="2" s="1"/>
  <c r="AQ238" i="2"/>
  <c r="AQ199" i="2"/>
  <c r="AQ257" i="2"/>
  <c r="AU257" i="2" s="1"/>
  <c r="AQ155" i="2"/>
  <c r="AV155" i="2"/>
  <c r="AY155" i="2" s="1"/>
  <c r="G312" i="2"/>
  <c r="H311" i="2"/>
  <c r="AQ130" i="2"/>
  <c r="AV130" i="2"/>
  <c r="AY130" i="2" s="1"/>
  <c r="AQ145" i="2"/>
  <c r="AQ194" i="2"/>
  <c r="AV210" i="2"/>
  <c r="AY210" i="2" s="1"/>
  <c r="AQ210" i="2"/>
  <c r="AQ226" i="2"/>
  <c r="AQ244" i="2"/>
  <c r="AU244" i="2" s="1"/>
  <c r="AV261" i="2"/>
  <c r="AY261" i="2" s="1"/>
  <c r="AQ261" i="2"/>
  <c r="AQ277" i="2"/>
  <c r="AQ230" i="2"/>
  <c r="AV230" i="2"/>
  <c r="AY230" i="2" s="1"/>
  <c r="AQ246" i="2"/>
  <c r="AQ237" i="2"/>
  <c r="AQ200" i="2"/>
  <c r="AQ231" i="2"/>
  <c r="AQ239" i="2"/>
  <c r="AV248" i="2"/>
  <c r="AQ248" i="2"/>
  <c r="P310" i="2"/>
  <c r="AD310" i="2"/>
  <c r="O310" i="2"/>
  <c r="AV132" i="2"/>
  <c r="AQ132" i="2"/>
  <c r="AU173" i="2" l="1"/>
  <c r="AV173" i="2"/>
  <c r="AY173" i="2" s="1"/>
  <c r="AU71" i="2"/>
  <c r="AV71" i="2"/>
  <c r="AY71" i="2" s="1"/>
  <c r="AV277" i="2"/>
  <c r="AU277" i="2"/>
  <c r="AV194" i="2"/>
  <c r="AU194" i="2"/>
  <c r="AV237" i="2"/>
  <c r="AY237" i="2" s="1"/>
  <c r="AV126" i="2"/>
  <c r="AY126" i="2" s="1"/>
  <c r="AU229" i="2"/>
  <c r="AU53" i="2"/>
  <c r="AV13" i="2"/>
  <c r="AY13" i="2" s="1"/>
  <c r="AU216" i="2"/>
  <c r="AU152" i="2"/>
  <c r="AU69" i="2"/>
  <c r="AU43" i="2"/>
  <c r="AU213" i="2"/>
  <c r="AY244" i="2"/>
  <c r="AY201" i="2"/>
  <c r="AU246" i="2"/>
  <c r="AV195" i="2"/>
  <c r="AY195" i="2" s="1"/>
  <c r="AU195" i="2"/>
  <c r="AU234" i="2"/>
  <c r="AV177" i="2"/>
  <c r="AU177" i="2"/>
  <c r="AV114" i="2"/>
  <c r="AU114" i="2"/>
  <c r="AY302" i="2"/>
  <c r="AY243" i="2"/>
  <c r="AU200" i="2"/>
  <c r="AU203" i="2"/>
  <c r="AV226" i="2"/>
  <c r="AU226" i="2"/>
  <c r="AU239" i="2"/>
  <c r="AU109" i="2"/>
  <c r="AU270" i="2"/>
  <c r="AU37" i="2"/>
  <c r="AV37" i="2"/>
  <c r="AU301" i="2"/>
  <c r="AU145" i="2"/>
  <c r="AU148" i="2"/>
  <c r="AV100" i="2"/>
  <c r="AY100" i="2" s="1"/>
  <c r="AU100" i="2"/>
  <c r="AU271" i="2"/>
  <c r="AV271" i="2"/>
  <c r="AY271" i="2" s="1"/>
  <c r="AU206" i="2"/>
  <c r="AU231" i="2"/>
  <c r="AU210" i="2"/>
  <c r="AV145" i="2"/>
  <c r="AY145" i="2" s="1"/>
  <c r="AU249" i="2"/>
  <c r="AV242" i="2"/>
  <c r="AY242" i="2" s="1"/>
  <c r="AY64" i="2"/>
  <c r="AV105" i="2"/>
  <c r="AY105" i="2" s="1"/>
  <c r="AY156" i="2"/>
  <c r="AV137" i="2"/>
  <c r="AY137" i="2" s="1"/>
  <c r="AV281" i="2"/>
  <c r="AY281" i="2" s="1"/>
  <c r="AU304" i="2"/>
  <c r="AU266" i="2"/>
  <c r="AU254" i="2"/>
  <c r="AU52" i="2"/>
  <c r="AU211" i="2"/>
  <c r="AY278" i="2"/>
  <c r="AU251" i="2"/>
  <c r="AY218" i="2"/>
  <c r="AY111" i="2"/>
  <c r="AU259" i="2"/>
  <c r="AV259" i="2"/>
  <c r="AY259" i="2" s="1"/>
  <c r="AY306" i="2"/>
  <c r="AU299" i="2"/>
  <c r="AU300" i="2"/>
  <c r="AY146" i="2"/>
  <c r="AU289" i="2"/>
  <c r="AU88" i="2"/>
  <c r="AY85" i="2"/>
  <c r="AU274" i="2"/>
  <c r="AY178" i="2"/>
  <c r="AY221" i="2"/>
  <c r="AY87" i="2"/>
  <c r="AU228" i="2"/>
  <c r="AY217" i="2"/>
  <c r="AU178" i="2"/>
  <c r="AY229" i="2"/>
  <c r="AU147" i="2"/>
  <c r="AY298" i="2"/>
  <c r="AU110" i="2"/>
  <c r="AU221" i="2"/>
  <c r="AY77" i="2"/>
  <c r="AY25" i="2"/>
  <c r="AU161" i="2"/>
  <c r="AY131" i="2"/>
  <c r="AU15" i="2"/>
  <c r="AU41" i="2"/>
  <c r="AU85" i="2"/>
  <c r="AY159" i="2"/>
  <c r="AU130" i="2"/>
  <c r="AU108" i="2"/>
  <c r="AU116" i="2"/>
  <c r="AU142" i="2"/>
  <c r="AU276" i="2"/>
  <c r="AU125" i="2"/>
  <c r="AU18" i="2"/>
  <c r="AU10" i="2"/>
  <c r="AU164" i="2"/>
  <c r="AU287" i="2"/>
  <c r="AU212" i="2"/>
  <c r="AU182" i="2"/>
  <c r="AY128" i="2"/>
  <c r="AY275" i="2"/>
  <c r="AU263" i="2"/>
  <c r="AY267" i="2"/>
  <c r="AY142" i="2"/>
  <c r="AY95" i="2"/>
  <c r="AU101" i="2"/>
  <c r="AY327" i="2"/>
  <c r="AU190" i="2"/>
  <c r="AU39" i="2"/>
  <c r="AY16" i="2"/>
  <c r="AY110" i="2"/>
  <c r="AY88" i="2"/>
  <c r="AY53" i="2"/>
  <c r="AY69" i="2"/>
  <c r="AY104" i="2"/>
  <c r="AY147" i="2"/>
  <c r="AY112" i="2"/>
  <c r="AY39" i="2"/>
  <c r="AY132" i="2"/>
  <c r="AY97" i="2"/>
  <c r="AY78" i="2"/>
  <c r="AY66" i="2"/>
  <c r="AY164" i="2"/>
  <c r="AU94" i="2"/>
  <c r="AU87" i="2"/>
  <c r="AU155" i="2"/>
  <c r="AU285" i="2"/>
  <c r="AU238" i="2"/>
  <c r="AU151" i="2"/>
  <c r="AU248" i="2"/>
  <c r="AU197" i="2"/>
  <c r="AY284" i="2"/>
  <c r="AU118" i="2"/>
  <c r="AU143" i="2"/>
  <c r="AY305" i="2"/>
  <c r="AU44" i="2"/>
  <c r="AY269" i="2"/>
  <c r="AY240" i="2"/>
  <c r="AY199" i="2"/>
  <c r="AU169" i="2"/>
  <c r="AP291" i="2"/>
  <c r="AR291" i="2"/>
  <c r="AP96" i="2"/>
  <c r="AR96" i="2"/>
  <c r="AR74" i="2"/>
  <c r="AP74" i="2"/>
  <c r="AU74" i="2" s="1"/>
  <c r="AR123" i="2"/>
  <c r="AP123" i="2"/>
  <c r="AR222" i="2"/>
  <c r="AP222" i="2"/>
  <c r="AU222" i="2" s="1"/>
  <c r="AR35" i="2"/>
  <c r="AP35" i="2"/>
  <c r="AU35" i="2" s="1"/>
  <c r="AR89" i="2"/>
  <c r="AP89" i="2"/>
  <c r="AY326" i="2"/>
  <c r="AY232" i="2"/>
  <c r="AY272" i="2"/>
  <c r="AU90" i="2"/>
  <c r="AV90" i="2"/>
  <c r="AY90" i="2" s="1"/>
  <c r="AV125" i="2"/>
  <c r="AY125" i="2" s="1"/>
  <c r="AY143" i="2"/>
  <c r="AV15" i="2"/>
  <c r="AY15" i="2" s="1"/>
  <c r="AV185" i="2"/>
  <c r="AY185" i="2" s="1"/>
  <c r="AY32" i="2"/>
  <c r="AY288" i="2"/>
  <c r="AY289" i="2"/>
  <c r="AR297" i="2"/>
  <c r="AP297" i="2"/>
  <c r="AU297" i="2" s="1"/>
  <c r="AR30" i="2"/>
  <c r="AP30" i="2"/>
  <c r="AP224" i="2"/>
  <c r="AR224" i="2"/>
  <c r="AR292" i="2"/>
  <c r="AP292" i="2"/>
  <c r="AY265" i="2"/>
  <c r="AP113" i="2"/>
  <c r="AV113" i="2" s="1"/>
  <c r="AY113" i="2" s="1"/>
  <c r="AR113" i="2"/>
  <c r="AU243" i="2"/>
  <c r="AU124" i="2"/>
  <c r="AV124" i="2"/>
  <c r="AY124" i="2" s="1"/>
  <c r="AY266" i="2"/>
  <c r="AU64" i="2"/>
  <c r="AV200" i="2"/>
  <c r="AY200" i="2" s="1"/>
  <c r="AY251" i="2"/>
  <c r="AV234" i="2"/>
  <c r="AY234" i="2" s="1"/>
  <c r="AU12" i="2"/>
  <c r="AV138" i="2"/>
  <c r="AY138" i="2" s="1"/>
  <c r="AV307" i="2"/>
  <c r="AY307" i="2" s="1"/>
  <c r="AY60" i="2"/>
  <c r="AU77" i="2"/>
  <c r="AY167" i="2"/>
  <c r="AY303" i="2"/>
  <c r="AR309" i="2"/>
  <c r="AP309" i="2"/>
  <c r="AU309" i="2"/>
  <c r="AP268" i="2"/>
  <c r="AR268" i="2"/>
  <c r="AR171" i="2"/>
  <c r="AP171" i="2"/>
  <c r="AR50" i="2"/>
  <c r="AP50" i="2"/>
  <c r="AP220" i="2"/>
  <c r="AV220" i="2" s="1"/>
  <c r="AR220" i="2"/>
  <c r="AR180" i="2"/>
  <c r="AP180" i="2"/>
  <c r="AR140" i="2"/>
  <c r="AP140" i="2"/>
  <c r="AU140" i="2" s="1"/>
  <c r="AR294" i="2"/>
  <c r="AP294" i="2"/>
  <c r="AV294" i="2" s="1"/>
  <c r="AY294" i="2" s="1"/>
  <c r="AR279" i="2"/>
  <c r="AP279" i="2"/>
  <c r="AR17" i="2"/>
  <c r="AP17" i="2"/>
  <c r="AV17" i="2" s="1"/>
  <c r="AY17" i="2" s="1"/>
  <c r="AR193" i="2"/>
  <c r="AP193" i="2"/>
  <c r="AV193" i="2" s="1"/>
  <c r="AR119" i="2"/>
  <c r="AP119" i="2"/>
  <c r="AR176" i="2"/>
  <c r="AP176" i="2"/>
  <c r="AR99" i="2"/>
  <c r="AP99" i="2"/>
  <c r="AR308" i="2"/>
  <c r="AP308" i="2"/>
  <c r="AV308" i="2" s="1"/>
  <c r="AU201" i="2"/>
  <c r="AU302" i="2"/>
  <c r="AU218" i="2"/>
  <c r="AU219" i="2"/>
  <c r="AY299" i="2"/>
  <c r="AU79" i="2"/>
  <c r="AV79" i="2"/>
  <c r="AY79" i="2" s="1"/>
  <c r="AV191" i="2"/>
  <c r="AY191" i="2" s="1"/>
  <c r="AU191" i="2"/>
  <c r="AU24" i="2"/>
  <c r="AU32" i="2"/>
  <c r="AY177" i="2"/>
  <c r="AU181" i="2"/>
  <c r="AV181" i="2"/>
  <c r="AY181" i="2" s="1"/>
  <c r="AU86" i="2"/>
  <c r="AY231" i="2"/>
  <c r="AU144" i="2"/>
  <c r="AV144" i="2"/>
  <c r="AY144" i="2" s="1"/>
  <c r="AY270" i="2"/>
  <c r="AY287" i="2"/>
  <c r="AU75" i="2"/>
  <c r="AU38" i="2"/>
  <c r="AV38" i="2"/>
  <c r="AY38" i="2" s="1"/>
  <c r="AU325" i="2"/>
  <c r="AV325" i="2"/>
  <c r="AY325" i="2" s="1"/>
  <c r="AY226" i="2"/>
  <c r="AU84" i="2"/>
  <c r="AY277" i="2"/>
  <c r="AY239" i="2"/>
  <c r="AY194" i="2"/>
  <c r="AR208" i="2"/>
  <c r="AP208" i="2"/>
  <c r="AU208" i="2" s="1"/>
  <c r="AR189" i="2"/>
  <c r="AP189" i="2"/>
  <c r="AR166" i="2"/>
  <c r="AP166" i="2"/>
  <c r="AR9" i="2"/>
  <c r="AP9" i="2"/>
  <c r="AU9" i="2" s="1"/>
  <c r="AR62" i="2"/>
  <c r="AP62" i="2"/>
  <c r="AU62" i="2" s="1"/>
  <c r="AR76" i="2"/>
  <c r="AP76" i="2"/>
  <c r="AP141" i="2"/>
  <c r="AR141" i="2"/>
  <c r="AY202" i="2"/>
  <c r="AU82" i="2"/>
  <c r="AV82" i="2"/>
  <c r="AY82" i="2" s="1"/>
  <c r="AU45" i="2"/>
  <c r="AV45" i="2"/>
  <c r="AY45" i="2" s="1"/>
  <c r="AU305" i="2"/>
  <c r="AU111" i="2"/>
  <c r="AY238" i="2"/>
  <c r="AY236" i="2"/>
  <c r="AY12" i="2"/>
  <c r="AY52" i="2"/>
  <c r="AY116" i="2"/>
  <c r="AR51" i="2"/>
  <c r="AP51" i="2"/>
  <c r="AU51" i="2"/>
  <c r="AR129" i="2"/>
  <c r="AP129" i="2"/>
  <c r="AR258" i="2"/>
  <c r="AP258" i="2"/>
  <c r="AV258" i="2" s="1"/>
  <c r="AR262" i="2"/>
  <c r="AP262" i="2"/>
  <c r="AV262" i="2" s="1"/>
  <c r="AY262" i="2" s="1"/>
  <c r="AR172" i="2"/>
  <c r="AP172" i="2"/>
  <c r="AR122" i="2"/>
  <c r="AP122" i="2"/>
  <c r="AU202" i="2"/>
  <c r="AU232" i="2"/>
  <c r="AU57" i="2"/>
  <c r="AV57" i="2"/>
  <c r="AY57" i="2" s="1"/>
  <c r="AY207" i="2"/>
  <c r="AY204" i="2"/>
  <c r="AU324" i="2"/>
  <c r="AV324" i="2"/>
  <c r="AY324" i="2" s="1"/>
  <c r="AY219" i="2"/>
  <c r="AU121" i="2"/>
  <c r="AV121" i="2"/>
  <c r="AY121" i="2" s="1"/>
  <c r="AV246" i="2"/>
  <c r="AY246" i="2" s="1"/>
  <c r="AU19" i="2"/>
  <c r="AY252" i="2"/>
  <c r="AY205" i="2"/>
  <c r="AV276" i="2"/>
  <c r="AY276" i="2" s="1"/>
  <c r="AY274" i="2"/>
  <c r="AY273" i="2"/>
  <c r="AU97" i="2"/>
  <c r="AY248" i="2"/>
  <c r="AY257" i="2"/>
  <c r="AY255" i="2"/>
  <c r="AY285" i="2"/>
  <c r="AV108" i="2"/>
  <c r="AY108" i="2" s="1"/>
  <c r="AY212" i="2"/>
  <c r="AY211" i="2"/>
  <c r="AY63" i="2"/>
  <c r="AV148" i="2"/>
  <c r="AY148" i="2" s="1"/>
  <c r="AY18" i="2"/>
  <c r="AY282" i="2"/>
  <c r="AV170" i="2"/>
  <c r="AY170" i="2" s="1"/>
  <c r="AY10" i="2"/>
  <c r="AY101" i="2"/>
  <c r="AV94" i="2"/>
  <c r="AY94" i="2" s="1"/>
  <c r="AR61" i="2"/>
  <c r="AP61" i="2"/>
  <c r="AP160" i="2"/>
  <c r="AR160" i="2"/>
  <c r="AR98" i="2"/>
  <c r="AP98" i="2"/>
  <c r="AR187" i="2"/>
  <c r="AU187" i="2" s="1"/>
  <c r="AP187" i="2"/>
  <c r="AP192" i="2"/>
  <c r="AU192" i="2" s="1"/>
  <c r="AR192" i="2"/>
  <c r="AR136" i="2"/>
  <c r="AP136" i="2"/>
  <c r="AR22" i="2"/>
  <c r="AP22" i="2"/>
  <c r="AP295" i="2"/>
  <c r="AV295" i="2" s="1"/>
  <c r="AR295" i="2"/>
  <c r="AY70" i="2"/>
  <c r="AR162" i="2"/>
  <c r="AP162" i="2"/>
  <c r="AR14" i="2"/>
  <c r="AP14" i="2"/>
  <c r="AU207" i="2"/>
  <c r="AU199" i="2"/>
  <c r="AU272" i="2"/>
  <c r="AU326" i="2"/>
  <c r="AU179" i="2"/>
  <c r="AV179" i="2"/>
  <c r="AY179" i="2" s="1"/>
  <c r="AY264" i="2"/>
  <c r="AU60" i="2"/>
  <c r="AY253" i="2"/>
  <c r="AU135" i="2"/>
  <c r="AY29" i="2"/>
  <c r="AY102" i="2"/>
  <c r="AV107" i="2"/>
  <c r="AY107" i="2" s="1"/>
  <c r="AU107" i="2"/>
  <c r="AY304" i="2"/>
  <c r="AY127" i="2"/>
  <c r="AU67" i="2"/>
  <c r="AV67" i="2"/>
  <c r="AY67" i="2" s="1"/>
  <c r="AY228" i="2"/>
  <c r="AY115" i="2"/>
  <c r="AY216" i="2"/>
  <c r="AY114" i="2"/>
  <c r="AY21" i="2"/>
  <c r="AY65" i="2"/>
  <c r="AY41" i="2"/>
  <c r="AV84" i="2"/>
  <c r="AY84" i="2" s="1"/>
  <c r="AR46" i="2"/>
  <c r="AU46" i="2" s="1"/>
  <c r="AP46" i="2"/>
  <c r="AY37" i="2"/>
  <c r="AR106" i="2"/>
  <c r="AP106" i="2"/>
  <c r="AV106" i="2" s="1"/>
  <c r="AR174" i="2"/>
  <c r="AP174" i="2"/>
  <c r="AR73" i="2"/>
  <c r="AP73" i="2"/>
  <c r="AU73" i="2" s="1"/>
  <c r="AR225" i="2"/>
  <c r="AP225" i="2"/>
  <c r="AR42" i="2"/>
  <c r="AP42" i="2"/>
  <c r="AR23" i="2"/>
  <c r="AP23" i="2"/>
  <c r="AR183" i="2"/>
  <c r="AP183" i="2"/>
  <c r="AR223" i="2"/>
  <c r="AP223" i="2"/>
  <c r="AR120" i="2"/>
  <c r="AP120" i="2"/>
  <c r="AR83" i="2"/>
  <c r="AP83" i="2"/>
  <c r="AR80" i="2"/>
  <c r="AP80" i="2"/>
  <c r="AU80" i="2" s="1"/>
  <c r="AR59" i="2"/>
  <c r="AP59" i="2"/>
  <c r="AU59" i="2"/>
  <c r="AR133" i="2"/>
  <c r="AP133" i="2"/>
  <c r="AU133" i="2" s="1"/>
  <c r="AR11" i="2"/>
  <c r="AU11" i="2" s="1"/>
  <c r="AP11" i="2"/>
  <c r="AR26" i="2"/>
  <c r="AP26" i="2"/>
  <c r="AR28" i="2"/>
  <c r="AP28" i="2"/>
  <c r="AU28" i="2" s="1"/>
  <c r="AR91" i="2"/>
  <c r="AP91" i="2"/>
  <c r="AR49" i="2"/>
  <c r="AP49" i="2"/>
  <c r="AU49" i="2"/>
  <c r="AR260" i="2"/>
  <c r="AP260" i="2"/>
  <c r="AV260" i="2" s="1"/>
  <c r="AY260" i="2" s="1"/>
  <c r="AR168" i="2"/>
  <c r="AP168" i="2"/>
  <c r="AU168" i="2" s="1"/>
  <c r="AP209" i="2"/>
  <c r="AR209" i="2"/>
  <c r="AP296" i="2"/>
  <c r="AR296" i="2"/>
  <c r="AU132" i="2"/>
  <c r="AU95" i="2"/>
  <c r="AY188" i="2"/>
  <c r="AY58" i="2"/>
  <c r="AY44" i="2"/>
  <c r="AV165" i="2"/>
  <c r="AY165" i="2" s="1"/>
  <c r="AY135" i="2"/>
  <c r="AR48" i="2"/>
  <c r="AP48" i="2"/>
  <c r="AV48" i="2" s="1"/>
  <c r="AY48" i="2" s="1"/>
  <c r="AR186" i="2"/>
  <c r="AP186" i="2"/>
  <c r="AR158" i="2"/>
  <c r="AP158" i="2"/>
  <c r="AR81" i="2"/>
  <c r="AP81" i="2"/>
  <c r="AU81" i="2" s="1"/>
  <c r="AR175" i="2"/>
  <c r="AP175" i="2"/>
  <c r="AU175" i="2" s="1"/>
  <c r="AR33" i="2"/>
  <c r="AP33" i="2"/>
  <c r="AR55" i="2"/>
  <c r="AP55" i="2"/>
  <c r="AR215" i="2"/>
  <c r="AP215" i="2"/>
  <c r="AU215" i="2" s="1"/>
  <c r="AR93" i="2"/>
  <c r="AP93" i="2"/>
  <c r="AU93" i="2" s="1"/>
  <c r="AR92" i="2"/>
  <c r="AP92" i="2"/>
  <c r="AR36" i="2"/>
  <c r="AP36" i="2"/>
  <c r="AR34" i="2"/>
  <c r="AP34" i="2"/>
  <c r="AV34" i="2" s="1"/>
  <c r="AY34" i="2" s="1"/>
  <c r="AR154" i="2"/>
  <c r="AP154" i="2"/>
  <c r="AP227" i="2"/>
  <c r="AV227" i="2" s="1"/>
  <c r="AY227" i="2" s="1"/>
  <c r="AR227" i="2"/>
  <c r="AR290" i="2"/>
  <c r="AP290" i="2"/>
  <c r="AR153" i="2"/>
  <c r="AP153" i="2"/>
  <c r="AR103" i="2"/>
  <c r="AP103" i="2"/>
  <c r="AP184" i="2"/>
  <c r="AU184" i="2" s="1"/>
  <c r="AR184" i="2"/>
  <c r="AR20" i="2"/>
  <c r="AP20" i="2"/>
  <c r="AR157" i="2"/>
  <c r="AU157" i="2" s="1"/>
  <c r="AP157" i="2"/>
  <c r="AR134" i="2"/>
  <c r="AP134" i="2"/>
  <c r="AV134" i="2" s="1"/>
  <c r="AR68" i="2"/>
  <c r="AP68" i="2"/>
  <c r="AU68" i="2"/>
  <c r="AR150" i="2"/>
  <c r="AP150" i="2"/>
  <c r="AU150" i="2"/>
  <c r="AR47" i="2"/>
  <c r="AP47" i="2"/>
  <c r="AU47" i="2" s="1"/>
  <c r="AR40" i="2"/>
  <c r="AP40" i="2"/>
  <c r="AU16" i="2"/>
  <c r="AU128" i="2"/>
  <c r="AU112" i="2"/>
  <c r="AU117" i="2"/>
  <c r="AU27" i="2"/>
  <c r="AU70" i="2"/>
  <c r="AX48" i="2"/>
  <c r="AW48" i="2"/>
  <c r="AX186" i="2"/>
  <c r="AW186" i="2"/>
  <c r="AX81" i="2"/>
  <c r="AW81" i="2"/>
  <c r="AX33" i="2"/>
  <c r="AW33" i="2"/>
  <c r="AX215" i="2"/>
  <c r="AW215" i="2"/>
  <c r="AX113" i="2"/>
  <c r="AW113" i="2"/>
  <c r="AX291" i="2"/>
  <c r="AW291" i="2"/>
  <c r="AX96" i="2"/>
  <c r="AW96" i="2"/>
  <c r="AX74" i="2"/>
  <c r="AW74" i="2"/>
  <c r="AX123" i="2"/>
  <c r="AW123" i="2"/>
  <c r="AX222" i="2"/>
  <c r="AW222" i="2"/>
  <c r="AX35" i="2"/>
  <c r="AW35" i="2"/>
  <c r="AX89" i="2"/>
  <c r="AW89" i="2"/>
  <c r="AX61" i="2"/>
  <c r="AW61" i="2"/>
  <c r="AX98" i="2"/>
  <c r="AW98" i="2"/>
  <c r="AX192" i="2"/>
  <c r="AW192" i="2"/>
  <c r="AX22" i="2"/>
  <c r="AW22" i="2"/>
  <c r="AX36" i="2"/>
  <c r="AW36" i="2"/>
  <c r="AX34" i="2"/>
  <c r="AW34" i="2"/>
  <c r="AX227" i="2"/>
  <c r="AW227" i="2"/>
  <c r="AX153" i="2"/>
  <c r="AW153" i="2"/>
  <c r="AX184" i="2"/>
  <c r="AW184" i="2"/>
  <c r="AQ157" i="2"/>
  <c r="AX157" i="2"/>
  <c r="AW157" i="2"/>
  <c r="AX68" i="2"/>
  <c r="AW68" i="2"/>
  <c r="AX47" i="2"/>
  <c r="AW47" i="2"/>
  <c r="AX46" i="2"/>
  <c r="AW46" i="2"/>
  <c r="AX106" i="2"/>
  <c r="AW106" i="2"/>
  <c r="AX73" i="2"/>
  <c r="AW73" i="2"/>
  <c r="AX42" i="2"/>
  <c r="AW42" i="2"/>
  <c r="AX14" i="2"/>
  <c r="AW14" i="2"/>
  <c r="AX171" i="2"/>
  <c r="AW171" i="2"/>
  <c r="AX180" i="2"/>
  <c r="AY180" i="2" s="1"/>
  <c r="AW180" i="2"/>
  <c r="AX294" i="2"/>
  <c r="AW294" i="2"/>
  <c r="AX17" i="2"/>
  <c r="AW17" i="2"/>
  <c r="AV119" i="2"/>
  <c r="AX119" i="2"/>
  <c r="AW119" i="2"/>
  <c r="AX99" i="2"/>
  <c r="AW99" i="2"/>
  <c r="AW309" i="2"/>
  <c r="AX309" i="2"/>
  <c r="AW297" i="2"/>
  <c r="AX297" i="2"/>
  <c r="AX30" i="2"/>
  <c r="AW30" i="2"/>
  <c r="AX224" i="2"/>
  <c r="AW224" i="2"/>
  <c r="AX292" i="2"/>
  <c r="AW292" i="2"/>
  <c r="AX183" i="2"/>
  <c r="AW183" i="2"/>
  <c r="AX120" i="2"/>
  <c r="AY120" i="2" s="1"/>
  <c r="AW120" i="2"/>
  <c r="AX80" i="2"/>
  <c r="AW80" i="2"/>
  <c r="AQ133" i="2"/>
  <c r="AX133" i="2"/>
  <c r="AW133" i="2"/>
  <c r="AX11" i="2"/>
  <c r="AW11" i="2"/>
  <c r="AX28" i="2"/>
  <c r="AW28" i="2"/>
  <c r="AX49" i="2"/>
  <c r="AW49" i="2"/>
  <c r="AX168" i="2"/>
  <c r="AW168" i="2"/>
  <c r="AX296" i="2"/>
  <c r="AW296" i="2"/>
  <c r="AX158" i="2"/>
  <c r="AW158" i="2"/>
  <c r="AX175" i="2"/>
  <c r="AW175" i="2"/>
  <c r="AX55" i="2"/>
  <c r="AW55" i="2"/>
  <c r="AX172" i="2"/>
  <c r="AW172" i="2"/>
  <c r="AX122" i="2"/>
  <c r="AW122" i="2"/>
  <c r="AX208" i="2"/>
  <c r="AW208" i="2"/>
  <c r="AX189" i="2"/>
  <c r="AW189" i="2"/>
  <c r="AX166" i="2"/>
  <c r="AW166" i="2"/>
  <c r="AW9" i="2"/>
  <c r="AX9" i="2"/>
  <c r="AX62" i="2"/>
  <c r="AW62" i="2"/>
  <c r="AX76" i="2"/>
  <c r="AW76" i="2"/>
  <c r="AX141" i="2"/>
  <c r="AW141" i="2"/>
  <c r="AX160" i="2"/>
  <c r="AW160" i="2"/>
  <c r="AX187" i="2"/>
  <c r="AW187" i="2"/>
  <c r="AX136" i="2"/>
  <c r="AW136" i="2"/>
  <c r="AY136" i="2" s="1"/>
  <c r="AX93" i="2"/>
  <c r="AW93" i="2"/>
  <c r="AX92" i="2"/>
  <c r="AW92" i="2"/>
  <c r="AX154" i="2"/>
  <c r="AW154" i="2"/>
  <c r="AX290" i="2"/>
  <c r="AW290" i="2"/>
  <c r="AX103" i="2"/>
  <c r="AW103" i="2"/>
  <c r="AX20" i="2"/>
  <c r="AW20" i="2"/>
  <c r="AX134" i="2"/>
  <c r="AW134" i="2"/>
  <c r="AX150" i="2"/>
  <c r="AW150" i="2"/>
  <c r="AX40" i="2"/>
  <c r="AW40" i="2"/>
  <c r="AX174" i="2"/>
  <c r="AW174" i="2"/>
  <c r="AX225" i="2"/>
  <c r="AW225" i="2"/>
  <c r="AX295" i="2"/>
  <c r="AW295" i="2"/>
  <c r="AX162" i="2"/>
  <c r="AW162" i="2"/>
  <c r="AX268" i="2"/>
  <c r="AW268" i="2"/>
  <c r="AX50" i="2"/>
  <c r="AW50" i="2"/>
  <c r="AX220" i="2"/>
  <c r="AW220" i="2"/>
  <c r="AX140" i="2"/>
  <c r="AW140" i="2"/>
  <c r="AX279" i="2"/>
  <c r="AW279" i="2"/>
  <c r="AX193" i="2"/>
  <c r="AW193" i="2"/>
  <c r="AX176" i="2"/>
  <c r="AW176" i="2"/>
  <c r="AX308" i="2"/>
  <c r="AW308" i="2"/>
  <c r="AX51" i="2"/>
  <c r="AW51" i="2"/>
  <c r="AX129" i="2"/>
  <c r="AW129" i="2"/>
  <c r="AX258" i="2"/>
  <c r="AW258" i="2"/>
  <c r="AX262" i="2"/>
  <c r="AW262" i="2"/>
  <c r="AX23" i="2"/>
  <c r="AW23" i="2"/>
  <c r="AX223" i="2"/>
  <c r="AW223" i="2"/>
  <c r="AX83" i="2"/>
  <c r="AW83" i="2"/>
  <c r="AX59" i="2"/>
  <c r="AW59" i="2"/>
  <c r="AX26" i="2"/>
  <c r="AW26" i="2"/>
  <c r="AX91" i="2"/>
  <c r="AW91" i="2"/>
  <c r="AX260" i="2"/>
  <c r="AW260" i="2"/>
  <c r="AX209" i="2"/>
  <c r="AW209" i="2"/>
  <c r="AO311" i="2"/>
  <c r="X15" i="3"/>
  <c r="Y15" i="3"/>
  <c r="Q17" i="3"/>
  <c r="S17" i="3"/>
  <c r="R17" i="3"/>
  <c r="X7" i="3"/>
  <c r="Y7" i="3"/>
  <c r="W20" i="3"/>
  <c r="AV83" i="2"/>
  <c r="AY83" i="2" s="1"/>
  <c r="AQ193" i="2"/>
  <c r="AV208" i="2"/>
  <c r="AQ49" i="2"/>
  <c r="AV176" i="2"/>
  <c r="AY176" i="2" s="1"/>
  <c r="AV187" i="2"/>
  <c r="AV22" i="2"/>
  <c r="AY22" i="2" s="1"/>
  <c r="AQ290" i="2"/>
  <c r="AV292" i="2"/>
  <c r="AQ51" i="2"/>
  <c r="AQ33" i="2"/>
  <c r="AQ215" i="2"/>
  <c r="AQ113" i="2"/>
  <c r="AU113" i="2" s="1"/>
  <c r="AV91" i="2"/>
  <c r="AQ279" i="2"/>
  <c r="AV46" i="2"/>
  <c r="AQ171" i="2"/>
  <c r="AU171" i="2" s="1"/>
  <c r="AV180" i="2"/>
  <c r="AQ134" i="2"/>
  <c r="AV68" i="2"/>
  <c r="AY68" i="2" s="1"/>
  <c r="AV51" i="2"/>
  <c r="AY51" i="2" s="1"/>
  <c r="AQ68" i="2"/>
  <c r="AV49" i="2"/>
  <c r="AV36" i="2"/>
  <c r="AQ36" i="2"/>
  <c r="AU36" i="2" s="1"/>
  <c r="AV157" i="2"/>
  <c r="AY157" i="2" s="1"/>
  <c r="AQ296" i="2"/>
  <c r="AV154" i="2"/>
  <c r="AV223" i="2"/>
  <c r="AY223" i="2" s="1"/>
  <c r="AQ292" i="2"/>
  <c r="AV80" i="2"/>
  <c r="AQ227" i="2"/>
  <c r="AV26" i="2"/>
  <c r="AY26" i="2" s="1"/>
  <c r="AQ295" i="2"/>
  <c r="AV153" i="2"/>
  <c r="AQ154" i="2"/>
  <c r="AU154" i="2" s="1"/>
  <c r="AQ172" i="2"/>
  <c r="AQ35" i="2"/>
  <c r="AQ46" i="2"/>
  <c r="AV133" i="2"/>
  <c r="AY133" i="2" s="1"/>
  <c r="AQ168" i="2"/>
  <c r="AQ96" i="2"/>
  <c r="AQ220" i="2"/>
  <c r="AQ262" i="2"/>
  <c r="AU262" i="2" s="1"/>
  <c r="AQ140" i="2"/>
  <c r="AQ92" i="2"/>
  <c r="AU92" i="2" s="1"/>
  <c r="AQ297" i="2"/>
  <c r="AQ291" i="2"/>
  <c r="AQ17" i="2"/>
  <c r="AV150" i="2"/>
  <c r="AQ150" i="2"/>
  <c r="AV184" i="2"/>
  <c r="AY184" i="2" s="1"/>
  <c r="AV120" i="2"/>
  <c r="AQ153" i="2"/>
  <c r="AU153" i="2" s="1"/>
  <c r="AQ222" i="2"/>
  <c r="AV93" i="2"/>
  <c r="AQ175" i="2"/>
  <c r="AV11" i="2"/>
  <c r="AQ81" i="2"/>
  <c r="AV268" i="2"/>
  <c r="AY268" i="2" s="1"/>
  <c r="AQ11" i="2"/>
  <c r="AQ26" i="2"/>
  <c r="AU26" i="2" s="1"/>
  <c r="AQ120" i="2"/>
  <c r="AU120" i="2" s="1"/>
  <c r="AQ55" i="2"/>
  <c r="AQ209" i="2"/>
  <c r="AQ50" i="2"/>
  <c r="AQ30" i="2"/>
  <c r="AQ258" i="2"/>
  <c r="AQ42" i="2"/>
  <c r="AQ223" i="2"/>
  <c r="AQ14" i="2"/>
  <c r="AQ73" i="2"/>
  <c r="AQ83" i="2"/>
  <c r="AU83" i="2" s="1"/>
  <c r="AV59" i="2"/>
  <c r="AQ189" i="2"/>
  <c r="AQ103" i="2"/>
  <c r="AU103" i="2" s="1"/>
  <c r="AV14" i="2"/>
  <c r="AY14" i="2" s="1"/>
  <c r="AV171" i="2"/>
  <c r="AV28" i="2"/>
  <c r="AY28" i="2" s="1"/>
  <c r="AQ61" i="2"/>
  <c r="AQ93" i="2"/>
  <c r="AQ166" i="2"/>
  <c r="AQ184" i="2"/>
  <c r="AQ62" i="2"/>
  <c r="AQ99" i="2"/>
  <c r="AU99" i="2" s="1"/>
  <c r="AV99" i="2"/>
  <c r="AV73" i="2"/>
  <c r="AY73" i="2" s="1"/>
  <c r="AV50" i="2"/>
  <c r="AV103" i="2"/>
  <c r="AV209" i="2"/>
  <c r="AQ129" i="2"/>
  <c r="AV224" i="2"/>
  <c r="AQ76" i="2"/>
  <c r="AU76" i="2" s="1"/>
  <c r="AQ80" i="2"/>
  <c r="AV225" i="2"/>
  <c r="AY225" i="2" s="1"/>
  <c r="AQ268" i="2"/>
  <c r="AQ106" i="2"/>
  <c r="AU106" i="2" s="1"/>
  <c r="AQ59" i="2"/>
  <c r="AQ224" i="2"/>
  <c r="AU224" i="2" s="1"/>
  <c r="AQ28" i="2"/>
  <c r="AQ158" i="2"/>
  <c r="AQ183" i="2"/>
  <c r="AV122" i="2"/>
  <c r="AY122" i="2" s="1"/>
  <c r="AQ123" i="2"/>
  <c r="AQ260" i="2"/>
  <c r="AQ91" i="2"/>
  <c r="AQ22" i="2"/>
  <c r="AV136" i="2"/>
  <c r="AQ34" i="2"/>
  <c r="AU34" i="2" s="1"/>
  <c r="AQ176" i="2"/>
  <c r="AV296" i="2"/>
  <c r="AV76" i="2"/>
  <c r="AY76" i="2" s="1"/>
  <c r="AQ192" i="2"/>
  <c r="AV162" i="2"/>
  <c r="AQ74" i="2"/>
  <c r="AV174" i="2"/>
  <c r="AY174" i="2" s="1"/>
  <c r="AQ187" i="2"/>
  <c r="AQ294" i="2"/>
  <c r="AV92" i="2"/>
  <c r="AQ160" i="2"/>
  <c r="AQ208" i="2"/>
  <c r="AV9" i="2"/>
  <c r="AV98" i="2"/>
  <c r="AV20" i="2"/>
  <c r="AY20" i="2" s="1"/>
  <c r="AQ9" i="2"/>
  <c r="AQ136" i="2"/>
  <c r="AQ162" i="2"/>
  <c r="AQ20" i="2"/>
  <c r="AU20" i="2" s="1"/>
  <c r="AQ180" i="2"/>
  <c r="AQ98" i="2"/>
  <c r="AQ119" i="2"/>
  <c r="AQ186" i="2"/>
  <c r="AQ122" i="2"/>
  <c r="AV189" i="2"/>
  <c r="AY189" i="2" s="1"/>
  <c r="AQ225" i="2"/>
  <c r="AV61" i="2"/>
  <c r="AY61" i="2" s="1"/>
  <c r="AQ174" i="2"/>
  <c r="AQ23" i="2"/>
  <c r="AJ310" i="2"/>
  <c r="S14" i="3"/>
  <c r="U14" i="3"/>
  <c r="R20" i="3"/>
  <c r="W14" i="3"/>
  <c r="Q20" i="3"/>
  <c r="U20" i="3"/>
  <c r="S20" i="3"/>
  <c r="T20" i="3"/>
  <c r="Q14" i="3"/>
  <c r="Y14" i="3" s="1"/>
  <c r="T14" i="3"/>
  <c r="Y17" i="3"/>
  <c r="AQ141" i="2"/>
  <c r="AV40" i="2"/>
  <c r="AQ308" i="2"/>
  <c r="AQ40" i="2"/>
  <c r="AU40" i="2" s="1"/>
  <c r="AQ89" i="2"/>
  <c r="X17" i="3"/>
  <c r="AQ47" i="2"/>
  <c r="AV47" i="2"/>
  <c r="AQ48" i="2"/>
  <c r="AQ309" i="2"/>
  <c r="AV309" i="2"/>
  <c r="G313" i="2"/>
  <c r="H312" i="2"/>
  <c r="P311" i="2"/>
  <c r="AD311" i="2"/>
  <c r="O311" i="2"/>
  <c r="AY40" i="2" l="1"/>
  <c r="AY162" i="2"/>
  <c r="AY11" i="2"/>
  <c r="AY292" i="2"/>
  <c r="AY220" i="2"/>
  <c r="AY150" i="2"/>
  <c r="AY9" i="2"/>
  <c r="AY153" i="2"/>
  <c r="AU55" i="2"/>
  <c r="AU158" i="2"/>
  <c r="AU14" i="2"/>
  <c r="AU22" i="2"/>
  <c r="AU98" i="2"/>
  <c r="AU129" i="2"/>
  <c r="AU189" i="2"/>
  <c r="AU30" i="2"/>
  <c r="AU123" i="2"/>
  <c r="AU162" i="2"/>
  <c r="AY98" i="2"/>
  <c r="AV140" i="2"/>
  <c r="AU91" i="2"/>
  <c r="AV123" i="2"/>
  <c r="AY123" i="2" s="1"/>
  <c r="AV175" i="2"/>
  <c r="AY175" i="2" s="1"/>
  <c r="AV35" i="2"/>
  <c r="AY35" i="2" s="1"/>
  <c r="AY36" i="2"/>
  <c r="AY46" i="2"/>
  <c r="AU134" i="2"/>
  <c r="AU290" i="2"/>
  <c r="AU183" i="2"/>
  <c r="AU42" i="2"/>
  <c r="AU136" i="2"/>
  <c r="AU122" i="2"/>
  <c r="AU119" i="2"/>
  <c r="AU17" i="2"/>
  <c r="AU89" i="2"/>
  <c r="AU96" i="2"/>
  <c r="AU33" i="2"/>
  <c r="AU186" i="2"/>
  <c r="AY295" i="2"/>
  <c r="AU160" i="2"/>
  <c r="AU172" i="2"/>
  <c r="AY258" i="2"/>
  <c r="AU166" i="2"/>
  <c r="AY308" i="2"/>
  <c r="AU308" i="2"/>
  <c r="AU174" i="2"/>
  <c r="AY92" i="2"/>
  <c r="AY296" i="2"/>
  <c r="AY209" i="2"/>
  <c r="AY99" i="2"/>
  <c r="AV166" i="2"/>
  <c r="AY166" i="2" s="1"/>
  <c r="AU61" i="2"/>
  <c r="AY59" i="2"/>
  <c r="AU50" i="2"/>
  <c r="AV172" i="2"/>
  <c r="AY172" i="2" s="1"/>
  <c r="AV62" i="2"/>
  <c r="AY62" i="2" s="1"/>
  <c r="AY91" i="2"/>
  <c r="AY187" i="2"/>
  <c r="AU193" i="2"/>
  <c r="AY140" i="2"/>
  <c r="AY50" i="2"/>
  <c r="AY134" i="2"/>
  <c r="AY103" i="2"/>
  <c r="AY154" i="2"/>
  <c r="AY93" i="2"/>
  <c r="AY208" i="2"/>
  <c r="AY49" i="2"/>
  <c r="AY80" i="2"/>
  <c r="AY224" i="2"/>
  <c r="AV30" i="2"/>
  <c r="AY30" i="2" s="1"/>
  <c r="AY309" i="2"/>
  <c r="AY119" i="2"/>
  <c r="AY171" i="2"/>
  <c r="AY106" i="2"/>
  <c r="AY47" i="2"/>
  <c r="AU23" i="2"/>
  <c r="AU141" i="2"/>
  <c r="AU176" i="2"/>
  <c r="AY193" i="2"/>
  <c r="AU180" i="2"/>
  <c r="AU291" i="2"/>
  <c r="AU223" i="2"/>
  <c r="AU295" i="2"/>
  <c r="AU258" i="2"/>
  <c r="AV141" i="2"/>
  <c r="AY141" i="2" s="1"/>
  <c r="AV74" i="2"/>
  <c r="AY74" i="2" s="1"/>
  <c r="AV160" i="2"/>
  <c r="AY160" i="2" s="1"/>
  <c r="AV192" i="2"/>
  <c r="AY192" i="2" s="1"/>
  <c r="AV55" i="2"/>
  <c r="AY55" i="2" s="1"/>
  <c r="AV222" i="2"/>
  <c r="AY222" i="2" s="1"/>
  <c r="AV81" i="2"/>
  <c r="AY81" i="2" s="1"/>
  <c r="AV42" i="2"/>
  <c r="AY42" i="2" s="1"/>
  <c r="AV96" i="2"/>
  <c r="AY96" i="2" s="1"/>
  <c r="AU48" i="2"/>
  <c r="AU260" i="2"/>
  <c r="AU225" i="2"/>
  <c r="AU268" i="2"/>
  <c r="AU292" i="2"/>
  <c r="AU279" i="2"/>
  <c r="AV23" i="2"/>
  <c r="AY23" i="2" s="1"/>
  <c r="AV186" i="2"/>
  <c r="AY186" i="2" s="1"/>
  <c r="AV33" i="2"/>
  <c r="AY33" i="2" s="1"/>
  <c r="AV297" i="2"/>
  <c r="AY297" i="2" s="1"/>
  <c r="AV168" i="2"/>
  <c r="AY168" i="2" s="1"/>
  <c r="AU209" i="2"/>
  <c r="AV89" i="2"/>
  <c r="AY89" i="2" s="1"/>
  <c r="AR310" i="2"/>
  <c r="AP310" i="2"/>
  <c r="AV158" i="2"/>
  <c r="AY158" i="2" s="1"/>
  <c r="AV129" i="2"/>
  <c r="AY129" i="2" s="1"/>
  <c r="AV215" i="2"/>
  <c r="AY215" i="2" s="1"/>
  <c r="AV183" i="2"/>
  <c r="AY183" i="2" s="1"/>
  <c r="AV290" i="2"/>
  <c r="AY290" i="2" s="1"/>
  <c r="AV279" i="2"/>
  <c r="AY279" i="2" s="1"/>
  <c r="AV291" i="2"/>
  <c r="AY291" i="2" s="1"/>
  <c r="AU227" i="2"/>
  <c r="AU296" i="2"/>
  <c r="AU294" i="2"/>
  <c r="AU220" i="2"/>
  <c r="AX310" i="2"/>
  <c r="AW310" i="2"/>
  <c r="AO312" i="2"/>
  <c r="Y20" i="3"/>
  <c r="AJ311" i="2"/>
  <c r="X14" i="3"/>
  <c r="X20" i="3"/>
  <c r="AQ310" i="2"/>
  <c r="AV310" i="2"/>
  <c r="AY310" i="2" s="1"/>
  <c r="P312" i="2"/>
  <c r="O312" i="2"/>
  <c r="AD312" i="2"/>
  <c r="G314" i="2"/>
  <c r="H313" i="2"/>
  <c r="AU310" i="2" l="1"/>
  <c r="AU311" i="2"/>
  <c r="AR311" i="2"/>
  <c r="AP311" i="2"/>
  <c r="AV311" i="2" s="1"/>
  <c r="AX311" i="2"/>
  <c r="AW311" i="2"/>
  <c r="AO313" i="2"/>
  <c r="AJ312" i="2"/>
  <c r="AQ311" i="2"/>
  <c r="AD313" i="2"/>
  <c r="O313" i="2"/>
  <c r="P313" i="2"/>
  <c r="H314" i="2"/>
  <c r="G315" i="2"/>
  <c r="AY311" i="2" l="1"/>
  <c r="AP312" i="2"/>
  <c r="AR312" i="2"/>
  <c r="AX312" i="2"/>
  <c r="AW312" i="2"/>
  <c r="AO314" i="2"/>
  <c r="AJ313" i="2"/>
  <c r="AQ312" i="2"/>
  <c r="H315" i="2"/>
  <c r="G316" i="2"/>
  <c r="AD314" i="2"/>
  <c r="O314" i="2"/>
  <c r="P314" i="2"/>
  <c r="AU312" i="2" l="1"/>
  <c r="AR313" i="2"/>
  <c r="AP313" i="2"/>
  <c r="AV312" i="2"/>
  <c r="AY312" i="2" s="1"/>
  <c r="AW313" i="2"/>
  <c r="AX313" i="2"/>
  <c r="AO315" i="2"/>
  <c r="AJ314" i="2"/>
  <c r="AQ313" i="2"/>
  <c r="AD315" i="2"/>
  <c r="O315" i="2"/>
  <c r="P315" i="2"/>
  <c r="H316" i="2"/>
  <c r="G317" i="2"/>
  <c r="AU313" i="2" l="1"/>
  <c r="AV313" i="2"/>
  <c r="AY313" i="2" s="1"/>
  <c r="AR314" i="2"/>
  <c r="AP314" i="2"/>
  <c r="AV314" i="2" s="1"/>
  <c r="AY314" i="2" s="1"/>
  <c r="AX314" i="2"/>
  <c r="AW314" i="2"/>
  <c r="AO316" i="2"/>
  <c r="AJ315" i="2"/>
  <c r="AQ314" i="2"/>
  <c r="AD316" i="2"/>
  <c r="O316" i="2"/>
  <c r="P316" i="2"/>
  <c r="H317" i="2"/>
  <c r="G318" i="2"/>
  <c r="AU314" i="2" l="1"/>
  <c r="AR315" i="2"/>
  <c r="AP315" i="2"/>
  <c r="AX315" i="2"/>
  <c r="AW315" i="2"/>
  <c r="AO317" i="2"/>
  <c r="AJ316" i="2"/>
  <c r="AQ315" i="2"/>
  <c r="AD317" i="2"/>
  <c r="O317" i="2"/>
  <c r="P317" i="2"/>
  <c r="H318" i="2"/>
  <c r="G319" i="2"/>
  <c r="AU315" i="2" l="1"/>
  <c r="AR316" i="2"/>
  <c r="AP316" i="2"/>
  <c r="AV315" i="2"/>
  <c r="AY315" i="2" s="1"/>
  <c r="AX316" i="2"/>
  <c r="AW316" i="2"/>
  <c r="AO318" i="2"/>
  <c r="AJ317" i="2"/>
  <c r="AV316" i="2"/>
  <c r="AQ316" i="2"/>
  <c r="AD318" i="2"/>
  <c r="O318" i="2"/>
  <c r="P318" i="2"/>
  <c r="G320" i="2"/>
  <c r="H319" i="2"/>
  <c r="AU316" i="2" l="1"/>
  <c r="AY316" i="2"/>
  <c r="AR317" i="2"/>
  <c r="AP317" i="2"/>
  <c r="AU317" i="2" s="1"/>
  <c r="AW317" i="2"/>
  <c r="AX317" i="2"/>
  <c r="AO319" i="2"/>
  <c r="AJ318" i="2"/>
  <c r="AV317" i="2"/>
  <c r="AY317" i="2" s="1"/>
  <c r="AQ317" i="2"/>
  <c r="H320" i="2"/>
  <c r="G321" i="2"/>
  <c r="AD319" i="2"/>
  <c r="O319" i="2"/>
  <c r="P319" i="2"/>
  <c r="AR318" i="2" l="1"/>
  <c r="AP318" i="2"/>
  <c r="AX318" i="2"/>
  <c r="AW318" i="2"/>
  <c r="AO320" i="2"/>
  <c r="AJ319" i="2"/>
  <c r="AQ318" i="2"/>
  <c r="AV318" i="2"/>
  <c r="AY318" i="2" s="1"/>
  <c r="AD320" i="2"/>
  <c r="O320" i="2"/>
  <c r="P320" i="2"/>
  <c r="H321" i="2"/>
  <c r="G322" i="2"/>
  <c r="H322" i="2" s="1"/>
  <c r="AU318" i="2" l="1"/>
  <c r="AR319" i="2"/>
  <c r="AP319" i="2"/>
  <c r="AX319" i="2"/>
  <c r="AW319" i="2"/>
  <c r="AO321" i="2"/>
  <c r="AJ320" i="2"/>
  <c r="AQ319" i="2"/>
  <c r="AD321" i="2"/>
  <c r="O321" i="2"/>
  <c r="P321" i="2"/>
  <c r="AD322" i="2"/>
  <c r="O322" i="2"/>
  <c r="P322" i="2"/>
  <c r="AU319" i="2" l="1"/>
  <c r="AR320" i="2"/>
  <c r="AP320" i="2"/>
  <c r="AV319" i="2"/>
  <c r="AY319" i="2" s="1"/>
  <c r="AX320" i="2"/>
  <c r="AW320" i="2"/>
  <c r="AO322" i="2"/>
  <c r="AJ321" i="2"/>
  <c r="AJ322" i="2"/>
  <c r="AQ320" i="2"/>
  <c r="AV320" i="2"/>
  <c r="AY320" i="2" l="1"/>
  <c r="AU320" i="2"/>
  <c r="AR322" i="2"/>
  <c r="AP322" i="2"/>
  <c r="AU322" i="2" s="1"/>
  <c r="AR321" i="2"/>
  <c r="AP321" i="2"/>
  <c r="AX322" i="2"/>
  <c r="AW322" i="2"/>
  <c r="AW321" i="2"/>
  <c r="AX321" i="2"/>
  <c r="AQ321" i="2"/>
  <c r="AU321" i="2" s="1"/>
  <c r="AV321" i="2"/>
  <c r="AQ322" i="2"/>
  <c r="AY321" i="2" l="1"/>
  <c r="AV322" i="2"/>
  <c r="AY322" i="2" s="1"/>
  <c r="AJ31" i="2"/>
  <c r="AR31" i="2" l="1"/>
  <c r="AP31" i="2"/>
  <c r="AQ31" i="2"/>
  <c r="AX31" i="2"/>
  <c r="AW31" i="2"/>
  <c r="AU31" i="2" l="1"/>
  <c r="AV31" i="2"/>
  <c r="AY31" i="2" s="1"/>
</calcChain>
</file>

<file path=xl/sharedStrings.xml><?xml version="1.0" encoding="utf-8"?>
<sst xmlns="http://schemas.openxmlformats.org/spreadsheetml/2006/main" count="1287" uniqueCount="666">
  <si>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</si>
  <si>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</si>
  <si>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</si>
  <si>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</si>
  <si>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</si>
  <si>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</si>
  <si>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</si>
  <si>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</si>
  <si>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</si>
  <si>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</si>
  <si>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</si>
  <si>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</si>
  <si>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</si>
  <si>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</si>
  <si>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</si>
  <si>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</si>
  <si>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</si>
  <si>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</si>
  <si>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</si>
  <si>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</si>
  <si>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</si>
  <si>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</si>
  <si>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</si>
  <si>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</si>
  <si>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</si>
  <si>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</si>
  <si>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</si>
  <si>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</si>
  <si>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</si>
  <si>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</si>
  <si>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</si>
  <si>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</si>
  <si>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</si>
  <si>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</si>
  <si>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</si>
  <si>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</si>
  <si>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</si>
  <si>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</si>
  <si>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</si>
  <si>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</si>
  <si>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</si>
  <si>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</si>
  <si>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</si>
  <si>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</si>
  <si>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</si>
  <si>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</si>
  <si>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</si>
  <si>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</si>
  <si>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</si>
  <si>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</si>
  <si>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</si>
  <si>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</si>
  <si>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</si>
  <si>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</si>
  <si>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</si>
  <si>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</si>
  <si>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</si>
  <si>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</si>
  <si>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</si>
  <si>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</si>
  <si>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</si>
  <si>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</si>
  <si>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</si>
  <si>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</si>
  <si>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</si>
  <si>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</si>
  <si>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</si>
  <si>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</si>
  <si>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</si>
  <si>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</si>
  <si>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</si>
  <si>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</si>
  <si>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</si>
  <si>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</si>
  <si>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</si>
  <si>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</si>
  <si>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</si>
  <si>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</si>
  <si>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</si>
  <si>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</si>
  <si>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</si>
  <si>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</si>
  <si>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</si>
  <si>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</si>
  <si>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</si>
  <si>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</si>
  <si>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</si>
  <si>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</si>
  <si>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</si>
  <si>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</si>
  <si>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</si>
  <si>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</si>
  <si>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</si>
  <si>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</si>
  <si>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</si>
  <si>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</si>
  <si>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</si>
  <si>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</si>
  <si>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</si>
  <si>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</si>
  <si>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</si>
  <si>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</si>
  <si>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</si>
  <si>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</si>
  <si>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</si>
  <si>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</si>
  <si>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</si>
  <si>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</si>
  <si>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</si>
  <si>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</si>
  <si>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</si>
  <si>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</si>
  <si>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</si>
  <si>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</si>
  <si>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</si>
  <si>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</si>
  <si>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</si>
  <si>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</si>
  <si>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</si>
  <si>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</si>
  <si>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</si>
  <si>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</si>
  <si>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</si>
  <si>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</si>
  <si>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</si>
  <si>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</si>
  <si>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</si>
  <si>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</si>
  <si>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</si>
  <si>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</si>
  <si>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</si>
  <si>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</si>
  <si>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</si>
  <si>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</si>
  <si>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</si>
  <si>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</si>
  <si>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</si>
  <si>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</si>
  <si>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</si>
  <si>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</si>
  <si>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</si>
  <si>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</si>
  <si>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</si>
  <si>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</si>
  <si>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</si>
  <si>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</si>
  <si>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</si>
  <si>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</si>
  <si>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</si>
  <si>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</si>
  <si>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</si>
  <si>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</si>
  <si>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</si>
  <si>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</si>
  <si>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</si>
  <si>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</si>
  <si>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</si>
  <si>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</si>
  <si>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</si>
  <si>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</si>
  <si>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</si>
  <si>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</si>
  <si>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</si>
  <si>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</si>
  <si>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</si>
  <si>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</si>
  <si>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</si>
  <si>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</si>
  <si>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</si>
  <si>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</si>
  <si>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</si>
  <si>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</si>
  <si>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</si>
  <si>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</si>
  <si>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</si>
  <si>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</si>
  <si>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</si>
  <si>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</si>
  <si>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</si>
  <si>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</si>
  <si>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</si>
  <si>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</si>
  <si>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</si>
  <si>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</si>
  <si>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</si>
  <si>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</si>
  <si>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</si>
  <si>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</si>
  <si>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</si>
  <si>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</si>
  <si>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</si>
  <si>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</si>
  <si>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</si>
  <si>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</si>
  <si>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</si>
  <si>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</si>
  <si>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</si>
  <si>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</si>
  <si>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</si>
  <si>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</si>
  <si>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</si>
  <si>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</si>
  <si>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</si>
  <si>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</si>
  <si>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</si>
  <si>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</si>
  <si>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</si>
  <si>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</si>
  <si>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</si>
  <si>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</si>
  <si>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</si>
  <si>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</si>
  <si>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</si>
  <si>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</si>
  <si>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</si>
  <si>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</si>
  <si>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</si>
  <si>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</si>
  <si>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</si>
  <si>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</si>
  <si>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</si>
  <si>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</si>
  <si>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</si>
  <si>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</si>
  <si>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</si>
  <si>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</si>
  <si>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</si>
  <si>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</si>
  <si>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</si>
  <si>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</si>
  <si>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</si>
  <si>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</si>
  <si>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</si>
  <si>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</si>
  <si>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</si>
  <si>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</si>
  <si>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</si>
  <si>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</si>
  <si>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</si>
  <si>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</si>
  <si>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</si>
  <si>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</si>
  <si>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</si>
  <si>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</si>
  <si>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</si>
  <si>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</si>
  <si>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</si>
  <si>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</si>
  <si>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</si>
  <si>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</si>
  <si>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</si>
  <si>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</si>
  <si>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</si>
  <si>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</si>
  <si>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</si>
  <si>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</si>
  <si>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</si>
  <si>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</si>
  <si>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</si>
  <si>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</si>
  <si>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</si>
  <si>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</si>
  <si>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</si>
  <si>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</si>
  <si>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</si>
  <si>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</si>
  <si>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</si>
  <si>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</si>
  <si>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</si>
  <si>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</si>
  <si>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</si>
  <si>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</si>
  <si>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</si>
  <si>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</si>
  <si>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</si>
  <si>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</si>
  <si>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</si>
  <si>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</si>
  <si>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</si>
  <si>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</si>
  <si>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</si>
  <si>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</si>
  <si>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</si>
  <si>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</si>
  <si>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</si>
  <si>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</si>
  <si>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</si>
  <si>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</si>
  <si>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</si>
  <si>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</si>
  <si>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</si>
  <si>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</si>
  <si>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</si>
  <si>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</si>
  <si>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</si>
  <si>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</si>
  <si>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</si>
  <si>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</si>
  <si>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</si>
  <si>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</si>
  <si>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</si>
  <si>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</si>
  <si>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</si>
  <si>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</si>
  <si>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</si>
  <si>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</si>
  <si>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</si>
  <si>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</si>
  <si>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</si>
  <si>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</si>
  <si>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</si>
  <si>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</si>
  <si>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</si>
  <si>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</si>
  <si>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</si>
  <si>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</si>
  <si>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</si>
  <si>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</si>
  <si>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</si>
  <si>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</si>
  <si>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</si>
  <si>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</si>
  <si>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</si>
  <si>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</si>
  <si>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</si>
  <si>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</si>
  <si>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</si>
  <si>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</si>
  <si>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</si>
  <si>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</si>
  <si>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</si>
  <si>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</si>
  <si>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</si>
  <si>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</si>
  <si>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</si>
  <si>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</si>
  <si>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</si>
  <si>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</si>
  <si>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</si>
  <si>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</si>
  <si>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</si>
  <si>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</si>
  <si>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</si>
  <si>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</si>
  <si>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</si>
  <si>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</si>
  <si>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</si>
  <si>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</si>
  <si>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</si>
  <si>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</si>
  <si>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</si>
  <si>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</si>
  <si>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</si>
  <si>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</si>
  <si>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</si>
  <si>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</si>
  <si>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</si>
  <si>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</si>
  <si>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</si>
  <si>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</si>
  <si>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</si>
  <si>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</si>
  <si>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</si>
  <si>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</si>
  <si>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</si>
  <si>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</si>
  <si>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</si>
  <si>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</si>
  <si>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</si>
  <si>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</si>
  <si>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</si>
  <si>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</si>
  <si>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</si>
  <si>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</si>
  <si>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</si>
  <si>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</si>
  <si>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</si>
  <si>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</si>
  <si>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</si>
  <si>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</si>
  <si>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</si>
  <si>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</si>
  <si>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</si>
  <si>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</si>
  <si>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</si>
  <si>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</si>
  <si>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</si>
  <si>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</si>
  <si>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</si>
  <si>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</si>
  <si>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</si>
  <si>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</si>
  <si>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</si>
  <si>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</si>
  <si>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</si>
  <si>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</si>
  <si>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</si>
  <si>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</si>
  <si>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</si>
  <si>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</si>
  <si>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</si>
  <si>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</si>
  <si>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</si>
  <si>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</si>
  <si>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</si>
  <si>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</si>
  <si>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</si>
  <si>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</si>
  <si>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</si>
  <si>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</si>
  <si>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</si>
  <si>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</si>
  <si>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</si>
  <si>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</si>
  <si>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</si>
  <si>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</si>
  <si>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</si>
  <si>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</si>
  <si>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</si>
  <si>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</si>
  <si>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</si>
  <si>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</si>
  <si>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</si>
  <si>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</si>
  <si>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</si>
  <si>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</si>
  <si>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</si>
  <si>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</si>
  <si>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</si>
  <si>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</si>
  <si>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</si>
  <si>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</si>
  <si>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</si>
  <si>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</si>
  <si>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</si>
  <si>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</si>
  <si>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</si>
  <si>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</si>
  <si>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</si>
  <si>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</si>
  <si>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</si>
  <si>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</si>
  <si>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</si>
  <si>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</si>
  <si>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</si>
  <si>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</si>
  <si>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</si>
  <si>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</si>
  <si>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</si>
  <si>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</si>
  <si>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</si>
  <si>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</si>
  <si>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</si>
  <si>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</si>
  <si>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</si>
  <si>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</si>
  <si>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</si>
  <si>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</si>
  <si>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</si>
  <si>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</si>
  <si>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</si>
  <si>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</si>
  <si>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</si>
  <si>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</si>
  <si>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</si>
  <si>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</si>
  <si>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</si>
  <si>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</si>
  <si>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</si>
  <si>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</si>
  <si>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</si>
  <si>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</si>
  <si>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</si>
  <si>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</si>
  <si>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</si>
  <si>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</si>
  <si>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</si>
  <si>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</si>
  <si>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</si>
  <si>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</si>
  <si>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</si>
  <si>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</si>
  <si>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</si>
  <si>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</si>
  <si>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</si>
  <si>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</si>
  <si>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</si>
  <si>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</si>
  <si>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</si>
  <si>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</si>
  <si>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</si>
  <si>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</si>
  <si>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</si>
  <si>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</si>
  <si>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</si>
  <si>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</si>
  <si>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</si>
  <si>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</si>
  <si>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</si>
  <si>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</si>
  <si>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</si>
  <si>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</si>
  <si>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</si>
  <si>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</si>
  <si>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</si>
  <si>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</si>
  <si>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</si>
  <si>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</si>
  <si>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</si>
  <si>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</si>
  <si>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</si>
  <si>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</si>
  <si>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</si>
  <si>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</si>
  <si>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</si>
  <si>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</si>
  <si>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</si>
  <si>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</si>
  <si>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</si>
  <si>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</si>
  <si>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</si>
  <si>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</si>
  <si>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</si>
  <si>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</si>
  <si>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</si>
  <si>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</si>
  <si>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</si>
  <si>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</si>
  <si>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</si>
  <si>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</si>
  <si>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</si>
  <si>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</si>
  <si>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</si>
  <si>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</si>
  <si>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</si>
  <si>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</si>
  <si>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</si>
  <si>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</si>
  <si>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</si>
  <si>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</si>
  <si>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</si>
  <si>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</si>
  <si>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</si>
  <si>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</si>
  <si>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</si>
  <si>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</si>
  <si>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</si>
  <si>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</si>
  <si>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</si>
  <si>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</si>
  <si>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</si>
  <si>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</si>
  <si>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</si>
  <si>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</si>
  <si>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</si>
  <si>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</si>
  <si>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</si>
  <si>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</si>
  <si>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</si>
  <si>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</si>
  <si>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</si>
  <si>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</si>
  <si>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</si>
  <si>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</si>
  <si>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</si>
  <si>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</si>
  <si>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</si>
  <si>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</si>
  <si>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</si>
  <si>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</si>
  <si>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</si>
  <si>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</si>
  <si>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</si>
  <si>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</si>
  <si>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</si>
  <si>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</si>
  <si>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</si>
  <si>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</si>
  <si>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</si>
  <si>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</si>
  <si>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</si>
  <si>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</si>
  <si>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</si>
  <si>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</si>
  <si>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</si>
  <si>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</si>
  <si>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</si>
  <si>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</si>
  <si>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</si>
  <si>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</si>
  <si>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</si>
  <si>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</si>
  <si>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</si>
  <si>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</si>
  <si>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</si>
  <si>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</si>
  <si>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</si>
  <si>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</si>
  <si>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</si>
  <si>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</si>
  <si>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</si>
  <si>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</si>
  <si>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</si>
  <si>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</si>
  <si>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</si>
  <si>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</si>
  <si>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</si>
  <si>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</si>
  <si>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</si>
  <si>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</si>
  <si>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</si>
  <si>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</si>
  <si>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</si>
  <si>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</si>
  <si>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</si>
  <si>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</si>
  <si>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</si>
  <si>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</si>
  <si>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</si>
  <si>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</si>
  <si>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</si>
  <si>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</si>
  <si>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</si>
  <si>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</si>
  <si>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</si>
  <si>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</si>
  <si>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</si>
  <si>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</si>
  <si>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</si>
  <si>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</si>
  <si>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</si>
  <si>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</si>
  <si>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</si>
  <si>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</si>
  <si>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</si>
  <si>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</si>
  <si>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</si>
  <si>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</si>
  <si>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</si>
  <si>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</si>
  <si>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</si>
  <si>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</si>
  <si>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</si>
  <si>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</si>
  <si>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</si>
  <si>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</si>
  <si>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</si>
  <si>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</si>
  <si>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</si>
  <si>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</si>
  <si>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</si>
  <si>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</si>
  <si>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</si>
  <si>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</si>
  <si>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</si>
  <si>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</si>
  <si>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</si>
  <si>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</si>
  <si>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</si>
  <si>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</si>
  <si>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SEPTIEMBRE - 2021</t>
  </si>
  <si>
    <t>Prima Seguro Vida Obligatorio IPS</t>
  </si>
  <si>
    <t>Gestión Pública</t>
  </si>
  <si>
    <t>LIQUIDO C/ OS DIPE</t>
  </si>
  <si>
    <t>Gestión Privada</t>
  </si>
  <si>
    <t>Aporte O S DIPE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</si>
</sst>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5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170" fontId="11" fillId="0" borderId="0" xfId="3" applyNumberFormat="1" applyBorder="1"/>
    <xf numFmtId="165" fontId="15" fillId="8" borderId="1" xfId="5" quotePrefix="1" applyNumberFormat="1" applyFont="1" applyFill="1" applyBorder="1" applyAlignment="1">
      <alignment horizontal="center" vertical="center" wrapText="1"/>
    </xf>
    <xf numFmtId="165" fontId="15" fillId="0" borderId="11" xfId="5" applyNumberFormat="1" applyFont="1" applyBorder="1" applyAlignment="1">
      <alignment horizontal="center" vertical="center"/>
    </xf>
    <xf numFmtId="165" fontId="13" fillId="0" borderId="11" xfId="5" applyNumberFormat="1" applyFont="1" applyBorder="1" applyAlignment="1">
      <alignment horizontal="center" vertical="center"/>
    </xf>
    <xf numFmtId="175" fontId="26" fillId="0" borderId="15" xfId="2" applyNumberFormat="1" applyFont="1" applyBorder="1" applyAlignment="1" applyProtection="1">
      <alignment horizontal="center" vertical="center"/>
    </xf>
    <xf numFmtId="175" fontId="26" fillId="0" borderId="16" xfId="2" applyNumberFormat="1" applyFont="1" applyBorder="1" applyAlignment="1" applyProtection="1">
      <alignment horizontal="center" vertical="center"/>
    </xf>
    <xf numFmtId="175" fontId="26" fillId="0" borderId="9" xfId="2" applyNumberFormat="1" applyFont="1" applyBorder="1" applyAlignment="1" applyProtection="1">
      <alignment horizontal="center" vertical="center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157162</xdr:colOff>
      <xdr:row>0</xdr:row>
      <xdr:rowOff>16486</xdr:rowOff>
    </xdr:from>
    <xdr:to>
      <xdr:col>29</xdr:col>
      <xdr:colOff>385176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33" zoomScaleNormal="100" workbookViewId="0">
      <selection activeCell="C38" sqref="C38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634</v>
      </c>
      <c r="H1" s="1"/>
      <c r="I1" s="1" t="s">
        <v>2</v>
      </c>
      <c r="J1" s="1" t="s">
        <v>3</v>
      </c>
      <c r="L1" s="177">
        <v>0</v>
      </c>
    </row>
    <row r="2" spans="1:12" s="81" customFormat="1" x14ac:dyDescent="0.2">
      <c r="A2" s="80" t="s">
        <v>4</v>
      </c>
      <c r="B2" s="81" t="s">
        <v>5</v>
      </c>
      <c r="C2">
        <v>12.4267</v>
      </c>
      <c r="G2" s="83"/>
      <c r="I2" s="81">
        <v>0</v>
      </c>
      <c r="J2" s="84">
        <v>0</v>
      </c>
      <c r="L2" s="178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78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8">
        <f>('Escala Docente'!H144*0.4*100)/100</f>
        <v>6352.5280000000002</v>
      </c>
      <c r="E4" s="98">
        <f>D4/15</f>
        <v>423.50186666666667</v>
      </c>
      <c r="F4" s="85"/>
      <c r="G4" s="85"/>
      <c r="H4" s="85"/>
      <c r="I4" s="81">
        <v>2</v>
      </c>
      <c r="J4" s="84">
        <v>0.15</v>
      </c>
      <c r="L4" s="179">
        <v>3</v>
      </c>
    </row>
    <row r="5" spans="1:12" s="81" customFormat="1" x14ac:dyDescent="0.2">
      <c r="A5" s="86" t="s">
        <v>633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79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79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78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79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79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79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633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13" t="s">
        <v>4</v>
      </c>
      <c r="B14" s="214" t="s">
        <v>16</v>
      </c>
      <c r="C14" s="211">
        <v>421.42</v>
      </c>
      <c r="D14" s="98"/>
      <c r="E14" s="84"/>
      <c r="I14" s="81">
        <v>12</v>
      </c>
      <c r="J14" s="84">
        <v>0.6</v>
      </c>
    </row>
    <row r="15" spans="1:12" s="81" customFormat="1" x14ac:dyDescent="0.2">
      <c r="A15" s="213" t="s">
        <v>4</v>
      </c>
      <c r="B15" s="215" t="s">
        <v>17</v>
      </c>
      <c r="C15" s="211">
        <v>12990.26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">
      <c r="A16" s="213" t="s">
        <v>4</v>
      </c>
      <c r="B16" s="215" t="s">
        <v>18</v>
      </c>
      <c r="C16" s="105">
        <v>13030.51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">
      <c r="A17" s="213" t="s">
        <v>4</v>
      </c>
      <c r="B17" s="215" t="s">
        <v>651</v>
      </c>
      <c r="C17" s="105">
        <v>11080.51</v>
      </c>
      <c r="D17" s="98"/>
      <c r="E17" s="84"/>
      <c r="F17" s="90"/>
      <c r="J17" s="84"/>
    </row>
    <row r="18" spans="1:10" s="81" customFormat="1" x14ac:dyDescent="0.2">
      <c r="A18" s="213" t="s">
        <v>4</v>
      </c>
      <c r="B18" s="215" t="s">
        <v>19</v>
      </c>
      <c r="C18" s="105">
        <v>12491.374000000002</v>
      </c>
      <c r="D18" s="98"/>
      <c r="E18" s="84"/>
      <c r="F18" s="90"/>
      <c r="G18" s="220"/>
      <c r="H18" s="85"/>
      <c r="I18" s="81">
        <v>15</v>
      </c>
      <c r="J18" s="84">
        <v>0.7</v>
      </c>
    </row>
    <row r="19" spans="1:10" s="81" customFormat="1" x14ac:dyDescent="0.2">
      <c r="A19" s="213" t="s">
        <v>4</v>
      </c>
      <c r="B19" s="214" t="s">
        <v>20</v>
      </c>
      <c r="C19" s="105">
        <v>23373.71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">
      <c r="A20" s="213" t="s">
        <v>4</v>
      </c>
      <c r="B20" s="215" t="s">
        <v>21</v>
      </c>
      <c r="C20" s="105">
        <v>11382.51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13" t="s">
        <v>4</v>
      </c>
      <c r="B21" s="215" t="s">
        <v>22</v>
      </c>
      <c r="C21" s="211">
        <v>10738.26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13" t="s">
        <v>4</v>
      </c>
      <c r="B22" s="215" t="s">
        <v>637</v>
      </c>
      <c r="C22" s="105">
        <v>15370.51</v>
      </c>
      <c r="D22" s="98"/>
      <c r="E22" s="84"/>
      <c r="F22" s="91"/>
      <c r="G22" s="85"/>
      <c r="H22" s="85"/>
      <c r="J22" s="84"/>
    </row>
    <row r="23" spans="1:10" s="81" customFormat="1" x14ac:dyDescent="0.2">
      <c r="A23" s="86" t="s">
        <v>633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13" t="s">
        <v>4</v>
      </c>
      <c r="B24" s="214" t="s">
        <v>23</v>
      </c>
      <c r="C24" s="105">
        <v>132.55000000000001</v>
      </c>
      <c r="D24" s="98"/>
      <c r="E24" s="218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13" t="s">
        <v>4</v>
      </c>
      <c r="B25" s="214" t="s">
        <v>24</v>
      </c>
      <c r="C25" s="105">
        <v>5911.11</v>
      </c>
      <c r="D25" s="98"/>
      <c r="E25" s="218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13" t="s">
        <v>4</v>
      </c>
      <c r="B26" s="214" t="s">
        <v>25</v>
      </c>
      <c r="C26" s="105">
        <v>5850.68</v>
      </c>
      <c r="D26" s="98"/>
      <c r="E26" s="218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633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105">
        <v>5667.45</v>
      </c>
      <c r="D28" s="217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105">
        <v>5274.89</v>
      </c>
      <c r="D29" s="217"/>
      <c r="I29" s="81">
        <v>25</v>
      </c>
      <c r="J29" s="84">
        <v>1.2</v>
      </c>
    </row>
    <row r="30" spans="1:10" s="81" customFormat="1" x14ac:dyDescent="0.2">
      <c r="A30" s="86" t="s">
        <v>633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88">
        <v>259.82</v>
      </c>
      <c r="D31" s="98"/>
      <c r="F31" s="88">
        <f>+C31*1.5</f>
        <v>389.73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88">
        <v>259.82</v>
      </c>
      <c r="D32" s="98"/>
      <c r="F32" s="88">
        <f>C32</f>
        <v>259.82</v>
      </c>
      <c r="I32" s="81">
        <v>28</v>
      </c>
      <c r="J32" s="84">
        <v>1.4</v>
      </c>
    </row>
    <row r="33" spans="1:13" s="81" customFormat="1" x14ac:dyDescent="0.2">
      <c r="A33" s="86" t="s">
        <v>633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77">
        <v>10.41</v>
      </c>
      <c r="F34" s="88">
        <f>F31</f>
        <v>389.73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94">
        <v>8.67</v>
      </c>
      <c r="F35" s="95">
        <f>F32</f>
        <v>259.82</v>
      </c>
      <c r="G35" s="93">
        <f>C35*30</f>
        <v>260.10000000000002</v>
      </c>
      <c r="I35" s="93">
        <v>31</v>
      </c>
      <c r="J35" s="96">
        <v>1.5</v>
      </c>
    </row>
    <row r="36" spans="1:13" ht="13.5" thickTop="1" x14ac:dyDescent="0.2">
      <c r="A36" s="75" t="s">
        <v>633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9" t="s">
        <v>636</v>
      </c>
      <c r="B37" s="99" t="s">
        <v>32</v>
      </c>
      <c r="C37" s="100">
        <v>1360.88</v>
      </c>
      <c r="D37" s="101">
        <f>C37/C38</f>
        <v>14.99922848010581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">
      <c r="A38" s="99" t="s">
        <v>636</v>
      </c>
      <c r="B38" s="99" t="s">
        <v>33</v>
      </c>
      <c r="C38" s="100">
        <v>90.73</v>
      </c>
      <c r="D38" s="102"/>
      <c r="E38" s="101"/>
      <c r="F38" s="101">
        <f>(C37*2)+0.01</f>
        <v>2721.7700000000004</v>
      </c>
      <c r="G38" s="101"/>
      <c r="H38" s="5"/>
      <c r="I38">
        <v>34</v>
      </c>
      <c r="J38" s="3">
        <v>1.5</v>
      </c>
    </row>
    <row r="39" spans="1:13" x14ac:dyDescent="0.2">
      <c r="A39" s="75" t="s">
        <v>633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636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633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8">
        <v>1608.53</v>
      </c>
      <c r="D42" s="6"/>
      <c r="E42" s="216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77">
        <v>1857.13</v>
      </c>
      <c r="D43" s="6"/>
      <c r="E43" s="216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77">
        <v>2105.77</v>
      </c>
      <c r="D44" s="6"/>
      <c r="E44" s="216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77">
        <v>3100.1</v>
      </c>
      <c r="D45" s="6"/>
      <c r="E45" s="216"/>
      <c r="F45" s="8">
        <f>+C45</f>
        <v>3100.1</v>
      </c>
      <c r="G45" s="8"/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16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77">
        <v>88.73</v>
      </c>
      <c r="D47" s="6"/>
      <c r="E47" s="216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77">
        <v>206.67</v>
      </c>
      <c r="D48" s="6"/>
      <c r="E48" s="216"/>
      <c r="I48">
        <v>46</v>
      </c>
      <c r="J48" s="3">
        <v>1.5</v>
      </c>
    </row>
    <row r="49" spans="1:12" x14ac:dyDescent="0.2">
      <c r="A49" s="75" t="s">
        <v>633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636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636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636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">
      <c r="A53" s="74" t="s">
        <v>636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">
      <c r="A54" s="74" t="s">
        <v>636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">
      <c r="A55" s="74" t="s">
        <v>636</v>
      </c>
      <c r="B55" s="2" t="s">
        <v>47</v>
      </c>
      <c r="C55" s="105">
        <v>155.18</v>
      </c>
      <c r="I55">
        <v>53</v>
      </c>
      <c r="J55" s="3">
        <v>1.5</v>
      </c>
    </row>
    <row r="56" spans="1:12" x14ac:dyDescent="0.2">
      <c r="A56" s="74" t="s">
        <v>636</v>
      </c>
      <c r="B56" s="2" t="s">
        <v>48</v>
      </c>
      <c r="C56" s="105">
        <v>149.55200000000002</v>
      </c>
    </row>
    <row r="57" spans="1:12" x14ac:dyDescent="0.2">
      <c r="A57" s="74" t="s">
        <v>636</v>
      </c>
      <c r="B57" s="2" t="s">
        <v>49</v>
      </c>
      <c r="C57" s="105">
        <v>252.66800000000001</v>
      </c>
    </row>
    <row r="58" spans="1:12" x14ac:dyDescent="0.2">
      <c r="A58" s="74" t="s">
        <v>636</v>
      </c>
      <c r="B58" s="2" t="s">
        <v>50</v>
      </c>
      <c r="C58" s="105">
        <v>14.195</v>
      </c>
      <c r="E58" s="73">
        <f>F58/C58</f>
        <v>23.078548784783376</v>
      </c>
      <c r="F58" s="5">
        <f>C52</f>
        <v>327.60000000000002</v>
      </c>
    </row>
    <row r="59" spans="1:12" x14ac:dyDescent="0.2">
      <c r="A59" s="74" t="s">
        <v>636</v>
      </c>
      <c r="B59" s="2" t="s">
        <v>51</v>
      </c>
      <c r="C59" s="103">
        <v>11.3559</v>
      </c>
      <c r="E59" s="73">
        <f>F59/C59</f>
        <v>28.848440017964233</v>
      </c>
      <c r="F59" s="5">
        <f>C52</f>
        <v>327.60000000000002</v>
      </c>
    </row>
    <row r="60" spans="1:12" x14ac:dyDescent="0.2">
      <c r="A60" s="74" t="s">
        <v>636</v>
      </c>
      <c r="B60" s="2" t="s">
        <v>653</v>
      </c>
      <c r="C60" s="8">
        <v>528.49</v>
      </c>
      <c r="D60" s="3">
        <f>C60/15</f>
        <v>35.232666666666667</v>
      </c>
      <c r="E60" s="79">
        <v>38.47</v>
      </c>
      <c r="F60" s="3">
        <f>+C60*2</f>
        <v>1056.98</v>
      </c>
      <c r="I60" s="3"/>
    </row>
    <row r="61" spans="1:12" x14ac:dyDescent="0.2">
      <c r="A61" s="74" t="s">
        <v>636</v>
      </c>
      <c r="B61" s="2" t="s">
        <v>52</v>
      </c>
      <c r="C61" s="8">
        <v>70.459999999999994</v>
      </c>
      <c r="D61" s="3"/>
      <c r="F61" s="3"/>
      <c r="I61" s="3"/>
    </row>
    <row r="62" spans="1:12" x14ac:dyDescent="0.2">
      <c r="A62" s="74" t="s">
        <v>636</v>
      </c>
      <c r="B62" s="2" t="s">
        <v>654</v>
      </c>
      <c r="C62" s="8">
        <v>151</v>
      </c>
      <c r="D62" s="3">
        <f>(C62/15)+0.01</f>
        <v>10.076666666666666</v>
      </c>
      <c r="E62" s="79">
        <v>10.99</v>
      </c>
      <c r="F62" s="3">
        <f>+C62*2</f>
        <v>302</v>
      </c>
      <c r="I62" s="3"/>
    </row>
    <row r="63" spans="1:12" x14ac:dyDescent="0.2">
      <c r="A63" s="74" t="s">
        <v>636</v>
      </c>
      <c r="B63" s="2" t="s">
        <v>53</v>
      </c>
      <c r="C63" s="8">
        <v>20.14</v>
      </c>
      <c r="I63" s="3"/>
    </row>
    <row r="64" spans="1:12" x14ac:dyDescent="0.2">
      <c r="A64" s="75" t="s">
        <v>633</v>
      </c>
      <c r="B64" s="75"/>
      <c r="C64" s="76"/>
      <c r="D64" s="75"/>
      <c r="E64" s="75"/>
      <c r="F64" s="75"/>
      <c r="G64" s="75"/>
    </row>
    <row r="65" spans="1:7" x14ac:dyDescent="0.2">
      <c r="A65" s="108" t="s">
        <v>636</v>
      </c>
      <c r="B65" t="s">
        <v>638</v>
      </c>
      <c r="C65" s="107">
        <v>1210</v>
      </c>
      <c r="D65" s="106"/>
      <c r="E65" s="106"/>
      <c r="F65">
        <v>2420</v>
      </c>
      <c r="G65" s="106"/>
    </row>
    <row r="66" spans="1:7" x14ac:dyDescent="0.2">
      <c r="A66" s="75" t="s">
        <v>633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54</v>
      </c>
      <c r="C67" s="9">
        <v>0</v>
      </c>
      <c r="D67" s="10"/>
    </row>
    <row r="68" spans="1:7" x14ac:dyDescent="0.2">
      <c r="A68" s="75" t="s">
        <v>633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55</v>
      </c>
      <c r="C69" s="11">
        <v>-0.11</v>
      </c>
    </row>
    <row r="70" spans="1:7" x14ac:dyDescent="0.2">
      <c r="A70" s="74" t="s">
        <v>4</v>
      </c>
      <c r="B70" t="s">
        <v>56</v>
      </c>
      <c r="C70" s="11">
        <v>0</v>
      </c>
    </row>
    <row r="71" spans="1:7" x14ac:dyDescent="0.2">
      <c r="A71" s="74" t="s">
        <v>4</v>
      </c>
      <c r="B71" t="s">
        <v>57</v>
      </c>
      <c r="C71" s="11">
        <v>-4.4999999999999998E-2</v>
      </c>
    </row>
    <row r="72" spans="1:7" x14ac:dyDescent="0.2">
      <c r="A72" s="74" t="s">
        <v>4</v>
      </c>
      <c r="B72" t="s">
        <v>58</v>
      </c>
      <c r="C72" s="11">
        <v>-2.7E-2</v>
      </c>
    </row>
    <row r="73" spans="1:7" x14ac:dyDescent="0.2">
      <c r="A73" s="74" t="s">
        <v>4</v>
      </c>
      <c r="B73" t="s">
        <v>59</v>
      </c>
      <c r="C73" s="11">
        <v>-3.0000000000000001E-3</v>
      </c>
    </row>
    <row r="74" spans="1:7" x14ac:dyDescent="0.2">
      <c r="A74" s="75" t="s">
        <v>633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60</v>
      </c>
      <c r="C75" s="11">
        <v>0.16</v>
      </c>
    </row>
    <row r="76" spans="1:7" x14ac:dyDescent="0.2">
      <c r="A76" s="74" t="s">
        <v>4</v>
      </c>
      <c r="B76" t="s">
        <v>61</v>
      </c>
      <c r="C76" s="11">
        <v>7.0000000000000007E-2</v>
      </c>
    </row>
    <row r="77" spans="1:7" x14ac:dyDescent="0.2">
      <c r="A77" s="74" t="s">
        <v>4</v>
      </c>
      <c r="B77" t="s">
        <v>62</v>
      </c>
      <c r="C77" s="11">
        <v>0.01</v>
      </c>
    </row>
    <row r="78" spans="1:7" x14ac:dyDescent="0.2">
      <c r="A78" s="75" t="s">
        <v>633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63</v>
      </c>
      <c r="C79" s="11">
        <v>3.5000000000000003E-2</v>
      </c>
    </row>
    <row r="80" spans="1:7" x14ac:dyDescent="0.2">
      <c r="A80" s="74" t="s">
        <v>4</v>
      </c>
      <c r="B80" t="s">
        <v>64</v>
      </c>
      <c r="C80" s="11">
        <v>-6.0000000000000001E-3</v>
      </c>
    </row>
    <row r="81" spans="1:7" x14ac:dyDescent="0.2">
      <c r="A81" s="74" t="s">
        <v>4</v>
      </c>
      <c r="B81" t="s">
        <v>65</v>
      </c>
      <c r="C81" s="11">
        <v>5.3999999999999999E-2</v>
      </c>
    </row>
    <row r="82" spans="1:7" x14ac:dyDescent="0.2">
      <c r="A82" s="75" t="s">
        <v>633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66</v>
      </c>
      <c r="C83" s="4">
        <v>0.5</v>
      </c>
    </row>
    <row r="84" spans="1:7" x14ac:dyDescent="0.2">
      <c r="A84" s="75" t="s">
        <v>633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655</v>
      </c>
      <c r="C85" s="8">
        <v>2275</v>
      </c>
      <c r="E85" s="8"/>
    </row>
    <row r="86" spans="1:7" x14ac:dyDescent="0.2">
      <c r="A86" s="74" t="s">
        <v>4</v>
      </c>
      <c r="B86" s="74" t="s">
        <v>656</v>
      </c>
      <c r="C86" s="8">
        <v>2730</v>
      </c>
      <c r="E86" s="8"/>
    </row>
    <row r="87" spans="1:7" x14ac:dyDescent="0.2">
      <c r="A87" s="74" t="s">
        <v>4</v>
      </c>
      <c r="B87" s="74" t="s">
        <v>657</v>
      </c>
      <c r="C87" s="104">
        <v>4550</v>
      </c>
      <c r="E87" s="8"/>
      <c r="F87" s="8">
        <f>+C87</f>
        <v>4550</v>
      </c>
    </row>
    <row r="88" spans="1:7" x14ac:dyDescent="0.2">
      <c r="A88" s="74" t="s">
        <v>4</v>
      </c>
      <c r="B88" s="74" t="s">
        <v>658</v>
      </c>
      <c r="C88" s="8">
        <v>113.74999999999999</v>
      </c>
      <c r="E88" s="8"/>
    </row>
    <row r="89" spans="1:7" x14ac:dyDescent="0.2">
      <c r="A89" s="74" t="s">
        <v>4</v>
      </c>
      <c r="B89" s="74" t="s">
        <v>659</v>
      </c>
      <c r="C89" s="8">
        <v>227.49999999999997</v>
      </c>
      <c r="E89" s="8"/>
    </row>
    <row r="90" spans="1:7" x14ac:dyDescent="0.2">
      <c r="A90" s="74" t="s">
        <v>4</v>
      </c>
      <c r="B90" s="74" t="s">
        <v>639</v>
      </c>
      <c r="C90" s="3">
        <v>2220.0100000000002</v>
      </c>
    </row>
    <row r="91" spans="1:7" x14ac:dyDescent="0.2">
      <c r="A91" s="74" t="s">
        <v>4</v>
      </c>
      <c r="B91" s="74" t="s">
        <v>640</v>
      </c>
      <c r="C91" s="3">
        <v>2664.01</v>
      </c>
    </row>
    <row r="92" spans="1:7" x14ac:dyDescent="0.2">
      <c r="A92" s="74" t="s">
        <v>4</v>
      </c>
      <c r="B92" s="74" t="s">
        <v>641</v>
      </c>
      <c r="C92" s="212">
        <v>4440.01</v>
      </c>
      <c r="F92" s="3">
        <f>+C92</f>
        <v>4440.01</v>
      </c>
      <c r="G92" s="3"/>
    </row>
    <row r="93" spans="1:7" x14ac:dyDescent="0.2">
      <c r="A93" s="74" t="s">
        <v>4</v>
      </c>
      <c r="B93" s="74" t="s">
        <v>642</v>
      </c>
      <c r="C93" s="3">
        <v>112.89</v>
      </c>
    </row>
    <row r="94" spans="1:7" x14ac:dyDescent="0.2">
      <c r="A94" s="74" t="s">
        <v>4</v>
      </c>
      <c r="B94" s="74" t="s">
        <v>643</v>
      </c>
      <c r="C94" s="3">
        <v>222</v>
      </c>
    </row>
    <row r="95" spans="1:7" x14ac:dyDescent="0.2">
      <c r="B95" s="74" t="s">
        <v>661</v>
      </c>
      <c r="C95">
        <v>-193.38</v>
      </c>
    </row>
    <row r="96" spans="1:7" x14ac:dyDescent="0.2">
      <c r="B96" t="s">
        <v>647</v>
      </c>
      <c r="C96" s="3">
        <v>-129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34"/>
  <sheetViews>
    <sheetView showGridLines="0" tabSelected="1" topLeftCell="C1" zoomScale="150" zoomScaleNormal="150" workbookViewId="0">
      <pane xSplit="5" ySplit="8" topLeftCell="H9" activePane="bottomRight" state="frozen"/>
      <selection activeCell="C1" sqref="C1"/>
      <selection pane="topRight" activeCell="H1" sqref="H1"/>
      <selection pane="bottomLeft" activeCell="C9" sqref="C9"/>
      <selection pane="bottomRight" activeCell="C8" sqref="C8"/>
    </sheetView>
  </sheetViews>
  <sheetFormatPr baseColWidth="10" defaultColWidth="9.140625" defaultRowHeight="12.75" x14ac:dyDescent="0.2"/>
  <cols>
    <col min="1" max="1" width="6.5703125" style="109" hidden="1" customWidth="1"/>
    <col min="2" max="2" width="8.7109375" style="109" hidden="1" customWidth="1"/>
    <col min="3" max="3" width="4.7109375" style="115" customWidth="1"/>
    <col min="4" max="4" width="3.7109375" style="115" customWidth="1"/>
    <col min="5" max="5" width="3.7109375" style="115" hidden="1" customWidth="1"/>
    <col min="6" max="6" width="28.42578125" style="115" customWidth="1"/>
    <col min="7" max="7" width="4.85546875" style="118" hidden="1" customWidth="1"/>
    <col min="8" max="8" width="8" style="169" customWidth="1"/>
    <col min="9" max="9" width="8.28515625" style="119" hidden="1" customWidth="1"/>
    <col min="10" max="10" width="9.140625" style="124" customWidth="1"/>
    <col min="11" max="11" width="5.28515625" style="120" hidden="1" customWidth="1"/>
    <col min="12" max="12" width="7.28515625" style="111" customWidth="1"/>
    <col min="13" max="13" width="6.28515625" style="121" hidden="1" customWidth="1"/>
    <col min="14" max="14" width="6.7109375" style="111" customWidth="1"/>
    <col min="15" max="15" width="7.85546875" style="111" customWidth="1"/>
    <col min="16" max="16" width="8.42578125" style="111" customWidth="1"/>
    <col min="17" max="17" width="8.140625" style="111" customWidth="1"/>
    <col min="18" max="18" width="8.28515625" style="111" customWidth="1"/>
    <col min="19" max="19" width="7.140625" style="111" customWidth="1"/>
    <col min="20" max="20" width="10.42578125" style="111" customWidth="1"/>
    <col min="21" max="21" width="8.7109375" style="124" hidden="1" customWidth="1"/>
    <col min="22" max="22" width="7.140625" style="111" customWidth="1"/>
    <col min="23" max="23" width="7" style="111" hidden="1" customWidth="1"/>
    <col min="24" max="24" width="7.5703125" style="111" hidden="1" customWidth="1"/>
    <col min="25" max="25" width="4.28515625" style="125" hidden="1" customWidth="1"/>
    <col min="26" max="26" width="7.140625" style="111" customWidth="1"/>
    <col min="27" max="27" width="7.42578125" style="111" customWidth="1"/>
    <col min="28" max="28" width="8.7109375" style="111" customWidth="1"/>
    <col min="29" max="29" width="6.140625" style="113" customWidth="1"/>
    <col min="30" max="30" width="7.140625" style="111" customWidth="1"/>
    <col min="31" max="31" width="6.28515625" style="111" customWidth="1"/>
    <col min="32" max="32" width="4.42578125" style="125" hidden="1" customWidth="1"/>
    <col min="33" max="33" width="6.28515625" style="111" customWidth="1"/>
    <col min="34" max="34" width="8.5703125" style="111" customWidth="1"/>
    <col min="35" max="35" width="8.7109375" style="111" customWidth="1"/>
    <col min="36" max="36" width="7.85546875" style="111" customWidth="1"/>
    <col min="37" max="37" width="9.7109375" style="111" customWidth="1"/>
    <col min="38" max="38" width="9" style="113" customWidth="1"/>
    <col min="39" max="39" width="6.140625" style="113" hidden="1" customWidth="1"/>
    <col min="40" max="40" width="8.28515625" style="113" customWidth="1"/>
    <col min="41" max="41" width="7.28515625" style="111" customWidth="1"/>
    <col min="42" max="42" width="8.42578125" style="111" customWidth="1"/>
    <col min="43" max="43" width="6.7109375" style="111" hidden="1" customWidth="1"/>
    <col min="44" max="44" width="7.42578125" style="111" customWidth="1"/>
    <col min="45" max="45" width="8" style="111" customWidth="1"/>
    <col min="46" max="46" width="8.5703125" style="111" customWidth="1"/>
    <col min="47" max="47" width="9.7109375" style="112" customWidth="1"/>
    <col min="48" max="48" width="8" style="112" customWidth="1"/>
    <col min="49" max="49" width="8.140625" style="111" customWidth="1"/>
    <col min="50" max="50" width="7.85546875" style="112" customWidth="1"/>
    <col min="51" max="51" width="9.7109375" style="112" customWidth="1"/>
    <col min="52" max="52" width="5" style="109" hidden="1" customWidth="1"/>
    <col min="53" max="53" width="3.7109375" style="109" hidden="1" customWidth="1"/>
    <col min="54" max="54" width="3.42578125" style="114" hidden="1" customWidth="1"/>
    <col min="55" max="55" width="9.85546875" style="115" hidden="1" customWidth="1"/>
    <col min="56" max="1022" width="11.42578125" style="115" customWidth="1"/>
    <col min="1023" max="16384" width="9.140625" style="116"/>
  </cols>
  <sheetData>
    <row r="1" spans="1:1022" ht="35.25" customHeight="1" x14ac:dyDescent="0.2">
      <c r="C1" s="227" t="s">
        <v>660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110"/>
      <c r="AP1" s="110"/>
    </row>
    <row r="2" spans="1:1022" ht="11.25" customHeight="1" x14ac:dyDescent="0.2">
      <c r="B2" s="117"/>
      <c r="C2" s="175" t="s">
        <v>67</v>
      </c>
      <c r="D2" s="175"/>
      <c r="E2" s="175"/>
      <c r="F2" s="175"/>
      <c r="G2" s="176"/>
      <c r="H2" s="173">
        <v>0</v>
      </c>
      <c r="I2" s="180"/>
      <c r="J2" s="181">
        <f>LOOKUP(H2,Valores!I:I,Valores!J:J)</f>
        <v>0</v>
      </c>
      <c r="K2" s="182"/>
      <c r="L2" s="171"/>
      <c r="O2" s="122">
        <v>0.15</v>
      </c>
      <c r="P2" s="123"/>
      <c r="AN2" s="228"/>
      <c r="BB2" s="126">
        <f>(((H141+U141)*1.15)+Q141+R141+S141+AC141+AE141)*0.05</f>
        <v>2130.1113999999998</v>
      </c>
    </row>
    <row r="3" spans="1:1022" ht="11.25" customHeight="1" x14ac:dyDescent="0.25">
      <c r="B3" s="117"/>
      <c r="C3" s="175" t="s">
        <v>68</v>
      </c>
      <c r="D3" s="175"/>
      <c r="E3" s="175"/>
      <c r="F3" s="175"/>
      <c r="G3" s="176"/>
      <c r="H3" s="173">
        <v>0</v>
      </c>
      <c r="I3" s="229" t="s">
        <v>69</v>
      </c>
      <c r="J3" s="229"/>
      <c r="K3" s="230">
        <f>Valores!C2</f>
        <v>12.4267</v>
      </c>
      <c r="L3" s="230"/>
      <c r="Q3" s="236" t="s">
        <v>652</v>
      </c>
      <c r="R3" s="236"/>
      <c r="S3" s="236"/>
      <c r="T3" s="236"/>
      <c r="U3" s="236"/>
      <c r="V3" s="236"/>
      <c r="W3" s="236"/>
      <c r="X3" s="236"/>
      <c r="AN3" s="228"/>
      <c r="AO3" s="127" t="s">
        <v>4</v>
      </c>
      <c r="AP3" s="128"/>
      <c r="AQ3" s="129">
        <f>Valores!C2</f>
        <v>12.4267</v>
      </c>
      <c r="AR3" s="130"/>
      <c r="AS3" s="130"/>
      <c r="AT3" s="130"/>
      <c r="AU3" s="131"/>
      <c r="AV3" s="131"/>
      <c r="AW3" s="130"/>
      <c r="AX3" s="131"/>
      <c r="AY3" s="131"/>
    </row>
    <row r="4" spans="1:1022" ht="11.25" customHeight="1" x14ac:dyDescent="0.25">
      <c r="A4" s="132"/>
      <c r="B4" s="117"/>
      <c r="C4" s="175" t="s">
        <v>70</v>
      </c>
      <c r="D4" s="175"/>
      <c r="E4" s="175"/>
      <c r="F4" s="175"/>
      <c r="G4" s="176"/>
      <c r="H4" s="174" t="s">
        <v>8</v>
      </c>
      <c r="AN4" s="133"/>
      <c r="AO4" s="127" t="s">
        <v>8</v>
      </c>
      <c r="AP4" s="128"/>
      <c r="AQ4" s="130"/>
      <c r="AR4" s="130"/>
      <c r="AS4" s="130"/>
      <c r="AT4" s="130"/>
      <c r="AU4" s="131"/>
      <c r="AV4" s="131"/>
      <c r="AW4" s="130"/>
      <c r="AX4" s="131"/>
      <c r="AY4" s="131"/>
    </row>
    <row r="5" spans="1:1022" ht="11.25" customHeight="1" x14ac:dyDescent="0.25">
      <c r="A5" s="132"/>
      <c r="B5" s="117"/>
      <c r="C5" s="233" t="s">
        <v>650</v>
      </c>
      <c r="D5" s="234"/>
      <c r="E5" s="234"/>
      <c r="F5" s="235"/>
      <c r="G5" s="176"/>
      <c r="H5" s="174" t="s">
        <v>8</v>
      </c>
      <c r="AN5" s="133"/>
      <c r="AO5" s="127"/>
      <c r="AP5" s="128"/>
      <c r="AQ5" s="130"/>
      <c r="AR5" s="130"/>
      <c r="AS5" s="130"/>
      <c r="AT5" s="130"/>
      <c r="AU5" s="131"/>
      <c r="AV5" s="131"/>
      <c r="AW5" s="130"/>
      <c r="AX5" s="131"/>
      <c r="AY5" s="131"/>
    </row>
    <row r="6" spans="1:1022" ht="11.25" customHeight="1" x14ac:dyDescent="0.2">
      <c r="A6" s="132"/>
      <c r="B6" s="117"/>
      <c r="C6" s="233" t="s">
        <v>645</v>
      </c>
      <c r="D6" s="234"/>
      <c r="E6" s="234"/>
      <c r="F6" s="235"/>
      <c r="G6" s="176"/>
      <c r="H6" s="209">
        <v>0</v>
      </c>
      <c r="AN6" s="133"/>
      <c r="AO6" s="127"/>
      <c r="AP6" s="224" t="s">
        <v>662</v>
      </c>
      <c r="AQ6" s="225"/>
      <c r="AR6" s="225"/>
      <c r="AS6" s="225"/>
      <c r="AT6" s="225"/>
      <c r="AU6" s="226"/>
      <c r="AV6" s="224" t="s">
        <v>664</v>
      </c>
      <c r="AW6" s="225"/>
      <c r="AX6" s="225"/>
      <c r="AY6" s="226"/>
    </row>
    <row r="7" spans="1:1022" s="194" customFormat="1" ht="49.5" x14ac:dyDescent="0.2">
      <c r="A7" s="188"/>
      <c r="B7" s="188"/>
      <c r="C7" s="190"/>
      <c r="D7" s="189"/>
      <c r="E7" s="189"/>
      <c r="F7" s="190"/>
      <c r="G7" s="237" t="s">
        <v>71</v>
      </c>
      <c r="H7" s="237"/>
      <c r="I7" s="238" t="s">
        <v>72</v>
      </c>
      <c r="J7" s="238"/>
      <c r="K7" s="239" t="s">
        <v>73</v>
      </c>
      <c r="L7" s="239"/>
      <c r="M7" s="231" t="s">
        <v>74</v>
      </c>
      <c r="N7" s="231"/>
      <c r="O7" s="197" t="s">
        <v>75</v>
      </c>
      <c r="P7" s="198" t="s">
        <v>76</v>
      </c>
      <c r="Q7" s="197" t="s">
        <v>77</v>
      </c>
      <c r="R7" s="221" t="str">
        <f>CONCATENATE("Est. Doc (tope ",TEXT(Valores!D4,"$0,00"),")")</f>
        <v>Est. Doc (tope $6352,53)</v>
      </c>
      <c r="S7" s="197" t="s">
        <v>78</v>
      </c>
      <c r="T7" s="206" t="str">
        <f>CONCATENATE("Gtos. Inh. Lab. Doc. (tope ",TEXT(Valores!C45,"$0,00"),")")</f>
        <v>Gtos. Inh. Lab. Doc. (tope $3100,10)</v>
      </c>
      <c r="U7" s="198" t="s">
        <v>79</v>
      </c>
      <c r="V7" s="197" t="s">
        <v>79</v>
      </c>
      <c r="W7" s="197" t="s">
        <v>80</v>
      </c>
      <c r="X7" s="197" t="s">
        <v>81</v>
      </c>
      <c r="Y7" s="240" t="s">
        <v>82</v>
      </c>
      <c r="Z7" s="240"/>
      <c r="AA7" s="197" t="s">
        <v>83</v>
      </c>
      <c r="AB7" s="207" t="str">
        <f>CONCATENATE("Bonif. Compensatoria Rem. (tope ",TEXT(Valores!C92,"$0,00"),")")</f>
        <v>Bonif. Compensatoria Rem. (tope $4440,01)</v>
      </c>
      <c r="AC7" s="207" t="str">
        <f>CONCATENATE("Ad R Doc (tope ",TEXT(Valores!F31,"$0,00"),")")</f>
        <v>Ad R Doc (tope $389,73)</v>
      </c>
      <c r="AD7" s="197" t="s">
        <v>84</v>
      </c>
      <c r="AE7" s="206" t="str">
        <f>CONCATENATE("Nuevo  A.R.D. (tope ",TEXT(Valores!F32,"$0,00"),")")</f>
        <v>Nuevo  A.R.D. (tope $259,82)</v>
      </c>
      <c r="AF7" s="231" t="s">
        <v>85</v>
      </c>
      <c r="AG7" s="231"/>
      <c r="AH7" s="206" t="str">
        <f>CONCATENATE("Ap Mat Did Rem. (tope ",TEXT(Valores!F60,"$0,00"),")")</f>
        <v>Ap Mat Did Rem. (tope $1056,98)</v>
      </c>
      <c r="AI7" s="206" t="str">
        <f>CONCATENATE("Ap Mat Did Rem. Comp. (tope ",TEXT(Valores!F62,"$0,00"),")")</f>
        <v>Ap Mat Did Rem. Comp. (tope $302,00)</v>
      </c>
      <c r="AJ7" s="197" t="s">
        <v>86</v>
      </c>
      <c r="AK7" s="206" t="str">
        <f>CONCATENATE("Corrección Pauta Salarial sobre FONID (tope ",TEXT(Valores!F38,"$0,00"),")")</f>
        <v>Corrección Pauta Salarial sobre FONID (tope $2721,77)</v>
      </c>
      <c r="AL7" s="206" t="str">
        <f>CONCATENATE("Bonif. Compensatoria No Rem. (tope ",TEXT(Valores!C87,"$0,00"),")")</f>
        <v>Bonif. Compensatoria No Rem. (tope $4550,00)</v>
      </c>
      <c r="AM7" s="232" t="s">
        <v>635</v>
      </c>
      <c r="AN7" s="207" t="str">
        <f>CONCATENATE("Adel Inc Docente (tope ",TEXT(Valores!C52,"$0,00"),")")</f>
        <v>Adel Inc Docente (tope $327,60)</v>
      </c>
      <c r="AO7" s="197" t="s">
        <v>87</v>
      </c>
      <c r="AP7" s="199" t="s">
        <v>88</v>
      </c>
      <c r="AQ7" s="199" t="s">
        <v>89</v>
      </c>
      <c r="AR7" s="199" t="s">
        <v>90</v>
      </c>
      <c r="AS7" s="199" t="s">
        <v>646</v>
      </c>
      <c r="AT7" s="199" t="s">
        <v>647</v>
      </c>
      <c r="AU7" s="199" t="s">
        <v>91</v>
      </c>
      <c r="AV7" s="199" t="str">
        <f>AP7</f>
        <v>Ap Pers Jub</v>
      </c>
      <c r="AW7" s="199" t="s">
        <v>665</v>
      </c>
      <c r="AX7" s="199" t="s">
        <v>59</v>
      </c>
      <c r="AY7" s="199" t="s">
        <v>663</v>
      </c>
      <c r="AZ7" s="199" t="s">
        <v>92</v>
      </c>
      <c r="BA7" s="199" t="s">
        <v>93</v>
      </c>
      <c r="BB7" s="199" t="s">
        <v>94</v>
      </c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  <c r="IW7" s="189"/>
      <c r="IX7" s="189"/>
      <c r="IY7" s="189"/>
      <c r="IZ7" s="189"/>
      <c r="JA7" s="189"/>
      <c r="JB7" s="189"/>
      <c r="JC7" s="189"/>
      <c r="JD7" s="189"/>
      <c r="JE7" s="189"/>
      <c r="JF7" s="189"/>
      <c r="JG7" s="189"/>
      <c r="JH7" s="189"/>
      <c r="JI7" s="189"/>
      <c r="JJ7" s="189"/>
      <c r="JK7" s="189"/>
      <c r="JL7" s="189"/>
      <c r="JM7" s="189"/>
      <c r="JN7" s="189"/>
      <c r="JO7" s="189"/>
      <c r="JP7" s="189"/>
      <c r="JQ7" s="189"/>
      <c r="JR7" s="189"/>
      <c r="JS7" s="189"/>
      <c r="JT7" s="189"/>
      <c r="JU7" s="189"/>
      <c r="JV7" s="189"/>
      <c r="JW7" s="189"/>
      <c r="JX7" s="189"/>
      <c r="JY7" s="189"/>
      <c r="JZ7" s="189"/>
      <c r="KA7" s="189"/>
      <c r="KB7" s="189"/>
      <c r="KC7" s="189"/>
      <c r="KD7" s="189"/>
      <c r="KE7" s="189"/>
      <c r="KF7" s="189"/>
      <c r="KG7" s="189"/>
      <c r="KH7" s="189"/>
      <c r="KI7" s="189"/>
      <c r="KJ7" s="189"/>
      <c r="KK7" s="189"/>
      <c r="KL7" s="189"/>
      <c r="KM7" s="189"/>
      <c r="KN7" s="189"/>
      <c r="KO7" s="189"/>
      <c r="KP7" s="189"/>
      <c r="KQ7" s="189"/>
      <c r="KR7" s="189"/>
      <c r="KS7" s="189"/>
      <c r="KT7" s="189"/>
      <c r="KU7" s="189"/>
      <c r="KV7" s="189"/>
      <c r="KW7" s="189"/>
      <c r="KX7" s="189"/>
      <c r="KY7" s="189"/>
      <c r="KZ7" s="189"/>
      <c r="LA7" s="189"/>
      <c r="LB7" s="189"/>
      <c r="LC7" s="189"/>
      <c r="LD7" s="189"/>
      <c r="LE7" s="189"/>
      <c r="LF7" s="189"/>
      <c r="LG7" s="189"/>
      <c r="LH7" s="189"/>
      <c r="LI7" s="189"/>
      <c r="LJ7" s="189"/>
      <c r="LK7" s="189"/>
      <c r="LL7" s="189"/>
      <c r="LM7" s="189"/>
      <c r="LN7" s="189"/>
      <c r="LO7" s="189"/>
      <c r="LP7" s="189"/>
      <c r="LQ7" s="189"/>
      <c r="LR7" s="189"/>
      <c r="LS7" s="189"/>
      <c r="LT7" s="189"/>
      <c r="LU7" s="189"/>
      <c r="LV7" s="189"/>
      <c r="LW7" s="189"/>
      <c r="LX7" s="189"/>
      <c r="LY7" s="189"/>
      <c r="LZ7" s="189"/>
      <c r="MA7" s="189"/>
      <c r="MB7" s="189"/>
      <c r="MC7" s="189"/>
      <c r="MD7" s="189"/>
      <c r="ME7" s="189"/>
      <c r="MF7" s="189"/>
      <c r="MG7" s="189"/>
      <c r="MH7" s="189"/>
      <c r="MI7" s="189"/>
      <c r="MJ7" s="189"/>
      <c r="MK7" s="189"/>
      <c r="ML7" s="189"/>
      <c r="MM7" s="189"/>
      <c r="MN7" s="189"/>
      <c r="MO7" s="189"/>
      <c r="MP7" s="189"/>
      <c r="MQ7" s="189"/>
      <c r="MR7" s="189"/>
      <c r="MS7" s="189"/>
      <c r="MT7" s="189"/>
      <c r="MU7" s="189"/>
      <c r="MV7" s="189"/>
      <c r="MW7" s="189"/>
      <c r="MX7" s="189"/>
      <c r="MY7" s="189"/>
      <c r="MZ7" s="189"/>
      <c r="NA7" s="189"/>
      <c r="NB7" s="189"/>
      <c r="NC7" s="189"/>
      <c r="ND7" s="189"/>
      <c r="NE7" s="189"/>
      <c r="NF7" s="189"/>
      <c r="NG7" s="189"/>
      <c r="NH7" s="189"/>
      <c r="NI7" s="189"/>
      <c r="NJ7" s="189"/>
      <c r="NK7" s="189"/>
      <c r="NL7" s="189"/>
      <c r="NM7" s="189"/>
      <c r="NN7" s="189"/>
      <c r="NO7" s="189"/>
      <c r="NP7" s="189"/>
      <c r="NQ7" s="189"/>
      <c r="NR7" s="189"/>
      <c r="NS7" s="189"/>
      <c r="NT7" s="189"/>
      <c r="NU7" s="189"/>
      <c r="NV7" s="189"/>
      <c r="NW7" s="189"/>
      <c r="NX7" s="189"/>
      <c r="NY7" s="189"/>
      <c r="NZ7" s="189"/>
      <c r="OA7" s="189"/>
      <c r="OB7" s="189"/>
      <c r="OC7" s="189"/>
      <c r="OD7" s="189"/>
      <c r="OE7" s="189"/>
      <c r="OF7" s="189"/>
      <c r="OG7" s="189"/>
      <c r="OH7" s="189"/>
      <c r="OI7" s="189"/>
      <c r="OJ7" s="189"/>
      <c r="OK7" s="189"/>
      <c r="OL7" s="189"/>
      <c r="OM7" s="189"/>
      <c r="ON7" s="189"/>
      <c r="OO7" s="189"/>
      <c r="OP7" s="189"/>
      <c r="OQ7" s="189"/>
      <c r="OR7" s="189"/>
      <c r="OS7" s="189"/>
      <c r="OT7" s="189"/>
      <c r="OU7" s="189"/>
      <c r="OV7" s="189"/>
      <c r="OW7" s="189"/>
      <c r="OX7" s="189"/>
      <c r="OY7" s="189"/>
      <c r="OZ7" s="189"/>
      <c r="PA7" s="189"/>
      <c r="PB7" s="189"/>
      <c r="PC7" s="189"/>
      <c r="PD7" s="189"/>
      <c r="PE7" s="189"/>
      <c r="PF7" s="189"/>
      <c r="PG7" s="189"/>
      <c r="PH7" s="189"/>
      <c r="PI7" s="189"/>
      <c r="PJ7" s="189"/>
      <c r="PK7" s="189"/>
      <c r="PL7" s="189"/>
      <c r="PM7" s="189"/>
      <c r="PN7" s="189"/>
      <c r="PO7" s="189"/>
      <c r="PP7" s="189"/>
      <c r="PQ7" s="189"/>
      <c r="PR7" s="189"/>
      <c r="PS7" s="189"/>
      <c r="PT7" s="189"/>
      <c r="PU7" s="189"/>
      <c r="PV7" s="189"/>
      <c r="PW7" s="189"/>
      <c r="PX7" s="189"/>
      <c r="PY7" s="189"/>
      <c r="PZ7" s="189"/>
      <c r="QA7" s="189"/>
      <c r="QB7" s="189"/>
      <c r="QC7" s="189"/>
      <c r="QD7" s="189"/>
      <c r="QE7" s="189"/>
      <c r="QF7" s="189"/>
      <c r="QG7" s="189"/>
      <c r="QH7" s="189"/>
      <c r="QI7" s="189"/>
      <c r="QJ7" s="189"/>
      <c r="QK7" s="189"/>
      <c r="QL7" s="189"/>
      <c r="QM7" s="189"/>
      <c r="QN7" s="189"/>
      <c r="QO7" s="189"/>
      <c r="QP7" s="189"/>
      <c r="QQ7" s="189"/>
      <c r="QR7" s="189"/>
      <c r="QS7" s="189"/>
      <c r="QT7" s="189"/>
      <c r="QU7" s="189"/>
      <c r="QV7" s="189"/>
      <c r="QW7" s="189"/>
      <c r="QX7" s="189"/>
      <c r="QY7" s="189"/>
      <c r="QZ7" s="189"/>
      <c r="RA7" s="189"/>
      <c r="RB7" s="189"/>
      <c r="RC7" s="189"/>
      <c r="RD7" s="189"/>
      <c r="RE7" s="189"/>
      <c r="RF7" s="189"/>
      <c r="RG7" s="189"/>
      <c r="RH7" s="189"/>
      <c r="RI7" s="189"/>
      <c r="RJ7" s="189"/>
      <c r="RK7" s="189"/>
      <c r="RL7" s="189"/>
      <c r="RM7" s="189"/>
      <c r="RN7" s="189"/>
      <c r="RO7" s="189"/>
      <c r="RP7" s="189"/>
      <c r="RQ7" s="189"/>
      <c r="RR7" s="189"/>
      <c r="RS7" s="189"/>
      <c r="RT7" s="189"/>
      <c r="RU7" s="189"/>
      <c r="RV7" s="189"/>
      <c r="RW7" s="189"/>
      <c r="RX7" s="189"/>
      <c r="RY7" s="189"/>
      <c r="RZ7" s="189"/>
      <c r="SA7" s="189"/>
      <c r="SB7" s="189"/>
      <c r="SC7" s="189"/>
      <c r="SD7" s="189"/>
      <c r="SE7" s="189"/>
      <c r="SF7" s="189"/>
      <c r="SG7" s="189"/>
      <c r="SH7" s="189"/>
      <c r="SI7" s="189"/>
      <c r="SJ7" s="189"/>
      <c r="SK7" s="189"/>
      <c r="SL7" s="189"/>
      <c r="SM7" s="189"/>
      <c r="SN7" s="189"/>
      <c r="SO7" s="189"/>
      <c r="SP7" s="189"/>
      <c r="SQ7" s="189"/>
      <c r="SR7" s="189"/>
      <c r="SS7" s="189"/>
      <c r="ST7" s="189"/>
      <c r="SU7" s="189"/>
      <c r="SV7" s="189"/>
      <c r="SW7" s="189"/>
      <c r="SX7" s="189"/>
      <c r="SY7" s="189"/>
      <c r="SZ7" s="189"/>
      <c r="TA7" s="189"/>
      <c r="TB7" s="189"/>
      <c r="TC7" s="189"/>
      <c r="TD7" s="189"/>
      <c r="TE7" s="189"/>
      <c r="TF7" s="189"/>
      <c r="TG7" s="189"/>
      <c r="TH7" s="189"/>
      <c r="TI7" s="189"/>
      <c r="TJ7" s="189"/>
      <c r="TK7" s="189"/>
      <c r="TL7" s="189"/>
      <c r="TM7" s="189"/>
      <c r="TN7" s="189"/>
      <c r="TO7" s="189"/>
      <c r="TP7" s="189"/>
      <c r="TQ7" s="189"/>
      <c r="TR7" s="189"/>
      <c r="TS7" s="189"/>
      <c r="TT7" s="189"/>
      <c r="TU7" s="189"/>
      <c r="TV7" s="189"/>
      <c r="TW7" s="189"/>
      <c r="TX7" s="189"/>
      <c r="TY7" s="189"/>
      <c r="TZ7" s="189"/>
      <c r="UA7" s="189"/>
      <c r="UB7" s="189"/>
      <c r="UC7" s="189"/>
      <c r="UD7" s="189"/>
      <c r="UE7" s="189"/>
      <c r="UF7" s="189"/>
      <c r="UG7" s="189"/>
      <c r="UH7" s="189"/>
      <c r="UI7" s="189"/>
      <c r="UJ7" s="189"/>
      <c r="UK7" s="189"/>
      <c r="UL7" s="189"/>
      <c r="UM7" s="189"/>
      <c r="UN7" s="189"/>
      <c r="UO7" s="189"/>
      <c r="UP7" s="189"/>
      <c r="UQ7" s="189"/>
      <c r="UR7" s="189"/>
      <c r="US7" s="189"/>
      <c r="UT7" s="189"/>
      <c r="UU7" s="189"/>
      <c r="UV7" s="189"/>
      <c r="UW7" s="189"/>
      <c r="UX7" s="189"/>
      <c r="UY7" s="189"/>
      <c r="UZ7" s="189"/>
      <c r="VA7" s="189"/>
      <c r="VB7" s="189"/>
      <c r="VC7" s="189"/>
      <c r="VD7" s="189"/>
      <c r="VE7" s="189"/>
      <c r="VF7" s="189"/>
      <c r="VG7" s="189"/>
      <c r="VH7" s="189"/>
      <c r="VI7" s="189"/>
      <c r="VJ7" s="189"/>
      <c r="VK7" s="189"/>
      <c r="VL7" s="189"/>
      <c r="VM7" s="189"/>
      <c r="VN7" s="189"/>
      <c r="VO7" s="189"/>
      <c r="VP7" s="189"/>
      <c r="VQ7" s="189"/>
      <c r="VR7" s="189"/>
      <c r="VS7" s="189"/>
      <c r="VT7" s="189"/>
      <c r="VU7" s="189"/>
      <c r="VV7" s="189"/>
      <c r="VW7" s="189"/>
      <c r="VX7" s="189"/>
      <c r="VY7" s="189"/>
      <c r="VZ7" s="189"/>
      <c r="WA7" s="189"/>
      <c r="WB7" s="189"/>
      <c r="WC7" s="189"/>
      <c r="WD7" s="189"/>
      <c r="WE7" s="189"/>
      <c r="WF7" s="189"/>
      <c r="WG7" s="189"/>
      <c r="WH7" s="189"/>
      <c r="WI7" s="189"/>
      <c r="WJ7" s="189"/>
      <c r="WK7" s="189"/>
      <c r="WL7" s="189"/>
      <c r="WM7" s="189"/>
      <c r="WN7" s="189"/>
      <c r="WO7" s="189"/>
      <c r="WP7" s="189"/>
      <c r="WQ7" s="189"/>
      <c r="WR7" s="189"/>
      <c r="WS7" s="189"/>
      <c r="WT7" s="189"/>
      <c r="WU7" s="189"/>
      <c r="WV7" s="189"/>
      <c r="WW7" s="189"/>
      <c r="WX7" s="189"/>
      <c r="WY7" s="189"/>
      <c r="WZ7" s="189"/>
      <c r="XA7" s="189"/>
      <c r="XB7" s="189"/>
      <c r="XC7" s="189"/>
      <c r="XD7" s="189"/>
      <c r="XE7" s="189"/>
      <c r="XF7" s="189"/>
      <c r="XG7" s="189"/>
      <c r="XH7" s="189"/>
      <c r="XI7" s="189"/>
      <c r="XJ7" s="189"/>
      <c r="XK7" s="189"/>
      <c r="XL7" s="189"/>
      <c r="XM7" s="189"/>
      <c r="XN7" s="189"/>
      <c r="XO7" s="189"/>
      <c r="XP7" s="189"/>
      <c r="XQ7" s="189"/>
      <c r="XR7" s="189"/>
      <c r="XS7" s="189"/>
      <c r="XT7" s="189"/>
      <c r="XU7" s="189"/>
      <c r="XV7" s="189"/>
      <c r="XW7" s="189"/>
      <c r="XX7" s="189"/>
      <c r="XY7" s="189"/>
      <c r="XZ7" s="189"/>
      <c r="YA7" s="189"/>
      <c r="YB7" s="189"/>
      <c r="YC7" s="189"/>
      <c r="YD7" s="189"/>
      <c r="YE7" s="189"/>
      <c r="YF7" s="189"/>
      <c r="YG7" s="189"/>
      <c r="YH7" s="189"/>
      <c r="YI7" s="189"/>
      <c r="YJ7" s="189"/>
      <c r="YK7" s="189"/>
      <c r="YL7" s="189"/>
      <c r="YM7" s="189"/>
      <c r="YN7" s="189"/>
      <c r="YO7" s="189"/>
      <c r="YP7" s="189"/>
      <c r="YQ7" s="189"/>
      <c r="YR7" s="189"/>
      <c r="YS7" s="189"/>
      <c r="YT7" s="189"/>
      <c r="YU7" s="189"/>
      <c r="YV7" s="189"/>
      <c r="YW7" s="189"/>
      <c r="YX7" s="189"/>
      <c r="YY7" s="189"/>
      <c r="YZ7" s="189"/>
      <c r="ZA7" s="189"/>
      <c r="ZB7" s="189"/>
      <c r="ZC7" s="189"/>
      <c r="ZD7" s="189"/>
      <c r="ZE7" s="189"/>
      <c r="ZF7" s="189"/>
      <c r="ZG7" s="189"/>
      <c r="ZH7" s="189"/>
      <c r="ZI7" s="189"/>
      <c r="ZJ7" s="189"/>
      <c r="ZK7" s="189"/>
      <c r="ZL7" s="189"/>
      <c r="ZM7" s="189"/>
      <c r="ZN7" s="189"/>
      <c r="ZO7" s="189"/>
      <c r="ZP7" s="189"/>
      <c r="ZQ7" s="189"/>
      <c r="ZR7" s="189"/>
      <c r="ZS7" s="189"/>
      <c r="ZT7" s="189"/>
      <c r="ZU7" s="189"/>
      <c r="ZV7" s="189"/>
      <c r="ZW7" s="189"/>
      <c r="ZX7" s="189"/>
      <c r="ZY7" s="189"/>
      <c r="ZZ7" s="189"/>
      <c r="AAA7" s="189"/>
      <c r="AAB7" s="189"/>
      <c r="AAC7" s="189"/>
      <c r="AAD7" s="189"/>
      <c r="AAE7" s="189"/>
      <c r="AAF7" s="189"/>
      <c r="AAG7" s="189"/>
      <c r="AAH7" s="189"/>
      <c r="AAI7" s="189"/>
      <c r="AAJ7" s="189"/>
      <c r="AAK7" s="189"/>
      <c r="AAL7" s="189"/>
      <c r="AAM7" s="189"/>
      <c r="AAN7" s="189"/>
      <c r="AAO7" s="189"/>
      <c r="AAP7" s="189"/>
      <c r="AAQ7" s="189"/>
      <c r="AAR7" s="189"/>
      <c r="AAS7" s="189"/>
      <c r="AAT7" s="189"/>
      <c r="AAU7" s="189"/>
      <c r="AAV7" s="189"/>
      <c r="AAW7" s="189"/>
      <c r="AAX7" s="189"/>
      <c r="AAY7" s="189"/>
      <c r="AAZ7" s="189"/>
      <c r="ABA7" s="189"/>
      <c r="ABB7" s="189"/>
      <c r="ABC7" s="189"/>
      <c r="ABD7" s="189"/>
      <c r="ABE7" s="189"/>
      <c r="ABF7" s="189"/>
      <c r="ABG7" s="189"/>
      <c r="ABH7" s="189"/>
      <c r="ABI7" s="189"/>
      <c r="ABJ7" s="189"/>
      <c r="ABK7" s="189"/>
      <c r="ABL7" s="189"/>
      <c r="ABM7" s="189"/>
      <c r="ABN7" s="189"/>
      <c r="ABO7" s="189"/>
      <c r="ABP7" s="189"/>
      <c r="ABQ7" s="189"/>
      <c r="ABR7" s="189"/>
      <c r="ABS7" s="189"/>
      <c r="ABT7" s="189"/>
      <c r="ABU7" s="189"/>
      <c r="ABV7" s="189"/>
      <c r="ABW7" s="189"/>
      <c r="ABX7" s="189"/>
      <c r="ABY7" s="189"/>
      <c r="ABZ7" s="189"/>
      <c r="ACA7" s="189"/>
      <c r="ACB7" s="189"/>
      <c r="ACC7" s="189"/>
      <c r="ACD7" s="189"/>
      <c r="ACE7" s="189"/>
      <c r="ACF7" s="189"/>
      <c r="ACG7" s="189"/>
      <c r="ACH7" s="189"/>
      <c r="ACI7" s="189"/>
      <c r="ACJ7" s="189"/>
      <c r="ACK7" s="189"/>
      <c r="ACL7" s="189"/>
      <c r="ACM7" s="189"/>
      <c r="ACN7" s="189"/>
      <c r="ACO7" s="189"/>
      <c r="ACP7" s="189"/>
      <c r="ACQ7" s="189"/>
      <c r="ACR7" s="189"/>
      <c r="ACS7" s="189"/>
      <c r="ACT7" s="189"/>
      <c r="ACU7" s="189"/>
      <c r="ACV7" s="189"/>
      <c r="ACW7" s="189"/>
      <c r="ACX7" s="189"/>
      <c r="ACY7" s="189"/>
      <c r="ACZ7" s="189"/>
      <c r="ADA7" s="189"/>
      <c r="ADB7" s="189"/>
      <c r="ADC7" s="189"/>
      <c r="ADD7" s="189"/>
      <c r="ADE7" s="189"/>
      <c r="ADF7" s="189"/>
      <c r="ADG7" s="189"/>
      <c r="ADH7" s="189"/>
      <c r="ADI7" s="189"/>
      <c r="ADJ7" s="189"/>
      <c r="ADK7" s="189"/>
      <c r="ADL7" s="189"/>
      <c r="ADM7" s="189"/>
      <c r="ADN7" s="189"/>
      <c r="ADO7" s="189"/>
      <c r="ADP7" s="189"/>
      <c r="ADQ7" s="189"/>
      <c r="ADR7" s="189"/>
      <c r="ADS7" s="189"/>
      <c r="ADT7" s="189"/>
      <c r="ADU7" s="189"/>
      <c r="ADV7" s="189"/>
      <c r="ADW7" s="189"/>
      <c r="ADX7" s="189"/>
      <c r="ADY7" s="189"/>
      <c r="ADZ7" s="189"/>
      <c r="AEA7" s="189"/>
      <c r="AEB7" s="189"/>
      <c r="AEC7" s="189"/>
      <c r="AED7" s="189"/>
      <c r="AEE7" s="189"/>
      <c r="AEF7" s="189"/>
      <c r="AEG7" s="189"/>
      <c r="AEH7" s="189"/>
      <c r="AEI7" s="189"/>
      <c r="AEJ7" s="189"/>
      <c r="AEK7" s="189"/>
      <c r="AEL7" s="189"/>
      <c r="AEM7" s="189"/>
      <c r="AEN7" s="189"/>
      <c r="AEO7" s="189"/>
      <c r="AEP7" s="189"/>
      <c r="AEQ7" s="189"/>
      <c r="AER7" s="189"/>
      <c r="AES7" s="189"/>
      <c r="AET7" s="189"/>
      <c r="AEU7" s="189"/>
      <c r="AEV7" s="189"/>
      <c r="AEW7" s="189"/>
      <c r="AEX7" s="189"/>
      <c r="AEY7" s="189"/>
      <c r="AEZ7" s="189"/>
      <c r="AFA7" s="189"/>
      <c r="AFB7" s="189"/>
      <c r="AFC7" s="189"/>
      <c r="AFD7" s="189"/>
      <c r="AFE7" s="189"/>
      <c r="AFF7" s="189"/>
      <c r="AFG7" s="189"/>
      <c r="AFH7" s="189"/>
      <c r="AFI7" s="189"/>
      <c r="AFJ7" s="189"/>
      <c r="AFK7" s="189"/>
      <c r="AFL7" s="189"/>
      <c r="AFM7" s="189"/>
      <c r="AFN7" s="189"/>
      <c r="AFO7" s="189"/>
      <c r="AFP7" s="189"/>
      <c r="AFQ7" s="189"/>
      <c r="AFR7" s="189"/>
      <c r="AFS7" s="189"/>
      <c r="AFT7" s="189"/>
      <c r="AFU7" s="189"/>
      <c r="AFV7" s="189"/>
      <c r="AFW7" s="189"/>
      <c r="AFX7" s="189"/>
      <c r="AFY7" s="189"/>
      <c r="AFZ7" s="189"/>
      <c r="AGA7" s="189"/>
      <c r="AGB7" s="189"/>
      <c r="AGC7" s="189"/>
      <c r="AGD7" s="189"/>
      <c r="AGE7" s="189"/>
      <c r="AGF7" s="189"/>
      <c r="AGG7" s="189"/>
      <c r="AGH7" s="189"/>
      <c r="AGI7" s="189"/>
      <c r="AGJ7" s="189"/>
      <c r="AGK7" s="189"/>
      <c r="AGL7" s="189"/>
      <c r="AGM7" s="189"/>
      <c r="AGN7" s="189"/>
      <c r="AGO7" s="189"/>
      <c r="AGP7" s="189"/>
      <c r="AGQ7" s="189"/>
      <c r="AGR7" s="189"/>
      <c r="AGS7" s="189"/>
      <c r="AGT7" s="189"/>
      <c r="AGU7" s="189"/>
      <c r="AGV7" s="189"/>
      <c r="AGW7" s="189"/>
      <c r="AGX7" s="189"/>
      <c r="AGY7" s="189"/>
      <c r="AGZ7" s="189"/>
      <c r="AHA7" s="189"/>
      <c r="AHB7" s="189"/>
      <c r="AHC7" s="189"/>
      <c r="AHD7" s="189"/>
      <c r="AHE7" s="189"/>
      <c r="AHF7" s="189"/>
      <c r="AHG7" s="189"/>
      <c r="AHH7" s="189"/>
      <c r="AHI7" s="189"/>
      <c r="AHJ7" s="189"/>
      <c r="AHK7" s="189"/>
      <c r="AHL7" s="189"/>
      <c r="AHM7" s="189"/>
      <c r="AHN7" s="189"/>
      <c r="AHO7" s="189"/>
      <c r="AHP7" s="189"/>
      <c r="AHQ7" s="189"/>
      <c r="AHR7" s="189"/>
      <c r="AHS7" s="189"/>
      <c r="AHT7" s="189"/>
      <c r="AHU7" s="189"/>
      <c r="AHV7" s="189"/>
      <c r="AHW7" s="189"/>
      <c r="AHX7" s="189"/>
      <c r="AHY7" s="189"/>
      <c r="AHZ7" s="189"/>
      <c r="AIA7" s="189"/>
      <c r="AIB7" s="189"/>
      <c r="AIC7" s="189"/>
      <c r="AID7" s="189"/>
      <c r="AIE7" s="189"/>
      <c r="AIF7" s="189"/>
      <c r="AIG7" s="189"/>
      <c r="AIH7" s="189"/>
      <c r="AII7" s="189"/>
      <c r="AIJ7" s="189"/>
      <c r="AIK7" s="189"/>
      <c r="AIL7" s="189"/>
      <c r="AIM7" s="189"/>
      <c r="AIN7" s="189"/>
      <c r="AIO7" s="189"/>
      <c r="AIP7" s="189"/>
      <c r="AIQ7" s="189"/>
      <c r="AIR7" s="189"/>
      <c r="AIS7" s="189"/>
      <c r="AIT7" s="189"/>
      <c r="AIU7" s="189"/>
      <c r="AIV7" s="189"/>
      <c r="AIW7" s="189"/>
      <c r="AIX7" s="189"/>
      <c r="AIY7" s="189"/>
      <c r="AIZ7" s="189"/>
      <c r="AJA7" s="189"/>
      <c r="AJB7" s="189"/>
      <c r="AJC7" s="189"/>
      <c r="AJD7" s="189"/>
      <c r="AJE7" s="189"/>
      <c r="AJF7" s="189"/>
      <c r="AJG7" s="189"/>
      <c r="AJH7" s="189"/>
      <c r="AJI7" s="189"/>
      <c r="AJJ7" s="189"/>
      <c r="AJK7" s="189"/>
      <c r="AJL7" s="189"/>
      <c r="AJM7" s="189"/>
      <c r="AJN7" s="189"/>
      <c r="AJO7" s="189"/>
      <c r="AJP7" s="189"/>
      <c r="AJQ7" s="189"/>
      <c r="AJR7" s="189"/>
      <c r="AJS7" s="189"/>
      <c r="AJT7" s="189"/>
      <c r="AJU7" s="189"/>
      <c r="AJV7" s="189"/>
      <c r="AJW7" s="189"/>
      <c r="AJX7" s="189"/>
      <c r="AJY7" s="189"/>
      <c r="AJZ7" s="189"/>
      <c r="AKA7" s="189"/>
      <c r="AKB7" s="189"/>
      <c r="AKC7" s="189"/>
      <c r="AKD7" s="189"/>
      <c r="AKE7" s="189"/>
      <c r="AKF7" s="189"/>
      <c r="AKG7" s="189"/>
      <c r="AKH7" s="189"/>
      <c r="AKI7" s="189"/>
      <c r="AKJ7" s="189"/>
      <c r="AKK7" s="189"/>
      <c r="AKL7" s="189"/>
      <c r="AKM7" s="189"/>
      <c r="AKN7" s="189"/>
      <c r="AKO7" s="189"/>
      <c r="AKP7" s="189"/>
      <c r="AKQ7" s="189"/>
      <c r="AKR7" s="189"/>
      <c r="AKS7" s="189"/>
      <c r="AKT7" s="189"/>
      <c r="AKU7" s="189"/>
      <c r="AKV7" s="189"/>
      <c r="AKW7" s="189"/>
      <c r="AKX7" s="189"/>
      <c r="AKY7" s="189"/>
      <c r="AKZ7" s="189"/>
      <c r="ALA7" s="189"/>
      <c r="ALB7" s="189"/>
      <c r="ALC7" s="189"/>
      <c r="ALD7" s="189"/>
      <c r="ALE7" s="189"/>
      <c r="ALF7" s="189"/>
      <c r="ALG7" s="189"/>
      <c r="ALH7" s="189"/>
      <c r="ALI7" s="189"/>
      <c r="ALJ7" s="189"/>
      <c r="ALK7" s="189"/>
      <c r="ALL7" s="189"/>
      <c r="ALM7" s="189"/>
      <c r="ALN7" s="189"/>
      <c r="ALO7" s="189"/>
      <c r="ALP7" s="189"/>
      <c r="ALQ7" s="189"/>
      <c r="ALR7" s="189"/>
      <c r="ALS7" s="189"/>
      <c r="ALT7" s="189"/>
      <c r="ALU7" s="189"/>
      <c r="ALV7" s="189"/>
      <c r="ALW7" s="189"/>
      <c r="ALX7" s="189"/>
      <c r="ALY7" s="189"/>
      <c r="ALZ7" s="189"/>
      <c r="AMA7" s="189"/>
      <c r="AMB7" s="189"/>
      <c r="AMC7" s="189"/>
      <c r="AMD7" s="189"/>
      <c r="AME7" s="189"/>
      <c r="AMF7" s="189"/>
      <c r="AMG7" s="189"/>
      <c r="AMH7" s="189"/>
    </row>
    <row r="8" spans="1:1022" s="189" customFormat="1" ht="12.75" customHeight="1" x14ac:dyDescent="0.2">
      <c r="A8" s="189" t="s">
        <v>95</v>
      </c>
      <c r="C8" s="191" t="s">
        <v>96</v>
      </c>
      <c r="D8" s="192"/>
      <c r="E8" s="192"/>
      <c r="F8" s="193" t="s">
        <v>97</v>
      </c>
      <c r="G8" s="195" t="s">
        <v>98</v>
      </c>
      <c r="H8" s="196" t="s">
        <v>99</v>
      </c>
      <c r="I8" s="200" t="s">
        <v>100</v>
      </c>
      <c r="J8" s="201" t="s">
        <v>101</v>
      </c>
      <c r="K8" s="202" t="s">
        <v>102</v>
      </c>
      <c r="L8" s="201" t="s">
        <v>103</v>
      </c>
      <c r="M8" s="203" t="s">
        <v>104</v>
      </c>
      <c r="N8" s="201" t="s">
        <v>105</v>
      </c>
      <c r="O8" s="201" t="s">
        <v>106</v>
      </c>
      <c r="P8" s="201" t="s">
        <v>107</v>
      </c>
      <c r="Q8" s="201" t="s">
        <v>108</v>
      </c>
      <c r="R8" s="201" t="s">
        <v>109</v>
      </c>
      <c r="S8" s="201" t="s">
        <v>110</v>
      </c>
      <c r="T8" s="201" t="s">
        <v>111</v>
      </c>
      <c r="U8" s="201" t="s">
        <v>112</v>
      </c>
      <c r="V8" s="201" t="s">
        <v>112</v>
      </c>
      <c r="W8" s="201" t="s">
        <v>113</v>
      </c>
      <c r="X8" s="201" t="s">
        <v>114</v>
      </c>
      <c r="Y8" s="204" t="s">
        <v>115</v>
      </c>
      <c r="Z8" s="201" t="s">
        <v>116</v>
      </c>
      <c r="AA8" s="201" t="s">
        <v>117</v>
      </c>
      <c r="AB8" s="201" t="s">
        <v>644</v>
      </c>
      <c r="AC8" s="205" t="s">
        <v>118</v>
      </c>
      <c r="AD8" s="205" t="s">
        <v>119</v>
      </c>
      <c r="AE8" s="201" t="s">
        <v>120</v>
      </c>
      <c r="AF8" s="204" t="s">
        <v>121</v>
      </c>
      <c r="AG8" s="201" t="s">
        <v>122</v>
      </c>
      <c r="AH8" s="201" t="s">
        <v>123</v>
      </c>
      <c r="AI8" s="201" t="s">
        <v>124</v>
      </c>
      <c r="AJ8" s="198" t="s">
        <v>125</v>
      </c>
      <c r="AK8" s="201" t="s">
        <v>632</v>
      </c>
      <c r="AL8" s="205" t="s">
        <v>632</v>
      </c>
      <c r="AM8" s="232"/>
      <c r="AN8" s="205" t="s">
        <v>126</v>
      </c>
      <c r="AO8" s="197" t="s">
        <v>127</v>
      </c>
      <c r="AP8" s="199" t="s">
        <v>128</v>
      </c>
      <c r="AQ8" s="199" t="s">
        <v>129</v>
      </c>
      <c r="AR8" s="201" t="s">
        <v>130</v>
      </c>
      <c r="AS8" s="208" t="s">
        <v>648</v>
      </c>
      <c r="AT8" s="208" t="s">
        <v>649</v>
      </c>
      <c r="AU8" s="198"/>
      <c r="AV8" s="199" t="str">
        <f t="shared" ref="AV8:AV71" si="0">AP8</f>
        <v>C660060</v>
      </c>
      <c r="AW8" s="223"/>
      <c r="AX8" s="222"/>
      <c r="AY8" s="222"/>
      <c r="AZ8" s="190"/>
      <c r="BA8" s="190"/>
      <c r="BB8" s="190"/>
    </row>
    <row r="9" spans="1:1022" s="114" customFormat="1" ht="11.25" customHeight="1" x14ac:dyDescent="0.15">
      <c r="A9" s="134">
        <v>6</v>
      </c>
      <c r="B9" s="134"/>
      <c r="C9" s="135" t="s">
        <v>131</v>
      </c>
      <c r="D9" s="135"/>
      <c r="E9" s="135">
        <f t="shared" ref="E9:E72" si="1">LEN(F9)</f>
        <v>19</v>
      </c>
      <c r="F9" s="136" t="s">
        <v>132</v>
      </c>
      <c r="G9" s="137">
        <v>107</v>
      </c>
      <c r="H9" s="138">
        <f>INT((G9*Valores!$C$2*100)+0.5)/100</f>
        <v>1329.66</v>
      </c>
      <c r="I9" s="139">
        <v>3779</v>
      </c>
      <c r="J9" s="140">
        <f>INT((I9*Valores!$C$2*100)+0.5)/100</f>
        <v>46960.5</v>
      </c>
      <c r="K9" s="141">
        <v>219</v>
      </c>
      <c r="L9" s="140">
        <f>INT((K9*Valores!$C$2*100)+0.5)/100</f>
        <v>2721.45</v>
      </c>
      <c r="M9" s="137">
        <v>0</v>
      </c>
      <c r="N9" s="140">
        <f>INT((M9*Valores!$C$2*100)+0.5)/100</f>
        <v>0</v>
      </c>
      <c r="O9" s="140">
        <f t="shared" ref="O9:O72" si="2">IF($J$2=0,IF(C9&lt;&gt;"13-930",(SUM(H9,J9,L9,N9,Z9,U9,T9)*$O$2),0),0)</f>
        <v>8116.7564999999995</v>
      </c>
      <c r="P9" s="140">
        <f t="shared" ref="P9:P72" si="3">SUM(H9,J9,L9,N9,Z9,T9)*$J$2</f>
        <v>0</v>
      </c>
      <c r="Q9" s="142">
        <f>Valores!$C$17</f>
        <v>11080.51</v>
      </c>
      <c r="R9" s="142">
        <f>Valores!$D$4</f>
        <v>6352.5280000000002</v>
      </c>
      <c r="S9" s="140">
        <v>0</v>
      </c>
      <c r="T9" s="143">
        <f>IF($H$5="NO",Valores!$C$45,Valores!$C$45/2)</f>
        <v>3100.1</v>
      </c>
      <c r="U9" s="140">
        <v>0</v>
      </c>
      <c r="V9" s="140">
        <f t="shared" ref="V9:V46" si="4">U9*(1+$J$2)</f>
        <v>0</v>
      </c>
      <c r="W9" s="142">
        <f>SUM(H9,J9,L9)</f>
        <v>51011.61</v>
      </c>
      <c r="X9" s="142">
        <f>INT((SUM(H9,J9,L9)*0.4*100)+0.49)/100</f>
        <v>20404.64</v>
      </c>
      <c r="Y9" s="144">
        <v>0</v>
      </c>
      <c r="Z9" s="140">
        <f>Y9*Valores!$C$2</f>
        <v>0</v>
      </c>
      <c r="AA9" s="140">
        <v>0</v>
      </c>
      <c r="AB9" s="143">
        <f>Valores!$C$90</f>
        <v>2220.0100000000002</v>
      </c>
      <c r="AC9" s="145">
        <f>Valores!$C$31</f>
        <v>259.82</v>
      </c>
      <c r="AD9" s="140">
        <f>SUM(H9,J9,L9,Z9,T9)*$H$3/100</f>
        <v>0</v>
      </c>
      <c r="AE9" s="140">
        <f>Valores!$C$32</f>
        <v>259.82</v>
      </c>
      <c r="AF9" s="144">
        <v>0</v>
      </c>
      <c r="AG9" s="140">
        <f>AF9*Valores!$C$2</f>
        <v>0</v>
      </c>
      <c r="AH9" s="140">
        <f>IF($H$5="NO",Valores!$C$60,Valores!$C$60/2)</f>
        <v>528.49</v>
      </c>
      <c r="AI9" s="140">
        <f>IF($H$5="NO",Valores!$C$62,Valores!$C$62/2)</f>
        <v>151</v>
      </c>
      <c r="AJ9" s="146">
        <f>SUM(H9,J9,L9,N9,O9,P9,Q9,R9,S9,V9,W9,X9,Z9,AA9,AC9,AD9,AE9,AG9,T9,AH9,AI9,AB9)</f>
        <v>154496.89450000002</v>
      </c>
      <c r="AK9" s="142">
        <f>Valores!$C$37</f>
        <v>1360.88</v>
      </c>
      <c r="AL9" s="143">
        <f>Valores!$C$85</f>
        <v>2275</v>
      </c>
      <c r="AM9" s="143"/>
      <c r="AN9" s="145">
        <f>IF($H$4="NO",0,Valores!$C$52)</f>
        <v>0</v>
      </c>
      <c r="AO9" s="147">
        <f t="shared" ref="AO9:AO72" si="5">IF($H$4="SI",SUM(AK9:AN9),SUM(AK9:AL9))</f>
        <v>3635.88</v>
      </c>
      <c r="AP9" s="148">
        <f>AJ9*Valores!$C$69</f>
        <v>-16994.658395000002</v>
      </c>
      <c r="AQ9" s="149">
        <f>AJ9*-Valores!$C$70</f>
        <v>0</v>
      </c>
      <c r="AR9" s="142">
        <f>AJ9*Valores!$C$71</f>
        <v>-6952.3602525000006</v>
      </c>
      <c r="AS9" s="142">
        <f>Valores!$C$95</f>
        <v>-193.38</v>
      </c>
      <c r="AT9" s="142">
        <f>IF($H$6=0,Valores!$C$96,(Valores!$C$96+$H$6*(Valores!$C$96)))</f>
        <v>-129</v>
      </c>
      <c r="AU9" s="146">
        <f>AJ9+AO9+SUM(AP9:AT9)</f>
        <v>133863.37585250003</v>
      </c>
      <c r="AV9" s="199">
        <f t="shared" si="0"/>
        <v>-16994.658395000002</v>
      </c>
      <c r="AW9" s="142">
        <f>AJ9*Valores!$C$72</f>
        <v>-4171.4161515000005</v>
      </c>
      <c r="AX9" s="142">
        <f>AJ9*Valores!$C$73</f>
        <v>-463.4906835000001</v>
      </c>
      <c r="AY9" s="146">
        <f>AJ9+AO9+SUM(AV9:AX9)</f>
        <v>136503.20927000002</v>
      </c>
      <c r="AZ9" s="150">
        <v>33</v>
      </c>
      <c r="BA9" s="150">
        <v>45</v>
      </c>
      <c r="BB9" s="135" t="s">
        <v>8</v>
      </c>
    </row>
    <row r="10" spans="1:1022" s="114" customFormat="1" ht="11.25" customHeight="1" x14ac:dyDescent="0.15">
      <c r="A10" s="134">
        <v>7</v>
      </c>
      <c r="B10" s="134"/>
      <c r="C10" s="135" t="s">
        <v>133</v>
      </c>
      <c r="D10" s="135"/>
      <c r="E10" s="135">
        <f t="shared" si="1"/>
        <v>20</v>
      </c>
      <c r="F10" s="136" t="s">
        <v>134</v>
      </c>
      <c r="G10" s="137">
        <v>107</v>
      </c>
      <c r="H10" s="138">
        <f>INT((G10*Valores!$C$2*100)+0.5)/100</f>
        <v>1329.66</v>
      </c>
      <c r="I10" s="139">
        <v>3779</v>
      </c>
      <c r="J10" s="140">
        <f>INT((I10*Valores!$C$2*100)+0.5)/100</f>
        <v>46960.5</v>
      </c>
      <c r="K10" s="141">
        <v>219</v>
      </c>
      <c r="L10" s="140">
        <f>INT((K10*Valores!$C$2*100)+0.5)/100</f>
        <v>2721.45</v>
      </c>
      <c r="M10" s="137">
        <v>0</v>
      </c>
      <c r="N10" s="140">
        <f>INT((M10*Valores!$C$2*100)+0.5)/100</f>
        <v>0</v>
      </c>
      <c r="O10" s="140">
        <f t="shared" si="2"/>
        <v>8116.7564999999995</v>
      </c>
      <c r="P10" s="140">
        <f t="shared" si="3"/>
        <v>0</v>
      </c>
      <c r="Q10" s="142">
        <f>Valores!$C$17</f>
        <v>11080.51</v>
      </c>
      <c r="R10" s="142">
        <f>Valores!$D$4</f>
        <v>6352.5280000000002</v>
      </c>
      <c r="S10" s="140">
        <v>0</v>
      </c>
      <c r="T10" s="143">
        <f>IF($H$5="NO",Valores!$C$45,Valores!$C$45/2)</f>
        <v>3100.1</v>
      </c>
      <c r="U10" s="140">
        <v>0</v>
      </c>
      <c r="V10" s="140">
        <f t="shared" si="4"/>
        <v>0</v>
      </c>
      <c r="W10" s="142">
        <f>SUM(H10,J10,L10)</f>
        <v>51011.61</v>
      </c>
      <c r="X10" s="142">
        <f>INT((SUM(H10,J10,L10)*0.4*100)+0.49)/100</f>
        <v>20404.64</v>
      </c>
      <c r="Y10" s="144">
        <v>0</v>
      </c>
      <c r="Z10" s="140">
        <f>Y10*Valores!$C$2</f>
        <v>0</v>
      </c>
      <c r="AA10" s="140">
        <v>0</v>
      </c>
      <c r="AB10" s="143">
        <f>Valores!$C$90</f>
        <v>2220.0100000000002</v>
      </c>
      <c r="AC10" s="145">
        <f>Valores!$C$31</f>
        <v>259.82</v>
      </c>
      <c r="AD10" s="140">
        <f t="shared" ref="AD10:AD73" si="6">SUM(H10,J10,L10,Z10,T10)*$H$3/100</f>
        <v>0</v>
      </c>
      <c r="AE10" s="140">
        <f>Valores!$C$32</f>
        <v>259.82</v>
      </c>
      <c r="AF10" s="144">
        <v>0</v>
      </c>
      <c r="AG10" s="140">
        <f>INT(((AF10*Valores!$C$2)*100)+0.5)/100</f>
        <v>0</v>
      </c>
      <c r="AH10" s="140">
        <f>IF($H$5="NO",Valores!$C$60,Valores!$C$60/2)</f>
        <v>528.49</v>
      </c>
      <c r="AI10" s="140">
        <f>IF($H$5="NO",Valores!$C$62,Valores!$C$62/2)</f>
        <v>151</v>
      </c>
      <c r="AJ10" s="146">
        <f t="shared" ref="AJ10:AJ73" si="7">SUM(H10,J10,L10,N10,O10,P10,Q10,R10,S10,V10,W10,X10,Z10,AA10,AC10,AD10,AE10,AG10,T10,AH10,AI10,AB10)</f>
        <v>154496.89450000002</v>
      </c>
      <c r="AK10" s="142">
        <f>Valores!$C$37</f>
        <v>1360.88</v>
      </c>
      <c r="AL10" s="143">
        <f>Valores!$C$85</f>
        <v>2275</v>
      </c>
      <c r="AM10" s="143"/>
      <c r="AN10" s="145">
        <f>IF($H$4="NO",0,Valores!$C$52)</f>
        <v>0</v>
      </c>
      <c r="AO10" s="147">
        <f t="shared" si="5"/>
        <v>3635.88</v>
      </c>
      <c r="AP10" s="148">
        <f>AJ10*Valores!$C$69</f>
        <v>-16994.658395000002</v>
      </c>
      <c r="AQ10" s="148">
        <f>AJ10*-Valores!$C$70</f>
        <v>0</v>
      </c>
      <c r="AR10" s="142">
        <f>AJ10*Valores!$C$71</f>
        <v>-6952.3602525000006</v>
      </c>
      <c r="AS10" s="142">
        <f>Valores!$C$95</f>
        <v>-193.38</v>
      </c>
      <c r="AT10" s="142">
        <f>IF($H$6=0,Valores!$C$96,(Valores!$C$96+$H$6*(Valores!$C$96)))</f>
        <v>-129</v>
      </c>
      <c r="AU10" s="146">
        <f t="shared" ref="AU10:AU73" si="8">AJ10+SUM(AO10:AT10)</f>
        <v>133863.37585250003</v>
      </c>
      <c r="AV10" s="199">
        <f t="shared" si="0"/>
        <v>-16994.658395000002</v>
      </c>
      <c r="AW10" s="142">
        <f>AJ10*Valores!$C$72</f>
        <v>-4171.4161515000005</v>
      </c>
      <c r="AX10" s="142">
        <f>AJ10*Valores!$C$73</f>
        <v>-463.4906835000001</v>
      </c>
      <c r="AY10" s="146">
        <f t="shared" ref="AY10:AY73" si="9">AJ10+AO10+SUM(AV10:AX10)</f>
        <v>136503.20927000002</v>
      </c>
      <c r="AZ10" s="150">
        <v>33</v>
      </c>
      <c r="BA10" s="150">
        <v>45</v>
      </c>
      <c r="BB10" s="135" t="s">
        <v>8</v>
      </c>
    </row>
    <row r="11" spans="1:1022" s="114" customFormat="1" ht="11.25" customHeight="1" x14ac:dyDescent="0.15">
      <c r="A11" s="134">
        <v>8</v>
      </c>
      <c r="B11" s="134"/>
      <c r="C11" s="135" t="s">
        <v>135</v>
      </c>
      <c r="D11" s="135"/>
      <c r="E11" s="135">
        <f t="shared" si="1"/>
        <v>14</v>
      </c>
      <c r="F11" s="136" t="s">
        <v>136</v>
      </c>
      <c r="G11" s="137">
        <v>107</v>
      </c>
      <c r="H11" s="151">
        <f>INT((G11*Valores!$C$2*100)+0.5)/100</f>
        <v>1329.66</v>
      </c>
      <c r="I11" s="139">
        <v>3720</v>
      </c>
      <c r="J11" s="140">
        <f>INT((I11*Valores!$C$2*100)+0.5)/100</f>
        <v>46227.32</v>
      </c>
      <c r="K11" s="141">
        <v>1226</v>
      </c>
      <c r="L11" s="140">
        <f>INT((K11*Valores!$C$2*100)+0.5)/100</f>
        <v>15235.13</v>
      </c>
      <c r="M11" s="137">
        <v>0</v>
      </c>
      <c r="N11" s="140">
        <f>INT((M11*Valores!$C$2*100)+0.5)/100</f>
        <v>0</v>
      </c>
      <c r="O11" s="140">
        <f t="shared" si="2"/>
        <v>10770.498000000001</v>
      </c>
      <c r="P11" s="140">
        <f t="shared" si="3"/>
        <v>0</v>
      </c>
      <c r="Q11" s="142">
        <f>Valores!$C$20</f>
        <v>11382.51</v>
      </c>
      <c r="R11" s="142">
        <f>Valores!$D$4</f>
        <v>6352.5280000000002</v>
      </c>
      <c r="S11" s="140">
        <v>0</v>
      </c>
      <c r="T11" s="143">
        <f>IF($H$5="NO",Valores!$C$45,Valores!$C$45/2)</f>
        <v>3100.1</v>
      </c>
      <c r="U11" s="140">
        <f>Valores!$C$25</f>
        <v>5911.11</v>
      </c>
      <c r="V11" s="140">
        <f t="shared" si="4"/>
        <v>5911.11</v>
      </c>
      <c r="W11" s="140">
        <v>0</v>
      </c>
      <c r="X11" s="140">
        <v>0</v>
      </c>
      <c r="Y11" s="144">
        <v>0</v>
      </c>
      <c r="Z11" s="140">
        <f>Y11*Valores!$C$2</f>
        <v>0</v>
      </c>
      <c r="AA11" s="140">
        <v>0</v>
      </c>
      <c r="AB11" s="143">
        <f>Valores!$C$90</f>
        <v>2220.0100000000002</v>
      </c>
      <c r="AC11" s="145">
        <f>Valores!$C$31</f>
        <v>259.82</v>
      </c>
      <c r="AD11" s="140">
        <f t="shared" si="6"/>
        <v>0</v>
      </c>
      <c r="AE11" s="140">
        <f>Valores!$C$32</f>
        <v>259.82</v>
      </c>
      <c r="AF11" s="144">
        <v>0</v>
      </c>
      <c r="AG11" s="140">
        <f>INT(((AF11*Valores!$C$2)*100)+0.5)/100</f>
        <v>0</v>
      </c>
      <c r="AH11" s="140">
        <f>IF($H$5="NO",Valores!$C$60,Valores!$C$60/2)</f>
        <v>528.49</v>
      </c>
      <c r="AI11" s="140">
        <f>IF($H$5="NO",Valores!$C$62,Valores!$C$62/2)</f>
        <v>151</v>
      </c>
      <c r="AJ11" s="146">
        <f t="shared" si="7"/>
        <v>103727.99600000003</v>
      </c>
      <c r="AK11" s="142">
        <f>Valores!$C$37</f>
        <v>1360.88</v>
      </c>
      <c r="AL11" s="143">
        <f>Valores!$C$85</f>
        <v>2275</v>
      </c>
      <c r="AM11" s="143"/>
      <c r="AN11" s="145">
        <f>IF($H$4="NO",0,Valores!$C$52)</f>
        <v>0</v>
      </c>
      <c r="AO11" s="147">
        <f t="shared" si="5"/>
        <v>3635.88</v>
      </c>
      <c r="AP11" s="148">
        <f>AJ11*Valores!$C$69</f>
        <v>-11410.079560000004</v>
      </c>
      <c r="AQ11" s="148">
        <f>AJ11*-Valores!$C$70</f>
        <v>0</v>
      </c>
      <c r="AR11" s="142">
        <f>AJ11*Valores!$C$71</f>
        <v>-4667.7598200000011</v>
      </c>
      <c r="AS11" s="142">
        <f>Valores!$C$95</f>
        <v>-193.38</v>
      </c>
      <c r="AT11" s="142">
        <f>IF($H$6=0,Valores!$C$96,(Valores!$C$96+$H$6*(Valores!$C$96)))</f>
        <v>-129</v>
      </c>
      <c r="AU11" s="146">
        <f t="shared" si="8"/>
        <v>90963.656620000023</v>
      </c>
      <c r="AV11" s="199">
        <f t="shared" si="0"/>
        <v>-11410.079560000004</v>
      </c>
      <c r="AW11" s="142">
        <f>AJ11*Valores!$C$72</f>
        <v>-2800.6558920000007</v>
      </c>
      <c r="AX11" s="142">
        <f>AJ11*Valores!$C$73</f>
        <v>-311.18398800000011</v>
      </c>
      <c r="AY11" s="146">
        <f t="shared" si="9"/>
        <v>92841.956560000021</v>
      </c>
      <c r="AZ11" s="150">
        <v>35</v>
      </c>
      <c r="BA11" s="150">
        <v>45</v>
      </c>
      <c r="BB11" s="135" t="s">
        <v>4</v>
      </c>
    </row>
    <row r="12" spans="1:1022" s="114" customFormat="1" ht="11.25" customHeight="1" x14ac:dyDescent="0.15">
      <c r="A12" s="134">
        <v>9</v>
      </c>
      <c r="B12" s="134"/>
      <c r="C12" s="135" t="s">
        <v>137</v>
      </c>
      <c r="D12" s="135"/>
      <c r="E12" s="135">
        <f t="shared" si="1"/>
        <v>17</v>
      </c>
      <c r="F12" s="136" t="s">
        <v>138</v>
      </c>
      <c r="G12" s="137">
        <v>107</v>
      </c>
      <c r="H12" s="138">
        <f>INT((G12*Valores!$C$2*100)+0.5)/100</f>
        <v>1329.66</v>
      </c>
      <c r="I12" s="139">
        <v>3779</v>
      </c>
      <c r="J12" s="140">
        <f>INT((I12*Valores!$C$2*100)+0.5)/100</f>
        <v>46960.5</v>
      </c>
      <c r="K12" s="141">
        <v>219</v>
      </c>
      <c r="L12" s="140">
        <f>INT((K12*Valores!$C$2*100)+0.5)/100</f>
        <v>2721.45</v>
      </c>
      <c r="M12" s="137">
        <v>0</v>
      </c>
      <c r="N12" s="140">
        <f>INT((M12*Valores!$C$2*100)+0.5)/100</f>
        <v>0</v>
      </c>
      <c r="O12" s="140">
        <f t="shared" si="2"/>
        <v>8116.7564999999995</v>
      </c>
      <c r="P12" s="140">
        <f t="shared" si="3"/>
        <v>0</v>
      </c>
      <c r="Q12" s="142">
        <f>Valores!$C$17</f>
        <v>11080.51</v>
      </c>
      <c r="R12" s="142">
        <f>Valores!$D$4</f>
        <v>6352.5280000000002</v>
      </c>
      <c r="S12" s="140">
        <v>0</v>
      </c>
      <c r="T12" s="143">
        <f>IF($H$5="NO",Valores!$C$45,Valores!$C$45/2)</f>
        <v>3100.1</v>
      </c>
      <c r="U12" s="140">
        <v>0</v>
      </c>
      <c r="V12" s="140">
        <f t="shared" si="4"/>
        <v>0</v>
      </c>
      <c r="W12" s="142">
        <f t="shared" ref="W12:W21" si="10">SUM(H12,J12,L12)</f>
        <v>51011.61</v>
      </c>
      <c r="X12" s="142">
        <f t="shared" ref="X12:X21" si="11">INT((SUM(H12,J12,L12)*0.4*100)+0.49)/100</f>
        <v>20404.64</v>
      </c>
      <c r="Y12" s="144">
        <v>0</v>
      </c>
      <c r="Z12" s="140">
        <f>Y12*Valores!$C$2</f>
        <v>0</v>
      </c>
      <c r="AA12" s="140">
        <v>0</v>
      </c>
      <c r="AB12" s="143">
        <f>Valores!$C$90</f>
        <v>2220.0100000000002</v>
      </c>
      <c r="AC12" s="145">
        <f>Valores!$C$31</f>
        <v>259.82</v>
      </c>
      <c r="AD12" s="140">
        <f t="shared" si="6"/>
        <v>0</v>
      </c>
      <c r="AE12" s="140">
        <f>Valores!$C$32</f>
        <v>259.82</v>
      </c>
      <c r="AF12" s="144">
        <v>0</v>
      </c>
      <c r="AG12" s="140">
        <f>INT(((AF12*Valores!$C$2)*100)+0.5)/100</f>
        <v>0</v>
      </c>
      <c r="AH12" s="140">
        <f>IF($H$5="NO",Valores!$C$60,Valores!$C$60/2)</f>
        <v>528.49</v>
      </c>
      <c r="AI12" s="140">
        <f>IF($H$5="NO",Valores!$C$62,Valores!$C$62/2)</f>
        <v>151</v>
      </c>
      <c r="AJ12" s="146">
        <f t="shared" si="7"/>
        <v>154496.89450000002</v>
      </c>
      <c r="AK12" s="142">
        <f>Valores!$C$37</f>
        <v>1360.88</v>
      </c>
      <c r="AL12" s="143">
        <f>Valores!$C$85</f>
        <v>2275</v>
      </c>
      <c r="AM12" s="143"/>
      <c r="AN12" s="145">
        <f>IF($H$4="NO",0,Valores!$C$52)</f>
        <v>0</v>
      </c>
      <c r="AO12" s="147">
        <f t="shared" si="5"/>
        <v>3635.88</v>
      </c>
      <c r="AP12" s="148">
        <f>AJ12*Valores!$C$69</f>
        <v>-16994.658395000002</v>
      </c>
      <c r="AQ12" s="148">
        <f>AJ12*-Valores!$C$70</f>
        <v>0</v>
      </c>
      <c r="AR12" s="142">
        <f>AJ12*Valores!$C$71</f>
        <v>-6952.3602525000006</v>
      </c>
      <c r="AS12" s="142">
        <f>Valores!$C$95</f>
        <v>-193.38</v>
      </c>
      <c r="AT12" s="142">
        <f>IF($H$6=0,Valores!$C$96,(Valores!$C$96+$H$6*(Valores!$C$96)))</f>
        <v>-129</v>
      </c>
      <c r="AU12" s="146">
        <f t="shared" si="8"/>
        <v>133863.37585250003</v>
      </c>
      <c r="AV12" s="199">
        <f t="shared" si="0"/>
        <v>-16994.658395000002</v>
      </c>
      <c r="AW12" s="142">
        <f>AJ12*Valores!$C$72</f>
        <v>-4171.4161515000005</v>
      </c>
      <c r="AX12" s="142">
        <f>AJ12*Valores!$C$73</f>
        <v>-463.4906835000001</v>
      </c>
      <c r="AY12" s="146">
        <f t="shared" si="9"/>
        <v>136503.20927000002</v>
      </c>
      <c r="AZ12" s="150">
        <v>33</v>
      </c>
      <c r="BA12" s="150">
        <v>45</v>
      </c>
      <c r="BB12" s="135" t="s">
        <v>8</v>
      </c>
    </row>
    <row r="13" spans="1:1022" s="114" customFormat="1" ht="11.25" customHeight="1" x14ac:dyDescent="0.15">
      <c r="A13" s="152">
        <v>10</v>
      </c>
      <c r="B13" s="152" t="s">
        <v>139</v>
      </c>
      <c r="C13" s="135" t="s">
        <v>140</v>
      </c>
      <c r="D13" s="135"/>
      <c r="E13" s="135">
        <f t="shared" si="1"/>
        <v>17</v>
      </c>
      <c r="F13" s="136" t="s">
        <v>141</v>
      </c>
      <c r="G13" s="137">
        <v>107</v>
      </c>
      <c r="H13" s="138">
        <f>INT((G13*Valores!$C$2*100)+0.5)/100</f>
        <v>1329.66</v>
      </c>
      <c r="I13" s="139">
        <v>3779</v>
      </c>
      <c r="J13" s="140">
        <f>INT((I13*Valores!$C$2*100)+0.5)/100</f>
        <v>46960.5</v>
      </c>
      <c r="K13" s="141">
        <v>219</v>
      </c>
      <c r="L13" s="140">
        <f>INT((K13*Valores!$C$2*100)+0.5)/100</f>
        <v>2721.45</v>
      </c>
      <c r="M13" s="137">
        <v>0</v>
      </c>
      <c r="N13" s="140">
        <f>INT((M13*Valores!$C$2*100)+0.5)/100</f>
        <v>0</v>
      </c>
      <c r="O13" s="140">
        <f t="shared" si="2"/>
        <v>8116.7564999999995</v>
      </c>
      <c r="P13" s="140">
        <f t="shared" si="3"/>
        <v>0</v>
      </c>
      <c r="Q13" s="142">
        <f>Valores!$C$17</f>
        <v>11080.51</v>
      </c>
      <c r="R13" s="142">
        <f>Valores!$D$4</f>
        <v>6352.5280000000002</v>
      </c>
      <c r="S13" s="140">
        <v>0</v>
      </c>
      <c r="T13" s="143">
        <f>IF($H$5="NO",Valores!$C$45,Valores!$C$45/2)</f>
        <v>3100.1</v>
      </c>
      <c r="U13" s="140">
        <v>0</v>
      </c>
      <c r="V13" s="140">
        <f t="shared" si="4"/>
        <v>0</v>
      </c>
      <c r="W13" s="142">
        <f t="shared" si="10"/>
        <v>51011.61</v>
      </c>
      <c r="X13" s="142">
        <f t="shared" si="11"/>
        <v>20404.64</v>
      </c>
      <c r="Y13" s="144">
        <v>0</v>
      </c>
      <c r="Z13" s="140">
        <f>Y13*Valores!$C$2</f>
        <v>0</v>
      </c>
      <c r="AA13" s="140">
        <v>0</v>
      </c>
      <c r="AB13" s="143">
        <f>Valores!$C$90</f>
        <v>2220.0100000000002</v>
      </c>
      <c r="AC13" s="145">
        <f>Valores!$C$31</f>
        <v>259.82</v>
      </c>
      <c r="AD13" s="140">
        <f t="shared" si="6"/>
        <v>0</v>
      </c>
      <c r="AE13" s="140">
        <f>Valores!$C$32</f>
        <v>259.82</v>
      </c>
      <c r="AF13" s="144">
        <v>0</v>
      </c>
      <c r="AG13" s="140">
        <f>INT(((AF13*Valores!$C$2)*100)+0.5)/100</f>
        <v>0</v>
      </c>
      <c r="AH13" s="140">
        <f>IF($H$5="NO",Valores!$C$60,Valores!$C$60/2)</f>
        <v>528.49</v>
      </c>
      <c r="AI13" s="140">
        <f>IF($H$5="NO",Valores!$C$62,Valores!$C$62/2)</f>
        <v>151</v>
      </c>
      <c r="AJ13" s="146">
        <f t="shared" si="7"/>
        <v>154496.89450000002</v>
      </c>
      <c r="AK13" s="142">
        <f>Valores!$C$37</f>
        <v>1360.88</v>
      </c>
      <c r="AL13" s="143">
        <f>Valores!$C$85</f>
        <v>2275</v>
      </c>
      <c r="AM13" s="143"/>
      <c r="AN13" s="145">
        <f>IF($H$4="NO",0,Valores!$C$52)</f>
        <v>0</v>
      </c>
      <c r="AO13" s="147">
        <f t="shared" si="5"/>
        <v>3635.88</v>
      </c>
      <c r="AP13" s="148">
        <f>AJ13*Valores!$C$69</f>
        <v>-16994.658395000002</v>
      </c>
      <c r="AQ13" s="148">
        <f>AJ13*-Valores!$C$70</f>
        <v>0</v>
      </c>
      <c r="AR13" s="142">
        <f>AJ13*Valores!$C$71</f>
        <v>-6952.3602525000006</v>
      </c>
      <c r="AS13" s="142">
        <f>Valores!$C$95</f>
        <v>-193.38</v>
      </c>
      <c r="AT13" s="142">
        <f>IF($H$6=0,Valores!$C$96,(Valores!$C$96+$H$6*(Valores!$C$96)))</f>
        <v>-129</v>
      </c>
      <c r="AU13" s="146">
        <f t="shared" si="8"/>
        <v>133863.37585250003</v>
      </c>
      <c r="AV13" s="199">
        <f t="shared" si="0"/>
        <v>-16994.658395000002</v>
      </c>
      <c r="AW13" s="142">
        <f>AJ13*Valores!$C$72</f>
        <v>-4171.4161515000005</v>
      </c>
      <c r="AX13" s="142">
        <f>AJ13*Valores!$C$73</f>
        <v>-463.4906835000001</v>
      </c>
      <c r="AY13" s="146">
        <f t="shared" si="9"/>
        <v>136503.20927000002</v>
      </c>
      <c r="AZ13" s="150">
        <v>33</v>
      </c>
      <c r="BA13" s="150">
        <v>45</v>
      </c>
      <c r="BB13" s="135" t="s">
        <v>8</v>
      </c>
    </row>
    <row r="14" spans="1:1022" s="114" customFormat="1" ht="11.25" customHeight="1" x14ac:dyDescent="0.15">
      <c r="A14" s="134">
        <v>11</v>
      </c>
      <c r="B14" s="134"/>
      <c r="C14" s="135" t="s">
        <v>142</v>
      </c>
      <c r="D14" s="135"/>
      <c r="E14" s="135">
        <f t="shared" si="1"/>
        <v>17</v>
      </c>
      <c r="F14" s="136" t="s">
        <v>143</v>
      </c>
      <c r="G14" s="137">
        <v>107</v>
      </c>
      <c r="H14" s="138">
        <f>INT((G14*Valores!$C$2*100)+0.5)/100</f>
        <v>1329.66</v>
      </c>
      <c r="I14" s="139">
        <v>3779</v>
      </c>
      <c r="J14" s="140">
        <f>INT((I14*Valores!$C$2*100)+0.5)/100</f>
        <v>46960.5</v>
      </c>
      <c r="K14" s="141">
        <v>219</v>
      </c>
      <c r="L14" s="140">
        <f>INT((K14*Valores!$C$2*100)+0.5)/100</f>
        <v>2721.45</v>
      </c>
      <c r="M14" s="137">
        <v>0</v>
      </c>
      <c r="N14" s="140">
        <f>INT((M14*Valores!$C$2*100)+0.5)/100</f>
        <v>0</v>
      </c>
      <c r="O14" s="140">
        <f t="shared" si="2"/>
        <v>8116.7564999999995</v>
      </c>
      <c r="P14" s="140">
        <f t="shared" si="3"/>
        <v>0</v>
      </c>
      <c r="Q14" s="142">
        <f>Valores!$C$17</f>
        <v>11080.51</v>
      </c>
      <c r="R14" s="142">
        <f>Valores!$D$4</f>
        <v>6352.5280000000002</v>
      </c>
      <c r="S14" s="140">
        <v>0</v>
      </c>
      <c r="T14" s="143">
        <f>IF($H$5="NO",Valores!$C$45,Valores!$C$45/2)</f>
        <v>3100.1</v>
      </c>
      <c r="U14" s="140">
        <v>0</v>
      </c>
      <c r="V14" s="140">
        <f t="shared" si="4"/>
        <v>0</v>
      </c>
      <c r="W14" s="142">
        <f t="shared" si="10"/>
        <v>51011.61</v>
      </c>
      <c r="X14" s="142">
        <f t="shared" si="11"/>
        <v>20404.64</v>
      </c>
      <c r="Y14" s="144">
        <v>0</v>
      </c>
      <c r="Z14" s="140">
        <f>Y14*Valores!$C$2</f>
        <v>0</v>
      </c>
      <c r="AA14" s="140">
        <v>0</v>
      </c>
      <c r="AB14" s="143">
        <f>Valores!$C$90</f>
        <v>2220.0100000000002</v>
      </c>
      <c r="AC14" s="145">
        <f>Valores!$C$31</f>
        <v>259.82</v>
      </c>
      <c r="AD14" s="140">
        <f t="shared" si="6"/>
        <v>0</v>
      </c>
      <c r="AE14" s="140">
        <f>Valores!$C$32</f>
        <v>259.82</v>
      </c>
      <c r="AF14" s="144">
        <v>0</v>
      </c>
      <c r="AG14" s="140">
        <f>INT(((AF14*Valores!$C$2)*100)+0.5)/100</f>
        <v>0</v>
      </c>
      <c r="AH14" s="140">
        <f>IF($H$5="NO",Valores!$C$60,Valores!$C$60/2)</f>
        <v>528.49</v>
      </c>
      <c r="AI14" s="140">
        <f>IF($H$5="NO",Valores!$C$62,Valores!$C$62/2)</f>
        <v>151</v>
      </c>
      <c r="AJ14" s="146">
        <f t="shared" si="7"/>
        <v>154496.89450000002</v>
      </c>
      <c r="AK14" s="142">
        <f>Valores!$C$37</f>
        <v>1360.88</v>
      </c>
      <c r="AL14" s="143">
        <f>Valores!$C$85</f>
        <v>2275</v>
      </c>
      <c r="AM14" s="143"/>
      <c r="AN14" s="145">
        <f>IF($H$4="NO",0,Valores!$C$52)</f>
        <v>0</v>
      </c>
      <c r="AO14" s="147">
        <f t="shared" si="5"/>
        <v>3635.88</v>
      </c>
      <c r="AP14" s="148">
        <f>AJ14*Valores!$C$69</f>
        <v>-16994.658395000002</v>
      </c>
      <c r="AQ14" s="148">
        <f>AJ14*-Valores!$C$70</f>
        <v>0</v>
      </c>
      <c r="AR14" s="142">
        <f>AJ14*Valores!$C$71</f>
        <v>-6952.3602525000006</v>
      </c>
      <c r="AS14" s="142">
        <f>Valores!$C$95</f>
        <v>-193.38</v>
      </c>
      <c r="AT14" s="142">
        <f>IF($H$6=0,Valores!$C$96,(Valores!$C$96+$H$6*(Valores!$C$96)))</f>
        <v>-129</v>
      </c>
      <c r="AU14" s="146">
        <f t="shared" si="8"/>
        <v>133863.37585250003</v>
      </c>
      <c r="AV14" s="199">
        <f t="shared" si="0"/>
        <v>-16994.658395000002</v>
      </c>
      <c r="AW14" s="142">
        <f>AJ14*Valores!$C$72</f>
        <v>-4171.4161515000005</v>
      </c>
      <c r="AX14" s="142">
        <f>AJ14*Valores!$C$73</f>
        <v>-463.4906835000001</v>
      </c>
      <c r="AY14" s="146">
        <f t="shared" si="9"/>
        <v>136503.20927000002</v>
      </c>
      <c r="AZ14" s="150">
        <v>33</v>
      </c>
      <c r="BA14" s="150">
        <v>45</v>
      </c>
      <c r="BB14" s="135" t="s">
        <v>8</v>
      </c>
    </row>
    <row r="15" spans="1:1022" s="114" customFormat="1" ht="11.25" customHeight="1" x14ac:dyDescent="0.15">
      <c r="A15" s="134">
        <v>12</v>
      </c>
      <c r="B15" s="134"/>
      <c r="C15" s="135" t="s">
        <v>144</v>
      </c>
      <c r="D15" s="135"/>
      <c r="E15" s="135">
        <f t="shared" si="1"/>
        <v>14</v>
      </c>
      <c r="F15" s="136" t="s">
        <v>145</v>
      </c>
      <c r="G15" s="137">
        <v>107</v>
      </c>
      <c r="H15" s="138">
        <f>INT((G15*Valores!$C$2*100)+0.5)/100</f>
        <v>1329.66</v>
      </c>
      <c r="I15" s="139">
        <v>3779</v>
      </c>
      <c r="J15" s="140">
        <f>INT((I15*Valores!$C$2*100)+0.5)/100</f>
        <v>46960.5</v>
      </c>
      <c r="K15" s="141">
        <v>219</v>
      </c>
      <c r="L15" s="140">
        <f>INT((K15*Valores!$C$2*100)+0.5)/100</f>
        <v>2721.45</v>
      </c>
      <c r="M15" s="137">
        <v>0</v>
      </c>
      <c r="N15" s="140">
        <f>INT((M15*Valores!$C$2*100)+0.5)/100</f>
        <v>0</v>
      </c>
      <c r="O15" s="140">
        <f t="shared" si="2"/>
        <v>8116.7564999999995</v>
      </c>
      <c r="P15" s="140">
        <f t="shared" si="3"/>
        <v>0</v>
      </c>
      <c r="Q15" s="142">
        <f>Valores!$C$17</f>
        <v>11080.51</v>
      </c>
      <c r="R15" s="142">
        <f>Valores!$D$4</f>
        <v>6352.5280000000002</v>
      </c>
      <c r="S15" s="140">
        <v>0</v>
      </c>
      <c r="T15" s="143">
        <f>IF($H$5="NO",Valores!$C$45,Valores!$C$45/2)</f>
        <v>3100.1</v>
      </c>
      <c r="U15" s="140">
        <v>0</v>
      </c>
      <c r="V15" s="140">
        <f t="shared" si="4"/>
        <v>0</v>
      </c>
      <c r="W15" s="142">
        <f t="shared" si="10"/>
        <v>51011.61</v>
      </c>
      <c r="X15" s="142">
        <f t="shared" si="11"/>
        <v>20404.64</v>
      </c>
      <c r="Y15" s="144">
        <v>0</v>
      </c>
      <c r="Z15" s="140">
        <f>Y15*Valores!$C$2</f>
        <v>0</v>
      </c>
      <c r="AA15" s="140">
        <v>0</v>
      </c>
      <c r="AB15" s="143">
        <f>Valores!$C$90</f>
        <v>2220.0100000000002</v>
      </c>
      <c r="AC15" s="145">
        <f>Valores!$C$31</f>
        <v>259.82</v>
      </c>
      <c r="AD15" s="140">
        <f t="shared" si="6"/>
        <v>0</v>
      </c>
      <c r="AE15" s="140">
        <f>Valores!$C$32</f>
        <v>259.82</v>
      </c>
      <c r="AF15" s="144">
        <v>0</v>
      </c>
      <c r="AG15" s="140">
        <f>INT(((AF15*Valores!$C$2)*100)+0.5)/100</f>
        <v>0</v>
      </c>
      <c r="AH15" s="140">
        <f>IF($H$5="NO",Valores!$C$60,Valores!$C$60/2)</f>
        <v>528.49</v>
      </c>
      <c r="AI15" s="140">
        <f>IF($H$5="NO",Valores!$C$62,Valores!$C$62/2)</f>
        <v>151</v>
      </c>
      <c r="AJ15" s="146">
        <f t="shared" si="7"/>
        <v>154496.89450000002</v>
      </c>
      <c r="AK15" s="142">
        <f>Valores!$C$37</f>
        <v>1360.88</v>
      </c>
      <c r="AL15" s="143">
        <f>Valores!$C$85</f>
        <v>2275</v>
      </c>
      <c r="AM15" s="143"/>
      <c r="AN15" s="145">
        <f>IF($H$4="NO",0,Valores!$C$52)</f>
        <v>0</v>
      </c>
      <c r="AO15" s="147">
        <f t="shared" si="5"/>
        <v>3635.88</v>
      </c>
      <c r="AP15" s="148">
        <f>AJ15*Valores!$C$69</f>
        <v>-16994.658395000002</v>
      </c>
      <c r="AQ15" s="148">
        <f>AJ15*-Valores!$C$70</f>
        <v>0</v>
      </c>
      <c r="AR15" s="142">
        <f>AJ15*Valores!$C$71</f>
        <v>-6952.3602525000006</v>
      </c>
      <c r="AS15" s="142">
        <f>Valores!$C$95</f>
        <v>-193.38</v>
      </c>
      <c r="AT15" s="142">
        <f>IF($H$6=0,Valores!$C$96,(Valores!$C$96+$H$6*(Valores!$C$96)))</f>
        <v>-129</v>
      </c>
      <c r="AU15" s="146">
        <f t="shared" si="8"/>
        <v>133863.37585250003</v>
      </c>
      <c r="AV15" s="199">
        <f t="shared" si="0"/>
        <v>-16994.658395000002</v>
      </c>
      <c r="AW15" s="142">
        <f>AJ15*Valores!$C$72</f>
        <v>-4171.4161515000005</v>
      </c>
      <c r="AX15" s="142">
        <f>AJ15*Valores!$C$73</f>
        <v>-463.4906835000001</v>
      </c>
      <c r="AY15" s="146">
        <f t="shared" si="9"/>
        <v>136503.20927000002</v>
      </c>
      <c r="AZ15" s="150">
        <v>33</v>
      </c>
      <c r="BA15" s="150">
        <v>45</v>
      </c>
      <c r="BB15" s="135" t="s">
        <v>8</v>
      </c>
    </row>
    <row r="16" spans="1:1022" s="114" customFormat="1" ht="11.25" customHeight="1" x14ac:dyDescent="0.15">
      <c r="A16" s="134">
        <v>13</v>
      </c>
      <c r="B16" s="134"/>
      <c r="C16" s="135" t="s">
        <v>146</v>
      </c>
      <c r="D16" s="135"/>
      <c r="E16" s="135">
        <f t="shared" si="1"/>
        <v>15</v>
      </c>
      <c r="F16" s="136" t="s">
        <v>147</v>
      </c>
      <c r="G16" s="137">
        <v>107</v>
      </c>
      <c r="H16" s="138">
        <f>INT((G16*Valores!$C$2*100)+0.5)/100</f>
        <v>1329.66</v>
      </c>
      <c r="I16" s="139">
        <v>3779</v>
      </c>
      <c r="J16" s="140">
        <f>INT((I16*Valores!$C$2*100)+0.5)/100</f>
        <v>46960.5</v>
      </c>
      <c r="K16" s="141">
        <v>219</v>
      </c>
      <c r="L16" s="140">
        <f>INT((K16*Valores!$C$2*100)+0.5)/100</f>
        <v>2721.45</v>
      </c>
      <c r="M16" s="137">
        <v>0</v>
      </c>
      <c r="N16" s="140">
        <f>INT((M16*Valores!$C$2*100)+0.5)/100</f>
        <v>0</v>
      </c>
      <c r="O16" s="140">
        <f t="shared" si="2"/>
        <v>8116.7564999999995</v>
      </c>
      <c r="P16" s="140">
        <f t="shared" si="3"/>
        <v>0</v>
      </c>
      <c r="Q16" s="142">
        <f>Valores!$C$17</f>
        <v>11080.51</v>
      </c>
      <c r="R16" s="142">
        <f>Valores!$D$4</f>
        <v>6352.5280000000002</v>
      </c>
      <c r="S16" s="140">
        <v>0</v>
      </c>
      <c r="T16" s="143">
        <f>IF($H$5="NO",Valores!$C$45,Valores!$C$45/2)</f>
        <v>3100.1</v>
      </c>
      <c r="U16" s="140">
        <v>0</v>
      </c>
      <c r="V16" s="140">
        <f t="shared" si="4"/>
        <v>0</v>
      </c>
      <c r="W16" s="142">
        <f t="shared" si="10"/>
        <v>51011.61</v>
      </c>
      <c r="X16" s="142">
        <f t="shared" si="11"/>
        <v>20404.64</v>
      </c>
      <c r="Y16" s="144">
        <v>0</v>
      </c>
      <c r="Z16" s="140">
        <f>Y16*Valores!$C$2</f>
        <v>0</v>
      </c>
      <c r="AA16" s="140">
        <v>0</v>
      </c>
      <c r="AB16" s="143">
        <f>Valores!$C$90</f>
        <v>2220.0100000000002</v>
      </c>
      <c r="AC16" s="145">
        <f>Valores!$C$31</f>
        <v>259.82</v>
      </c>
      <c r="AD16" s="140">
        <f t="shared" si="6"/>
        <v>0</v>
      </c>
      <c r="AE16" s="140">
        <f>Valores!$C$32</f>
        <v>259.82</v>
      </c>
      <c r="AF16" s="144">
        <v>0</v>
      </c>
      <c r="AG16" s="140">
        <f>INT(((AF16*Valores!$C$2)*100)+0.5)/100</f>
        <v>0</v>
      </c>
      <c r="AH16" s="140">
        <f>IF($H$5="NO",Valores!$C$60,Valores!$C$60/2)</f>
        <v>528.49</v>
      </c>
      <c r="AI16" s="140">
        <f>IF($H$5="NO",Valores!$C$62,Valores!$C$62/2)</f>
        <v>151</v>
      </c>
      <c r="AJ16" s="146">
        <f t="shared" si="7"/>
        <v>154496.89450000002</v>
      </c>
      <c r="AK16" s="142">
        <f>Valores!$C$37</f>
        <v>1360.88</v>
      </c>
      <c r="AL16" s="143">
        <f>Valores!$C$85</f>
        <v>2275</v>
      </c>
      <c r="AM16" s="143"/>
      <c r="AN16" s="145">
        <f>IF($H$4="NO",0,Valores!$C$52)</f>
        <v>0</v>
      </c>
      <c r="AO16" s="147">
        <f t="shared" si="5"/>
        <v>3635.88</v>
      </c>
      <c r="AP16" s="148">
        <f>AJ16*Valores!$C$69</f>
        <v>-16994.658395000002</v>
      </c>
      <c r="AQ16" s="148">
        <f>AJ16*-Valores!$C$70</f>
        <v>0</v>
      </c>
      <c r="AR16" s="142">
        <f>AJ16*Valores!$C$71</f>
        <v>-6952.3602525000006</v>
      </c>
      <c r="AS16" s="142">
        <f>Valores!$C$95</f>
        <v>-193.38</v>
      </c>
      <c r="AT16" s="142">
        <f>IF($H$6=0,Valores!$C$96,(Valores!$C$96+$H$6*(Valores!$C$96)))</f>
        <v>-129</v>
      </c>
      <c r="AU16" s="146">
        <f t="shared" si="8"/>
        <v>133863.37585250003</v>
      </c>
      <c r="AV16" s="199">
        <f t="shared" si="0"/>
        <v>-16994.658395000002</v>
      </c>
      <c r="AW16" s="142">
        <f>AJ16*Valores!$C$72</f>
        <v>-4171.4161515000005</v>
      </c>
      <c r="AX16" s="142">
        <f>AJ16*Valores!$C$73</f>
        <v>-463.4906835000001</v>
      </c>
      <c r="AY16" s="146">
        <f t="shared" si="9"/>
        <v>136503.20927000002</v>
      </c>
      <c r="AZ16" s="150">
        <v>33</v>
      </c>
      <c r="BA16" s="150">
        <v>45</v>
      </c>
      <c r="BB16" s="135" t="s">
        <v>8</v>
      </c>
    </row>
    <row r="17" spans="1:54" s="114" customFormat="1" ht="11.25" customHeight="1" x14ac:dyDescent="0.15">
      <c r="A17" s="134">
        <v>14</v>
      </c>
      <c r="B17" s="134"/>
      <c r="C17" s="135" t="s">
        <v>148</v>
      </c>
      <c r="D17" s="135"/>
      <c r="E17" s="135">
        <f t="shared" si="1"/>
        <v>20</v>
      </c>
      <c r="F17" s="136" t="s">
        <v>149</v>
      </c>
      <c r="G17" s="137">
        <v>100</v>
      </c>
      <c r="H17" s="138">
        <f>INT((G17*Valores!$C$2*100)+0.5)/100</f>
        <v>1242.67</v>
      </c>
      <c r="I17" s="139">
        <v>3727</v>
      </c>
      <c r="J17" s="140">
        <f>INT((I17*Valores!$C$2*100)+0.5)/100</f>
        <v>46314.31</v>
      </c>
      <c r="K17" s="141">
        <v>219</v>
      </c>
      <c r="L17" s="140">
        <f>INT((K17*Valores!$C$2*100)+0.5)/100</f>
        <v>2721.45</v>
      </c>
      <c r="M17" s="137">
        <v>0</v>
      </c>
      <c r="N17" s="140">
        <f>INT((M17*Valores!$C$2*100)+0.5)/100</f>
        <v>0</v>
      </c>
      <c r="O17" s="140">
        <f t="shared" si="2"/>
        <v>8006.7794999999987</v>
      </c>
      <c r="P17" s="140">
        <f t="shared" si="3"/>
        <v>0</v>
      </c>
      <c r="Q17" s="142">
        <f>Valores!$C$17</f>
        <v>11080.51</v>
      </c>
      <c r="R17" s="142">
        <f>Valores!$D$4</f>
        <v>6352.5280000000002</v>
      </c>
      <c r="S17" s="140">
        <v>0</v>
      </c>
      <c r="T17" s="143">
        <f>IF($H$5="NO",Valores!$C$45,Valores!$C$45/2)</f>
        <v>3100.1</v>
      </c>
      <c r="U17" s="140">
        <v>0</v>
      </c>
      <c r="V17" s="140">
        <f t="shared" si="4"/>
        <v>0</v>
      </c>
      <c r="W17" s="142">
        <f t="shared" si="10"/>
        <v>50278.429999999993</v>
      </c>
      <c r="X17" s="142">
        <f t="shared" si="11"/>
        <v>20111.37</v>
      </c>
      <c r="Y17" s="144">
        <v>0</v>
      </c>
      <c r="Z17" s="140">
        <f>Y17*Valores!$C$2</f>
        <v>0</v>
      </c>
      <c r="AA17" s="140">
        <v>0</v>
      </c>
      <c r="AB17" s="143">
        <f>Valores!$C$90</f>
        <v>2220.0100000000002</v>
      </c>
      <c r="AC17" s="145">
        <f>Valores!$C$31</f>
        <v>259.82</v>
      </c>
      <c r="AD17" s="140">
        <f t="shared" si="6"/>
        <v>0</v>
      </c>
      <c r="AE17" s="140">
        <f>Valores!$C$32</f>
        <v>259.82</v>
      </c>
      <c r="AF17" s="144">
        <v>0</v>
      </c>
      <c r="AG17" s="140">
        <f>INT(((AF17*Valores!$C$2)*100)+0.5)/100</f>
        <v>0</v>
      </c>
      <c r="AH17" s="140">
        <f>IF($H$5="NO",Valores!$C$60,Valores!$C$60/2)</f>
        <v>528.49</v>
      </c>
      <c r="AI17" s="140">
        <f>IF($H$5="NO",Valores!$C$62,Valores!$C$62/2)</f>
        <v>151</v>
      </c>
      <c r="AJ17" s="146">
        <f t="shared" si="7"/>
        <v>152627.28750000001</v>
      </c>
      <c r="AK17" s="142">
        <f>Valores!$C$37</f>
        <v>1360.88</v>
      </c>
      <c r="AL17" s="143">
        <f>Valores!$C$85</f>
        <v>2275</v>
      </c>
      <c r="AM17" s="143"/>
      <c r="AN17" s="145">
        <f>IF($H$4="NO",0,Valores!$C$52)</f>
        <v>0</v>
      </c>
      <c r="AO17" s="147">
        <f t="shared" si="5"/>
        <v>3635.88</v>
      </c>
      <c r="AP17" s="148">
        <f>AJ17*Valores!$C$69</f>
        <v>-16789.001625000001</v>
      </c>
      <c r="AQ17" s="148">
        <f>AJ17*-Valores!$C$70</f>
        <v>0</v>
      </c>
      <c r="AR17" s="142">
        <f>AJ17*Valores!$C$71</f>
        <v>-6868.2279374999998</v>
      </c>
      <c r="AS17" s="142">
        <f>Valores!$C$95</f>
        <v>-193.38</v>
      </c>
      <c r="AT17" s="142">
        <f>IF($H$6=0,Valores!$C$96,(Valores!$C$96+$H$6*(Valores!$C$96)))</f>
        <v>-129</v>
      </c>
      <c r="AU17" s="146">
        <f t="shared" si="8"/>
        <v>132283.55793750001</v>
      </c>
      <c r="AV17" s="199">
        <f t="shared" si="0"/>
        <v>-16789.001625000001</v>
      </c>
      <c r="AW17" s="142">
        <f>AJ17*Valores!$C$72</f>
        <v>-4120.9367625000004</v>
      </c>
      <c r="AX17" s="142">
        <f>AJ17*Valores!$C$73</f>
        <v>-457.88186250000001</v>
      </c>
      <c r="AY17" s="146">
        <f t="shared" si="9"/>
        <v>134895.34725000002</v>
      </c>
      <c r="AZ17" s="150">
        <v>33</v>
      </c>
      <c r="BA17" s="150">
        <v>45</v>
      </c>
      <c r="BB17" s="135" t="s">
        <v>8</v>
      </c>
    </row>
    <row r="18" spans="1:54" s="114" customFormat="1" ht="11.25" customHeight="1" x14ac:dyDescent="0.15">
      <c r="A18" s="152">
        <v>15</v>
      </c>
      <c r="B18" s="152" t="s">
        <v>139</v>
      </c>
      <c r="C18" s="135" t="s">
        <v>150</v>
      </c>
      <c r="D18" s="135"/>
      <c r="E18" s="135">
        <f t="shared" si="1"/>
        <v>22</v>
      </c>
      <c r="F18" s="136" t="s">
        <v>151</v>
      </c>
      <c r="G18" s="137">
        <v>100</v>
      </c>
      <c r="H18" s="138">
        <f>INT((G18*Valores!$C$2*100)+0.5)/100</f>
        <v>1242.67</v>
      </c>
      <c r="I18" s="139">
        <v>3727</v>
      </c>
      <c r="J18" s="140">
        <f>INT((I18*Valores!$C$2*100)+0.5)/100</f>
        <v>46314.31</v>
      </c>
      <c r="K18" s="141">
        <v>219</v>
      </c>
      <c r="L18" s="140">
        <f>INT((K18*Valores!$C$2*100)+0.5)/100</f>
        <v>2721.45</v>
      </c>
      <c r="M18" s="137">
        <v>0</v>
      </c>
      <c r="N18" s="140">
        <f>INT((M18*Valores!$C$2*100)+0.5)/100</f>
        <v>0</v>
      </c>
      <c r="O18" s="140">
        <f t="shared" si="2"/>
        <v>8006.7794999999987</v>
      </c>
      <c r="P18" s="140">
        <f t="shared" si="3"/>
        <v>0</v>
      </c>
      <c r="Q18" s="142">
        <f>Valores!$C$17</f>
        <v>11080.51</v>
      </c>
      <c r="R18" s="142">
        <f>Valores!$D$4</f>
        <v>6352.5280000000002</v>
      </c>
      <c r="S18" s="140">
        <v>0</v>
      </c>
      <c r="T18" s="143">
        <f>IF($H$5="NO",Valores!$C$45,Valores!$C$45/2)</f>
        <v>3100.1</v>
      </c>
      <c r="U18" s="140">
        <v>0</v>
      </c>
      <c r="V18" s="140">
        <f t="shared" si="4"/>
        <v>0</v>
      </c>
      <c r="W18" s="142">
        <f t="shared" si="10"/>
        <v>50278.429999999993</v>
      </c>
      <c r="X18" s="142">
        <f t="shared" si="11"/>
        <v>20111.37</v>
      </c>
      <c r="Y18" s="144">
        <v>0</v>
      </c>
      <c r="Z18" s="140">
        <f>Y18*Valores!$C$2</f>
        <v>0</v>
      </c>
      <c r="AA18" s="140">
        <v>0</v>
      </c>
      <c r="AB18" s="143">
        <f>Valores!$C$90</f>
        <v>2220.0100000000002</v>
      </c>
      <c r="AC18" s="145">
        <f>Valores!$C$31</f>
        <v>259.82</v>
      </c>
      <c r="AD18" s="140">
        <f t="shared" si="6"/>
        <v>0</v>
      </c>
      <c r="AE18" s="140">
        <f>Valores!$C$32</f>
        <v>259.82</v>
      </c>
      <c r="AF18" s="144">
        <v>0</v>
      </c>
      <c r="AG18" s="140">
        <f>INT(((AF18*Valores!$C$2)*100)+0.5)/100</f>
        <v>0</v>
      </c>
      <c r="AH18" s="140">
        <f>IF($H$5="NO",Valores!$C$60,Valores!$C$60/2)</f>
        <v>528.49</v>
      </c>
      <c r="AI18" s="140">
        <f>IF($H$5="NO",Valores!$C$62,Valores!$C$62/2)</f>
        <v>151</v>
      </c>
      <c r="AJ18" s="146">
        <f t="shared" si="7"/>
        <v>152627.28750000001</v>
      </c>
      <c r="AK18" s="142">
        <f>Valores!$C$37</f>
        <v>1360.88</v>
      </c>
      <c r="AL18" s="143">
        <f>Valores!$C$85</f>
        <v>2275</v>
      </c>
      <c r="AM18" s="143"/>
      <c r="AN18" s="145">
        <f>IF($H$4="NO",0,Valores!$C$52)</f>
        <v>0</v>
      </c>
      <c r="AO18" s="147">
        <f t="shared" si="5"/>
        <v>3635.88</v>
      </c>
      <c r="AP18" s="148">
        <f>AJ18*Valores!$C$69</f>
        <v>-16789.001625000001</v>
      </c>
      <c r="AQ18" s="148">
        <f>AJ18*-Valores!$C$70</f>
        <v>0</v>
      </c>
      <c r="AR18" s="142">
        <f>AJ18*Valores!$C$71</f>
        <v>-6868.2279374999998</v>
      </c>
      <c r="AS18" s="142">
        <f>Valores!$C$95</f>
        <v>-193.38</v>
      </c>
      <c r="AT18" s="142">
        <f>IF($H$6=0,Valores!$C$96,(Valores!$C$96+$H$6*(Valores!$C$96)))</f>
        <v>-129</v>
      </c>
      <c r="AU18" s="146">
        <f t="shared" si="8"/>
        <v>132283.55793750001</v>
      </c>
      <c r="AV18" s="199">
        <f t="shared" si="0"/>
        <v>-16789.001625000001</v>
      </c>
      <c r="AW18" s="142">
        <f>AJ18*Valores!$C$72</f>
        <v>-4120.9367625000004</v>
      </c>
      <c r="AX18" s="142">
        <f>AJ18*Valores!$C$73</f>
        <v>-457.88186250000001</v>
      </c>
      <c r="AY18" s="146">
        <f t="shared" si="9"/>
        <v>134895.34725000002</v>
      </c>
      <c r="AZ18" s="150">
        <v>33</v>
      </c>
      <c r="BA18" s="150">
        <v>45</v>
      </c>
      <c r="BB18" s="135" t="s">
        <v>8</v>
      </c>
    </row>
    <row r="19" spans="1:54" s="114" customFormat="1" ht="11.25" customHeight="1" x14ac:dyDescent="0.15">
      <c r="A19" s="134">
        <v>16</v>
      </c>
      <c r="B19" s="134"/>
      <c r="C19" s="135" t="s">
        <v>152</v>
      </c>
      <c r="D19" s="135"/>
      <c r="E19" s="135">
        <f t="shared" si="1"/>
        <v>30</v>
      </c>
      <c r="F19" s="136" t="s">
        <v>153</v>
      </c>
      <c r="G19" s="137">
        <v>100</v>
      </c>
      <c r="H19" s="138">
        <f>INT((G19*Valores!$C$2*100)+0.5)/100</f>
        <v>1242.67</v>
      </c>
      <c r="I19" s="139">
        <v>3727</v>
      </c>
      <c r="J19" s="140">
        <f>INT((I19*Valores!$C$2*100)+0.5)/100</f>
        <v>46314.31</v>
      </c>
      <c r="K19" s="141">
        <v>219</v>
      </c>
      <c r="L19" s="140">
        <f>INT((K19*Valores!$C$2*100)+0.5)/100</f>
        <v>2721.45</v>
      </c>
      <c r="M19" s="137">
        <v>0</v>
      </c>
      <c r="N19" s="140">
        <f>INT((M19*Valores!$C$2*100)+0.5)/100</f>
        <v>0</v>
      </c>
      <c r="O19" s="140">
        <f t="shared" si="2"/>
        <v>8006.7794999999987</v>
      </c>
      <c r="P19" s="140">
        <f t="shared" si="3"/>
        <v>0</v>
      </c>
      <c r="Q19" s="142">
        <f>Valores!$C$17</f>
        <v>11080.51</v>
      </c>
      <c r="R19" s="142">
        <f>Valores!$D$4</f>
        <v>6352.5280000000002</v>
      </c>
      <c r="S19" s="140">
        <v>0</v>
      </c>
      <c r="T19" s="143">
        <f>IF($H$5="NO",Valores!$C$45,Valores!$C$45/2)</f>
        <v>3100.1</v>
      </c>
      <c r="U19" s="140">
        <v>0</v>
      </c>
      <c r="V19" s="140">
        <f t="shared" si="4"/>
        <v>0</v>
      </c>
      <c r="W19" s="142">
        <f t="shared" si="10"/>
        <v>50278.429999999993</v>
      </c>
      <c r="X19" s="142">
        <f t="shared" si="11"/>
        <v>20111.37</v>
      </c>
      <c r="Y19" s="144">
        <v>0</v>
      </c>
      <c r="Z19" s="140">
        <f>Y19*Valores!$C$2</f>
        <v>0</v>
      </c>
      <c r="AA19" s="140">
        <v>0</v>
      </c>
      <c r="AB19" s="143">
        <f>Valores!$C$90</f>
        <v>2220.0100000000002</v>
      </c>
      <c r="AC19" s="145">
        <f>Valores!$C$31</f>
        <v>259.82</v>
      </c>
      <c r="AD19" s="140">
        <f t="shared" si="6"/>
        <v>0</v>
      </c>
      <c r="AE19" s="140">
        <f>Valores!$C$32</f>
        <v>259.82</v>
      </c>
      <c r="AF19" s="144">
        <v>0</v>
      </c>
      <c r="AG19" s="140">
        <f>INT(((AF19*Valores!$C$2)*100)+0.5)/100</f>
        <v>0</v>
      </c>
      <c r="AH19" s="140">
        <f>IF($H$5="NO",Valores!$C$60,Valores!$C$60/2)</f>
        <v>528.49</v>
      </c>
      <c r="AI19" s="140">
        <f>IF($H$5="NO",Valores!$C$62,Valores!$C$62/2)</f>
        <v>151</v>
      </c>
      <c r="AJ19" s="146">
        <f t="shared" si="7"/>
        <v>152627.28750000001</v>
      </c>
      <c r="AK19" s="142">
        <f>Valores!$C$37</f>
        <v>1360.88</v>
      </c>
      <c r="AL19" s="143">
        <f>Valores!$C$85</f>
        <v>2275</v>
      </c>
      <c r="AM19" s="143"/>
      <c r="AN19" s="145">
        <f>IF($H$4="NO",0,Valores!$C$52)</f>
        <v>0</v>
      </c>
      <c r="AO19" s="147">
        <f t="shared" si="5"/>
        <v>3635.88</v>
      </c>
      <c r="AP19" s="148">
        <f>AJ19*Valores!$C$69</f>
        <v>-16789.001625000001</v>
      </c>
      <c r="AQ19" s="148">
        <f>AJ19*-Valores!$C$70</f>
        <v>0</v>
      </c>
      <c r="AR19" s="142">
        <f>AJ19*Valores!$C$71</f>
        <v>-6868.2279374999998</v>
      </c>
      <c r="AS19" s="142">
        <f>Valores!$C$95</f>
        <v>-193.38</v>
      </c>
      <c r="AT19" s="142">
        <f>IF($H$6=0,Valores!$C$96,(Valores!$C$96+$H$6*(Valores!$C$96)))</f>
        <v>-129</v>
      </c>
      <c r="AU19" s="146">
        <f t="shared" si="8"/>
        <v>132283.55793750001</v>
      </c>
      <c r="AV19" s="199">
        <f t="shared" si="0"/>
        <v>-16789.001625000001</v>
      </c>
      <c r="AW19" s="142">
        <f>AJ19*Valores!$C$72</f>
        <v>-4120.9367625000004</v>
      </c>
      <c r="AX19" s="142">
        <f>AJ19*Valores!$C$73</f>
        <v>-457.88186250000001</v>
      </c>
      <c r="AY19" s="146">
        <f t="shared" si="9"/>
        <v>134895.34725000002</v>
      </c>
      <c r="AZ19" s="150"/>
      <c r="BA19" s="150">
        <v>45</v>
      </c>
      <c r="BB19" s="135" t="s">
        <v>8</v>
      </c>
    </row>
    <row r="20" spans="1:54" s="114" customFormat="1" ht="11.25" customHeight="1" x14ac:dyDescent="0.15">
      <c r="A20" s="134">
        <v>17</v>
      </c>
      <c r="B20" s="134"/>
      <c r="C20" s="135" t="s">
        <v>154</v>
      </c>
      <c r="D20" s="135"/>
      <c r="E20" s="135">
        <f t="shared" si="1"/>
        <v>24</v>
      </c>
      <c r="F20" s="136" t="s">
        <v>155</v>
      </c>
      <c r="G20" s="137">
        <v>100</v>
      </c>
      <c r="H20" s="138">
        <f>INT((G20*Valores!$C$2*100)+0.5)/100</f>
        <v>1242.67</v>
      </c>
      <c r="I20" s="139">
        <v>3727</v>
      </c>
      <c r="J20" s="140">
        <f>INT((I20*Valores!$C$2*100)+0.5)/100</f>
        <v>46314.31</v>
      </c>
      <c r="K20" s="141">
        <v>219</v>
      </c>
      <c r="L20" s="140">
        <f>INT((K20*Valores!$C$2*100)+0.5)/100</f>
        <v>2721.45</v>
      </c>
      <c r="M20" s="137">
        <v>0</v>
      </c>
      <c r="N20" s="140">
        <f>INT((M20*Valores!$C$2*100)+0.5)/100</f>
        <v>0</v>
      </c>
      <c r="O20" s="140">
        <f t="shared" si="2"/>
        <v>8006.7794999999987</v>
      </c>
      <c r="P20" s="140">
        <f t="shared" si="3"/>
        <v>0</v>
      </c>
      <c r="Q20" s="142">
        <f>Valores!$C$17</f>
        <v>11080.51</v>
      </c>
      <c r="R20" s="142">
        <f>Valores!$D$4</f>
        <v>6352.5280000000002</v>
      </c>
      <c r="S20" s="140">
        <v>0</v>
      </c>
      <c r="T20" s="143">
        <f>IF($H$5="NO",Valores!$C$45,Valores!$C$45/2)</f>
        <v>3100.1</v>
      </c>
      <c r="U20" s="140">
        <v>0</v>
      </c>
      <c r="V20" s="140">
        <f t="shared" si="4"/>
        <v>0</v>
      </c>
      <c r="W20" s="142">
        <f t="shared" si="10"/>
        <v>50278.429999999993</v>
      </c>
      <c r="X20" s="142">
        <f t="shared" si="11"/>
        <v>20111.37</v>
      </c>
      <c r="Y20" s="144">
        <v>0</v>
      </c>
      <c r="Z20" s="140">
        <f>Y20*Valores!$C$2</f>
        <v>0</v>
      </c>
      <c r="AA20" s="140">
        <v>0</v>
      </c>
      <c r="AB20" s="143">
        <f>Valores!$C$90</f>
        <v>2220.0100000000002</v>
      </c>
      <c r="AC20" s="145">
        <f>Valores!$C$31</f>
        <v>259.82</v>
      </c>
      <c r="AD20" s="140">
        <f t="shared" si="6"/>
        <v>0</v>
      </c>
      <c r="AE20" s="140">
        <f>Valores!$C$32</f>
        <v>259.82</v>
      </c>
      <c r="AF20" s="144">
        <v>0</v>
      </c>
      <c r="AG20" s="140">
        <f>INT(((AF20*Valores!$C$2)*100)+0.5)/100</f>
        <v>0</v>
      </c>
      <c r="AH20" s="140">
        <f>IF($H$5="NO",Valores!$C$60,Valores!$C$60/2)</f>
        <v>528.49</v>
      </c>
      <c r="AI20" s="140">
        <f>IF($H$5="NO",Valores!$C$62,Valores!$C$62/2)</f>
        <v>151</v>
      </c>
      <c r="AJ20" s="146">
        <f t="shared" si="7"/>
        <v>152627.28750000001</v>
      </c>
      <c r="AK20" s="142">
        <f>Valores!$C$37</f>
        <v>1360.88</v>
      </c>
      <c r="AL20" s="143">
        <f>Valores!$C$85</f>
        <v>2275</v>
      </c>
      <c r="AM20" s="143"/>
      <c r="AN20" s="145">
        <f>IF($H$4="NO",0,Valores!$C$52)</f>
        <v>0</v>
      </c>
      <c r="AO20" s="147">
        <f t="shared" si="5"/>
        <v>3635.88</v>
      </c>
      <c r="AP20" s="148">
        <f>AJ20*Valores!$C$69</f>
        <v>-16789.001625000001</v>
      </c>
      <c r="AQ20" s="148">
        <f>AJ20*-Valores!$C$70</f>
        <v>0</v>
      </c>
      <c r="AR20" s="142">
        <f>AJ20*Valores!$C$71</f>
        <v>-6868.2279374999998</v>
      </c>
      <c r="AS20" s="142">
        <f>Valores!$C$95</f>
        <v>-193.38</v>
      </c>
      <c r="AT20" s="142">
        <f>IF($H$6=0,Valores!$C$96,(Valores!$C$96+$H$6*(Valores!$C$96)))</f>
        <v>-129</v>
      </c>
      <c r="AU20" s="146">
        <f t="shared" si="8"/>
        <v>132283.55793750001</v>
      </c>
      <c r="AV20" s="199">
        <f t="shared" si="0"/>
        <v>-16789.001625000001</v>
      </c>
      <c r="AW20" s="142">
        <f>AJ20*Valores!$C$72</f>
        <v>-4120.9367625000004</v>
      </c>
      <c r="AX20" s="142">
        <f>AJ20*Valores!$C$73</f>
        <v>-457.88186250000001</v>
      </c>
      <c r="AY20" s="146">
        <f t="shared" si="9"/>
        <v>134895.34725000002</v>
      </c>
      <c r="AZ20" s="150"/>
      <c r="BA20" s="150">
        <v>45</v>
      </c>
      <c r="BB20" s="135" t="s">
        <v>8</v>
      </c>
    </row>
    <row r="21" spans="1:54" s="114" customFormat="1" ht="11.25" customHeight="1" x14ac:dyDescent="0.15">
      <c r="A21" s="134">
        <v>18</v>
      </c>
      <c r="B21" s="134"/>
      <c r="C21" s="135" t="s">
        <v>156</v>
      </c>
      <c r="D21" s="135"/>
      <c r="E21" s="135">
        <f t="shared" si="1"/>
        <v>20</v>
      </c>
      <c r="F21" s="136" t="s">
        <v>157</v>
      </c>
      <c r="G21" s="137">
        <v>100</v>
      </c>
      <c r="H21" s="138">
        <f>INT((G21*Valores!$C$2*100)+0.5)/100</f>
        <v>1242.67</v>
      </c>
      <c r="I21" s="139">
        <v>3727</v>
      </c>
      <c r="J21" s="140">
        <f>INT((I21*Valores!$C$2*100)+0.5)/100</f>
        <v>46314.31</v>
      </c>
      <c r="K21" s="141">
        <v>219</v>
      </c>
      <c r="L21" s="140">
        <f>INT((K21*Valores!$C$2*100)+0.5)/100</f>
        <v>2721.45</v>
      </c>
      <c r="M21" s="137">
        <v>0</v>
      </c>
      <c r="N21" s="140">
        <f>INT((M21*Valores!$C$2*100)+0.5)/100</f>
        <v>0</v>
      </c>
      <c r="O21" s="140">
        <f t="shared" si="2"/>
        <v>8006.7794999999987</v>
      </c>
      <c r="P21" s="140">
        <f t="shared" si="3"/>
        <v>0</v>
      </c>
      <c r="Q21" s="142">
        <f>Valores!$C$17</f>
        <v>11080.51</v>
      </c>
      <c r="R21" s="142">
        <f>Valores!$D$4</f>
        <v>6352.5280000000002</v>
      </c>
      <c r="S21" s="140">
        <v>0</v>
      </c>
      <c r="T21" s="143">
        <f>IF($H$5="NO",Valores!$C$45,Valores!$C$45/2)</f>
        <v>3100.1</v>
      </c>
      <c r="U21" s="140">
        <v>0</v>
      </c>
      <c r="V21" s="140">
        <f t="shared" si="4"/>
        <v>0</v>
      </c>
      <c r="W21" s="142">
        <f t="shared" si="10"/>
        <v>50278.429999999993</v>
      </c>
      <c r="X21" s="142">
        <f t="shared" si="11"/>
        <v>20111.37</v>
      </c>
      <c r="Y21" s="144">
        <v>0</v>
      </c>
      <c r="Z21" s="140">
        <f>Y21*Valores!$C$2</f>
        <v>0</v>
      </c>
      <c r="AA21" s="140">
        <v>0</v>
      </c>
      <c r="AB21" s="143">
        <f>Valores!$C$90</f>
        <v>2220.0100000000002</v>
      </c>
      <c r="AC21" s="145">
        <f>Valores!$C$31</f>
        <v>259.82</v>
      </c>
      <c r="AD21" s="140">
        <f t="shared" si="6"/>
        <v>0</v>
      </c>
      <c r="AE21" s="140">
        <f>Valores!$C$32</f>
        <v>259.82</v>
      </c>
      <c r="AF21" s="144">
        <v>0</v>
      </c>
      <c r="AG21" s="140">
        <f>INT(((AF21*Valores!$C$2)*100)+0.5)/100</f>
        <v>0</v>
      </c>
      <c r="AH21" s="140">
        <f>IF($H$5="NO",Valores!$C$60,Valores!$C$60/2)</f>
        <v>528.49</v>
      </c>
      <c r="AI21" s="140">
        <f>IF($H$5="NO",Valores!$C$62,Valores!$C$62/2)</f>
        <v>151</v>
      </c>
      <c r="AJ21" s="146">
        <f t="shared" si="7"/>
        <v>152627.28750000001</v>
      </c>
      <c r="AK21" s="142">
        <f>Valores!$C$37</f>
        <v>1360.88</v>
      </c>
      <c r="AL21" s="143">
        <f>Valores!$C$85</f>
        <v>2275</v>
      </c>
      <c r="AM21" s="143"/>
      <c r="AN21" s="145">
        <f>IF($H$4="NO",0,Valores!$C$52)</f>
        <v>0</v>
      </c>
      <c r="AO21" s="147">
        <f t="shared" si="5"/>
        <v>3635.88</v>
      </c>
      <c r="AP21" s="148">
        <f>AJ21*Valores!$C$69</f>
        <v>-16789.001625000001</v>
      </c>
      <c r="AQ21" s="148">
        <f>AJ21*-Valores!$C$70</f>
        <v>0</v>
      </c>
      <c r="AR21" s="142">
        <f>AJ21*Valores!$C$71</f>
        <v>-6868.2279374999998</v>
      </c>
      <c r="AS21" s="142">
        <f>Valores!$C$95</f>
        <v>-193.38</v>
      </c>
      <c r="AT21" s="142">
        <f>IF($H$6=0,Valores!$C$96,(Valores!$C$96+$H$6*(Valores!$C$96)))</f>
        <v>-129</v>
      </c>
      <c r="AU21" s="146">
        <f t="shared" si="8"/>
        <v>132283.55793750001</v>
      </c>
      <c r="AV21" s="199">
        <f t="shared" si="0"/>
        <v>-16789.001625000001</v>
      </c>
      <c r="AW21" s="142">
        <f>AJ21*Valores!$C$72</f>
        <v>-4120.9367625000004</v>
      </c>
      <c r="AX21" s="142">
        <f>AJ21*Valores!$C$73</f>
        <v>-457.88186250000001</v>
      </c>
      <c r="AY21" s="146">
        <f t="shared" si="9"/>
        <v>134895.34725000002</v>
      </c>
      <c r="AZ21" s="150"/>
      <c r="BA21" s="150">
        <v>45</v>
      </c>
      <c r="BB21" s="135" t="s">
        <v>8</v>
      </c>
    </row>
    <row r="22" spans="1:54" s="114" customFormat="1" ht="11.25" customHeight="1" x14ac:dyDescent="0.15">
      <c r="A22" s="134">
        <v>19</v>
      </c>
      <c r="B22" s="134"/>
      <c r="C22" s="135" t="s">
        <v>158</v>
      </c>
      <c r="D22" s="135"/>
      <c r="E22" s="135">
        <f t="shared" si="1"/>
        <v>29</v>
      </c>
      <c r="F22" s="136" t="s">
        <v>159</v>
      </c>
      <c r="G22" s="137">
        <v>107</v>
      </c>
      <c r="H22" s="138">
        <f>INT((G22*Valores!$C$2*100)+0.5)/100</f>
        <v>1329.66</v>
      </c>
      <c r="I22" s="139">
        <v>3720</v>
      </c>
      <c r="J22" s="140">
        <f>INT((I22*Valores!$C$2*100)+0.5)/100</f>
        <v>46227.32</v>
      </c>
      <c r="K22" s="141">
        <v>1226</v>
      </c>
      <c r="L22" s="140">
        <f>INT((K22*Valores!$C$2*100)+0.5)/100</f>
        <v>15235.13</v>
      </c>
      <c r="M22" s="137">
        <v>0</v>
      </c>
      <c r="N22" s="140">
        <f>INT((M22*Valores!$C$2*100)+0.5)/100</f>
        <v>0</v>
      </c>
      <c r="O22" s="140">
        <f t="shared" si="2"/>
        <v>10770.498000000001</v>
      </c>
      <c r="P22" s="140">
        <f t="shared" si="3"/>
        <v>0</v>
      </c>
      <c r="Q22" s="142">
        <f>Valores!$C$19</f>
        <v>23373.71</v>
      </c>
      <c r="R22" s="142">
        <f>Valores!$D$4</f>
        <v>6352.5280000000002</v>
      </c>
      <c r="S22" s="140">
        <v>0</v>
      </c>
      <c r="T22" s="143">
        <f>IF($H$5="NO",Valores!$C$45,Valores!$C$45/2)</f>
        <v>3100.1</v>
      </c>
      <c r="U22" s="140">
        <f>Valores!$C$25</f>
        <v>5911.11</v>
      </c>
      <c r="V22" s="140">
        <f t="shared" si="4"/>
        <v>5911.11</v>
      </c>
      <c r="W22" s="140">
        <v>0</v>
      </c>
      <c r="X22" s="140">
        <v>0</v>
      </c>
      <c r="Y22" s="144">
        <v>0</v>
      </c>
      <c r="Z22" s="140">
        <f>Y22*Valores!$C$2</f>
        <v>0</v>
      </c>
      <c r="AA22" s="140">
        <v>0</v>
      </c>
      <c r="AB22" s="143">
        <f>Valores!$C$92</f>
        <v>4440.01</v>
      </c>
      <c r="AC22" s="145">
        <f>Valores!$C$31</f>
        <v>259.82</v>
      </c>
      <c r="AD22" s="140">
        <f t="shared" si="6"/>
        <v>0</v>
      </c>
      <c r="AE22" s="140">
        <f>Valores!$C$32</f>
        <v>259.82</v>
      </c>
      <c r="AF22" s="144">
        <v>0</v>
      </c>
      <c r="AG22" s="140">
        <f>INT(((AF22*Valores!$C$2)*100)+0.5)/100</f>
        <v>0</v>
      </c>
      <c r="AH22" s="140">
        <f>IF($H$5="NO",Valores!$C$60,Valores!$C$60/2)</f>
        <v>528.49</v>
      </c>
      <c r="AI22" s="140">
        <f>IF($H$5="NO",Valores!$C$62,Valores!$C$62/2)</f>
        <v>151</v>
      </c>
      <c r="AJ22" s="146">
        <f t="shared" si="7"/>
        <v>117939.19600000003</v>
      </c>
      <c r="AK22" s="142">
        <f>Valores!$C$37</f>
        <v>1360.88</v>
      </c>
      <c r="AL22" s="143">
        <f>Valores!$C$87</f>
        <v>4550</v>
      </c>
      <c r="AM22" s="143"/>
      <c r="AN22" s="145">
        <f>IF($H$4="NO",0,Valores!$C$52)</f>
        <v>0</v>
      </c>
      <c r="AO22" s="147">
        <f t="shared" si="5"/>
        <v>5910.88</v>
      </c>
      <c r="AP22" s="148">
        <f>AJ22*Valores!$C$69</f>
        <v>-12973.311560000004</v>
      </c>
      <c r="AQ22" s="148">
        <f>AJ22*-Valores!$C$70</f>
        <v>0</v>
      </c>
      <c r="AR22" s="142">
        <f>AJ22*Valores!$C$71</f>
        <v>-5307.263820000001</v>
      </c>
      <c r="AS22" s="142">
        <f>Valores!$C$95</f>
        <v>-193.38</v>
      </c>
      <c r="AT22" s="142">
        <f>IF($H$6=0,Valores!$C$96,(Valores!$C$96+$H$6*(Valores!$C$96)))</f>
        <v>-129</v>
      </c>
      <c r="AU22" s="146">
        <f t="shared" si="8"/>
        <v>105247.12062000002</v>
      </c>
      <c r="AV22" s="199">
        <f t="shared" si="0"/>
        <v>-12973.311560000004</v>
      </c>
      <c r="AW22" s="142">
        <f>AJ22*Valores!$C$72</f>
        <v>-3184.3582920000008</v>
      </c>
      <c r="AX22" s="142">
        <f>AJ22*Valores!$C$73</f>
        <v>-353.81758800000006</v>
      </c>
      <c r="AY22" s="146">
        <f t="shared" si="9"/>
        <v>107338.58856000003</v>
      </c>
      <c r="AZ22" s="150"/>
      <c r="BA22" s="150">
        <v>45</v>
      </c>
      <c r="BB22" s="135" t="s">
        <v>4</v>
      </c>
    </row>
    <row r="23" spans="1:54" s="114" customFormat="1" ht="11.25" customHeight="1" x14ac:dyDescent="0.15">
      <c r="A23" s="152">
        <v>20</v>
      </c>
      <c r="B23" s="152" t="s">
        <v>139</v>
      </c>
      <c r="C23" s="135" t="s">
        <v>160</v>
      </c>
      <c r="D23" s="135"/>
      <c r="E23" s="135">
        <f t="shared" si="1"/>
        <v>20</v>
      </c>
      <c r="F23" s="136" t="s">
        <v>161</v>
      </c>
      <c r="G23" s="137">
        <v>100</v>
      </c>
      <c r="H23" s="138">
        <f>INT((G23*Valores!$C$2*100)+0.5)/100</f>
        <v>1242.67</v>
      </c>
      <c r="I23" s="139">
        <v>3727</v>
      </c>
      <c r="J23" s="140">
        <f>INT((I23*Valores!$C$2*100)+0.5)/100</f>
        <v>46314.31</v>
      </c>
      <c r="K23" s="141">
        <v>219</v>
      </c>
      <c r="L23" s="140">
        <f>INT((K23*Valores!$C$2*100)+0.5)/100</f>
        <v>2721.45</v>
      </c>
      <c r="M23" s="137">
        <v>0</v>
      </c>
      <c r="N23" s="140">
        <f>INT((M23*Valores!$C$2*100)+0.5)/100</f>
        <v>0</v>
      </c>
      <c r="O23" s="140">
        <f t="shared" si="2"/>
        <v>8006.7794999999987</v>
      </c>
      <c r="P23" s="140">
        <f t="shared" si="3"/>
        <v>0</v>
      </c>
      <c r="Q23" s="142">
        <f>Valores!$C$17</f>
        <v>11080.51</v>
      </c>
      <c r="R23" s="142">
        <f>Valores!$D$4</f>
        <v>6352.5280000000002</v>
      </c>
      <c r="S23" s="140">
        <v>0</v>
      </c>
      <c r="T23" s="143">
        <f>IF($H$5="NO",Valores!$C$45,Valores!$C$45/2)</f>
        <v>3100.1</v>
      </c>
      <c r="U23" s="140">
        <v>0</v>
      </c>
      <c r="V23" s="140">
        <f t="shared" si="4"/>
        <v>0</v>
      </c>
      <c r="W23" s="142">
        <f>SUM(H23,J23,L23)</f>
        <v>50278.429999999993</v>
      </c>
      <c r="X23" s="142">
        <f>INT((SUM(H23,J23,L23)*0.4*100)+0.49)/100</f>
        <v>20111.37</v>
      </c>
      <c r="Y23" s="144">
        <v>0</v>
      </c>
      <c r="Z23" s="140">
        <f>Y23*Valores!$C$2</f>
        <v>0</v>
      </c>
      <c r="AA23" s="140">
        <v>0</v>
      </c>
      <c r="AB23" s="143">
        <f>Valores!$C$90</f>
        <v>2220.0100000000002</v>
      </c>
      <c r="AC23" s="145">
        <f>Valores!$C$31</f>
        <v>259.82</v>
      </c>
      <c r="AD23" s="140">
        <f t="shared" si="6"/>
        <v>0</v>
      </c>
      <c r="AE23" s="140">
        <f>Valores!$C$32</f>
        <v>259.82</v>
      </c>
      <c r="AF23" s="144">
        <v>0</v>
      </c>
      <c r="AG23" s="140">
        <f>INT(((AF23*Valores!$C$2)*100)+0.5)/100</f>
        <v>0</v>
      </c>
      <c r="AH23" s="140">
        <f>IF($H$5="NO",Valores!$C$60,Valores!$C$60/2)</f>
        <v>528.49</v>
      </c>
      <c r="AI23" s="140">
        <f>IF($H$5="NO",Valores!$C$62,Valores!$C$62/2)</f>
        <v>151</v>
      </c>
      <c r="AJ23" s="146">
        <f t="shared" si="7"/>
        <v>152627.28750000001</v>
      </c>
      <c r="AK23" s="142">
        <f>Valores!$C$37</f>
        <v>1360.88</v>
      </c>
      <c r="AL23" s="143">
        <f>Valores!$C$85</f>
        <v>2275</v>
      </c>
      <c r="AM23" s="143"/>
      <c r="AN23" s="145">
        <f>IF($H$4="NO",0,Valores!$C$52)</f>
        <v>0</v>
      </c>
      <c r="AO23" s="147">
        <f t="shared" si="5"/>
        <v>3635.88</v>
      </c>
      <c r="AP23" s="148">
        <f>AJ23*Valores!$C$69</f>
        <v>-16789.001625000001</v>
      </c>
      <c r="AQ23" s="148">
        <f>AJ23*-Valores!$C$70</f>
        <v>0</v>
      </c>
      <c r="AR23" s="142">
        <f>AJ23*Valores!$C$71</f>
        <v>-6868.2279374999998</v>
      </c>
      <c r="AS23" s="142">
        <f>Valores!$C$95</f>
        <v>-193.38</v>
      </c>
      <c r="AT23" s="142">
        <f>IF($H$6=0,Valores!$C$96,(Valores!$C$96+$H$6*(Valores!$C$96)))</f>
        <v>-129</v>
      </c>
      <c r="AU23" s="146">
        <f t="shared" si="8"/>
        <v>132283.55793750001</v>
      </c>
      <c r="AV23" s="199">
        <f t="shared" si="0"/>
        <v>-16789.001625000001</v>
      </c>
      <c r="AW23" s="142">
        <f>AJ23*Valores!$C$72</f>
        <v>-4120.9367625000004</v>
      </c>
      <c r="AX23" s="142">
        <f>AJ23*Valores!$C$73</f>
        <v>-457.88186250000001</v>
      </c>
      <c r="AY23" s="146">
        <f t="shared" si="9"/>
        <v>134895.34725000002</v>
      </c>
      <c r="AZ23" s="150"/>
      <c r="BA23" s="150">
        <v>45</v>
      </c>
      <c r="BB23" s="135" t="s">
        <v>8</v>
      </c>
    </row>
    <row r="24" spans="1:54" s="114" customFormat="1" ht="11.25" customHeight="1" x14ac:dyDescent="0.15">
      <c r="A24" s="134">
        <v>21</v>
      </c>
      <c r="B24" s="134"/>
      <c r="C24" s="135" t="s">
        <v>162</v>
      </c>
      <c r="D24" s="135"/>
      <c r="E24" s="135">
        <f t="shared" si="1"/>
        <v>18</v>
      </c>
      <c r="F24" s="136" t="s">
        <v>163</v>
      </c>
      <c r="G24" s="137">
        <v>100</v>
      </c>
      <c r="H24" s="138">
        <f>INT((G24*Valores!$C$2*100)+0.5)/100</f>
        <v>1242.67</v>
      </c>
      <c r="I24" s="139">
        <v>3727</v>
      </c>
      <c r="J24" s="140">
        <f>INT((I24*Valores!$C$2*100)+0.5)/100</f>
        <v>46314.31</v>
      </c>
      <c r="K24" s="141">
        <v>219</v>
      </c>
      <c r="L24" s="140">
        <f>INT((K24*Valores!$C$2*100)+0.5)/100</f>
        <v>2721.45</v>
      </c>
      <c r="M24" s="137">
        <v>0</v>
      </c>
      <c r="N24" s="140">
        <f>INT((M24*Valores!$C$2*100)+0.5)/100</f>
        <v>0</v>
      </c>
      <c r="O24" s="140">
        <f t="shared" si="2"/>
        <v>8006.7794999999987</v>
      </c>
      <c r="P24" s="140">
        <f t="shared" si="3"/>
        <v>0</v>
      </c>
      <c r="Q24" s="142">
        <f>Valores!$C$17</f>
        <v>11080.51</v>
      </c>
      <c r="R24" s="142">
        <f>Valores!$D$4</f>
        <v>6352.5280000000002</v>
      </c>
      <c r="S24" s="140">
        <v>0</v>
      </c>
      <c r="T24" s="143">
        <f>IF($H$5="NO",Valores!$C$45,Valores!$C$45/2)</f>
        <v>3100.1</v>
      </c>
      <c r="U24" s="140">
        <v>0</v>
      </c>
      <c r="V24" s="140">
        <f t="shared" si="4"/>
        <v>0</v>
      </c>
      <c r="W24" s="142">
        <f>SUM(H24,J24,L24)</f>
        <v>50278.429999999993</v>
      </c>
      <c r="X24" s="142">
        <f>INT((SUM(H24,J24,L24)*0.4*100)+0.49)/100</f>
        <v>20111.37</v>
      </c>
      <c r="Y24" s="144">
        <v>0</v>
      </c>
      <c r="Z24" s="140">
        <f>Y24*Valores!$C$2</f>
        <v>0</v>
      </c>
      <c r="AA24" s="140">
        <v>0</v>
      </c>
      <c r="AB24" s="143">
        <f>Valores!$C$90</f>
        <v>2220.0100000000002</v>
      </c>
      <c r="AC24" s="145">
        <f>Valores!$C$31</f>
        <v>259.82</v>
      </c>
      <c r="AD24" s="140">
        <f t="shared" si="6"/>
        <v>0</v>
      </c>
      <c r="AE24" s="140">
        <f>Valores!$C$32</f>
        <v>259.82</v>
      </c>
      <c r="AF24" s="144">
        <v>0</v>
      </c>
      <c r="AG24" s="140">
        <f>INT(((AF24*Valores!$C$2)*100)+0.5)/100</f>
        <v>0</v>
      </c>
      <c r="AH24" s="140">
        <f>IF($H$5="NO",Valores!$C$60,Valores!$C$60/2)</f>
        <v>528.49</v>
      </c>
      <c r="AI24" s="140">
        <f>IF($H$5="NO",Valores!$C$62,Valores!$C$62/2)</f>
        <v>151</v>
      </c>
      <c r="AJ24" s="146">
        <f t="shared" si="7"/>
        <v>152627.28750000001</v>
      </c>
      <c r="AK24" s="142">
        <f>Valores!$C$37</f>
        <v>1360.88</v>
      </c>
      <c r="AL24" s="143">
        <f>Valores!$C$85</f>
        <v>2275</v>
      </c>
      <c r="AM24" s="143"/>
      <c r="AN24" s="145">
        <f>IF($H$4="NO",0,Valores!$C$52)</f>
        <v>0</v>
      </c>
      <c r="AO24" s="147">
        <f t="shared" si="5"/>
        <v>3635.88</v>
      </c>
      <c r="AP24" s="148">
        <f>AJ24*Valores!$C$69</f>
        <v>-16789.001625000001</v>
      </c>
      <c r="AQ24" s="148">
        <f>AJ24*-Valores!$C$70</f>
        <v>0</v>
      </c>
      <c r="AR24" s="142">
        <f>AJ24*Valores!$C$71</f>
        <v>-6868.2279374999998</v>
      </c>
      <c r="AS24" s="142">
        <f>Valores!$C$95</f>
        <v>-193.38</v>
      </c>
      <c r="AT24" s="142">
        <f>IF($H$6=0,Valores!$C$96,(Valores!$C$96+$H$6*(Valores!$C$96)))</f>
        <v>-129</v>
      </c>
      <c r="AU24" s="146">
        <f t="shared" si="8"/>
        <v>132283.55793750001</v>
      </c>
      <c r="AV24" s="199">
        <f t="shared" si="0"/>
        <v>-16789.001625000001</v>
      </c>
      <c r="AW24" s="142">
        <f>AJ24*Valores!$C$72</f>
        <v>-4120.9367625000004</v>
      </c>
      <c r="AX24" s="142">
        <f>AJ24*Valores!$C$73</f>
        <v>-457.88186250000001</v>
      </c>
      <c r="AY24" s="146">
        <f t="shared" si="9"/>
        <v>134895.34725000002</v>
      </c>
      <c r="AZ24" s="150"/>
      <c r="BA24" s="150">
        <v>45</v>
      </c>
      <c r="BB24" s="135" t="s">
        <v>8</v>
      </c>
    </row>
    <row r="25" spans="1:54" s="114" customFormat="1" ht="11.25" customHeight="1" x14ac:dyDescent="0.15">
      <c r="A25" s="134">
        <v>22</v>
      </c>
      <c r="B25" s="134"/>
      <c r="C25" s="135" t="s">
        <v>164</v>
      </c>
      <c r="D25" s="135"/>
      <c r="E25" s="135">
        <f t="shared" si="1"/>
        <v>18</v>
      </c>
      <c r="F25" s="136" t="s">
        <v>165</v>
      </c>
      <c r="G25" s="137">
        <v>100</v>
      </c>
      <c r="H25" s="138">
        <f>INT((G25*Valores!$C$2*100)+0.5)/100</f>
        <v>1242.67</v>
      </c>
      <c r="I25" s="139">
        <v>3727</v>
      </c>
      <c r="J25" s="140">
        <f>INT((I25*Valores!$C$2*100)+0.5)/100</f>
        <v>46314.31</v>
      </c>
      <c r="K25" s="141">
        <v>219</v>
      </c>
      <c r="L25" s="140">
        <f>INT((K25*Valores!$C$2*100)+0.5)/100</f>
        <v>2721.45</v>
      </c>
      <c r="M25" s="137">
        <v>0</v>
      </c>
      <c r="N25" s="140">
        <f>INT((M25*Valores!$C$2*100)+0.5)/100</f>
        <v>0</v>
      </c>
      <c r="O25" s="140">
        <f t="shared" si="2"/>
        <v>8006.7794999999987</v>
      </c>
      <c r="P25" s="140">
        <f t="shared" si="3"/>
        <v>0</v>
      </c>
      <c r="Q25" s="142">
        <f>Valores!$C$17</f>
        <v>11080.51</v>
      </c>
      <c r="R25" s="142">
        <f>Valores!$D$4</f>
        <v>6352.5280000000002</v>
      </c>
      <c r="S25" s="140">
        <v>0</v>
      </c>
      <c r="T25" s="143">
        <f>IF($H$5="NO",Valores!$C$45,Valores!$C$45/2)</f>
        <v>3100.1</v>
      </c>
      <c r="U25" s="140">
        <v>0</v>
      </c>
      <c r="V25" s="140">
        <f t="shared" si="4"/>
        <v>0</v>
      </c>
      <c r="W25" s="142">
        <f>SUM(H25,J25,L25)</f>
        <v>50278.429999999993</v>
      </c>
      <c r="X25" s="142">
        <f>INT((SUM(H25,J25,L25)*0.4*100)+0.49)/100</f>
        <v>20111.37</v>
      </c>
      <c r="Y25" s="144">
        <v>0</v>
      </c>
      <c r="Z25" s="140">
        <f>Y25*Valores!$C$2</f>
        <v>0</v>
      </c>
      <c r="AA25" s="140">
        <v>0</v>
      </c>
      <c r="AB25" s="143">
        <f>Valores!$C$90</f>
        <v>2220.0100000000002</v>
      </c>
      <c r="AC25" s="145">
        <f>Valores!$C$31</f>
        <v>259.82</v>
      </c>
      <c r="AD25" s="140">
        <f t="shared" si="6"/>
        <v>0</v>
      </c>
      <c r="AE25" s="140">
        <f>Valores!$C$32</f>
        <v>259.82</v>
      </c>
      <c r="AF25" s="144">
        <v>0</v>
      </c>
      <c r="AG25" s="140">
        <f>INT(((AF25*Valores!$C$2)*100)+0.5)/100</f>
        <v>0</v>
      </c>
      <c r="AH25" s="140">
        <f>IF($H$5="NO",Valores!$C$60,Valores!$C$60/2)</f>
        <v>528.49</v>
      </c>
      <c r="AI25" s="140">
        <f>IF($H$5="NO",Valores!$C$62,Valores!$C$62/2)</f>
        <v>151</v>
      </c>
      <c r="AJ25" s="146">
        <f t="shared" si="7"/>
        <v>152627.28750000001</v>
      </c>
      <c r="AK25" s="142">
        <f>Valores!$C$37</f>
        <v>1360.88</v>
      </c>
      <c r="AL25" s="143">
        <f>Valores!$C$85</f>
        <v>2275</v>
      </c>
      <c r="AM25" s="143"/>
      <c r="AN25" s="145">
        <f>IF($H$4="NO",0,Valores!$C$52)</f>
        <v>0</v>
      </c>
      <c r="AO25" s="147">
        <f t="shared" si="5"/>
        <v>3635.88</v>
      </c>
      <c r="AP25" s="148">
        <f>AJ25*Valores!$C$69</f>
        <v>-16789.001625000001</v>
      </c>
      <c r="AQ25" s="148">
        <f>AJ25*-Valores!$C$70</f>
        <v>0</v>
      </c>
      <c r="AR25" s="142">
        <f>AJ25*Valores!$C$71</f>
        <v>-6868.2279374999998</v>
      </c>
      <c r="AS25" s="142">
        <f>Valores!$C$95</f>
        <v>-193.38</v>
      </c>
      <c r="AT25" s="142">
        <f>IF($H$6=0,Valores!$C$96,(Valores!$C$96+$H$6*(Valores!$C$96)))</f>
        <v>-129</v>
      </c>
      <c r="AU25" s="146">
        <f t="shared" si="8"/>
        <v>132283.55793750001</v>
      </c>
      <c r="AV25" s="199">
        <f t="shared" si="0"/>
        <v>-16789.001625000001</v>
      </c>
      <c r="AW25" s="142">
        <f>AJ25*Valores!$C$72</f>
        <v>-4120.9367625000004</v>
      </c>
      <c r="AX25" s="142">
        <f>AJ25*Valores!$C$73</f>
        <v>-457.88186250000001</v>
      </c>
      <c r="AY25" s="146">
        <f t="shared" si="9"/>
        <v>134895.34725000002</v>
      </c>
      <c r="AZ25" s="150"/>
      <c r="BA25" s="150">
        <v>45</v>
      </c>
      <c r="BB25" s="135" t="s">
        <v>8</v>
      </c>
    </row>
    <row r="26" spans="1:54" s="114" customFormat="1" ht="11.25" customHeight="1" x14ac:dyDescent="0.15">
      <c r="A26" s="134">
        <v>23</v>
      </c>
      <c r="B26" s="134"/>
      <c r="C26" s="135" t="s">
        <v>166</v>
      </c>
      <c r="D26" s="135"/>
      <c r="E26" s="135">
        <f t="shared" si="1"/>
        <v>25</v>
      </c>
      <c r="F26" s="136" t="s">
        <v>167</v>
      </c>
      <c r="G26" s="137">
        <v>96</v>
      </c>
      <c r="H26" s="138">
        <f>INT((G26*Valores!$C$2*100)+0.5)/100</f>
        <v>1192.96</v>
      </c>
      <c r="I26" s="139">
        <v>3737</v>
      </c>
      <c r="J26" s="140">
        <f>INT((I26*Valores!$C$2*100)+0.5)/100</f>
        <v>46438.58</v>
      </c>
      <c r="K26" s="141">
        <v>1220</v>
      </c>
      <c r="L26" s="140">
        <f>INT((K26*Valores!$C$2*100)+0.5)/100</f>
        <v>15160.57</v>
      </c>
      <c r="M26" s="137">
        <v>0</v>
      </c>
      <c r="N26" s="140">
        <f>INT((M26*Valores!$C$2*100)+0.5)/100</f>
        <v>0</v>
      </c>
      <c r="O26" s="140">
        <f t="shared" si="2"/>
        <v>10770.498000000001</v>
      </c>
      <c r="P26" s="140">
        <f t="shared" si="3"/>
        <v>0</v>
      </c>
      <c r="Q26" s="142">
        <f>Valores!$C$19</f>
        <v>23373.71</v>
      </c>
      <c r="R26" s="142">
        <f>Valores!$D$4</f>
        <v>6352.5280000000002</v>
      </c>
      <c r="S26" s="140">
        <v>0</v>
      </c>
      <c r="T26" s="143">
        <f>IF($H$5="NO",Valores!$C$45,Valores!$C$45/2)</f>
        <v>3100.1</v>
      </c>
      <c r="U26" s="140">
        <f>Valores!$C$25</f>
        <v>5911.11</v>
      </c>
      <c r="V26" s="140">
        <f t="shared" si="4"/>
        <v>5911.11</v>
      </c>
      <c r="W26" s="140">
        <v>0</v>
      </c>
      <c r="X26" s="140">
        <v>0</v>
      </c>
      <c r="Y26" s="144">
        <v>0</v>
      </c>
      <c r="Z26" s="140">
        <f>Y26*Valores!$C$2</f>
        <v>0</v>
      </c>
      <c r="AA26" s="140">
        <v>0</v>
      </c>
      <c r="AB26" s="143">
        <f>Valores!$C$92</f>
        <v>4440.01</v>
      </c>
      <c r="AC26" s="145">
        <f>Valores!$C$31</f>
        <v>259.82</v>
      </c>
      <c r="AD26" s="140">
        <f t="shared" si="6"/>
        <v>0</v>
      </c>
      <c r="AE26" s="140">
        <f>Valores!$C$32</f>
        <v>259.82</v>
      </c>
      <c r="AF26" s="144">
        <v>0</v>
      </c>
      <c r="AG26" s="140">
        <f>INT(((AF26*Valores!$C$2)*100)+0.5)/100</f>
        <v>0</v>
      </c>
      <c r="AH26" s="140">
        <f>IF($H$5="NO",Valores!$C$60,Valores!$C$60/2)</f>
        <v>528.49</v>
      </c>
      <c r="AI26" s="140">
        <f>IF($H$5="NO",Valores!$C$62,Valores!$C$62/2)</f>
        <v>151</v>
      </c>
      <c r="AJ26" s="146">
        <f t="shared" si="7"/>
        <v>117939.19600000003</v>
      </c>
      <c r="AK26" s="142">
        <f>Valores!$C$37</f>
        <v>1360.88</v>
      </c>
      <c r="AL26" s="143">
        <f>Valores!$C$87</f>
        <v>4550</v>
      </c>
      <c r="AM26" s="143"/>
      <c r="AN26" s="145">
        <f>IF($H$4="NO",0,Valores!$C$52)</f>
        <v>0</v>
      </c>
      <c r="AO26" s="147">
        <f t="shared" si="5"/>
        <v>5910.88</v>
      </c>
      <c r="AP26" s="148">
        <f>AJ26*Valores!$C$69</f>
        <v>-12973.311560000004</v>
      </c>
      <c r="AQ26" s="148">
        <f>AJ26*-Valores!$C$70</f>
        <v>0</v>
      </c>
      <c r="AR26" s="142">
        <f>AJ26*Valores!$C$71</f>
        <v>-5307.263820000001</v>
      </c>
      <c r="AS26" s="142">
        <f>Valores!$C$95</f>
        <v>-193.38</v>
      </c>
      <c r="AT26" s="142">
        <f>IF($H$6=0,Valores!$C$96,(Valores!$C$96+$H$6*(Valores!$C$96)))</f>
        <v>-129</v>
      </c>
      <c r="AU26" s="146">
        <f t="shared" si="8"/>
        <v>105247.12062000002</v>
      </c>
      <c r="AV26" s="199">
        <f t="shared" si="0"/>
        <v>-12973.311560000004</v>
      </c>
      <c r="AW26" s="142">
        <f>AJ26*Valores!$C$72</f>
        <v>-3184.3582920000008</v>
      </c>
      <c r="AX26" s="142">
        <f>AJ26*Valores!$C$73</f>
        <v>-353.81758800000006</v>
      </c>
      <c r="AY26" s="146">
        <f t="shared" si="9"/>
        <v>107338.58856000003</v>
      </c>
      <c r="AZ26" s="150"/>
      <c r="BA26" s="150">
        <v>45</v>
      </c>
      <c r="BB26" s="135" t="s">
        <v>4</v>
      </c>
    </row>
    <row r="27" spans="1:54" s="114" customFormat="1" ht="11.25" customHeight="1" x14ac:dyDescent="0.15">
      <c r="A27" s="134">
        <v>24</v>
      </c>
      <c r="B27" s="134"/>
      <c r="C27" s="135" t="s">
        <v>168</v>
      </c>
      <c r="D27" s="135"/>
      <c r="E27" s="135">
        <f t="shared" si="1"/>
        <v>27</v>
      </c>
      <c r="F27" s="136" t="s">
        <v>169</v>
      </c>
      <c r="G27" s="137">
        <v>96</v>
      </c>
      <c r="H27" s="138">
        <f>INT((G27*Valores!$C$2*100)+0.5)/100</f>
        <v>1192.96</v>
      </c>
      <c r="I27" s="139">
        <v>3737</v>
      </c>
      <c r="J27" s="140">
        <f>INT((I27*Valores!$C$2*100)+0.5)/100</f>
        <v>46438.58</v>
      </c>
      <c r="K27" s="141">
        <v>1220</v>
      </c>
      <c r="L27" s="140">
        <f>INT((K27*Valores!$C$2*100)+0.5)/100</f>
        <v>15160.57</v>
      </c>
      <c r="M27" s="137">
        <v>0</v>
      </c>
      <c r="N27" s="140">
        <f>INT((M27*Valores!$C$2*100)+0.5)/100</f>
        <v>0</v>
      </c>
      <c r="O27" s="140">
        <f t="shared" si="2"/>
        <v>10770.498000000001</v>
      </c>
      <c r="P27" s="140">
        <f t="shared" si="3"/>
        <v>0</v>
      </c>
      <c r="Q27" s="142">
        <f>Valores!$C$19</f>
        <v>23373.71</v>
      </c>
      <c r="R27" s="142">
        <f>Valores!$D$4</f>
        <v>6352.5280000000002</v>
      </c>
      <c r="S27" s="140">
        <v>0</v>
      </c>
      <c r="T27" s="143">
        <f>IF($H$5="NO",Valores!$C$45,Valores!$C$45/2)</f>
        <v>3100.1</v>
      </c>
      <c r="U27" s="140">
        <f>Valores!$C$25</f>
        <v>5911.11</v>
      </c>
      <c r="V27" s="140">
        <f t="shared" si="4"/>
        <v>5911.11</v>
      </c>
      <c r="W27" s="140">
        <v>0</v>
      </c>
      <c r="X27" s="140">
        <v>0</v>
      </c>
      <c r="Y27" s="144">
        <v>0</v>
      </c>
      <c r="Z27" s="140">
        <f>Y27*Valores!$C$2</f>
        <v>0</v>
      </c>
      <c r="AA27" s="140">
        <v>0</v>
      </c>
      <c r="AB27" s="143">
        <f>Valores!$C$92</f>
        <v>4440.01</v>
      </c>
      <c r="AC27" s="145">
        <f>Valores!$C$31</f>
        <v>259.82</v>
      </c>
      <c r="AD27" s="140">
        <f t="shared" si="6"/>
        <v>0</v>
      </c>
      <c r="AE27" s="140">
        <f>Valores!$C$32</f>
        <v>259.82</v>
      </c>
      <c r="AF27" s="144">
        <v>0</v>
      </c>
      <c r="AG27" s="140">
        <f>INT(((AF27*Valores!$C$2)*100)+0.5)/100</f>
        <v>0</v>
      </c>
      <c r="AH27" s="140">
        <f>IF($H$5="NO",Valores!$C$60,Valores!$C$60/2)</f>
        <v>528.49</v>
      </c>
      <c r="AI27" s="140">
        <f>IF($H$5="NO",Valores!$C$62,Valores!$C$62/2)</f>
        <v>151</v>
      </c>
      <c r="AJ27" s="146">
        <f t="shared" si="7"/>
        <v>117939.19600000003</v>
      </c>
      <c r="AK27" s="142">
        <f>Valores!$C$37</f>
        <v>1360.88</v>
      </c>
      <c r="AL27" s="143">
        <f>Valores!$C$87</f>
        <v>4550</v>
      </c>
      <c r="AM27" s="143"/>
      <c r="AN27" s="145">
        <f>IF($H$4="NO",0,Valores!$C$52)</f>
        <v>0</v>
      </c>
      <c r="AO27" s="147">
        <f t="shared" si="5"/>
        <v>5910.88</v>
      </c>
      <c r="AP27" s="148">
        <f>AJ27*Valores!$C$69</f>
        <v>-12973.311560000004</v>
      </c>
      <c r="AQ27" s="148">
        <f>AJ27*-Valores!$C$70</f>
        <v>0</v>
      </c>
      <c r="AR27" s="142">
        <f>AJ27*Valores!$C$71</f>
        <v>-5307.263820000001</v>
      </c>
      <c r="AS27" s="142">
        <f>Valores!$C$95</f>
        <v>-193.38</v>
      </c>
      <c r="AT27" s="142">
        <f>IF($H$6=0,Valores!$C$96,(Valores!$C$96+$H$6*(Valores!$C$96)))</f>
        <v>-129</v>
      </c>
      <c r="AU27" s="146">
        <f t="shared" si="8"/>
        <v>105247.12062000002</v>
      </c>
      <c r="AV27" s="199">
        <f t="shared" si="0"/>
        <v>-12973.311560000004</v>
      </c>
      <c r="AW27" s="142">
        <f>AJ27*Valores!$C$72</f>
        <v>-3184.3582920000008</v>
      </c>
      <c r="AX27" s="142">
        <f>AJ27*Valores!$C$73</f>
        <v>-353.81758800000006</v>
      </c>
      <c r="AY27" s="146">
        <f t="shared" si="9"/>
        <v>107338.58856000003</v>
      </c>
      <c r="AZ27" s="150"/>
      <c r="BA27" s="150">
        <v>45</v>
      </c>
      <c r="BB27" s="135" t="s">
        <v>4</v>
      </c>
    </row>
    <row r="28" spans="1:54" s="114" customFormat="1" ht="11.25" customHeight="1" x14ac:dyDescent="0.15">
      <c r="A28" s="152">
        <v>25</v>
      </c>
      <c r="B28" s="152" t="s">
        <v>139</v>
      </c>
      <c r="C28" s="135" t="s">
        <v>170</v>
      </c>
      <c r="D28" s="135"/>
      <c r="E28" s="135">
        <f t="shared" si="1"/>
        <v>24</v>
      </c>
      <c r="F28" s="136" t="s">
        <v>171</v>
      </c>
      <c r="G28" s="137">
        <v>96</v>
      </c>
      <c r="H28" s="138">
        <f>INT((G28*Valores!$C$2*100)+0.5)/100</f>
        <v>1192.96</v>
      </c>
      <c r="I28" s="139">
        <v>3737</v>
      </c>
      <c r="J28" s="140">
        <f>INT((I28*Valores!$C$2*100)+0.5)/100</f>
        <v>46438.58</v>
      </c>
      <c r="K28" s="141">
        <v>1220</v>
      </c>
      <c r="L28" s="140">
        <f>INT((K28*Valores!$C$2*100)+0.5)/100</f>
        <v>15160.57</v>
      </c>
      <c r="M28" s="137">
        <v>0</v>
      </c>
      <c r="N28" s="140">
        <f>INT((M28*Valores!$C$2*100)+0.5)/100</f>
        <v>0</v>
      </c>
      <c r="O28" s="140">
        <f t="shared" si="2"/>
        <v>10770.498000000001</v>
      </c>
      <c r="P28" s="140">
        <f t="shared" si="3"/>
        <v>0</v>
      </c>
      <c r="Q28" s="142">
        <f>Valores!$C$19</f>
        <v>23373.71</v>
      </c>
      <c r="R28" s="142">
        <f>Valores!$D$4</f>
        <v>6352.5280000000002</v>
      </c>
      <c r="S28" s="140">
        <v>0</v>
      </c>
      <c r="T28" s="143">
        <f>IF($H$5="NO",Valores!$C$45,Valores!$C$45/2)</f>
        <v>3100.1</v>
      </c>
      <c r="U28" s="140">
        <f>Valores!$C$25</f>
        <v>5911.11</v>
      </c>
      <c r="V28" s="140">
        <f t="shared" si="4"/>
        <v>5911.11</v>
      </c>
      <c r="W28" s="140">
        <v>0</v>
      </c>
      <c r="X28" s="140">
        <v>0</v>
      </c>
      <c r="Y28" s="144">
        <v>0</v>
      </c>
      <c r="Z28" s="140">
        <f>Y28*Valores!$C$2</f>
        <v>0</v>
      </c>
      <c r="AA28" s="140">
        <v>0</v>
      </c>
      <c r="AB28" s="143">
        <f>Valores!$C$92</f>
        <v>4440.01</v>
      </c>
      <c r="AC28" s="145">
        <f>Valores!$C$31</f>
        <v>259.82</v>
      </c>
      <c r="AD28" s="140">
        <f t="shared" si="6"/>
        <v>0</v>
      </c>
      <c r="AE28" s="140">
        <f>Valores!$C$32</f>
        <v>259.82</v>
      </c>
      <c r="AF28" s="144">
        <v>0</v>
      </c>
      <c r="AG28" s="140">
        <f>INT(((AF28*Valores!$C$2)*100)+0.5)/100</f>
        <v>0</v>
      </c>
      <c r="AH28" s="140">
        <f>IF($H$5="NO",Valores!$C$60,Valores!$C$60/2)</f>
        <v>528.49</v>
      </c>
      <c r="AI28" s="140">
        <f>IF($H$5="NO",Valores!$C$62,Valores!$C$62/2)</f>
        <v>151</v>
      </c>
      <c r="AJ28" s="146">
        <f t="shared" si="7"/>
        <v>117939.19600000003</v>
      </c>
      <c r="AK28" s="142">
        <f>Valores!$C$37</f>
        <v>1360.88</v>
      </c>
      <c r="AL28" s="143">
        <f>Valores!$C$87</f>
        <v>4550</v>
      </c>
      <c r="AM28" s="143"/>
      <c r="AN28" s="145">
        <f>IF($H$4="NO",0,Valores!$C$52)</f>
        <v>0</v>
      </c>
      <c r="AO28" s="147">
        <f t="shared" si="5"/>
        <v>5910.88</v>
      </c>
      <c r="AP28" s="148">
        <f>AJ28*Valores!$C$69</f>
        <v>-12973.311560000004</v>
      </c>
      <c r="AQ28" s="148">
        <f>AJ28*-Valores!$C$70</f>
        <v>0</v>
      </c>
      <c r="AR28" s="142">
        <f>AJ28*Valores!$C$71</f>
        <v>-5307.263820000001</v>
      </c>
      <c r="AS28" s="142">
        <f>Valores!$C$95</f>
        <v>-193.38</v>
      </c>
      <c r="AT28" s="142">
        <f>IF($H$6=0,Valores!$C$96,(Valores!$C$96+$H$6*(Valores!$C$96)))</f>
        <v>-129</v>
      </c>
      <c r="AU28" s="146">
        <f t="shared" si="8"/>
        <v>105247.12062000002</v>
      </c>
      <c r="AV28" s="199">
        <f t="shared" si="0"/>
        <v>-12973.311560000004</v>
      </c>
      <c r="AW28" s="142">
        <f>AJ28*Valores!$C$72</f>
        <v>-3184.3582920000008</v>
      </c>
      <c r="AX28" s="142">
        <f>AJ28*Valores!$C$73</f>
        <v>-353.81758800000006</v>
      </c>
      <c r="AY28" s="146">
        <f t="shared" si="9"/>
        <v>107338.58856000003</v>
      </c>
      <c r="AZ28" s="150"/>
      <c r="BA28" s="150">
        <v>45</v>
      </c>
      <c r="BB28" s="135" t="s">
        <v>4</v>
      </c>
    </row>
    <row r="29" spans="1:54" s="114" customFormat="1" ht="11.25" customHeight="1" x14ac:dyDescent="0.15">
      <c r="A29" s="134">
        <v>26</v>
      </c>
      <c r="B29" s="134"/>
      <c r="C29" s="135" t="s">
        <v>172</v>
      </c>
      <c r="D29" s="135"/>
      <c r="E29" s="135">
        <f t="shared" si="1"/>
        <v>22</v>
      </c>
      <c r="F29" s="136" t="s">
        <v>173</v>
      </c>
      <c r="G29" s="137">
        <v>107</v>
      </c>
      <c r="H29" s="138">
        <f>INT((G29*Valores!$C$2*100)+0.5)/100</f>
        <v>1329.66</v>
      </c>
      <c r="I29" s="139">
        <v>3728</v>
      </c>
      <c r="J29" s="140">
        <f>INT((I29*Valores!$C$2*100)+0.5)/100</f>
        <v>46326.74</v>
      </c>
      <c r="K29" s="141">
        <v>1218</v>
      </c>
      <c r="L29" s="140">
        <f>INT((K29*Valores!$C$2*100)+0.5)/100</f>
        <v>15135.72</v>
      </c>
      <c r="M29" s="137">
        <v>0</v>
      </c>
      <c r="N29" s="140">
        <f>INT((M29*Valores!$C$2*100)+0.5)/100</f>
        <v>0</v>
      </c>
      <c r="O29" s="140">
        <f t="shared" si="2"/>
        <v>10770.4995</v>
      </c>
      <c r="P29" s="140">
        <f t="shared" si="3"/>
        <v>0</v>
      </c>
      <c r="Q29" s="142">
        <f>Valores!$C$19</f>
        <v>23373.71</v>
      </c>
      <c r="R29" s="142">
        <f>Valores!$D$4</f>
        <v>6352.5280000000002</v>
      </c>
      <c r="S29" s="140">
        <v>0</v>
      </c>
      <c r="T29" s="143">
        <f>IF($H$5="NO",Valores!$C$45,Valores!$C$45/2)</f>
        <v>3100.1</v>
      </c>
      <c r="U29" s="140">
        <f>Valores!$C$25</f>
        <v>5911.11</v>
      </c>
      <c r="V29" s="140">
        <f t="shared" si="4"/>
        <v>5911.11</v>
      </c>
      <c r="W29" s="140">
        <v>0</v>
      </c>
      <c r="X29" s="140">
        <v>0</v>
      </c>
      <c r="Y29" s="144">
        <v>0</v>
      </c>
      <c r="Z29" s="140">
        <f>Y29*Valores!$C$2</f>
        <v>0</v>
      </c>
      <c r="AA29" s="140">
        <v>0</v>
      </c>
      <c r="AB29" s="143">
        <f>Valores!$C$92</f>
        <v>4440.01</v>
      </c>
      <c r="AC29" s="145">
        <f>Valores!$C$31</f>
        <v>259.82</v>
      </c>
      <c r="AD29" s="140">
        <f t="shared" si="6"/>
        <v>0</v>
      </c>
      <c r="AE29" s="140">
        <f>Valores!$C$32</f>
        <v>259.82</v>
      </c>
      <c r="AF29" s="144">
        <v>0</v>
      </c>
      <c r="AG29" s="140">
        <f>INT(((AF29*Valores!$C$2)*100)+0.5)/100</f>
        <v>0</v>
      </c>
      <c r="AH29" s="140">
        <f>IF($H$5="NO",Valores!$C$60,Valores!$C$60/2)</f>
        <v>528.49</v>
      </c>
      <c r="AI29" s="140">
        <f>IF($H$5="NO",Valores!$C$62,Valores!$C$62/2)</f>
        <v>151</v>
      </c>
      <c r="AJ29" s="146">
        <f t="shared" si="7"/>
        <v>117939.20750000002</v>
      </c>
      <c r="AK29" s="142">
        <f>Valores!$C$37</f>
        <v>1360.88</v>
      </c>
      <c r="AL29" s="143">
        <f>Valores!$C$87</f>
        <v>4550</v>
      </c>
      <c r="AM29" s="143"/>
      <c r="AN29" s="145">
        <f>IF($H$4="NO",0,Valores!$C$52)</f>
        <v>0</v>
      </c>
      <c r="AO29" s="147">
        <f t="shared" si="5"/>
        <v>5910.88</v>
      </c>
      <c r="AP29" s="148">
        <f>AJ29*Valores!$C$69</f>
        <v>-12973.312825000003</v>
      </c>
      <c r="AQ29" s="148">
        <f>AJ29*-Valores!$C$70</f>
        <v>0</v>
      </c>
      <c r="AR29" s="142">
        <f>AJ29*Valores!$C$71</f>
        <v>-5307.2643375000007</v>
      </c>
      <c r="AS29" s="142">
        <f>Valores!$C$95</f>
        <v>-193.38</v>
      </c>
      <c r="AT29" s="142">
        <f>IF($H$6=0,Valores!$C$96,(Valores!$C$96+$H$6*(Valores!$C$96)))</f>
        <v>-129</v>
      </c>
      <c r="AU29" s="146">
        <f t="shared" si="8"/>
        <v>105247.13033750001</v>
      </c>
      <c r="AV29" s="199">
        <f t="shared" si="0"/>
        <v>-12973.312825000003</v>
      </c>
      <c r="AW29" s="142">
        <f>AJ29*Valores!$C$72</f>
        <v>-3184.3586025000004</v>
      </c>
      <c r="AX29" s="142">
        <f>AJ29*Valores!$C$73</f>
        <v>-353.81762250000008</v>
      </c>
      <c r="AY29" s="146">
        <f t="shared" si="9"/>
        <v>107338.59845000002</v>
      </c>
      <c r="AZ29" s="150"/>
      <c r="BA29" s="150">
        <v>45</v>
      </c>
      <c r="BB29" s="135" t="s">
        <v>8</v>
      </c>
    </row>
    <row r="30" spans="1:54" s="114" customFormat="1" ht="11.25" customHeight="1" x14ac:dyDescent="0.15">
      <c r="A30" s="134">
        <v>27</v>
      </c>
      <c r="B30" s="134"/>
      <c r="C30" s="135" t="s">
        <v>174</v>
      </c>
      <c r="D30" s="135"/>
      <c r="E30" s="135">
        <f t="shared" si="1"/>
        <v>29</v>
      </c>
      <c r="F30" s="136" t="s">
        <v>175</v>
      </c>
      <c r="G30" s="137">
        <v>94</v>
      </c>
      <c r="H30" s="138">
        <f>INT((G30*Valores!$C$2*100)+0.5)/100</f>
        <v>1168.1099999999999</v>
      </c>
      <c r="I30" s="139">
        <v>3624</v>
      </c>
      <c r="J30" s="140">
        <f>INT((I30*Valores!$C$2*100)+0.5)/100</f>
        <v>45034.36</v>
      </c>
      <c r="K30" s="141">
        <v>1219</v>
      </c>
      <c r="L30" s="140">
        <f>INT((K30*Valores!$C$2*100)+0.5)/100</f>
        <v>15148.15</v>
      </c>
      <c r="M30" s="137">
        <v>0</v>
      </c>
      <c r="N30" s="140">
        <f>INT((M30*Valores!$C$2*100)+0.5)/100</f>
        <v>0</v>
      </c>
      <c r="O30" s="140">
        <f t="shared" si="2"/>
        <v>10554.2745</v>
      </c>
      <c r="P30" s="140">
        <f t="shared" si="3"/>
        <v>0</v>
      </c>
      <c r="Q30" s="142">
        <f>Valores!$C$19</f>
        <v>23373.71</v>
      </c>
      <c r="R30" s="142">
        <f>Valores!$D$4</f>
        <v>6352.5280000000002</v>
      </c>
      <c r="S30" s="140">
        <v>0</v>
      </c>
      <c r="T30" s="143">
        <f>IF($H$5="NO",Valores!$C$45,Valores!$C$45/2)</f>
        <v>3100.1</v>
      </c>
      <c r="U30" s="140">
        <f>Valores!$C$25</f>
        <v>5911.11</v>
      </c>
      <c r="V30" s="140">
        <f t="shared" si="4"/>
        <v>5911.11</v>
      </c>
      <c r="W30" s="140">
        <v>0</v>
      </c>
      <c r="X30" s="140">
        <v>0</v>
      </c>
      <c r="Y30" s="144">
        <v>0</v>
      </c>
      <c r="Z30" s="140">
        <f>Y30*Valores!$C$2</f>
        <v>0</v>
      </c>
      <c r="AA30" s="140">
        <v>0</v>
      </c>
      <c r="AB30" s="143">
        <f>Valores!$C$92</f>
        <v>4440.01</v>
      </c>
      <c r="AC30" s="145">
        <f>Valores!$C$31</f>
        <v>259.82</v>
      </c>
      <c r="AD30" s="140">
        <f t="shared" si="6"/>
        <v>0</v>
      </c>
      <c r="AE30" s="140">
        <f>Valores!$C$32</f>
        <v>259.82</v>
      </c>
      <c r="AF30" s="144">
        <v>0</v>
      </c>
      <c r="AG30" s="140">
        <f>INT(((AF30*Valores!$C$2)*100)+0.5)/100</f>
        <v>0</v>
      </c>
      <c r="AH30" s="140">
        <f>IF($H$5="NO",Valores!$C$60,Valores!$C$60/2)</f>
        <v>528.49</v>
      </c>
      <c r="AI30" s="140">
        <f>IF($H$5="NO",Valores!$C$62,Valores!$C$62/2)</f>
        <v>151</v>
      </c>
      <c r="AJ30" s="146">
        <f t="shared" si="7"/>
        <v>116281.48250000001</v>
      </c>
      <c r="AK30" s="142">
        <f>Valores!$C$37</f>
        <v>1360.88</v>
      </c>
      <c r="AL30" s="143">
        <f>Valores!$C$87</f>
        <v>4550</v>
      </c>
      <c r="AM30" s="143"/>
      <c r="AN30" s="145">
        <f>IF($H$4="NO",0,Valores!$C$52)</f>
        <v>0</v>
      </c>
      <c r="AO30" s="147">
        <f t="shared" si="5"/>
        <v>5910.88</v>
      </c>
      <c r="AP30" s="148">
        <f>AJ30*Valores!$C$69</f>
        <v>-12790.963075000001</v>
      </c>
      <c r="AQ30" s="148">
        <f>AJ30*-Valores!$C$70</f>
        <v>0</v>
      </c>
      <c r="AR30" s="142">
        <f>AJ30*Valores!$C$71</f>
        <v>-5232.6667125000004</v>
      </c>
      <c r="AS30" s="142">
        <f>Valores!$C$95</f>
        <v>-193.38</v>
      </c>
      <c r="AT30" s="142">
        <f>IF($H$6=0,Valores!$C$96,(Valores!$C$96+$H$6*(Valores!$C$96)))</f>
        <v>-129</v>
      </c>
      <c r="AU30" s="146">
        <f t="shared" si="8"/>
        <v>103846.35271250001</v>
      </c>
      <c r="AV30" s="199">
        <f t="shared" si="0"/>
        <v>-12790.963075000001</v>
      </c>
      <c r="AW30" s="142">
        <f>AJ30*Valores!$C$72</f>
        <v>-3139.6000275000001</v>
      </c>
      <c r="AX30" s="142">
        <f>AJ30*Valores!$C$73</f>
        <v>-348.84444750000006</v>
      </c>
      <c r="AY30" s="146">
        <f t="shared" si="9"/>
        <v>105912.95495000001</v>
      </c>
      <c r="AZ30" s="150"/>
      <c r="BA30" s="150">
        <v>45</v>
      </c>
      <c r="BB30" s="135" t="s">
        <v>4</v>
      </c>
    </row>
    <row r="31" spans="1:54" s="114" customFormat="1" ht="11.25" customHeight="1" x14ac:dyDescent="0.15">
      <c r="A31" s="134">
        <v>28</v>
      </c>
      <c r="B31" s="134"/>
      <c r="C31" s="135" t="s">
        <v>176</v>
      </c>
      <c r="D31" s="135"/>
      <c r="E31" s="135">
        <f t="shared" si="1"/>
        <v>25</v>
      </c>
      <c r="F31" s="136" t="s">
        <v>177</v>
      </c>
      <c r="G31" s="137">
        <v>93</v>
      </c>
      <c r="H31" s="138">
        <f>INT((G31*Valores!$C$2*100)+0.5)/100</f>
        <v>1155.68</v>
      </c>
      <c r="I31" s="139">
        <v>3627</v>
      </c>
      <c r="J31" s="140">
        <f>INT((I31*Valores!$C$2*100)+0.5)/100</f>
        <v>45071.64</v>
      </c>
      <c r="K31" s="141">
        <v>210</v>
      </c>
      <c r="L31" s="140">
        <f>INT((K31*Valores!$C$2*100)+0.5)/100</f>
        <v>2609.61</v>
      </c>
      <c r="M31" s="137">
        <v>0</v>
      </c>
      <c r="N31" s="140">
        <f>INT((M31*Valores!$C$2*100)+0.5)/100</f>
        <v>0</v>
      </c>
      <c r="O31" s="140">
        <f t="shared" si="2"/>
        <v>8677.2209999999995</v>
      </c>
      <c r="P31" s="140">
        <f t="shared" si="3"/>
        <v>0</v>
      </c>
      <c r="Q31" s="142">
        <f>Valores!$C$19</f>
        <v>23373.71</v>
      </c>
      <c r="R31" s="142">
        <f>Valores!$D$4</f>
        <v>6352.5280000000002</v>
      </c>
      <c r="S31" s="140">
        <v>0</v>
      </c>
      <c r="T31" s="143">
        <f>IF($H$5="NO",Valores!$C$45,Valores!$C$45/2)</f>
        <v>3100.1</v>
      </c>
      <c r="U31" s="140">
        <f>Valores!$C$25</f>
        <v>5911.11</v>
      </c>
      <c r="V31" s="140">
        <f t="shared" si="4"/>
        <v>5911.11</v>
      </c>
      <c r="W31" s="140">
        <v>0</v>
      </c>
      <c r="X31" s="140">
        <v>0</v>
      </c>
      <c r="Y31" s="144">
        <v>0</v>
      </c>
      <c r="Z31" s="140">
        <f>Y31*Valores!$C$2</f>
        <v>0</v>
      </c>
      <c r="AA31" s="140">
        <v>0</v>
      </c>
      <c r="AB31" s="143">
        <f>Valores!$C$92</f>
        <v>4440.01</v>
      </c>
      <c r="AC31" s="145">
        <f>Valores!$C$31</f>
        <v>259.82</v>
      </c>
      <c r="AD31" s="140">
        <f t="shared" si="6"/>
        <v>0</v>
      </c>
      <c r="AE31" s="140">
        <f>Valores!$C$32</f>
        <v>259.82</v>
      </c>
      <c r="AF31" s="144">
        <v>0</v>
      </c>
      <c r="AG31" s="140">
        <f>INT(((AF31*Valores!$C$2)*100)+0.5)/100</f>
        <v>0</v>
      </c>
      <c r="AH31" s="140">
        <f>IF($H$5="NO",Valores!$C$60,Valores!$C$60/2)</f>
        <v>528.49</v>
      </c>
      <c r="AI31" s="140">
        <f>IF($H$5="NO",Valores!$C$62,Valores!$C$62/2)</f>
        <v>151</v>
      </c>
      <c r="AJ31" s="146">
        <f t="shared" si="7"/>
        <v>101890.73900000003</v>
      </c>
      <c r="AK31" s="142">
        <f>Valores!$C$37</f>
        <v>1360.88</v>
      </c>
      <c r="AL31" s="143">
        <f>Valores!$C$87</f>
        <v>4550</v>
      </c>
      <c r="AM31" s="143"/>
      <c r="AN31" s="145">
        <f>IF($H$4="NO",0,Valores!$C$52)</f>
        <v>0</v>
      </c>
      <c r="AO31" s="147">
        <f t="shared" si="5"/>
        <v>5910.88</v>
      </c>
      <c r="AP31" s="148">
        <f>AJ31*Valores!$C$69</f>
        <v>-11207.981290000003</v>
      </c>
      <c r="AQ31" s="148">
        <f>AJ31*-Valores!$C$70</f>
        <v>0</v>
      </c>
      <c r="AR31" s="142">
        <f>AJ31*Valores!$C$71</f>
        <v>-4585.0832550000014</v>
      </c>
      <c r="AS31" s="142">
        <f>Valores!$C$95</f>
        <v>-193.38</v>
      </c>
      <c r="AT31" s="142">
        <f>IF($H$6=0,Valores!$C$96,(Valores!$C$96+$H$6*(Valores!$C$96)))</f>
        <v>-129</v>
      </c>
      <c r="AU31" s="146">
        <f t="shared" si="8"/>
        <v>91686.174455000029</v>
      </c>
      <c r="AV31" s="199">
        <f t="shared" si="0"/>
        <v>-11207.981290000003</v>
      </c>
      <c r="AW31" s="142">
        <f>AJ31*Valores!$C$72</f>
        <v>-2751.0499530000006</v>
      </c>
      <c r="AX31" s="142">
        <f>AJ31*Valores!$C$73</f>
        <v>-305.6722170000001</v>
      </c>
      <c r="AY31" s="146">
        <f t="shared" si="9"/>
        <v>93536.915540000031</v>
      </c>
      <c r="AZ31" s="150"/>
      <c r="BA31" s="150">
        <v>45</v>
      </c>
      <c r="BB31" s="135" t="s">
        <v>8</v>
      </c>
    </row>
    <row r="32" spans="1:54" s="114" customFormat="1" ht="11.25" customHeight="1" x14ac:dyDescent="0.15">
      <c r="A32" s="134">
        <v>29</v>
      </c>
      <c r="B32" s="134"/>
      <c r="C32" s="135" t="s">
        <v>178</v>
      </c>
      <c r="D32" s="135"/>
      <c r="E32" s="135">
        <f t="shared" si="1"/>
        <v>32</v>
      </c>
      <c r="F32" s="136" t="s">
        <v>179</v>
      </c>
      <c r="G32" s="137">
        <v>93</v>
      </c>
      <c r="H32" s="138">
        <f>INT((G32*Valores!$C$2*100)+0.5)/100</f>
        <v>1155.68</v>
      </c>
      <c r="I32" s="139">
        <v>3630</v>
      </c>
      <c r="J32" s="140">
        <f>INT((I32*Valores!$C$2*100)+0.5)/100</f>
        <v>45108.92</v>
      </c>
      <c r="K32" s="141">
        <v>1214</v>
      </c>
      <c r="L32" s="140">
        <f>INT((K32*Valores!$C$2*100)+0.5)/100</f>
        <v>15086.01</v>
      </c>
      <c r="M32" s="137">
        <v>0</v>
      </c>
      <c r="N32" s="140">
        <f>INT((M32*Valores!$C$2*100)+0.5)/100</f>
        <v>0</v>
      </c>
      <c r="O32" s="140">
        <f t="shared" si="2"/>
        <v>10554.273000000001</v>
      </c>
      <c r="P32" s="140">
        <f t="shared" si="3"/>
        <v>0</v>
      </c>
      <c r="Q32" s="142">
        <f>Valores!$C$19</f>
        <v>23373.71</v>
      </c>
      <c r="R32" s="142">
        <f>Valores!$D$4</f>
        <v>6352.5280000000002</v>
      </c>
      <c r="S32" s="140">
        <v>0</v>
      </c>
      <c r="T32" s="143">
        <f>IF($H$5="NO",Valores!$C$45,Valores!$C$45/2)</f>
        <v>3100.1</v>
      </c>
      <c r="U32" s="140">
        <f>Valores!$C$25</f>
        <v>5911.11</v>
      </c>
      <c r="V32" s="140">
        <f t="shared" si="4"/>
        <v>5911.11</v>
      </c>
      <c r="W32" s="140">
        <v>0</v>
      </c>
      <c r="X32" s="140">
        <v>0</v>
      </c>
      <c r="Y32" s="144">
        <v>0</v>
      </c>
      <c r="Z32" s="140">
        <f>Y32*Valores!$C$2</f>
        <v>0</v>
      </c>
      <c r="AA32" s="140">
        <v>0</v>
      </c>
      <c r="AB32" s="143">
        <f>Valores!$C$92</f>
        <v>4440.01</v>
      </c>
      <c r="AC32" s="145">
        <f>Valores!$C$31</f>
        <v>259.82</v>
      </c>
      <c r="AD32" s="140">
        <f t="shared" si="6"/>
        <v>0</v>
      </c>
      <c r="AE32" s="140">
        <f>Valores!$C$32</f>
        <v>259.82</v>
      </c>
      <c r="AF32" s="144">
        <v>0</v>
      </c>
      <c r="AG32" s="140">
        <f>INT(((AF32*Valores!$C$2)*100)+0.5)/100</f>
        <v>0</v>
      </c>
      <c r="AH32" s="140">
        <f>IF($H$5="NO",Valores!$C$60,Valores!$C$60/2)</f>
        <v>528.49</v>
      </c>
      <c r="AI32" s="140">
        <f>IF($H$5="NO",Valores!$C$62,Valores!$C$62/2)</f>
        <v>151</v>
      </c>
      <c r="AJ32" s="146">
        <f t="shared" si="7"/>
        <v>116281.47100000002</v>
      </c>
      <c r="AK32" s="142">
        <f>Valores!$C$37</f>
        <v>1360.88</v>
      </c>
      <c r="AL32" s="143">
        <f>Valores!$C$87</f>
        <v>4550</v>
      </c>
      <c r="AM32" s="143"/>
      <c r="AN32" s="145">
        <f>IF($H$4="NO",0,Valores!$C$52)</f>
        <v>0</v>
      </c>
      <c r="AO32" s="147">
        <f t="shared" si="5"/>
        <v>5910.88</v>
      </c>
      <c r="AP32" s="148">
        <f>AJ32*Valores!$C$69</f>
        <v>-12790.961810000003</v>
      </c>
      <c r="AQ32" s="148">
        <f>AJ32*-Valores!$C$70</f>
        <v>0</v>
      </c>
      <c r="AR32" s="142">
        <f>AJ32*Valores!$C$71</f>
        <v>-5232.6661950000007</v>
      </c>
      <c r="AS32" s="142">
        <f>Valores!$C$95</f>
        <v>-193.38</v>
      </c>
      <c r="AT32" s="142">
        <f>IF($H$6=0,Valores!$C$96,(Valores!$C$96+$H$6*(Valores!$C$96)))</f>
        <v>-129</v>
      </c>
      <c r="AU32" s="146">
        <f t="shared" si="8"/>
        <v>103846.34299500001</v>
      </c>
      <c r="AV32" s="199">
        <f t="shared" si="0"/>
        <v>-12790.961810000003</v>
      </c>
      <c r="AW32" s="142">
        <f>AJ32*Valores!$C$72</f>
        <v>-3139.5997170000005</v>
      </c>
      <c r="AX32" s="142">
        <f>AJ32*Valores!$C$73</f>
        <v>-348.84441300000009</v>
      </c>
      <c r="AY32" s="146">
        <f t="shared" si="9"/>
        <v>105912.94506000003</v>
      </c>
      <c r="AZ32" s="150"/>
      <c r="BA32" s="150">
        <v>45</v>
      </c>
      <c r="BB32" s="135" t="s">
        <v>4</v>
      </c>
    </row>
    <row r="33" spans="1:54" s="114" customFormat="1" ht="11.25" customHeight="1" x14ac:dyDescent="0.15">
      <c r="A33" s="152">
        <v>30</v>
      </c>
      <c r="B33" s="152" t="s">
        <v>139</v>
      </c>
      <c r="C33" s="135" t="s">
        <v>180</v>
      </c>
      <c r="D33" s="135"/>
      <c r="E33" s="135">
        <f t="shared" si="1"/>
        <v>35</v>
      </c>
      <c r="F33" s="136" t="s">
        <v>181</v>
      </c>
      <c r="G33" s="137">
        <v>96</v>
      </c>
      <c r="H33" s="138">
        <f>INT((G33*Valores!$C$2*100)+0.5)/100</f>
        <v>1192.96</v>
      </c>
      <c r="I33" s="139">
        <v>3737</v>
      </c>
      <c r="J33" s="140">
        <f>INT((I33*Valores!$C$2*100)+0.5)/100</f>
        <v>46438.58</v>
      </c>
      <c r="K33" s="141">
        <v>1220</v>
      </c>
      <c r="L33" s="140">
        <f>INT((K33*Valores!$C$2*100)+0.5)/100</f>
        <v>15160.57</v>
      </c>
      <c r="M33" s="137">
        <v>0</v>
      </c>
      <c r="N33" s="140">
        <f>INT((M33*Valores!$C$2*100)+0.5)/100</f>
        <v>0</v>
      </c>
      <c r="O33" s="140">
        <f t="shared" si="2"/>
        <v>10770.498000000001</v>
      </c>
      <c r="P33" s="140">
        <f t="shared" si="3"/>
        <v>0</v>
      </c>
      <c r="Q33" s="142">
        <f>Valores!$C$19</f>
        <v>23373.71</v>
      </c>
      <c r="R33" s="142">
        <f>Valores!$D$4</f>
        <v>6352.5280000000002</v>
      </c>
      <c r="S33" s="140">
        <v>0</v>
      </c>
      <c r="T33" s="143">
        <f>IF($H$5="NO",Valores!$C$45,Valores!$C$45/2)</f>
        <v>3100.1</v>
      </c>
      <c r="U33" s="140">
        <f>Valores!$C$25</f>
        <v>5911.11</v>
      </c>
      <c r="V33" s="140">
        <f t="shared" si="4"/>
        <v>5911.11</v>
      </c>
      <c r="W33" s="140">
        <v>0</v>
      </c>
      <c r="X33" s="140">
        <v>0</v>
      </c>
      <c r="Y33" s="144">
        <v>0</v>
      </c>
      <c r="Z33" s="140">
        <f>Y33*Valores!$C$2</f>
        <v>0</v>
      </c>
      <c r="AA33" s="140">
        <f>SUM(L33,J33,H33,T33)*Valores!$C$3</f>
        <v>9883.8315000000002</v>
      </c>
      <c r="AB33" s="143">
        <f>Valores!$C$92</f>
        <v>4440.01</v>
      </c>
      <c r="AC33" s="145">
        <f>Valores!$C$31</f>
        <v>259.82</v>
      </c>
      <c r="AD33" s="140">
        <f t="shared" si="6"/>
        <v>0</v>
      </c>
      <c r="AE33" s="140">
        <f>Valores!$C$32</f>
        <v>259.82</v>
      </c>
      <c r="AF33" s="144">
        <v>0</v>
      </c>
      <c r="AG33" s="140">
        <f>INT(((AF33*Valores!$C$2)*100)+0.5)/100</f>
        <v>0</v>
      </c>
      <c r="AH33" s="140">
        <f>IF($H$5="NO",Valores!$C$60,Valores!$C$60/2)</f>
        <v>528.49</v>
      </c>
      <c r="AI33" s="140">
        <f>IF($H$5="NO",Valores!$C$62,Valores!$C$62/2)</f>
        <v>151</v>
      </c>
      <c r="AJ33" s="146">
        <f t="shared" si="7"/>
        <v>127823.02750000003</v>
      </c>
      <c r="AK33" s="142">
        <f>Valores!$C$37</f>
        <v>1360.88</v>
      </c>
      <c r="AL33" s="143">
        <f>Valores!$C$87</f>
        <v>4550</v>
      </c>
      <c r="AM33" s="143"/>
      <c r="AN33" s="145">
        <f>IF($H$4="NO",0,Valores!$C$52)</f>
        <v>0</v>
      </c>
      <c r="AO33" s="147">
        <f t="shared" si="5"/>
        <v>5910.88</v>
      </c>
      <c r="AP33" s="148">
        <f>AJ33*Valores!$C$69</f>
        <v>-14060.533025000002</v>
      </c>
      <c r="AQ33" s="148">
        <f>AJ33*-Valores!$C$70</f>
        <v>0</v>
      </c>
      <c r="AR33" s="142">
        <f>AJ33*Valores!$C$71</f>
        <v>-5752.0362375000013</v>
      </c>
      <c r="AS33" s="142">
        <f>Valores!$C$95</f>
        <v>-193.38</v>
      </c>
      <c r="AT33" s="142">
        <f>IF($H$6=0,Valores!$C$96,(Valores!$C$96+$H$6*(Valores!$C$96)))</f>
        <v>-129</v>
      </c>
      <c r="AU33" s="146">
        <f t="shared" si="8"/>
        <v>113598.95823750002</v>
      </c>
      <c r="AV33" s="199">
        <f t="shared" si="0"/>
        <v>-14060.533025000002</v>
      </c>
      <c r="AW33" s="142">
        <f>AJ33*Valores!$C$72</f>
        <v>-3451.2217425000008</v>
      </c>
      <c r="AX33" s="142">
        <f>AJ33*Valores!$C$73</f>
        <v>-383.46908250000007</v>
      </c>
      <c r="AY33" s="146">
        <f t="shared" si="9"/>
        <v>115838.68365000002</v>
      </c>
      <c r="AZ33" s="150"/>
      <c r="BA33" s="150">
        <v>45</v>
      </c>
      <c r="BB33" s="135" t="s">
        <v>8</v>
      </c>
    </row>
    <row r="34" spans="1:54" s="114" customFormat="1" ht="11.25" customHeight="1" x14ac:dyDescent="0.15">
      <c r="A34" s="134">
        <v>31</v>
      </c>
      <c r="B34" s="134"/>
      <c r="C34" s="135" t="s">
        <v>182</v>
      </c>
      <c r="D34" s="135"/>
      <c r="E34" s="135">
        <f t="shared" si="1"/>
        <v>20</v>
      </c>
      <c r="F34" s="136" t="s">
        <v>183</v>
      </c>
      <c r="G34" s="137">
        <v>92</v>
      </c>
      <c r="H34" s="138">
        <f>INT((G34*Valores!$C$2*100)+0.5)/100</f>
        <v>1143.26</v>
      </c>
      <c r="I34" s="139">
        <v>3483</v>
      </c>
      <c r="J34" s="140">
        <f>INT((I34*Valores!$C$2*100)+0.5)/100</f>
        <v>43282.2</v>
      </c>
      <c r="K34" s="141">
        <v>1217</v>
      </c>
      <c r="L34" s="140">
        <f>INT((K34*Valores!$C$2*100)+0.5)/100</f>
        <v>15123.29</v>
      </c>
      <c r="M34" s="137">
        <v>0</v>
      </c>
      <c r="N34" s="140">
        <f>INT((M34*Valores!$C$2*100)+0.5)/100</f>
        <v>0</v>
      </c>
      <c r="O34" s="140">
        <f t="shared" si="2"/>
        <v>10283.994000000001</v>
      </c>
      <c r="P34" s="140">
        <f t="shared" si="3"/>
        <v>0</v>
      </c>
      <c r="Q34" s="142">
        <f>Valores!$C$19</f>
        <v>23373.71</v>
      </c>
      <c r="R34" s="142">
        <f>Valores!$D$4</f>
        <v>6352.5280000000002</v>
      </c>
      <c r="S34" s="140">
        <v>0</v>
      </c>
      <c r="T34" s="143">
        <f>IF($H$5="NO",Valores!$C$45,Valores!$C$45/2)</f>
        <v>3100.1</v>
      </c>
      <c r="U34" s="140">
        <f>Valores!$C$25</f>
        <v>5911.11</v>
      </c>
      <c r="V34" s="140">
        <f t="shared" si="4"/>
        <v>5911.11</v>
      </c>
      <c r="W34" s="140">
        <v>0</v>
      </c>
      <c r="X34" s="140">
        <v>0</v>
      </c>
      <c r="Y34" s="144">
        <v>0</v>
      </c>
      <c r="Z34" s="140">
        <f>Y34*Valores!$C$2</f>
        <v>0</v>
      </c>
      <c r="AA34" s="140">
        <v>0</v>
      </c>
      <c r="AB34" s="143">
        <f>Valores!$C$92</f>
        <v>4440.01</v>
      </c>
      <c r="AC34" s="145">
        <f>Valores!$C$31</f>
        <v>259.82</v>
      </c>
      <c r="AD34" s="140">
        <f t="shared" si="6"/>
        <v>0</v>
      </c>
      <c r="AE34" s="140">
        <f>Valores!$C$32</f>
        <v>259.82</v>
      </c>
      <c r="AF34" s="144">
        <v>0</v>
      </c>
      <c r="AG34" s="140">
        <f>INT(((AF34*Valores!$C$2)*100)+0.5)/100</f>
        <v>0</v>
      </c>
      <c r="AH34" s="140">
        <f>IF($H$5="NO",Valores!$C$60,Valores!$C$60/2)</f>
        <v>528.49</v>
      </c>
      <c r="AI34" s="140">
        <f>IF($H$5="NO",Valores!$C$62,Valores!$C$62/2)</f>
        <v>151</v>
      </c>
      <c r="AJ34" s="146">
        <f t="shared" si="7"/>
        <v>114209.33200000002</v>
      </c>
      <c r="AK34" s="142">
        <f>Valores!$C$37</f>
        <v>1360.88</v>
      </c>
      <c r="AL34" s="143">
        <f>Valores!$C$87</f>
        <v>4550</v>
      </c>
      <c r="AM34" s="143"/>
      <c r="AN34" s="145">
        <f>IF($H$4="NO",0,Valores!$C$52)</f>
        <v>0</v>
      </c>
      <c r="AO34" s="147">
        <f t="shared" si="5"/>
        <v>5910.88</v>
      </c>
      <c r="AP34" s="148">
        <f>AJ34*Valores!$C$69</f>
        <v>-12563.026520000003</v>
      </c>
      <c r="AQ34" s="148">
        <f>AJ34*-Valores!$C$70</f>
        <v>0</v>
      </c>
      <c r="AR34" s="142">
        <f>AJ34*Valores!$C$71</f>
        <v>-5139.4199400000007</v>
      </c>
      <c r="AS34" s="142">
        <f>Valores!$C$95</f>
        <v>-193.38</v>
      </c>
      <c r="AT34" s="142">
        <f>IF($H$6=0,Valores!$C$96,(Valores!$C$96+$H$6*(Valores!$C$96)))</f>
        <v>-129</v>
      </c>
      <c r="AU34" s="146">
        <f t="shared" si="8"/>
        <v>102095.38554000002</v>
      </c>
      <c r="AV34" s="199">
        <f t="shared" si="0"/>
        <v>-12563.026520000003</v>
      </c>
      <c r="AW34" s="142">
        <f>AJ34*Valores!$C$72</f>
        <v>-3083.6519640000006</v>
      </c>
      <c r="AX34" s="142">
        <f>AJ34*Valores!$C$73</f>
        <v>-342.62799600000005</v>
      </c>
      <c r="AY34" s="146">
        <f t="shared" si="9"/>
        <v>104130.90552000003</v>
      </c>
      <c r="AZ34" s="150"/>
      <c r="BA34" s="150">
        <v>45</v>
      </c>
      <c r="BB34" s="135" t="s">
        <v>4</v>
      </c>
    </row>
    <row r="35" spans="1:54" s="114" customFormat="1" ht="11.25" customHeight="1" x14ac:dyDescent="0.15">
      <c r="A35" s="134">
        <v>32</v>
      </c>
      <c r="B35" s="134"/>
      <c r="C35" s="135" t="s">
        <v>184</v>
      </c>
      <c r="D35" s="135"/>
      <c r="E35" s="135">
        <f t="shared" si="1"/>
        <v>30</v>
      </c>
      <c r="F35" s="136" t="s">
        <v>185</v>
      </c>
      <c r="G35" s="137">
        <v>85</v>
      </c>
      <c r="H35" s="138">
        <f>INT((G35*Valores!$C$2*100)+0.5)/100</f>
        <v>1056.27</v>
      </c>
      <c r="I35" s="139">
        <v>3498</v>
      </c>
      <c r="J35" s="140">
        <f>INT((I35*Valores!$C$2*100)+0.5)/100</f>
        <v>43468.6</v>
      </c>
      <c r="K35" s="141">
        <v>1209</v>
      </c>
      <c r="L35" s="140">
        <f>INT((K35*Valores!$C$2*100)+0.5)/100</f>
        <v>15023.88</v>
      </c>
      <c r="M35" s="137">
        <v>0</v>
      </c>
      <c r="N35" s="140">
        <f>INT((M35*Valores!$C$2*100)+0.5)/100</f>
        <v>0</v>
      </c>
      <c r="O35" s="140">
        <f t="shared" si="2"/>
        <v>10283.993999999999</v>
      </c>
      <c r="P35" s="140">
        <f t="shared" si="3"/>
        <v>0</v>
      </c>
      <c r="Q35" s="142">
        <f>Valores!$C$19</f>
        <v>23373.71</v>
      </c>
      <c r="R35" s="142">
        <f>Valores!$D$4</f>
        <v>6352.5280000000002</v>
      </c>
      <c r="S35" s="140">
        <v>0</v>
      </c>
      <c r="T35" s="143">
        <f>IF($H$5="NO",Valores!$C$45,Valores!$C$45/2)</f>
        <v>3100.1</v>
      </c>
      <c r="U35" s="140">
        <f>Valores!$C$25</f>
        <v>5911.11</v>
      </c>
      <c r="V35" s="140">
        <f t="shared" si="4"/>
        <v>5911.11</v>
      </c>
      <c r="W35" s="140">
        <v>0</v>
      </c>
      <c r="X35" s="140">
        <v>0</v>
      </c>
      <c r="Y35" s="144">
        <v>0</v>
      </c>
      <c r="Z35" s="140">
        <f>Y35*Valores!$C$2</f>
        <v>0</v>
      </c>
      <c r="AA35" s="140">
        <v>0</v>
      </c>
      <c r="AB35" s="143">
        <f>Valores!$C$92</f>
        <v>4440.01</v>
      </c>
      <c r="AC35" s="145">
        <f>Valores!$C$31</f>
        <v>259.82</v>
      </c>
      <c r="AD35" s="140">
        <f t="shared" si="6"/>
        <v>0</v>
      </c>
      <c r="AE35" s="140">
        <f>Valores!$C$32</f>
        <v>259.82</v>
      </c>
      <c r="AF35" s="144">
        <v>0</v>
      </c>
      <c r="AG35" s="140">
        <f>INT(((AF35*Valores!$C$2)*100)+0.5)/100</f>
        <v>0</v>
      </c>
      <c r="AH35" s="140">
        <f>IF($H$5="NO",Valores!$C$60,Valores!$C$60/2)</f>
        <v>528.49</v>
      </c>
      <c r="AI35" s="140">
        <f>IF($H$5="NO",Valores!$C$62,Valores!$C$62/2)</f>
        <v>151</v>
      </c>
      <c r="AJ35" s="146">
        <f t="shared" si="7"/>
        <v>114209.33200000002</v>
      </c>
      <c r="AK35" s="142">
        <f>Valores!$C$37</f>
        <v>1360.88</v>
      </c>
      <c r="AL35" s="143">
        <f>Valores!$C$87</f>
        <v>4550</v>
      </c>
      <c r="AM35" s="143"/>
      <c r="AN35" s="145">
        <f>IF($H$4="NO",0,Valores!$C$52)</f>
        <v>0</v>
      </c>
      <c r="AO35" s="147">
        <f t="shared" si="5"/>
        <v>5910.88</v>
      </c>
      <c r="AP35" s="148">
        <f>AJ35*Valores!$C$69</f>
        <v>-12563.026520000003</v>
      </c>
      <c r="AQ35" s="148">
        <f>AJ35*-Valores!$C$70</f>
        <v>0</v>
      </c>
      <c r="AR35" s="142">
        <f>AJ35*Valores!$C$71</f>
        <v>-5139.4199400000007</v>
      </c>
      <c r="AS35" s="142">
        <f>Valores!$C$95</f>
        <v>-193.38</v>
      </c>
      <c r="AT35" s="142">
        <f>IF($H$6=0,Valores!$C$96,(Valores!$C$96+$H$6*(Valores!$C$96)))</f>
        <v>-129</v>
      </c>
      <c r="AU35" s="146">
        <f t="shared" si="8"/>
        <v>102095.38554000002</v>
      </c>
      <c r="AV35" s="199">
        <f t="shared" si="0"/>
        <v>-12563.026520000003</v>
      </c>
      <c r="AW35" s="142">
        <f>AJ35*Valores!$C$72</f>
        <v>-3083.6519640000006</v>
      </c>
      <c r="AX35" s="142">
        <f>AJ35*Valores!$C$73</f>
        <v>-342.62799600000005</v>
      </c>
      <c r="AY35" s="146">
        <f t="shared" si="9"/>
        <v>104130.90552000003</v>
      </c>
      <c r="AZ35" s="150"/>
      <c r="BA35" s="150">
        <v>45</v>
      </c>
      <c r="BB35" s="135" t="s">
        <v>4</v>
      </c>
    </row>
    <row r="36" spans="1:54" s="114" customFormat="1" ht="11.25" customHeight="1" x14ac:dyDescent="0.15">
      <c r="A36" s="134">
        <v>33</v>
      </c>
      <c r="B36" s="134"/>
      <c r="C36" s="135" t="s">
        <v>186</v>
      </c>
      <c r="D36" s="135"/>
      <c r="E36" s="135">
        <f t="shared" si="1"/>
        <v>16</v>
      </c>
      <c r="F36" s="136" t="s">
        <v>187</v>
      </c>
      <c r="G36" s="137">
        <v>92</v>
      </c>
      <c r="H36" s="138">
        <f>INT((G36*Valores!$C$2*100)+0.5)/100</f>
        <v>1143.26</v>
      </c>
      <c r="I36" s="139">
        <v>3483</v>
      </c>
      <c r="J36" s="140">
        <f>INT((I36*Valores!$C$2*100)+0.5)/100</f>
        <v>43282.2</v>
      </c>
      <c r="K36" s="141">
        <v>1217</v>
      </c>
      <c r="L36" s="140">
        <f>INT((K36*Valores!$C$2*100)+0.5)/100</f>
        <v>15123.29</v>
      </c>
      <c r="M36" s="137">
        <v>0</v>
      </c>
      <c r="N36" s="140">
        <f>INT((M36*Valores!$C$2*100)+0.5)/100</f>
        <v>0</v>
      </c>
      <c r="O36" s="140">
        <f t="shared" si="2"/>
        <v>10283.994000000001</v>
      </c>
      <c r="P36" s="140">
        <f t="shared" si="3"/>
        <v>0</v>
      </c>
      <c r="Q36" s="142">
        <f>Valores!$C$19</f>
        <v>23373.71</v>
      </c>
      <c r="R36" s="142">
        <f>Valores!$D$4</f>
        <v>6352.5280000000002</v>
      </c>
      <c r="S36" s="140">
        <v>0</v>
      </c>
      <c r="T36" s="143">
        <f>IF($H$5="NO",Valores!$C$45,Valores!$C$45/2)</f>
        <v>3100.1</v>
      </c>
      <c r="U36" s="140">
        <f>Valores!$C$25</f>
        <v>5911.11</v>
      </c>
      <c r="V36" s="140">
        <f t="shared" si="4"/>
        <v>5911.11</v>
      </c>
      <c r="W36" s="140">
        <v>0</v>
      </c>
      <c r="X36" s="140">
        <v>0</v>
      </c>
      <c r="Y36" s="144">
        <v>0</v>
      </c>
      <c r="Z36" s="140">
        <f>Y36*Valores!$C$2</f>
        <v>0</v>
      </c>
      <c r="AA36" s="140">
        <v>0</v>
      </c>
      <c r="AB36" s="143">
        <f>Valores!$C$92</f>
        <v>4440.01</v>
      </c>
      <c r="AC36" s="145">
        <f>Valores!$C$31</f>
        <v>259.82</v>
      </c>
      <c r="AD36" s="140">
        <f t="shared" si="6"/>
        <v>0</v>
      </c>
      <c r="AE36" s="140">
        <f>Valores!$C$32</f>
        <v>259.82</v>
      </c>
      <c r="AF36" s="144">
        <v>0</v>
      </c>
      <c r="AG36" s="140">
        <f>INT(((AF36*Valores!$C$2)*100)+0.5)/100</f>
        <v>0</v>
      </c>
      <c r="AH36" s="140">
        <f>IF($H$5="NO",Valores!$C$60,Valores!$C$60/2)</f>
        <v>528.49</v>
      </c>
      <c r="AI36" s="140">
        <f>IF($H$5="NO",Valores!$C$62,Valores!$C$62/2)</f>
        <v>151</v>
      </c>
      <c r="AJ36" s="146">
        <f t="shared" si="7"/>
        <v>114209.33200000002</v>
      </c>
      <c r="AK36" s="142">
        <f>Valores!$C$37</f>
        <v>1360.88</v>
      </c>
      <c r="AL36" s="143">
        <f>Valores!$C$87</f>
        <v>4550</v>
      </c>
      <c r="AM36" s="143"/>
      <c r="AN36" s="145">
        <f>IF($H$4="NO",0,Valores!$C$52)</f>
        <v>0</v>
      </c>
      <c r="AO36" s="147">
        <f t="shared" si="5"/>
        <v>5910.88</v>
      </c>
      <c r="AP36" s="148">
        <f>AJ36*Valores!$C$69</f>
        <v>-12563.026520000003</v>
      </c>
      <c r="AQ36" s="148">
        <f>AJ36*-Valores!$C$70</f>
        <v>0</v>
      </c>
      <c r="AR36" s="142">
        <f>AJ36*Valores!$C$71</f>
        <v>-5139.4199400000007</v>
      </c>
      <c r="AS36" s="142">
        <f>Valores!$C$95</f>
        <v>-193.38</v>
      </c>
      <c r="AT36" s="142">
        <f>IF($H$6=0,Valores!$C$96,(Valores!$C$96+$H$6*(Valores!$C$96)))</f>
        <v>-129</v>
      </c>
      <c r="AU36" s="146">
        <f t="shared" si="8"/>
        <v>102095.38554000002</v>
      </c>
      <c r="AV36" s="199">
        <f t="shared" si="0"/>
        <v>-12563.026520000003</v>
      </c>
      <c r="AW36" s="142">
        <f>AJ36*Valores!$C$72</f>
        <v>-3083.6519640000006</v>
      </c>
      <c r="AX36" s="142">
        <f>AJ36*Valores!$C$73</f>
        <v>-342.62799600000005</v>
      </c>
      <c r="AY36" s="146">
        <f t="shared" si="9"/>
        <v>104130.90552000003</v>
      </c>
      <c r="AZ36" s="150"/>
      <c r="BA36" s="150">
        <v>45</v>
      </c>
      <c r="BB36" s="135" t="s">
        <v>4</v>
      </c>
    </row>
    <row r="37" spans="1:54" s="114" customFormat="1" ht="11.25" customHeight="1" x14ac:dyDescent="0.15">
      <c r="A37" s="134">
        <v>34</v>
      </c>
      <c r="B37" s="134"/>
      <c r="C37" s="135" t="s">
        <v>188</v>
      </c>
      <c r="D37" s="135"/>
      <c r="E37" s="135">
        <f t="shared" si="1"/>
        <v>28</v>
      </c>
      <c r="F37" s="136" t="s">
        <v>189</v>
      </c>
      <c r="G37" s="137">
        <v>85</v>
      </c>
      <c r="H37" s="138">
        <f>INT((G37*Valores!$C$2*100)+0.5)/100</f>
        <v>1056.27</v>
      </c>
      <c r="I37" s="139">
        <v>3498</v>
      </c>
      <c r="J37" s="140">
        <f>INT((I37*Valores!$C$2*100)+0.5)/100</f>
        <v>43468.6</v>
      </c>
      <c r="K37" s="141">
        <v>1209</v>
      </c>
      <c r="L37" s="140">
        <f>INT((K37*Valores!$C$2*100)+0.5)/100</f>
        <v>15023.88</v>
      </c>
      <c r="M37" s="137">
        <v>0</v>
      </c>
      <c r="N37" s="140">
        <f>INT((M37*Valores!$C$2*100)+0.5)/100</f>
        <v>0</v>
      </c>
      <c r="O37" s="140">
        <f t="shared" si="2"/>
        <v>10283.993999999999</v>
      </c>
      <c r="P37" s="140">
        <f t="shared" si="3"/>
        <v>0</v>
      </c>
      <c r="Q37" s="142">
        <f>Valores!$C$19</f>
        <v>23373.71</v>
      </c>
      <c r="R37" s="142">
        <f>Valores!$D$4</f>
        <v>6352.5280000000002</v>
      </c>
      <c r="S37" s="140">
        <v>0</v>
      </c>
      <c r="T37" s="143">
        <f>IF($H$5="NO",Valores!$C$45,Valores!$C$45/2)</f>
        <v>3100.1</v>
      </c>
      <c r="U37" s="140">
        <f>Valores!$C$25</f>
        <v>5911.11</v>
      </c>
      <c r="V37" s="140">
        <f t="shared" si="4"/>
        <v>5911.11</v>
      </c>
      <c r="W37" s="140">
        <v>0</v>
      </c>
      <c r="X37" s="140">
        <v>0</v>
      </c>
      <c r="Y37" s="144">
        <v>0</v>
      </c>
      <c r="Z37" s="140">
        <f>Y37*Valores!$C$2</f>
        <v>0</v>
      </c>
      <c r="AA37" s="140">
        <v>0</v>
      </c>
      <c r="AB37" s="143">
        <f>Valores!$C$92</f>
        <v>4440.01</v>
      </c>
      <c r="AC37" s="145">
        <f>Valores!$C$31</f>
        <v>259.82</v>
      </c>
      <c r="AD37" s="140">
        <f t="shared" si="6"/>
        <v>0</v>
      </c>
      <c r="AE37" s="140">
        <f>Valores!$C$32</f>
        <v>259.82</v>
      </c>
      <c r="AF37" s="144">
        <v>0</v>
      </c>
      <c r="AG37" s="140">
        <f>INT(((AF37*Valores!$C$2)*100)+0.5)/100</f>
        <v>0</v>
      </c>
      <c r="AH37" s="140">
        <f>IF($H$5="NO",Valores!$C$60,Valores!$C$60/2)</f>
        <v>528.49</v>
      </c>
      <c r="AI37" s="140">
        <f>IF($H$5="NO",Valores!$C$62,Valores!$C$62/2)</f>
        <v>151</v>
      </c>
      <c r="AJ37" s="146">
        <f t="shared" si="7"/>
        <v>114209.33200000002</v>
      </c>
      <c r="AK37" s="142">
        <f>Valores!$C$37</f>
        <v>1360.88</v>
      </c>
      <c r="AL37" s="143">
        <f>Valores!$C$87</f>
        <v>4550</v>
      </c>
      <c r="AM37" s="143"/>
      <c r="AN37" s="145">
        <f>IF($H$4="NO",0,Valores!$C$52)</f>
        <v>0</v>
      </c>
      <c r="AO37" s="147">
        <f t="shared" si="5"/>
        <v>5910.88</v>
      </c>
      <c r="AP37" s="148">
        <f>AJ37*Valores!$C$69</f>
        <v>-12563.026520000003</v>
      </c>
      <c r="AQ37" s="148">
        <f>AJ37*-Valores!$C$70</f>
        <v>0</v>
      </c>
      <c r="AR37" s="142">
        <f>AJ37*Valores!$C$71</f>
        <v>-5139.4199400000007</v>
      </c>
      <c r="AS37" s="142">
        <f>Valores!$C$95</f>
        <v>-193.38</v>
      </c>
      <c r="AT37" s="142">
        <f>IF($H$6=0,Valores!$C$96,(Valores!$C$96+$H$6*(Valores!$C$96)))</f>
        <v>-129</v>
      </c>
      <c r="AU37" s="146">
        <f t="shared" si="8"/>
        <v>102095.38554000002</v>
      </c>
      <c r="AV37" s="199">
        <f t="shared" si="0"/>
        <v>-12563.026520000003</v>
      </c>
      <c r="AW37" s="142">
        <f>AJ37*Valores!$C$72</f>
        <v>-3083.6519640000006</v>
      </c>
      <c r="AX37" s="142">
        <f>AJ37*Valores!$C$73</f>
        <v>-342.62799600000005</v>
      </c>
      <c r="AY37" s="146">
        <f t="shared" si="9"/>
        <v>104130.90552000003</v>
      </c>
      <c r="AZ37" s="150"/>
      <c r="BA37" s="150">
        <v>45</v>
      </c>
      <c r="BB37" s="135" t="s">
        <v>8</v>
      </c>
    </row>
    <row r="38" spans="1:54" s="114" customFormat="1" ht="11.25" customHeight="1" x14ac:dyDescent="0.15">
      <c r="A38" s="152">
        <v>35</v>
      </c>
      <c r="B38" s="152" t="s">
        <v>139</v>
      </c>
      <c r="C38" s="135" t="s">
        <v>190</v>
      </c>
      <c r="D38" s="135"/>
      <c r="E38" s="135">
        <f t="shared" si="1"/>
        <v>29</v>
      </c>
      <c r="F38" s="136" t="s">
        <v>191</v>
      </c>
      <c r="G38" s="137">
        <v>92</v>
      </c>
      <c r="H38" s="138">
        <f>INT((G38*Valores!$C$2*100)+0.5)/100</f>
        <v>1143.26</v>
      </c>
      <c r="I38" s="139">
        <v>3483</v>
      </c>
      <c r="J38" s="140">
        <f>INT((I38*Valores!$C$2*100)+0.5)/100</f>
        <v>43282.2</v>
      </c>
      <c r="K38" s="141">
        <v>1217</v>
      </c>
      <c r="L38" s="140">
        <f>INT((K38*Valores!$C$2*100)+0.5)/100</f>
        <v>15123.29</v>
      </c>
      <c r="M38" s="137">
        <v>0</v>
      </c>
      <c r="N38" s="140">
        <f>INT((M38*Valores!$C$2*100)+0.5)/100</f>
        <v>0</v>
      </c>
      <c r="O38" s="140">
        <f t="shared" si="2"/>
        <v>10283.994000000001</v>
      </c>
      <c r="P38" s="140">
        <f t="shared" si="3"/>
        <v>0</v>
      </c>
      <c r="Q38" s="142">
        <f>Valores!$C$19</f>
        <v>23373.71</v>
      </c>
      <c r="R38" s="142">
        <f>Valores!$D$4</f>
        <v>6352.5280000000002</v>
      </c>
      <c r="S38" s="140">
        <v>0</v>
      </c>
      <c r="T38" s="143">
        <f>IF($H$5="NO",Valores!$C$45,Valores!$C$45/2)</f>
        <v>3100.1</v>
      </c>
      <c r="U38" s="140">
        <f>Valores!$C$25</f>
        <v>5911.11</v>
      </c>
      <c r="V38" s="140">
        <f t="shared" si="4"/>
        <v>5911.11</v>
      </c>
      <c r="W38" s="140">
        <v>0</v>
      </c>
      <c r="X38" s="140">
        <v>0</v>
      </c>
      <c r="Y38" s="144">
        <v>0</v>
      </c>
      <c r="Z38" s="140">
        <f>Y38*Valores!$C$2</f>
        <v>0</v>
      </c>
      <c r="AA38" s="140">
        <f>SUM(L38,J38,H38,T38)*Valores!$C$3</f>
        <v>9397.3274999999994</v>
      </c>
      <c r="AB38" s="143">
        <f>Valores!$C$92</f>
        <v>4440.01</v>
      </c>
      <c r="AC38" s="145">
        <f>Valores!$C$31</f>
        <v>259.82</v>
      </c>
      <c r="AD38" s="140">
        <f t="shared" si="6"/>
        <v>0</v>
      </c>
      <c r="AE38" s="140">
        <f>Valores!$C$32</f>
        <v>259.82</v>
      </c>
      <c r="AF38" s="144">
        <v>0</v>
      </c>
      <c r="AG38" s="140">
        <f>INT(((AF38*Valores!$C$2)*100)+0.5)/100</f>
        <v>0</v>
      </c>
      <c r="AH38" s="140">
        <f>IF($H$5="NO",Valores!$C$60,Valores!$C$60/2)</f>
        <v>528.49</v>
      </c>
      <c r="AI38" s="140">
        <f>IF($H$5="NO",Valores!$C$62,Valores!$C$62/2)</f>
        <v>151</v>
      </c>
      <c r="AJ38" s="146">
        <f t="shared" si="7"/>
        <v>123606.65950000002</v>
      </c>
      <c r="AK38" s="142">
        <f>Valores!$C$37</f>
        <v>1360.88</v>
      </c>
      <c r="AL38" s="143">
        <f>Valores!$C$87</f>
        <v>4550</v>
      </c>
      <c r="AM38" s="143"/>
      <c r="AN38" s="145">
        <f>IF($H$4="NO",0,Valores!$C$52)</f>
        <v>0</v>
      </c>
      <c r="AO38" s="147">
        <f t="shared" si="5"/>
        <v>5910.88</v>
      </c>
      <c r="AP38" s="148">
        <f>AJ38*Valores!$C$69</f>
        <v>-13596.732545000003</v>
      </c>
      <c r="AQ38" s="148">
        <f>AJ38*-Valores!$C$70</f>
        <v>0</v>
      </c>
      <c r="AR38" s="142">
        <f>AJ38*Valores!$C$71</f>
        <v>-5562.2996775000011</v>
      </c>
      <c r="AS38" s="142">
        <f>Valores!$C$95</f>
        <v>-193.38</v>
      </c>
      <c r="AT38" s="142">
        <f>IF($H$6=0,Valores!$C$96,(Valores!$C$96+$H$6*(Valores!$C$96)))</f>
        <v>-129</v>
      </c>
      <c r="AU38" s="146">
        <f t="shared" si="8"/>
        <v>110036.12727750003</v>
      </c>
      <c r="AV38" s="199">
        <f t="shared" si="0"/>
        <v>-13596.732545000003</v>
      </c>
      <c r="AW38" s="142">
        <f>AJ38*Valores!$C$72</f>
        <v>-3337.3798065000005</v>
      </c>
      <c r="AX38" s="142">
        <f>AJ38*Valores!$C$73</f>
        <v>-370.8199785000001</v>
      </c>
      <c r="AY38" s="146">
        <f t="shared" si="9"/>
        <v>112212.60717000003</v>
      </c>
      <c r="AZ38" s="150"/>
      <c r="BA38" s="150">
        <v>45</v>
      </c>
      <c r="BB38" s="135" t="s">
        <v>8</v>
      </c>
    </row>
    <row r="39" spans="1:54" s="114" customFormat="1" ht="11.25" customHeight="1" x14ac:dyDescent="0.15">
      <c r="A39" s="134">
        <v>36</v>
      </c>
      <c r="B39" s="134"/>
      <c r="C39" s="135" t="s">
        <v>192</v>
      </c>
      <c r="D39" s="135"/>
      <c r="E39" s="135">
        <f t="shared" si="1"/>
        <v>27</v>
      </c>
      <c r="F39" s="136" t="s">
        <v>193</v>
      </c>
      <c r="G39" s="137">
        <v>85</v>
      </c>
      <c r="H39" s="138">
        <f>INT((G39*Valores!$C$2*100)+0.5)/100</f>
        <v>1056.27</v>
      </c>
      <c r="I39" s="139">
        <v>3498</v>
      </c>
      <c r="J39" s="140">
        <f>INT((I39*Valores!$C$2*100)+0.5)/100</f>
        <v>43468.6</v>
      </c>
      <c r="K39" s="141">
        <v>202</v>
      </c>
      <c r="L39" s="140">
        <f>INT((K39*Valores!$C$2*100)+0.5)/100</f>
        <v>2510.19</v>
      </c>
      <c r="M39" s="137">
        <v>0</v>
      </c>
      <c r="N39" s="140">
        <f>INT((M39*Valores!$C$2*100)+0.5)/100</f>
        <v>0</v>
      </c>
      <c r="O39" s="140">
        <f t="shared" si="2"/>
        <v>8406.9404999999988</v>
      </c>
      <c r="P39" s="140">
        <f t="shared" si="3"/>
        <v>0</v>
      </c>
      <c r="Q39" s="142">
        <f>Valores!$C$19</f>
        <v>23373.71</v>
      </c>
      <c r="R39" s="142">
        <f>Valores!$D$4</f>
        <v>6352.5280000000002</v>
      </c>
      <c r="S39" s="140">
        <v>0</v>
      </c>
      <c r="T39" s="143">
        <f>IF($H$5="NO",Valores!$C$45,Valores!$C$45/2)</f>
        <v>3100.1</v>
      </c>
      <c r="U39" s="140">
        <f>Valores!$C$25</f>
        <v>5911.11</v>
      </c>
      <c r="V39" s="140">
        <f t="shared" si="4"/>
        <v>5911.11</v>
      </c>
      <c r="W39" s="140">
        <v>0</v>
      </c>
      <c r="X39" s="140">
        <v>0</v>
      </c>
      <c r="Y39" s="144">
        <v>0</v>
      </c>
      <c r="Z39" s="140">
        <f>Y39*Valores!$C$2</f>
        <v>0</v>
      </c>
      <c r="AA39" s="140">
        <v>0</v>
      </c>
      <c r="AB39" s="143">
        <f>Valores!$C$92</f>
        <v>4440.01</v>
      </c>
      <c r="AC39" s="145">
        <f>Valores!$C$31</f>
        <v>259.82</v>
      </c>
      <c r="AD39" s="140">
        <f t="shared" si="6"/>
        <v>0</v>
      </c>
      <c r="AE39" s="140">
        <f>Valores!$C$32</f>
        <v>259.82</v>
      </c>
      <c r="AF39" s="144">
        <v>0</v>
      </c>
      <c r="AG39" s="140">
        <f>INT(((AF39*Valores!$C$2)*100)+0.5)/100</f>
        <v>0</v>
      </c>
      <c r="AH39" s="140">
        <f>IF($H$5="NO",Valores!$C$60,Valores!$C$60/2)</f>
        <v>528.49</v>
      </c>
      <c r="AI39" s="140">
        <f>IF($H$5="NO",Valores!$C$62,Valores!$C$62/2)</f>
        <v>151</v>
      </c>
      <c r="AJ39" s="146">
        <f t="shared" si="7"/>
        <v>99818.588500000013</v>
      </c>
      <c r="AK39" s="142">
        <f>Valores!$C$37</f>
        <v>1360.88</v>
      </c>
      <c r="AL39" s="143">
        <f>Valores!$C$87</f>
        <v>4550</v>
      </c>
      <c r="AM39" s="143"/>
      <c r="AN39" s="145">
        <f>IF($H$4="NO",0,Valores!$C$52)</f>
        <v>0</v>
      </c>
      <c r="AO39" s="147">
        <f t="shared" si="5"/>
        <v>5910.88</v>
      </c>
      <c r="AP39" s="148">
        <f>AJ39*Valores!$C$69</f>
        <v>-10980.044735000001</v>
      </c>
      <c r="AQ39" s="148">
        <f>AJ39*-Valores!$C$70</f>
        <v>0</v>
      </c>
      <c r="AR39" s="142">
        <f>AJ39*Valores!$C$71</f>
        <v>-4491.8364825000008</v>
      </c>
      <c r="AS39" s="142">
        <f>Valores!$C$95</f>
        <v>-193.38</v>
      </c>
      <c r="AT39" s="142">
        <f>IF($H$6=0,Valores!$C$96,(Valores!$C$96+$H$6*(Valores!$C$96)))</f>
        <v>-129</v>
      </c>
      <c r="AU39" s="146">
        <f t="shared" si="8"/>
        <v>89935.207282500007</v>
      </c>
      <c r="AV39" s="199">
        <f t="shared" si="0"/>
        <v>-10980.044735000001</v>
      </c>
      <c r="AW39" s="142">
        <f>AJ39*Valores!$C$72</f>
        <v>-2695.1018895000002</v>
      </c>
      <c r="AX39" s="142">
        <f>AJ39*Valores!$C$73</f>
        <v>-299.45576550000004</v>
      </c>
      <c r="AY39" s="146">
        <f t="shared" si="9"/>
        <v>91754.866110000017</v>
      </c>
      <c r="AZ39" s="150"/>
      <c r="BA39" s="150">
        <v>45</v>
      </c>
      <c r="BB39" s="135" t="s">
        <v>8</v>
      </c>
    </row>
    <row r="40" spans="1:54" s="114" customFormat="1" ht="11.25" customHeight="1" x14ac:dyDescent="0.15">
      <c r="A40" s="134">
        <v>37</v>
      </c>
      <c r="B40" s="134"/>
      <c r="C40" s="135" t="s">
        <v>194</v>
      </c>
      <c r="D40" s="135"/>
      <c r="E40" s="135">
        <f t="shared" si="1"/>
        <v>22</v>
      </c>
      <c r="F40" s="136" t="s">
        <v>195</v>
      </c>
      <c r="G40" s="137">
        <v>85</v>
      </c>
      <c r="H40" s="138">
        <f>INT((G40*Valores!$C$2*100)+0.5)/100</f>
        <v>1056.27</v>
      </c>
      <c r="I40" s="139">
        <v>3498</v>
      </c>
      <c r="J40" s="140">
        <f>INT((I40*Valores!$C$2*100)+0.5)/100</f>
        <v>43468.6</v>
      </c>
      <c r="K40" s="141">
        <v>1209</v>
      </c>
      <c r="L40" s="140">
        <f>INT((K40*Valores!$C$2*100)+0.5)/100</f>
        <v>15023.88</v>
      </c>
      <c r="M40" s="137">
        <v>0</v>
      </c>
      <c r="N40" s="140">
        <f>INT((M40*Valores!$C$2*100)+0.5)/100</f>
        <v>0</v>
      </c>
      <c r="O40" s="140">
        <f t="shared" si="2"/>
        <v>10283.993999999999</v>
      </c>
      <c r="P40" s="140">
        <f t="shared" si="3"/>
        <v>0</v>
      </c>
      <c r="Q40" s="142">
        <f>Valores!$C$19</f>
        <v>23373.71</v>
      </c>
      <c r="R40" s="142">
        <f>Valores!$D$4</f>
        <v>6352.5280000000002</v>
      </c>
      <c r="S40" s="140">
        <v>0</v>
      </c>
      <c r="T40" s="143">
        <f>IF($H$5="NO",Valores!$C$45,Valores!$C$45/2)</f>
        <v>3100.1</v>
      </c>
      <c r="U40" s="140">
        <f>Valores!$C$25</f>
        <v>5911.11</v>
      </c>
      <c r="V40" s="140">
        <f t="shared" si="4"/>
        <v>5911.11</v>
      </c>
      <c r="W40" s="140">
        <v>0</v>
      </c>
      <c r="X40" s="140">
        <v>0</v>
      </c>
      <c r="Y40" s="144">
        <v>0</v>
      </c>
      <c r="Z40" s="140">
        <f>Y40*Valores!$C$2</f>
        <v>0</v>
      </c>
      <c r="AA40" s="140">
        <v>0</v>
      </c>
      <c r="AB40" s="143">
        <f>Valores!$C$92</f>
        <v>4440.01</v>
      </c>
      <c r="AC40" s="145">
        <f>Valores!$C$31</f>
        <v>259.82</v>
      </c>
      <c r="AD40" s="140">
        <f t="shared" si="6"/>
        <v>0</v>
      </c>
      <c r="AE40" s="140">
        <f>Valores!$C$32</f>
        <v>259.82</v>
      </c>
      <c r="AF40" s="144">
        <v>0</v>
      </c>
      <c r="AG40" s="140">
        <f>INT(((AF40*Valores!$C$2)*100)+0.5)/100</f>
        <v>0</v>
      </c>
      <c r="AH40" s="140">
        <f>IF($H$5="NO",Valores!$C$60,Valores!$C$60/2)</f>
        <v>528.49</v>
      </c>
      <c r="AI40" s="140">
        <f>IF($H$5="NO",Valores!$C$62,Valores!$C$62/2)</f>
        <v>151</v>
      </c>
      <c r="AJ40" s="146">
        <f t="shared" si="7"/>
        <v>114209.33200000002</v>
      </c>
      <c r="AK40" s="142">
        <f>Valores!$C$37</f>
        <v>1360.88</v>
      </c>
      <c r="AL40" s="143">
        <f>Valores!$C$87</f>
        <v>4550</v>
      </c>
      <c r="AM40" s="143"/>
      <c r="AN40" s="145">
        <f>IF($H$4="NO",0,Valores!$C$52)</f>
        <v>0</v>
      </c>
      <c r="AO40" s="147">
        <f t="shared" si="5"/>
        <v>5910.88</v>
      </c>
      <c r="AP40" s="148">
        <f>AJ40*Valores!$C$69</f>
        <v>-12563.026520000003</v>
      </c>
      <c r="AQ40" s="148">
        <f>AJ40*-Valores!$C$70</f>
        <v>0</v>
      </c>
      <c r="AR40" s="142">
        <f>AJ40*Valores!$C$71</f>
        <v>-5139.4199400000007</v>
      </c>
      <c r="AS40" s="142">
        <f>Valores!$C$95</f>
        <v>-193.38</v>
      </c>
      <c r="AT40" s="142">
        <f>IF($H$6=0,Valores!$C$96,(Valores!$C$96+$H$6*(Valores!$C$96)))</f>
        <v>-129</v>
      </c>
      <c r="AU40" s="146">
        <f t="shared" si="8"/>
        <v>102095.38554000002</v>
      </c>
      <c r="AV40" s="199">
        <f t="shared" si="0"/>
        <v>-12563.026520000003</v>
      </c>
      <c r="AW40" s="142">
        <f>AJ40*Valores!$C$72</f>
        <v>-3083.6519640000006</v>
      </c>
      <c r="AX40" s="142">
        <f>AJ40*Valores!$C$73</f>
        <v>-342.62799600000005</v>
      </c>
      <c r="AY40" s="146">
        <f t="shared" si="9"/>
        <v>104130.90552000003</v>
      </c>
      <c r="AZ40" s="150"/>
      <c r="BA40" s="150">
        <v>45</v>
      </c>
      <c r="BB40" s="135" t="s">
        <v>4</v>
      </c>
    </row>
    <row r="41" spans="1:54" s="114" customFormat="1" ht="11.25" customHeight="1" x14ac:dyDescent="0.15">
      <c r="A41" s="134">
        <v>38</v>
      </c>
      <c r="B41" s="134"/>
      <c r="C41" s="135" t="s">
        <v>196</v>
      </c>
      <c r="D41" s="135"/>
      <c r="E41" s="135">
        <f t="shared" si="1"/>
        <v>30</v>
      </c>
      <c r="F41" s="136" t="s">
        <v>197</v>
      </c>
      <c r="G41" s="137">
        <v>85</v>
      </c>
      <c r="H41" s="138">
        <f>INT((G41*Valores!$C$2*100)+0.5)/100</f>
        <v>1056.27</v>
      </c>
      <c r="I41" s="139">
        <v>3498</v>
      </c>
      <c r="J41" s="140">
        <f>INT((I41*Valores!$C$2*100)+0.5)/100</f>
        <v>43468.6</v>
      </c>
      <c r="K41" s="141">
        <v>1209</v>
      </c>
      <c r="L41" s="140">
        <f>INT((K41*Valores!$C$2*100)+0.5)/100</f>
        <v>15023.88</v>
      </c>
      <c r="M41" s="137">
        <v>0</v>
      </c>
      <c r="N41" s="140">
        <f>INT((M41*Valores!$C$2*100)+0.5)/100</f>
        <v>0</v>
      </c>
      <c r="O41" s="140">
        <f t="shared" si="2"/>
        <v>10283.993999999999</v>
      </c>
      <c r="P41" s="140">
        <f t="shared" si="3"/>
        <v>0</v>
      </c>
      <c r="Q41" s="142">
        <f>Valores!$C$19</f>
        <v>23373.71</v>
      </c>
      <c r="R41" s="142">
        <f>Valores!$D$4</f>
        <v>6352.5280000000002</v>
      </c>
      <c r="S41" s="140">
        <v>0</v>
      </c>
      <c r="T41" s="143">
        <f>IF($H$5="NO",Valores!$C$45,Valores!$C$45/2)</f>
        <v>3100.1</v>
      </c>
      <c r="U41" s="140">
        <f>Valores!$C$25</f>
        <v>5911.11</v>
      </c>
      <c r="V41" s="140">
        <f t="shared" si="4"/>
        <v>5911.11</v>
      </c>
      <c r="W41" s="140">
        <v>0</v>
      </c>
      <c r="X41" s="140">
        <v>0</v>
      </c>
      <c r="Y41" s="144">
        <v>0</v>
      </c>
      <c r="Z41" s="140">
        <f>Y41*Valores!$C$2</f>
        <v>0</v>
      </c>
      <c r="AA41" s="140">
        <v>0</v>
      </c>
      <c r="AB41" s="143">
        <f>Valores!$C$92</f>
        <v>4440.01</v>
      </c>
      <c r="AC41" s="145">
        <f>Valores!$C$31</f>
        <v>259.82</v>
      </c>
      <c r="AD41" s="140">
        <f t="shared" si="6"/>
        <v>0</v>
      </c>
      <c r="AE41" s="140">
        <f>Valores!$C$32</f>
        <v>259.82</v>
      </c>
      <c r="AF41" s="144">
        <v>0</v>
      </c>
      <c r="AG41" s="140">
        <f>INT(((AF41*Valores!$C$2)*100)+0.5)/100</f>
        <v>0</v>
      </c>
      <c r="AH41" s="140">
        <f>IF($H$5="NO",Valores!$C$60,Valores!$C$60/2)</f>
        <v>528.49</v>
      </c>
      <c r="AI41" s="140">
        <f>IF($H$5="NO",Valores!$C$62,Valores!$C$62/2)</f>
        <v>151</v>
      </c>
      <c r="AJ41" s="146">
        <f t="shared" si="7"/>
        <v>114209.33200000002</v>
      </c>
      <c r="AK41" s="142">
        <f>Valores!$C$37</f>
        <v>1360.88</v>
      </c>
      <c r="AL41" s="143">
        <f>Valores!$C$87</f>
        <v>4550</v>
      </c>
      <c r="AM41" s="143"/>
      <c r="AN41" s="145">
        <f>IF($H$4="NO",0,Valores!$C$52)</f>
        <v>0</v>
      </c>
      <c r="AO41" s="147">
        <f t="shared" si="5"/>
        <v>5910.88</v>
      </c>
      <c r="AP41" s="148">
        <f>AJ41*Valores!$C$69</f>
        <v>-12563.026520000003</v>
      </c>
      <c r="AQ41" s="148">
        <f>AJ41*-Valores!$C$70</f>
        <v>0</v>
      </c>
      <c r="AR41" s="142">
        <f>AJ41*Valores!$C$71</f>
        <v>-5139.4199400000007</v>
      </c>
      <c r="AS41" s="142">
        <f>Valores!$C$95</f>
        <v>-193.38</v>
      </c>
      <c r="AT41" s="142">
        <f>IF($H$6=0,Valores!$C$96,(Valores!$C$96+$H$6*(Valores!$C$96)))</f>
        <v>-129</v>
      </c>
      <c r="AU41" s="146">
        <f t="shared" si="8"/>
        <v>102095.38554000002</v>
      </c>
      <c r="AV41" s="199">
        <f t="shared" si="0"/>
        <v>-12563.026520000003</v>
      </c>
      <c r="AW41" s="142">
        <f>AJ41*Valores!$C$72</f>
        <v>-3083.6519640000006</v>
      </c>
      <c r="AX41" s="142">
        <f>AJ41*Valores!$C$73</f>
        <v>-342.62799600000005</v>
      </c>
      <c r="AY41" s="146">
        <f t="shared" si="9"/>
        <v>104130.90552000003</v>
      </c>
      <c r="AZ41" s="150"/>
      <c r="BA41" s="150">
        <v>45</v>
      </c>
      <c r="BB41" s="135" t="s">
        <v>8</v>
      </c>
    </row>
    <row r="42" spans="1:54" s="114" customFormat="1" ht="11.25" customHeight="1" x14ac:dyDescent="0.15">
      <c r="A42" s="134">
        <v>39</v>
      </c>
      <c r="B42" s="134"/>
      <c r="C42" s="135" t="s">
        <v>198</v>
      </c>
      <c r="D42" s="135"/>
      <c r="E42" s="135">
        <f t="shared" si="1"/>
        <v>30</v>
      </c>
      <c r="F42" s="136" t="s">
        <v>199</v>
      </c>
      <c r="G42" s="137">
        <v>101</v>
      </c>
      <c r="H42" s="138">
        <f>INT((G42*Valores!$C$2*100)+0.5)/100</f>
        <v>1255.0999999999999</v>
      </c>
      <c r="I42" s="139">
        <v>2548</v>
      </c>
      <c r="J42" s="140">
        <f>INT((I42*Valores!$C$2*100)+0.5)/100</f>
        <v>31663.23</v>
      </c>
      <c r="K42" s="141">
        <v>216</v>
      </c>
      <c r="L42" s="140">
        <f>INT((K42*Valores!$C$2*100)+0.5)/100</f>
        <v>2684.17</v>
      </c>
      <c r="M42" s="137">
        <v>0</v>
      </c>
      <c r="N42" s="140">
        <f>INT((M42*Valores!$C$2*100)+0.5)/100</f>
        <v>0</v>
      </c>
      <c r="O42" s="140">
        <f t="shared" si="2"/>
        <v>6692.0564999999997</v>
      </c>
      <c r="P42" s="140">
        <f t="shared" si="3"/>
        <v>0</v>
      </c>
      <c r="Q42" s="142">
        <f>Valores!$C$16</f>
        <v>13030.51</v>
      </c>
      <c r="R42" s="142">
        <f>Valores!$D$4</f>
        <v>6352.5280000000002</v>
      </c>
      <c r="S42" s="140">
        <v>0</v>
      </c>
      <c r="T42" s="143">
        <f>IF($H$5="NO",Valores!$C$45,Valores!$C$45/2)</f>
        <v>3100.1</v>
      </c>
      <c r="U42" s="140">
        <f>Valores!$C$25</f>
        <v>5911.11</v>
      </c>
      <c r="V42" s="140">
        <f t="shared" si="4"/>
        <v>5911.11</v>
      </c>
      <c r="W42" s="140">
        <v>0</v>
      </c>
      <c r="X42" s="140">
        <v>0</v>
      </c>
      <c r="Y42" s="144">
        <v>0</v>
      </c>
      <c r="Z42" s="140">
        <f>Y42*Valores!$C$2</f>
        <v>0</v>
      </c>
      <c r="AA42" s="140">
        <v>0</v>
      </c>
      <c r="AB42" s="143">
        <f>Valores!$C$90</f>
        <v>2220.0100000000002</v>
      </c>
      <c r="AC42" s="145">
        <f>Valores!$C$31</f>
        <v>259.82</v>
      </c>
      <c r="AD42" s="140">
        <f t="shared" si="6"/>
        <v>0</v>
      </c>
      <c r="AE42" s="140">
        <f>Valores!$C$32</f>
        <v>259.82</v>
      </c>
      <c r="AF42" s="144">
        <v>0</v>
      </c>
      <c r="AG42" s="140">
        <f>INT(((AF42*Valores!$C$2)*100)+0.5)/100</f>
        <v>0</v>
      </c>
      <c r="AH42" s="140">
        <f>IF($H$5="NO",Valores!$C$60,Valores!$C$60/2)</f>
        <v>528.49</v>
      </c>
      <c r="AI42" s="140">
        <f>IF($H$5="NO",Valores!$C$62,Valores!$C$62/2)</f>
        <v>151</v>
      </c>
      <c r="AJ42" s="146">
        <f t="shared" si="7"/>
        <v>74107.944500000012</v>
      </c>
      <c r="AK42" s="142">
        <f>Valores!$C$37</f>
        <v>1360.88</v>
      </c>
      <c r="AL42" s="143">
        <f>Valores!$C$85</f>
        <v>2275</v>
      </c>
      <c r="AM42" s="143"/>
      <c r="AN42" s="145">
        <f>IF($H$4="NO",0,Valores!$C$52)</f>
        <v>0</v>
      </c>
      <c r="AO42" s="147">
        <f t="shared" si="5"/>
        <v>3635.88</v>
      </c>
      <c r="AP42" s="148">
        <f>AJ42*Valores!$C$69</f>
        <v>-8151.8738950000015</v>
      </c>
      <c r="AQ42" s="148">
        <f>AJ42*-Valores!$C$70</f>
        <v>0</v>
      </c>
      <c r="AR42" s="142">
        <f>AJ42*Valores!$C$71</f>
        <v>-3334.8575025000005</v>
      </c>
      <c r="AS42" s="142">
        <f>Valores!$C$95</f>
        <v>-193.38</v>
      </c>
      <c r="AT42" s="142">
        <f>IF($H$6=0,Valores!$C$96,(Valores!$C$96+$H$6*(Valores!$C$96)))</f>
        <v>-129</v>
      </c>
      <c r="AU42" s="146">
        <f t="shared" si="8"/>
        <v>65934.713102500013</v>
      </c>
      <c r="AV42" s="199">
        <f t="shared" si="0"/>
        <v>-8151.8738950000015</v>
      </c>
      <c r="AW42" s="142">
        <f>AJ42*Valores!$C$72</f>
        <v>-2000.9145015000004</v>
      </c>
      <c r="AX42" s="142">
        <f>AJ42*Valores!$C$73</f>
        <v>-222.32383350000003</v>
      </c>
      <c r="AY42" s="146">
        <f t="shared" si="9"/>
        <v>67368.712270000018</v>
      </c>
      <c r="AZ42" s="150"/>
      <c r="BA42" s="150">
        <v>45</v>
      </c>
      <c r="BB42" s="135" t="s">
        <v>8</v>
      </c>
    </row>
    <row r="43" spans="1:54" s="114" customFormat="1" ht="11.25" customHeight="1" x14ac:dyDescent="0.15">
      <c r="A43" s="152">
        <v>40</v>
      </c>
      <c r="B43" s="152" t="s">
        <v>139</v>
      </c>
      <c r="C43" s="135" t="s">
        <v>200</v>
      </c>
      <c r="D43" s="135"/>
      <c r="E43" s="135">
        <f t="shared" si="1"/>
        <v>30</v>
      </c>
      <c r="F43" s="136" t="s">
        <v>199</v>
      </c>
      <c r="G43" s="137">
        <v>101</v>
      </c>
      <c r="H43" s="138">
        <f>INT((G43*Valores!$C$2*100)+0.5)/100</f>
        <v>1255.0999999999999</v>
      </c>
      <c r="I43" s="139">
        <v>2548</v>
      </c>
      <c r="J43" s="140">
        <f>INT((I43*Valores!$C$2*100)+0.5)/100</f>
        <v>31663.23</v>
      </c>
      <c r="K43" s="141">
        <v>216</v>
      </c>
      <c r="L43" s="140">
        <f>INT((K43*Valores!$C$2*100)+0.5)/100</f>
        <v>2684.17</v>
      </c>
      <c r="M43" s="137">
        <v>0</v>
      </c>
      <c r="N43" s="140">
        <f>INT((M43*Valores!$C$2*100)+0.5)/100</f>
        <v>0</v>
      </c>
      <c r="O43" s="140">
        <f t="shared" si="2"/>
        <v>6692.0564999999997</v>
      </c>
      <c r="P43" s="140">
        <f t="shared" si="3"/>
        <v>0</v>
      </c>
      <c r="Q43" s="142">
        <f>Valores!$C$16</f>
        <v>13030.51</v>
      </c>
      <c r="R43" s="142">
        <f>Valores!$D$4</f>
        <v>6352.5280000000002</v>
      </c>
      <c r="S43" s="140">
        <v>0</v>
      </c>
      <c r="T43" s="143">
        <f>IF($H$5="NO",Valores!$C$45,Valores!$C$45/2)</f>
        <v>3100.1</v>
      </c>
      <c r="U43" s="140">
        <f>Valores!$C$25</f>
        <v>5911.11</v>
      </c>
      <c r="V43" s="140">
        <f t="shared" si="4"/>
        <v>5911.11</v>
      </c>
      <c r="W43" s="140">
        <v>0</v>
      </c>
      <c r="X43" s="140">
        <v>0</v>
      </c>
      <c r="Y43" s="144">
        <v>0</v>
      </c>
      <c r="Z43" s="140">
        <f>Y43*Valores!$C$2</f>
        <v>0</v>
      </c>
      <c r="AA43" s="140">
        <v>0</v>
      </c>
      <c r="AB43" s="143">
        <f>Valores!$C$90</f>
        <v>2220.0100000000002</v>
      </c>
      <c r="AC43" s="145">
        <f>Valores!$C$31</f>
        <v>259.82</v>
      </c>
      <c r="AD43" s="140">
        <f t="shared" si="6"/>
        <v>0</v>
      </c>
      <c r="AE43" s="140">
        <f>Valores!$C$32</f>
        <v>259.82</v>
      </c>
      <c r="AF43" s="144">
        <v>0</v>
      </c>
      <c r="AG43" s="140">
        <f>INT(((AF43*Valores!$C$2)*100)+0.5)/100</f>
        <v>0</v>
      </c>
      <c r="AH43" s="140">
        <f>IF($H$5="NO",Valores!$C$60,Valores!$C$60/2)</f>
        <v>528.49</v>
      </c>
      <c r="AI43" s="140">
        <f>IF($H$5="NO",Valores!$C$62,Valores!$C$62/2)</f>
        <v>151</v>
      </c>
      <c r="AJ43" s="146">
        <f t="shared" si="7"/>
        <v>74107.944500000012</v>
      </c>
      <c r="AK43" s="142">
        <f>Valores!$C$37</f>
        <v>1360.88</v>
      </c>
      <c r="AL43" s="143">
        <f>Valores!$C$85</f>
        <v>2275</v>
      </c>
      <c r="AM43" s="143"/>
      <c r="AN43" s="145">
        <f>IF($H$4="NO",0,Valores!$C$52)</f>
        <v>0</v>
      </c>
      <c r="AO43" s="147">
        <f t="shared" si="5"/>
        <v>3635.88</v>
      </c>
      <c r="AP43" s="148">
        <f>AJ43*Valores!$C$69</f>
        <v>-8151.8738950000015</v>
      </c>
      <c r="AQ43" s="148">
        <f>AJ43*-Valores!$C$70</f>
        <v>0</v>
      </c>
      <c r="AR43" s="142">
        <f>AJ43*Valores!$C$71</f>
        <v>-3334.8575025000005</v>
      </c>
      <c r="AS43" s="142">
        <f>Valores!$C$95</f>
        <v>-193.38</v>
      </c>
      <c r="AT43" s="142">
        <f>IF($H$6=0,Valores!$C$96,(Valores!$C$96+$H$6*(Valores!$C$96)))</f>
        <v>-129</v>
      </c>
      <c r="AU43" s="146">
        <f t="shared" si="8"/>
        <v>65934.713102500013</v>
      </c>
      <c r="AV43" s="199">
        <f t="shared" si="0"/>
        <v>-8151.8738950000015</v>
      </c>
      <c r="AW43" s="142">
        <f>AJ43*Valores!$C$72</f>
        <v>-2000.9145015000004</v>
      </c>
      <c r="AX43" s="142">
        <f>AJ43*Valores!$C$73</f>
        <v>-222.32383350000003</v>
      </c>
      <c r="AY43" s="146">
        <f t="shared" si="9"/>
        <v>67368.712270000018</v>
      </c>
      <c r="AZ43" s="150"/>
      <c r="BA43" s="150">
        <v>45</v>
      </c>
      <c r="BB43" s="135" t="s">
        <v>8</v>
      </c>
    </row>
    <row r="44" spans="1:54" s="114" customFormat="1" ht="11.25" customHeight="1" x14ac:dyDescent="0.15">
      <c r="A44" s="134">
        <v>41</v>
      </c>
      <c r="B44" s="134"/>
      <c r="C44" s="135" t="s">
        <v>201</v>
      </c>
      <c r="D44" s="135"/>
      <c r="E44" s="135">
        <f t="shared" si="1"/>
        <v>27</v>
      </c>
      <c r="F44" s="136" t="s">
        <v>202</v>
      </c>
      <c r="G44" s="137">
        <v>96</v>
      </c>
      <c r="H44" s="138">
        <f>INT((G44*Valores!$C$2*100)+0.5)/100</f>
        <v>1192.96</v>
      </c>
      <c r="I44" s="139">
        <v>2475</v>
      </c>
      <c r="J44" s="140">
        <f>INT((I44*Valores!$C$2*100)+0.5)/100</f>
        <v>30756.080000000002</v>
      </c>
      <c r="K44" s="141">
        <v>213</v>
      </c>
      <c r="L44" s="140">
        <f>INT((K44*Valores!$C$2*100)+0.5)/100</f>
        <v>2646.89</v>
      </c>
      <c r="M44" s="137">
        <v>0</v>
      </c>
      <c r="N44" s="140">
        <f>INT((M44*Valores!$C$2*100)+0.5)/100</f>
        <v>0</v>
      </c>
      <c r="O44" s="140">
        <f t="shared" si="2"/>
        <v>6391.9214999999995</v>
      </c>
      <c r="P44" s="140">
        <f t="shared" si="3"/>
        <v>0</v>
      </c>
      <c r="Q44" s="142">
        <f>Valores!$C$16</f>
        <v>13030.51</v>
      </c>
      <c r="R44" s="142">
        <f>Valores!$D$4</f>
        <v>6352.5280000000002</v>
      </c>
      <c r="S44" s="140">
        <v>0</v>
      </c>
      <c r="T44" s="143">
        <f>IF($H$5="NO",Valores!$C$44,Valores!$C$44/2)</f>
        <v>2105.77</v>
      </c>
      <c r="U44" s="140">
        <f>Valores!$C$25</f>
        <v>5911.11</v>
      </c>
      <c r="V44" s="140">
        <f t="shared" si="4"/>
        <v>5911.11</v>
      </c>
      <c r="W44" s="140">
        <v>0</v>
      </c>
      <c r="X44" s="140">
        <v>0</v>
      </c>
      <c r="Y44" s="144">
        <v>0</v>
      </c>
      <c r="Z44" s="140">
        <f>Y44*Valores!$C$2</f>
        <v>0</v>
      </c>
      <c r="AA44" s="140">
        <v>0</v>
      </c>
      <c r="AB44" s="143">
        <f>Valores!$C$90</f>
        <v>2220.0100000000002</v>
      </c>
      <c r="AC44" s="145">
        <f>Valores!$C$31</f>
        <v>259.82</v>
      </c>
      <c r="AD44" s="140">
        <f t="shared" si="6"/>
        <v>0</v>
      </c>
      <c r="AE44" s="140">
        <f>Valores!$C$32</f>
        <v>259.82</v>
      </c>
      <c r="AF44" s="144">
        <v>0</v>
      </c>
      <c r="AG44" s="140">
        <f>INT(((AF44*Valores!$C$2)*100)+0.5)/100</f>
        <v>0</v>
      </c>
      <c r="AH44" s="140">
        <f>IF($H$5="NO",Valores!$C$60,Valores!$C$60/2)</f>
        <v>528.49</v>
      </c>
      <c r="AI44" s="140">
        <f>IF($H$5="NO",Valores!$C$62,Valores!$C$62/2)</f>
        <v>151</v>
      </c>
      <c r="AJ44" s="146">
        <f t="shared" si="7"/>
        <v>71806.909500000009</v>
      </c>
      <c r="AK44" s="142">
        <f>Valores!$C$37</f>
        <v>1360.88</v>
      </c>
      <c r="AL44" s="143">
        <f>Valores!$C$85</f>
        <v>2275</v>
      </c>
      <c r="AM44" s="143"/>
      <c r="AN44" s="145">
        <f>IF($H$4="NO",0,Valores!$C$53)</f>
        <v>0</v>
      </c>
      <c r="AO44" s="147">
        <f t="shared" si="5"/>
        <v>3635.88</v>
      </c>
      <c r="AP44" s="148">
        <f>AJ44*Valores!$C$69</f>
        <v>-7898.7600450000009</v>
      </c>
      <c r="AQ44" s="148">
        <f>AJ44*-Valores!$C$70</f>
        <v>0</v>
      </c>
      <c r="AR44" s="142">
        <f>AJ44*Valores!$C$71</f>
        <v>-3231.3109275000002</v>
      </c>
      <c r="AS44" s="142">
        <f>Valores!$C$95</f>
        <v>-193.38</v>
      </c>
      <c r="AT44" s="142">
        <f>IF($H$6=0,Valores!$C$96,(Valores!$C$96+$H$6*(Valores!$C$96)))</f>
        <v>-129</v>
      </c>
      <c r="AU44" s="146">
        <f t="shared" si="8"/>
        <v>63990.338527500011</v>
      </c>
      <c r="AV44" s="199">
        <f t="shared" si="0"/>
        <v>-7898.7600450000009</v>
      </c>
      <c r="AW44" s="142">
        <f>AJ44*Valores!$C$72</f>
        <v>-1938.7865565000002</v>
      </c>
      <c r="AX44" s="142">
        <f>AJ44*Valores!$C$73</f>
        <v>-215.42072850000002</v>
      </c>
      <c r="AY44" s="146">
        <f t="shared" si="9"/>
        <v>65389.822170000014</v>
      </c>
      <c r="AZ44" s="150"/>
      <c r="BA44" s="150">
        <v>45</v>
      </c>
      <c r="BB44" s="135" t="s">
        <v>4</v>
      </c>
    </row>
    <row r="45" spans="1:54" s="114" customFormat="1" ht="11.25" customHeight="1" x14ac:dyDescent="0.15">
      <c r="A45" s="134">
        <v>42</v>
      </c>
      <c r="B45" s="134"/>
      <c r="C45" s="135" t="s">
        <v>203</v>
      </c>
      <c r="D45" s="135"/>
      <c r="E45" s="135">
        <f t="shared" si="1"/>
        <v>31</v>
      </c>
      <c r="F45" s="136" t="s">
        <v>204</v>
      </c>
      <c r="G45" s="137">
        <v>72</v>
      </c>
      <c r="H45" s="138">
        <f>INT((G45*Valores!$C$2*100)+0.5)/100</f>
        <v>894.72</v>
      </c>
      <c r="I45" s="139">
        <v>2471</v>
      </c>
      <c r="J45" s="140">
        <f>INT((I45*Valores!$C$2*100)+0.5)/100</f>
        <v>30706.38</v>
      </c>
      <c r="K45" s="141">
        <v>199</v>
      </c>
      <c r="L45" s="140">
        <f>INT((K45*Valores!$C$2*100)+0.5)/100</f>
        <v>2472.91</v>
      </c>
      <c r="M45" s="137">
        <v>0</v>
      </c>
      <c r="N45" s="140">
        <f>INT((M45*Valores!$C$2*100)+0.5)/100</f>
        <v>0</v>
      </c>
      <c r="O45" s="140">
        <f t="shared" si="2"/>
        <v>6313.6334999999999</v>
      </c>
      <c r="P45" s="140">
        <f t="shared" si="3"/>
        <v>0</v>
      </c>
      <c r="Q45" s="142">
        <f>Valores!$C$16</f>
        <v>13030.51</v>
      </c>
      <c r="R45" s="142">
        <f>Valores!$D$4</f>
        <v>6352.5280000000002</v>
      </c>
      <c r="S45" s="140">
        <v>0</v>
      </c>
      <c r="T45" s="143">
        <f>IF($H$5="NO",Valores!$C$44,Valores!$C$44/2)</f>
        <v>2105.77</v>
      </c>
      <c r="U45" s="140">
        <f>Valores!$C$25</f>
        <v>5911.11</v>
      </c>
      <c r="V45" s="140">
        <f t="shared" si="4"/>
        <v>5911.11</v>
      </c>
      <c r="W45" s="140">
        <v>0</v>
      </c>
      <c r="X45" s="140">
        <v>0</v>
      </c>
      <c r="Y45" s="144">
        <v>0</v>
      </c>
      <c r="Z45" s="140">
        <f>Y45*Valores!$C$2</f>
        <v>0</v>
      </c>
      <c r="AA45" s="140">
        <v>0</v>
      </c>
      <c r="AB45" s="143">
        <f>Valores!$C$90</f>
        <v>2220.0100000000002</v>
      </c>
      <c r="AC45" s="145">
        <f>Valores!$C$31</f>
        <v>259.82</v>
      </c>
      <c r="AD45" s="140">
        <f t="shared" si="6"/>
        <v>0</v>
      </c>
      <c r="AE45" s="140">
        <f>Valores!$C$32</f>
        <v>259.82</v>
      </c>
      <c r="AF45" s="144">
        <v>0</v>
      </c>
      <c r="AG45" s="140">
        <f>INT(((AF45*Valores!$C$2)*100)+0.5)/100</f>
        <v>0</v>
      </c>
      <c r="AH45" s="140">
        <f>IF($H$5="NO",Valores!$C$60,Valores!$C$60/2)</f>
        <v>528.49</v>
      </c>
      <c r="AI45" s="140">
        <f>IF($H$5="NO",Valores!$C$62,Valores!$C$62/2)</f>
        <v>151</v>
      </c>
      <c r="AJ45" s="146">
        <f t="shared" si="7"/>
        <v>71206.701500000025</v>
      </c>
      <c r="AK45" s="142">
        <f>Valores!$C$37</f>
        <v>1360.88</v>
      </c>
      <c r="AL45" s="143">
        <f>Valores!$C$85</f>
        <v>2275</v>
      </c>
      <c r="AM45" s="143"/>
      <c r="AN45" s="145">
        <f>IF($H$4="NO",0,Valores!$C$53)</f>
        <v>0</v>
      </c>
      <c r="AO45" s="147">
        <f t="shared" si="5"/>
        <v>3635.88</v>
      </c>
      <c r="AP45" s="148">
        <f>AJ45*Valores!$C$69</f>
        <v>-7832.7371650000032</v>
      </c>
      <c r="AQ45" s="148">
        <f>AJ45*-Valores!$C$70</f>
        <v>0</v>
      </c>
      <c r="AR45" s="142">
        <f>AJ45*Valores!$C$71</f>
        <v>-3204.3015675000011</v>
      </c>
      <c r="AS45" s="142">
        <f>Valores!$C$95</f>
        <v>-193.38</v>
      </c>
      <c r="AT45" s="142">
        <f>IF($H$6=0,Valores!$C$96,(Valores!$C$96+$H$6*(Valores!$C$96)))</f>
        <v>-129</v>
      </c>
      <c r="AU45" s="146">
        <f t="shared" si="8"/>
        <v>63483.16276750002</v>
      </c>
      <c r="AV45" s="199">
        <f t="shared" si="0"/>
        <v>-7832.7371650000032</v>
      </c>
      <c r="AW45" s="142">
        <f>AJ45*Valores!$C$72</f>
        <v>-1922.5809405000007</v>
      </c>
      <c r="AX45" s="142">
        <f>AJ45*Valores!$C$73</f>
        <v>-213.62010450000008</v>
      </c>
      <c r="AY45" s="146">
        <f t="shared" si="9"/>
        <v>64873.643290000022</v>
      </c>
      <c r="AZ45" s="150"/>
      <c r="BA45" s="150">
        <v>45</v>
      </c>
      <c r="BB45" s="135" t="s">
        <v>4</v>
      </c>
    </row>
    <row r="46" spans="1:54" s="114" customFormat="1" ht="11.25" customHeight="1" x14ac:dyDescent="0.15">
      <c r="A46" s="134">
        <v>43</v>
      </c>
      <c r="B46" s="134"/>
      <c r="C46" s="135" t="s">
        <v>205</v>
      </c>
      <c r="D46" s="135"/>
      <c r="E46" s="135">
        <f t="shared" si="1"/>
        <v>31</v>
      </c>
      <c r="F46" s="136" t="s">
        <v>206</v>
      </c>
      <c r="G46" s="137">
        <f>G40</f>
        <v>85</v>
      </c>
      <c r="H46" s="138">
        <f>INT((G46*Valores!$C$2*100)+0.5)/100</f>
        <v>1056.27</v>
      </c>
      <c r="I46" s="139">
        <f>I40</f>
        <v>3498</v>
      </c>
      <c r="J46" s="140">
        <f>INT((I46*Valores!$C$2*100)+0.5)/100</f>
        <v>43468.6</v>
      </c>
      <c r="K46" s="141">
        <f>K40</f>
        <v>1209</v>
      </c>
      <c r="L46" s="140">
        <f>INT((K46*Valores!$C$2*100)+0.5)/100</f>
        <v>15023.88</v>
      </c>
      <c r="M46" s="153">
        <v>0</v>
      </c>
      <c r="N46" s="140">
        <f>INT((M46*Valores!$C$2*100)+0.5)/100</f>
        <v>0</v>
      </c>
      <c r="O46" s="140">
        <f t="shared" si="2"/>
        <v>10283.993999999999</v>
      </c>
      <c r="P46" s="140">
        <f t="shared" si="3"/>
        <v>0</v>
      </c>
      <c r="Q46" s="142">
        <f>Q40</f>
        <v>23373.71</v>
      </c>
      <c r="R46" s="142">
        <f>R40</f>
        <v>6352.5280000000002</v>
      </c>
      <c r="S46" s="154">
        <v>0</v>
      </c>
      <c r="T46" s="143">
        <f>IF($H$5="NO",Valores!$C$45,Valores!$C$45/2)</f>
        <v>3100.1</v>
      </c>
      <c r="U46" s="154">
        <f>U40</f>
        <v>5911.11</v>
      </c>
      <c r="V46" s="140">
        <f t="shared" si="4"/>
        <v>5911.11</v>
      </c>
      <c r="W46" s="140">
        <v>0</v>
      </c>
      <c r="X46" s="140">
        <v>0</v>
      </c>
      <c r="Y46" s="144">
        <v>0</v>
      </c>
      <c r="Z46" s="140">
        <f>Y46*Valores!$C$2</f>
        <v>0</v>
      </c>
      <c r="AA46" s="140">
        <v>0</v>
      </c>
      <c r="AB46" s="142">
        <f>AB40</f>
        <v>4440.01</v>
      </c>
      <c r="AC46" s="154">
        <f>Valores!$C$31</f>
        <v>259.82</v>
      </c>
      <c r="AD46" s="140">
        <f t="shared" si="6"/>
        <v>0</v>
      </c>
      <c r="AE46" s="154">
        <f>Valores!$C$32</f>
        <v>259.82</v>
      </c>
      <c r="AF46" s="144">
        <v>0</v>
      </c>
      <c r="AG46" s="142">
        <f>INT(((AF46*Valores!$C$2)*100)+0.5)/100</f>
        <v>0</v>
      </c>
      <c r="AH46" s="140">
        <f>IF($H$5="NO",Valores!$C$60,Valores!$C$60/2)</f>
        <v>528.49</v>
      </c>
      <c r="AI46" s="140">
        <f>IF($H$5="NO",Valores!$C$62,Valores!$C$62/2)</f>
        <v>151</v>
      </c>
      <c r="AJ46" s="146">
        <f t="shared" si="7"/>
        <v>114209.33200000002</v>
      </c>
      <c r="AK46" s="142">
        <f>Valores!$C$37</f>
        <v>1360.88</v>
      </c>
      <c r="AL46" s="142">
        <f>AL40</f>
        <v>4550</v>
      </c>
      <c r="AM46" s="143"/>
      <c r="AN46" s="145">
        <f>IF($H$4="NO",0,Valores!$C$52)</f>
        <v>0</v>
      </c>
      <c r="AO46" s="147">
        <f t="shared" si="5"/>
        <v>5910.88</v>
      </c>
      <c r="AP46" s="148">
        <f>AJ46*Valores!$C$69</f>
        <v>-12563.026520000003</v>
      </c>
      <c r="AQ46" s="148">
        <f>AJ46*-Valores!$C$70</f>
        <v>0</v>
      </c>
      <c r="AR46" s="142">
        <f>AJ46*Valores!$C$71</f>
        <v>-5139.4199400000007</v>
      </c>
      <c r="AS46" s="142">
        <f>Valores!$C$95</f>
        <v>-193.38</v>
      </c>
      <c r="AT46" s="142">
        <f>IF($H$6=0,Valores!$C$96,(Valores!$C$96+$H$6*(Valores!$C$96)))</f>
        <v>-129</v>
      </c>
      <c r="AU46" s="146">
        <f t="shared" si="8"/>
        <v>102095.38554000002</v>
      </c>
      <c r="AV46" s="199">
        <f t="shared" si="0"/>
        <v>-12563.026520000003</v>
      </c>
      <c r="AW46" s="142">
        <f>AJ46*Valores!$C$72</f>
        <v>-3083.6519640000006</v>
      </c>
      <c r="AX46" s="142">
        <f>AJ46*Valores!$C$73</f>
        <v>-342.62799600000005</v>
      </c>
      <c r="AY46" s="146">
        <f t="shared" si="9"/>
        <v>104130.90552000003</v>
      </c>
      <c r="AZ46" s="150"/>
      <c r="BA46" s="150">
        <v>45</v>
      </c>
      <c r="BB46" s="135" t="s">
        <v>8</v>
      </c>
    </row>
    <row r="47" spans="1:54" s="114" customFormat="1" ht="11.25" customHeight="1" x14ac:dyDescent="0.15">
      <c r="A47" s="134">
        <v>44</v>
      </c>
      <c r="B47" s="134"/>
      <c r="C47" s="135" t="s">
        <v>207</v>
      </c>
      <c r="D47" s="135"/>
      <c r="E47" s="135">
        <f t="shared" si="1"/>
        <v>26</v>
      </c>
      <c r="F47" s="136" t="s">
        <v>208</v>
      </c>
      <c r="G47" s="137">
        <f>G89+G306</f>
        <v>518</v>
      </c>
      <c r="H47" s="138">
        <f>INT((G47*Valores!$C$2*100)+0.5)/100</f>
        <v>6437.03</v>
      </c>
      <c r="I47" s="139">
        <f>I89+I306</f>
        <v>1997</v>
      </c>
      <c r="J47" s="140">
        <f>INT((I47*Valores!$C$2*100)+0.5)/100</f>
        <v>24816.12</v>
      </c>
      <c r="K47" s="155">
        <v>0</v>
      </c>
      <c r="L47" s="140">
        <f>INT((K47*Valores!$C$2*100)+0.5)/100</f>
        <v>0</v>
      </c>
      <c r="M47" s="153">
        <v>0</v>
      </c>
      <c r="N47" s="140">
        <f>INT((M47*Valores!$C$2*100)+0.5)/100</f>
        <v>0</v>
      </c>
      <c r="O47" s="140">
        <f t="shared" si="2"/>
        <v>5957.0519999999988</v>
      </c>
      <c r="P47" s="140">
        <f t="shared" si="3"/>
        <v>0</v>
      </c>
      <c r="Q47" s="142">
        <f t="shared" ref="Q47:V47" si="12">Q89+Q306</f>
        <v>15370.51</v>
      </c>
      <c r="R47" s="142">
        <f t="shared" si="12"/>
        <v>6352.5280000000002</v>
      </c>
      <c r="S47" s="154">
        <f t="shared" si="12"/>
        <v>5667.45</v>
      </c>
      <c r="T47" s="154">
        <f t="shared" si="12"/>
        <v>2549.42</v>
      </c>
      <c r="U47" s="154">
        <f t="shared" si="12"/>
        <v>5911.11</v>
      </c>
      <c r="V47" s="142">
        <f t="shared" si="12"/>
        <v>5911.11</v>
      </c>
      <c r="W47" s="140">
        <v>0</v>
      </c>
      <c r="X47" s="140">
        <v>0</v>
      </c>
      <c r="Y47" s="144">
        <v>0</v>
      </c>
      <c r="Z47" s="140">
        <f>Y47*Valores!$C$2</f>
        <v>0</v>
      </c>
      <c r="AA47" s="140">
        <v>0</v>
      </c>
      <c r="AB47" s="142">
        <f>AB89+AB306</f>
        <v>2220.0100000000002</v>
      </c>
      <c r="AC47" s="142">
        <f>Valores!$C$31</f>
        <v>259.82</v>
      </c>
      <c r="AD47" s="140">
        <f t="shared" si="6"/>
        <v>0</v>
      </c>
      <c r="AE47" s="210">
        <f>Valores!$C$32</f>
        <v>259.82</v>
      </c>
      <c r="AF47" s="144">
        <v>0</v>
      </c>
      <c r="AG47" s="140">
        <f>INT(((AF47*Valores!$C$2)*100)+0.5)/100</f>
        <v>0</v>
      </c>
      <c r="AH47" s="140">
        <f>IF($H$5="NO",Valores!$C$60,Valores!$C$60/2)</f>
        <v>528.49</v>
      </c>
      <c r="AI47" s="140">
        <f>IF($H$5="NO",Valores!$C$62,Valores!$C$62/2)</f>
        <v>151</v>
      </c>
      <c r="AJ47" s="146">
        <f t="shared" si="7"/>
        <v>76480.36</v>
      </c>
      <c r="AK47" s="142">
        <f>Valores!$C$37</f>
        <v>1360.88</v>
      </c>
      <c r="AL47" s="142">
        <f>AL89+AL306</f>
        <v>2275</v>
      </c>
      <c r="AM47" s="143"/>
      <c r="AN47" s="145">
        <f>IF($H$4="NO",0,Valores!$C$53)</f>
        <v>0</v>
      </c>
      <c r="AO47" s="147">
        <f t="shared" si="5"/>
        <v>3635.88</v>
      </c>
      <c r="AP47" s="148">
        <f>AJ47*Valores!$C$69</f>
        <v>-8412.8395999999993</v>
      </c>
      <c r="AQ47" s="148">
        <f>AJ47*-Valores!$C$70</f>
        <v>0</v>
      </c>
      <c r="AR47" s="142">
        <f>AJ47*Valores!$C$71</f>
        <v>-3441.6161999999999</v>
      </c>
      <c r="AS47" s="142">
        <f>Valores!$C$95</f>
        <v>-193.38</v>
      </c>
      <c r="AT47" s="142">
        <f>IF($H$6=0,Valores!$C$96,(Valores!$C$96+$H$6*(Valores!$C$96)))</f>
        <v>-129</v>
      </c>
      <c r="AU47" s="146">
        <f t="shared" si="8"/>
        <v>67939.404200000004</v>
      </c>
      <c r="AV47" s="199">
        <f t="shared" si="0"/>
        <v>-8412.8395999999993</v>
      </c>
      <c r="AW47" s="142">
        <f>AJ47*Valores!$C$72</f>
        <v>-2064.9697200000001</v>
      </c>
      <c r="AX47" s="142">
        <f>AJ47*Valores!$C$73</f>
        <v>-229.44108</v>
      </c>
      <c r="AY47" s="146">
        <f t="shared" si="9"/>
        <v>69408.989600000001</v>
      </c>
      <c r="AZ47" s="150"/>
      <c r="BA47" s="150"/>
      <c r="BB47" s="135" t="s">
        <v>8</v>
      </c>
    </row>
    <row r="48" spans="1:54" s="114" customFormat="1" ht="11.25" customHeight="1" x14ac:dyDescent="0.15">
      <c r="A48" s="152">
        <v>45</v>
      </c>
      <c r="B48" s="152" t="s">
        <v>139</v>
      </c>
      <c r="C48" s="135" t="s">
        <v>209</v>
      </c>
      <c r="D48" s="135"/>
      <c r="E48" s="135">
        <f t="shared" si="1"/>
        <v>33</v>
      </c>
      <c r="F48" s="136" t="s">
        <v>210</v>
      </c>
      <c r="G48" s="137">
        <f>G56+G240</f>
        <v>572</v>
      </c>
      <c r="H48" s="138">
        <f>INT((G48*Valores!$C$2*100)+0.5)/100</f>
        <v>7108.07</v>
      </c>
      <c r="I48" s="156">
        <f>I56+I240</f>
        <v>2686</v>
      </c>
      <c r="J48" s="140">
        <f>INT((I48*Valores!$C$2*100)+0.5)/100</f>
        <v>33378.120000000003</v>
      </c>
      <c r="K48" s="155">
        <v>0</v>
      </c>
      <c r="L48" s="140">
        <f>INT((K48*Valores!$C$2*100)+0.5)/100</f>
        <v>0</v>
      </c>
      <c r="M48" s="153">
        <v>0</v>
      </c>
      <c r="N48" s="140">
        <f>INT((M48*Valores!$C$2*100)+0.5)/100</f>
        <v>0</v>
      </c>
      <c r="O48" s="140">
        <f t="shared" si="2"/>
        <v>7474.6125000000011</v>
      </c>
      <c r="P48" s="140">
        <f t="shared" si="3"/>
        <v>0</v>
      </c>
      <c r="Q48" s="140">
        <f>Q56+Q240</f>
        <v>15559.03</v>
      </c>
      <c r="R48" s="142">
        <f>Valores!$D$4</f>
        <v>6352.5280000000002</v>
      </c>
      <c r="S48" s="140">
        <f>S56+S240</f>
        <v>5667.45</v>
      </c>
      <c r="T48" s="143">
        <f>T56+T240</f>
        <v>2638.15</v>
      </c>
      <c r="U48" s="140">
        <f>U56+U240</f>
        <v>6706.41</v>
      </c>
      <c r="V48" s="140">
        <f t="shared" ref="V48:V111" si="13">U48*(1+$J$2)</f>
        <v>6706.41</v>
      </c>
      <c r="W48" s="140">
        <v>0</v>
      </c>
      <c r="X48" s="140">
        <v>0</v>
      </c>
      <c r="Y48" s="144">
        <v>0</v>
      </c>
      <c r="Z48" s="140">
        <f>Y48*Valores!$C$2</f>
        <v>0</v>
      </c>
      <c r="AA48" s="140">
        <v>0</v>
      </c>
      <c r="AB48" s="140">
        <f>AB56+AB240</f>
        <v>3341.3500000000004</v>
      </c>
      <c r="AC48" s="140">
        <f>AC56+AC240</f>
        <v>322.27999999999997</v>
      </c>
      <c r="AD48" s="140">
        <f t="shared" si="6"/>
        <v>0</v>
      </c>
      <c r="AE48" s="140">
        <f>Valores!$C$32</f>
        <v>259.82</v>
      </c>
      <c r="AF48" s="144">
        <v>0</v>
      </c>
      <c r="AG48" s="140">
        <f>INT(((AF48*Valores!$C$2)*100)+0.5)/100</f>
        <v>0</v>
      </c>
      <c r="AH48" s="145">
        <f>AH56+AH240</f>
        <v>739.88599999999997</v>
      </c>
      <c r="AI48" s="145">
        <f>AI56+AI240</f>
        <v>211.45999999999998</v>
      </c>
      <c r="AJ48" s="146">
        <f t="shared" si="7"/>
        <v>89759.166500000021</v>
      </c>
      <c r="AK48" s="145">
        <f>AK56+AK240</f>
        <v>1905.2600000000002</v>
      </c>
      <c r="AL48" s="140">
        <f>AL56+AL240</f>
        <v>3412.5</v>
      </c>
      <c r="AM48" s="140"/>
      <c r="AN48" s="145">
        <f>IF($H$4="NO",0,Valores!$C$53)</f>
        <v>0</v>
      </c>
      <c r="AO48" s="147">
        <f t="shared" si="5"/>
        <v>5317.76</v>
      </c>
      <c r="AP48" s="148">
        <f>AJ48*Valores!$C$69</f>
        <v>-9873.5083150000028</v>
      </c>
      <c r="AQ48" s="148">
        <f>AJ48*-Valores!$C$70</f>
        <v>0</v>
      </c>
      <c r="AR48" s="142">
        <f>AJ48*Valores!$C$71</f>
        <v>-4039.162492500001</v>
      </c>
      <c r="AS48" s="142">
        <f>Valores!$C$95</f>
        <v>-193.38</v>
      </c>
      <c r="AT48" s="142">
        <f>IF($H$6=0,Valores!$C$96,(Valores!$C$96+$H$6*(Valores!$C$96)))</f>
        <v>-129</v>
      </c>
      <c r="AU48" s="146">
        <f t="shared" si="8"/>
        <v>80841.87569250002</v>
      </c>
      <c r="AV48" s="199">
        <f t="shared" si="0"/>
        <v>-9873.5083150000028</v>
      </c>
      <c r="AW48" s="142">
        <f>AJ48*Valores!$C$72</f>
        <v>-2423.4974955000007</v>
      </c>
      <c r="AX48" s="142">
        <f>AJ48*Valores!$C$73</f>
        <v>-269.27749950000009</v>
      </c>
      <c r="AY48" s="146">
        <f t="shared" si="9"/>
        <v>82510.643190000017</v>
      </c>
      <c r="AZ48" s="150"/>
      <c r="BA48" s="150"/>
      <c r="BB48" s="135" t="s">
        <v>8</v>
      </c>
    </row>
    <row r="49" spans="1:54" s="114" customFormat="1" ht="11.25" customHeight="1" x14ac:dyDescent="0.15">
      <c r="A49" s="134">
        <v>46</v>
      </c>
      <c r="B49" s="134"/>
      <c r="C49" s="135" t="s">
        <v>211</v>
      </c>
      <c r="D49" s="135"/>
      <c r="E49" s="135">
        <f t="shared" si="1"/>
        <v>33</v>
      </c>
      <c r="F49" s="136" t="s">
        <v>212</v>
      </c>
      <c r="G49" s="137">
        <v>108</v>
      </c>
      <c r="H49" s="138">
        <f>INT((G49*Valores!$C$2*100)+0.5)/100</f>
        <v>1342.08</v>
      </c>
      <c r="I49" s="139">
        <v>2907</v>
      </c>
      <c r="J49" s="140">
        <f>INT((I49*Valores!$C$2*100)+0.5)/100</f>
        <v>36124.42</v>
      </c>
      <c r="K49" s="155">
        <v>0</v>
      </c>
      <c r="L49" s="140">
        <f>INT((K49*Valores!$C$2*100)+0.5)/100</f>
        <v>0</v>
      </c>
      <c r="M49" s="137">
        <v>0</v>
      </c>
      <c r="N49" s="140">
        <f>INT((M49*Valores!$C$2*100)+0.5)/100</f>
        <v>0</v>
      </c>
      <c r="O49" s="140">
        <f t="shared" si="2"/>
        <v>6822.5069999999996</v>
      </c>
      <c r="P49" s="140">
        <f t="shared" si="3"/>
        <v>0</v>
      </c>
      <c r="Q49" s="142">
        <f>Valores!$C$16</f>
        <v>13030.51</v>
      </c>
      <c r="R49" s="142">
        <f>Valores!$D$4</f>
        <v>6352.5280000000002</v>
      </c>
      <c r="S49" s="154">
        <f>Valores!$C$28</f>
        <v>5667.45</v>
      </c>
      <c r="T49" s="143">
        <f>IF($H$5="NO",Valores!$C$44,Valores!$C$44/2)</f>
        <v>2105.77</v>
      </c>
      <c r="U49" s="140">
        <f>Valores!$C$25</f>
        <v>5911.11</v>
      </c>
      <c r="V49" s="140">
        <f t="shared" si="13"/>
        <v>5911.11</v>
      </c>
      <c r="W49" s="140">
        <v>0</v>
      </c>
      <c r="X49" s="140">
        <v>0</v>
      </c>
      <c r="Y49" s="144">
        <v>0</v>
      </c>
      <c r="Z49" s="140">
        <f>Y49*Valores!$C$2</f>
        <v>0</v>
      </c>
      <c r="AA49" s="140">
        <v>0</v>
      </c>
      <c r="AB49" s="143">
        <f>Valores!$C$91</f>
        <v>2664.01</v>
      </c>
      <c r="AC49" s="145">
        <f>Valores!$C$31</f>
        <v>259.82</v>
      </c>
      <c r="AD49" s="140">
        <f t="shared" si="6"/>
        <v>0</v>
      </c>
      <c r="AE49" s="140">
        <f>Valores!$C$32</f>
        <v>259.82</v>
      </c>
      <c r="AF49" s="144">
        <v>0</v>
      </c>
      <c r="AG49" s="140">
        <f>INT(((AF49*Valores!$C$2)*100)+0.5)/100</f>
        <v>0</v>
      </c>
      <c r="AH49" s="140">
        <f>IF($H$5="NO",Valores!$C$60,Valores!$C$60/2)</f>
        <v>528.49</v>
      </c>
      <c r="AI49" s="140">
        <f>IF($H$5="NO",Valores!$C$62,Valores!$C$62/2)</f>
        <v>151</v>
      </c>
      <c r="AJ49" s="146">
        <f t="shared" si="7"/>
        <v>81219.515000000014</v>
      </c>
      <c r="AK49" s="142">
        <f>Valores!$C$37</f>
        <v>1360.88</v>
      </c>
      <c r="AL49" s="143">
        <f>Valores!$C$86</f>
        <v>2730</v>
      </c>
      <c r="AM49" s="143"/>
      <c r="AN49" s="145">
        <f>IF($H$4="NO",0,Valores!$C$53)</f>
        <v>0</v>
      </c>
      <c r="AO49" s="147">
        <f t="shared" si="5"/>
        <v>4090.88</v>
      </c>
      <c r="AP49" s="148">
        <f>AJ49*Valores!$C$69</f>
        <v>-8934.1466500000024</v>
      </c>
      <c r="AQ49" s="148">
        <f>AJ49*-Valores!$C$70</f>
        <v>0</v>
      </c>
      <c r="AR49" s="142">
        <f>AJ49*Valores!$C$71</f>
        <v>-3654.8781750000003</v>
      </c>
      <c r="AS49" s="142">
        <f>Valores!$C$95</f>
        <v>-193.38</v>
      </c>
      <c r="AT49" s="142">
        <f>IF($H$6=0,Valores!$C$96,(Valores!$C$96+$H$6*(Valores!$C$96)))</f>
        <v>-129</v>
      </c>
      <c r="AU49" s="146">
        <f t="shared" si="8"/>
        <v>72398.990175000014</v>
      </c>
      <c r="AV49" s="199">
        <f t="shared" si="0"/>
        <v>-8934.1466500000024</v>
      </c>
      <c r="AW49" s="142">
        <f>AJ49*Valores!$C$72</f>
        <v>-2192.9269050000003</v>
      </c>
      <c r="AX49" s="142">
        <f>AJ49*Valores!$C$73</f>
        <v>-243.65854500000006</v>
      </c>
      <c r="AY49" s="146">
        <f t="shared" si="9"/>
        <v>73939.66290000001</v>
      </c>
      <c r="AZ49" s="150"/>
      <c r="BA49" s="150">
        <v>30</v>
      </c>
      <c r="BB49" s="135" t="s">
        <v>4</v>
      </c>
    </row>
    <row r="50" spans="1:54" s="114" customFormat="1" ht="11.25" customHeight="1" x14ac:dyDescent="0.15">
      <c r="A50" s="134">
        <v>47</v>
      </c>
      <c r="B50" s="134"/>
      <c r="C50" s="135" t="s">
        <v>213</v>
      </c>
      <c r="D50" s="135"/>
      <c r="E50" s="135">
        <f t="shared" si="1"/>
        <v>33</v>
      </c>
      <c r="F50" s="136" t="s">
        <v>214</v>
      </c>
      <c r="G50" s="137">
        <v>88</v>
      </c>
      <c r="H50" s="138">
        <f>INT((G50*Valores!$C$2*100)+0.5)/100</f>
        <v>1093.55</v>
      </c>
      <c r="I50" s="139">
        <v>2622</v>
      </c>
      <c r="J50" s="140">
        <f>INT((I50*Valores!$C$2*100)+0.5)/100</f>
        <v>32582.81</v>
      </c>
      <c r="K50" s="155">
        <v>0</v>
      </c>
      <c r="L50" s="140">
        <f>INT((K50*Valores!$C$2*100)+0.5)/100</f>
        <v>0</v>
      </c>
      <c r="M50" s="153">
        <v>0</v>
      </c>
      <c r="N50" s="140">
        <f>INT((M50*Valores!$C$2*100)+0.5)/100</f>
        <v>0</v>
      </c>
      <c r="O50" s="140">
        <f t="shared" si="2"/>
        <v>6253.9859999999999</v>
      </c>
      <c r="P50" s="140">
        <f t="shared" si="3"/>
        <v>0</v>
      </c>
      <c r="Q50" s="142">
        <f>Valores!$C$16</f>
        <v>13030.51</v>
      </c>
      <c r="R50" s="142">
        <f>Valores!$D$4</f>
        <v>6352.5280000000002</v>
      </c>
      <c r="S50" s="154">
        <f>Valores!$C$28</f>
        <v>5667.45</v>
      </c>
      <c r="T50" s="143">
        <f>IF($H$5="NO",Valores!$C$44,Valores!$C$44/2)</f>
        <v>2105.77</v>
      </c>
      <c r="U50" s="140">
        <f>Valores!$C$25</f>
        <v>5911.11</v>
      </c>
      <c r="V50" s="140">
        <f t="shared" si="13"/>
        <v>5911.11</v>
      </c>
      <c r="W50" s="140">
        <v>0</v>
      </c>
      <c r="X50" s="140">
        <v>0</v>
      </c>
      <c r="Y50" s="144">
        <v>0</v>
      </c>
      <c r="Z50" s="140">
        <f>Y50*Valores!$C$2</f>
        <v>0</v>
      </c>
      <c r="AA50" s="140">
        <v>0</v>
      </c>
      <c r="AB50" s="143">
        <f>Valores!$C$91</f>
        <v>2664.01</v>
      </c>
      <c r="AC50" s="145">
        <f>Valores!$C$31</f>
        <v>259.82</v>
      </c>
      <c r="AD50" s="140">
        <f t="shared" si="6"/>
        <v>0</v>
      </c>
      <c r="AE50" s="140">
        <f>Valores!$C$32</f>
        <v>259.82</v>
      </c>
      <c r="AF50" s="144">
        <v>0</v>
      </c>
      <c r="AG50" s="140">
        <f>INT(((AF50*Valores!$C$2)*100)+0.5)/100</f>
        <v>0</v>
      </c>
      <c r="AH50" s="140">
        <f>IF($H$5="NO",Valores!$C$60,Valores!$C$60/2)</f>
        <v>528.49</v>
      </c>
      <c r="AI50" s="140">
        <f>IF($H$5="NO",Valores!$C$62,Valores!$C$62/2)</f>
        <v>151</v>
      </c>
      <c r="AJ50" s="146">
        <f t="shared" si="7"/>
        <v>76860.854000000007</v>
      </c>
      <c r="AK50" s="142">
        <f>Valores!$C$37</f>
        <v>1360.88</v>
      </c>
      <c r="AL50" s="143">
        <f>Valores!$C$86</f>
        <v>2730</v>
      </c>
      <c r="AM50" s="143"/>
      <c r="AN50" s="145">
        <f>IF($H$4="NO",0,Valores!$C$53)</f>
        <v>0</v>
      </c>
      <c r="AO50" s="147">
        <f t="shared" si="5"/>
        <v>4090.88</v>
      </c>
      <c r="AP50" s="148">
        <f>AJ50*Valores!$C$69</f>
        <v>-8454.693940000001</v>
      </c>
      <c r="AQ50" s="148">
        <f>AJ50*-Valores!$C$70</f>
        <v>0</v>
      </c>
      <c r="AR50" s="142">
        <f>AJ50*Valores!$C$71</f>
        <v>-3458.7384300000003</v>
      </c>
      <c r="AS50" s="142">
        <f>Valores!$C$95</f>
        <v>-193.38</v>
      </c>
      <c r="AT50" s="142">
        <f>IF($H$6=0,Valores!$C$96,(Valores!$C$96+$H$6*(Valores!$C$96)))</f>
        <v>-129</v>
      </c>
      <c r="AU50" s="146">
        <f t="shared" si="8"/>
        <v>68715.921630000012</v>
      </c>
      <c r="AV50" s="199">
        <f t="shared" si="0"/>
        <v>-8454.693940000001</v>
      </c>
      <c r="AW50" s="142">
        <f>AJ50*Valores!$C$72</f>
        <v>-2075.243058</v>
      </c>
      <c r="AX50" s="142">
        <f>AJ50*Valores!$C$73</f>
        <v>-230.58256200000002</v>
      </c>
      <c r="AY50" s="146">
        <f t="shared" si="9"/>
        <v>70191.214440000011</v>
      </c>
      <c r="AZ50" s="150"/>
      <c r="BA50" s="150">
        <v>30</v>
      </c>
      <c r="BB50" s="135" t="s">
        <v>4</v>
      </c>
    </row>
    <row r="51" spans="1:54" s="114" customFormat="1" ht="11.25" customHeight="1" x14ac:dyDescent="0.15">
      <c r="A51" s="134">
        <v>48</v>
      </c>
      <c r="B51" s="134"/>
      <c r="C51" s="135" t="s">
        <v>215</v>
      </c>
      <c r="D51" s="135"/>
      <c r="E51" s="135">
        <f t="shared" si="1"/>
        <v>31</v>
      </c>
      <c r="F51" s="136" t="s">
        <v>216</v>
      </c>
      <c r="G51" s="137">
        <v>88</v>
      </c>
      <c r="H51" s="138">
        <f>INT((G51*Valores!$C$2*100)+0.5)/100</f>
        <v>1093.55</v>
      </c>
      <c r="I51" s="139">
        <v>2622</v>
      </c>
      <c r="J51" s="140">
        <f>INT((I51*Valores!$C$2*100)+0.5)/100</f>
        <v>32582.81</v>
      </c>
      <c r="K51" s="155">
        <v>0</v>
      </c>
      <c r="L51" s="140">
        <f>INT((K51*Valores!$C$2*100)+0.5)/100</f>
        <v>0</v>
      </c>
      <c r="M51" s="153">
        <v>0</v>
      </c>
      <c r="N51" s="140">
        <f>INT((M51*Valores!$C$2*100)+0.5)/100</f>
        <v>0</v>
      </c>
      <c r="O51" s="140">
        <f t="shared" si="2"/>
        <v>6253.9859999999999</v>
      </c>
      <c r="P51" s="140">
        <f t="shared" si="3"/>
        <v>0</v>
      </c>
      <c r="Q51" s="142">
        <f>Valores!$C$16</f>
        <v>13030.51</v>
      </c>
      <c r="R51" s="142">
        <f>Valores!$D$4</f>
        <v>6352.5280000000002</v>
      </c>
      <c r="S51" s="140">
        <f>Valores!$C$28</f>
        <v>5667.45</v>
      </c>
      <c r="T51" s="143">
        <f>IF($H$5="NO",Valores!$C$44,Valores!$C$44/2)</f>
        <v>2105.77</v>
      </c>
      <c r="U51" s="140">
        <f>Valores!$C$25</f>
        <v>5911.11</v>
      </c>
      <c r="V51" s="140">
        <f t="shared" si="13"/>
        <v>5911.11</v>
      </c>
      <c r="W51" s="140">
        <v>0</v>
      </c>
      <c r="X51" s="140">
        <v>0</v>
      </c>
      <c r="Y51" s="144">
        <v>0</v>
      </c>
      <c r="Z51" s="140">
        <f>Y51*Valores!$C$2</f>
        <v>0</v>
      </c>
      <c r="AA51" s="140">
        <v>0</v>
      </c>
      <c r="AB51" s="143">
        <f>Valores!$C$91</f>
        <v>2664.01</v>
      </c>
      <c r="AC51" s="145">
        <f>Valores!$C$31</f>
        <v>259.82</v>
      </c>
      <c r="AD51" s="140">
        <f t="shared" si="6"/>
        <v>0</v>
      </c>
      <c r="AE51" s="140">
        <f>Valores!$C$32</f>
        <v>259.82</v>
      </c>
      <c r="AF51" s="144">
        <v>0</v>
      </c>
      <c r="AG51" s="140">
        <f>INT(((AF51*Valores!$C$2)*100)+0.5)/100</f>
        <v>0</v>
      </c>
      <c r="AH51" s="140">
        <f>IF($H$5="NO",Valores!$C$60,Valores!$C$60/2)</f>
        <v>528.49</v>
      </c>
      <c r="AI51" s="140">
        <f>IF($H$5="NO",Valores!$C$62,Valores!$C$62/2)</f>
        <v>151</v>
      </c>
      <c r="AJ51" s="146">
        <f t="shared" si="7"/>
        <v>76860.854000000007</v>
      </c>
      <c r="AK51" s="142">
        <f>Valores!$C$37</f>
        <v>1360.88</v>
      </c>
      <c r="AL51" s="143">
        <f>Valores!$C$86</f>
        <v>2730</v>
      </c>
      <c r="AM51" s="143"/>
      <c r="AN51" s="145">
        <f>IF($H$4="NO",0,Valores!$C$53)</f>
        <v>0</v>
      </c>
      <c r="AO51" s="147">
        <f t="shared" si="5"/>
        <v>4090.88</v>
      </c>
      <c r="AP51" s="148">
        <f>AJ51*Valores!$C$69</f>
        <v>-8454.693940000001</v>
      </c>
      <c r="AQ51" s="148">
        <f>AJ51*-Valores!$C$70</f>
        <v>0</v>
      </c>
      <c r="AR51" s="142">
        <f>AJ51*Valores!$C$71</f>
        <v>-3458.7384300000003</v>
      </c>
      <c r="AS51" s="142">
        <f>Valores!$C$95</f>
        <v>-193.38</v>
      </c>
      <c r="AT51" s="142">
        <f>IF($H$6=0,Valores!$C$96,(Valores!$C$96+$H$6*(Valores!$C$96)))</f>
        <v>-129</v>
      </c>
      <c r="AU51" s="146">
        <f t="shared" si="8"/>
        <v>68715.921630000012</v>
      </c>
      <c r="AV51" s="199">
        <f t="shared" si="0"/>
        <v>-8454.693940000001</v>
      </c>
      <c r="AW51" s="142">
        <f>AJ51*Valores!$C$72</f>
        <v>-2075.243058</v>
      </c>
      <c r="AX51" s="142">
        <f>AJ51*Valores!$C$73</f>
        <v>-230.58256200000002</v>
      </c>
      <c r="AY51" s="146">
        <f t="shared" si="9"/>
        <v>70191.214440000011</v>
      </c>
      <c r="AZ51" s="150"/>
      <c r="BA51" s="150">
        <v>30</v>
      </c>
      <c r="BB51" s="135" t="s">
        <v>4</v>
      </c>
    </row>
    <row r="52" spans="1:54" s="114" customFormat="1" ht="11.25" customHeight="1" x14ac:dyDescent="0.15">
      <c r="A52" s="134">
        <v>49</v>
      </c>
      <c r="B52" s="134"/>
      <c r="C52" s="135" t="s">
        <v>217</v>
      </c>
      <c r="D52" s="135"/>
      <c r="E52" s="135">
        <f t="shared" si="1"/>
        <v>26</v>
      </c>
      <c r="F52" s="136" t="s">
        <v>218</v>
      </c>
      <c r="G52" s="137">
        <v>80</v>
      </c>
      <c r="H52" s="138">
        <f>INT((G52*Valores!$C$2*100)+0.5)/100</f>
        <v>994.14</v>
      </c>
      <c r="I52" s="139">
        <v>2278</v>
      </c>
      <c r="J52" s="140">
        <f>INT((I52*Valores!$C$2*100)+0.5)/100</f>
        <v>28308.02</v>
      </c>
      <c r="K52" s="155">
        <v>0</v>
      </c>
      <c r="L52" s="140">
        <f>INT((K52*Valores!$C$2*100)+0.5)/100</f>
        <v>0</v>
      </c>
      <c r="M52" s="153">
        <v>0</v>
      </c>
      <c r="N52" s="140">
        <f>INT((M52*Valores!$C$2*100)+0.5)/100</f>
        <v>0</v>
      </c>
      <c r="O52" s="140">
        <f t="shared" si="2"/>
        <v>5597.8559999999989</v>
      </c>
      <c r="P52" s="140">
        <f t="shared" si="3"/>
        <v>0</v>
      </c>
      <c r="Q52" s="142">
        <f>Valores!$C$16</f>
        <v>13030.51</v>
      </c>
      <c r="R52" s="142">
        <f>Valores!$D$4</f>
        <v>6352.5280000000002</v>
      </c>
      <c r="S52" s="154">
        <f>Valores!$C$28</f>
        <v>5667.45</v>
      </c>
      <c r="T52" s="143">
        <f>IF($H$5="NO",Valores!$C$44,Valores!$C$44/2)</f>
        <v>2105.77</v>
      </c>
      <c r="U52" s="140">
        <f>Valores!$C$25</f>
        <v>5911.11</v>
      </c>
      <c r="V52" s="140">
        <f t="shared" si="13"/>
        <v>5911.11</v>
      </c>
      <c r="W52" s="140">
        <v>0</v>
      </c>
      <c r="X52" s="140">
        <v>0</v>
      </c>
      <c r="Y52" s="144">
        <v>0</v>
      </c>
      <c r="Z52" s="140">
        <f>Y52*Valores!$C$2</f>
        <v>0</v>
      </c>
      <c r="AA52" s="140">
        <v>0</v>
      </c>
      <c r="AB52" s="143">
        <f>Valores!$C$91</f>
        <v>2664.01</v>
      </c>
      <c r="AC52" s="145">
        <f>Valores!$C$31</f>
        <v>259.82</v>
      </c>
      <c r="AD52" s="140">
        <f t="shared" si="6"/>
        <v>0</v>
      </c>
      <c r="AE52" s="140">
        <f>Valores!$C$32</f>
        <v>259.82</v>
      </c>
      <c r="AF52" s="144">
        <v>0</v>
      </c>
      <c r="AG52" s="140">
        <f>INT(((AF52*Valores!$C$2)*100)+0.5)/100</f>
        <v>0</v>
      </c>
      <c r="AH52" s="140">
        <f>IF($H$5="NO",Valores!$C$60,Valores!$C$60/2)</f>
        <v>528.49</v>
      </c>
      <c r="AI52" s="140">
        <f>IF($H$5="NO",Valores!$C$62,Valores!$C$62/2)</f>
        <v>151</v>
      </c>
      <c r="AJ52" s="146">
        <f t="shared" si="7"/>
        <v>71830.524000000005</v>
      </c>
      <c r="AK52" s="142">
        <f>Valores!$C$37</f>
        <v>1360.88</v>
      </c>
      <c r="AL52" s="143">
        <f>Valores!$C$86</f>
        <v>2730</v>
      </c>
      <c r="AM52" s="143"/>
      <c r="AN52" s="145">
        <f>IF($H$4="NO",0,Valores!$C$53)</f>
        <v>0</v>
      </c>
      <c r="AO52" s="147">
        <f t="shared" si="5"/>
        <v>4090.88</v>
      </c>
      <c r="AP52" s="148">
        <f>AJ52*Valores!$C$69</f>
        <v>-7901.3576400000002</v>
      </c>
      <c r="AQ52" s="148">
        <f>AJ52*-Valores!$C$70</f>
        <v>0</v>
      </c>
      <c r="AR52" s="142">
        <f>AJ52*Valores!$C$71</f>
        <v>-3232.3735799999999</v>
      </c>
      <c r="AS52" s="142">
        <f>Valores!$C$95</f>
        <v>-193.38</v>
      </c>
      <c r="AT52" s="142">
        <f>IF($H$6=0,Valores!$C$96,(Valores!$C$96+$H$6*(Valores!$C$96)))</f>
        <v>-129</v>
      </c>
      <c r="AU52" s="146">
        <f t="shared" si="8"/>
        <v>64465.292780000003</v>
      </c>
      <c r="AV52" s="199">
        <f t="shared" si="0"/>
        <v>-7901.3576400000002</v>
      </c>
      <c r="AW52" s="142">
        <f>AJ52*Valores!$C$72</f>
        <v>-1939.4241480000001</v>
      </c>
      <c r="AX52" s="142">
        <f>AJ52*Valores!$C$73</f>
        <v>-215.49157200000002</v>
      </c>
      <c r="AY52" s="146">
        <f t="shared" si="9"/>
        <v>65865.130640000003</v>
      </c>
      <c r="AZ52" s="150"/>
      <c r="BA52" s="150">
        <v>30</v>
      </c>
      <c r="BB52" s="135" t="s">
        <v>4</v>
      </c>
    </row>
    <row r="53" spans="1:54" s="114" customFormat="1" ht="11.25" customHeight="1" x14ac:dyDescent="0.15">
      <c r="A53" s="152">
        <v>50</v>
      </c>
      <c r="B53" s="152" t="s">
        <v>139</v>
      </c>
      <c r="C53" s="135" t="s">
        <v>219</v>
      </c>
      <c r="D53" s="135"/>
      <c r="E53" s="135">
        <f t="shared" si="1"/>
        <v>33</v>
      </c>
      <c r="F53" s="136" t="s">
        <v>220</v>
      </c>
      <c r="G53" s="137">
        <v>100</v>
      </c>
      <c r="H53" s="138">
        <f>INT((G53*Valores!$C$2*100)+0.5)/100</f>
        <v>1242.67</v>
      </c>
      <c r="I53" s="139">
        <v>3620</v>
      </c>
      <c r="J53" s="140">
        <f>INT((I53*Valores!$C$2*100)+0.5)/100</f>
        <v>44984.65</v>
      </c>
      <c r="K53" s="155">
        <v>0</v>
      </c>
      <c r="L53" s="140">
        <f>INT((K53*Valores!$C$2*100)+0.5)/100</f>
        <v>0</v>
      </c>
      <c r="M53" s="153">
        <v>0</v>
      </c>
      <c r="N53" s="140">
        <f>INT((M53*Valores!$C$2*100)+0.5)/100</f>
        <v>0</v>
      </c>
      <c r="O53" s="140">
        <f t="shared" si="2"/>
        <v>8285.7794999999987</v>
      </c>
      <c r="P53" s="140">
        <f t="shared" si="3"/>
        <v>0</v>
      </c>
      <c r="Q53" s="142">
        <f>Valores!$C$16</f>
        <v>13030.51</v>
      </c>
      <c r="R53" s="142">
        <f>Valores!$D$4</f>
        <v>6352.5280000000002</v>
      </c>
      <c r="S53" s="154">
        <f>Valores!$C$28</f>
        <v>5667.45</v>
      </c>
      <c r="T53" s="143">
        <f>IF($H$5="NO",Valores!$C$45,Valores!$C$45/2)</f>
        <v>3100.1</v>
      </c>
      <c r="U53" s="140">
        <f>Valores!$C$25</f>
        <v>5911.11</v>
      </c>
      <c r="V53" s="140">
        <f t="shared" si="13"/>
        <v>5911.11</v>
      </c>
      <c r="W53" s="140">
        <v>0</v>
      </c>
      <c r="X53" s="140">
        <v>0</v>
      </c>
      <c r="Y53" s="144">
        <v>0</v>
      </c>
      <c r="Z53" s="140">
        <f>Y53*Valores!$C$2</f>
        <v>0</v>
      </c>
      <c r="AA53" s="140">
        <v>0</v>
      </c>
      <c r="AB53" s="143">
        <f>Valores!$C$92</f>
        <v>4440.01</v>
      </c>
      <c r="AC53" s="145">
        <f>Valores!$C$31</f>
        <v>259.82</v>
      </c>
      <c r="AD53" s="140">
        <f t="shared" si="6"/>
        <v>0</v>
      </c>
      <c r="AE53" s="140">
        <f>Valores!$C$32</f>
        <v>259.82</v>
      </c>
      <c r="AF53" s="144">
        <v>0</v>
      </c>
      <c r="AG53" s="140">
        <f>INT(((AF53*Valores!$C$2)*100)+0.5)/100</f>
        <v>0</v>
      </c>
      <c r="AH53" s="140">
        <f>IF($H$5="NO",Valores!$C$60,Valores!$C$60/2)</f>
        <v>528.49</v>
      </c>
      <c r="AI53" s="140">
        <f>IF($H$5="NO",Valores!$C$62,Valores!$C$62/2)</f>
        <v>151</v>
      </c>
      <c r="AJ53" s="146">
        <f t="shared" si="7"/>
        <v>94213.937500000015</v>
      </c>
      <c r="AK53" s="142">
        <f>Valores!$C$37</f>
        <v>1360.88</v>
      </c>
      <c r="AL53" s="143">
        <f>Valores!$C$87</f>
        <v>4550</v>
      </c>
      <c r="AM53" s="143"/>
      <c r="AN53" s="145">
        <f>IF($H$4="NO",0,Valores!$C$53)</f>
        <v>0</v>
      </c>
      <c r="AO53" s="147">
        <f t="shared" si="5"/>
        <v>5910.88</v>
      </c>
      <c r="AP53" s="148">
        <f>AJ53*Valores!$C$69</f>
        <v>-10363.533125000002</v>
      </c>
      <c r="AQ53" s="148">
        <f>AJ53*-Valores!$C$70</f>
        <v>0</v>
      </c>
      <c r="AR53" s="142">
        <f>AJ53*Valores!$C$71</f>
        <v>-4239.6271875000002</v>
      </c>
      <c r="AS53" s="142">
        <f>Valores!$C$95</f>
        <v>-193.38</v>
      </c>
      <c r="AT53" s="142">
        <f>IF($H$6=0,Valores!$C$96,(Valores!$C$96+$H$6*(Valores!$C$96)))</f>
        <v>-129</v>
      </c>
      <c r="AU53" s="146">
        <f t="shared" si="8"/>
        <v>85199.277187500018</v>
      </c>
      <c r="AV53" s="199">
        <f t="shared" si="0"/>
        <v>-10363.533125000002</v>
      </c>
      <c r="AW53" s="142">
        <f>AJ53*Valores!$C$72</f>
        <v>-2543.7763125000006</v>
      </c>
      <c r="AX53" s="142">
        <f>AJ53*Valores!$C$73</f>
        <v>-282.64181250000007</v>
      </c>
      <c r="AY53" s="146">
        <f t="shared" si="9"/>
        <v>86934.866250000021</v>
      </c>
      <c r="AZ53" s="150"/>
      <c r="BA53" s="150"/>
      <c r="BB53" s="135" t="s">
        <v>4</v>
      </c>
    </row>
    <row r="54" spans="1:54" s="114" customFormat="1" ht="11.25" customHeight="1" x14ac:dyDescent="0.15">
      <c r="A54" s="134">
        <v>51</v>
      </c>
      <c r="B54" s="134"/>
      <c r="C54" s="135" t="s">
        <v>221</v>
      </c>
      <c r="D54" s="135"/>
      <c r="E54" s="135">
        <f t="shared" si="1"/>
        <v>33</v>
      </c>
      <c r="F54" s="136" t="s">
        <v>222</v>
      </c>
      <c r="G54" s="137">
        <v>100</v>
      </c>
      <c r="H54" s="138">
        <f>INT((G54*Valores!$C$2*100)+0.5)/100</f>
        <v>1242.67</v>
      </c>
      <c r="I54" s="139">
        <v>3560</v>
      </c>
      <c r="J54" s="140">
        <f>INT((I54*Valores!$C$2*100)+0.5)/100</f>
        <v>44239.05</v>
      </c>
      <c r="K54" s="155">
        <v>0</v>
      </c>
      <c r="L54" s="140">
        <f>INT((K54*Valores!$C$2*100)+0.5)/100</f>
        <v>0</v>
      </c>
      <c r="M54" s="153">
        <v>0</v>
      </c>
      <c r="N54" s="140">
        <f>INT((M54*Valores!$C$2*100)+0.5)/100</f>
        <v>0</v>
      </c>
      <c r="O54" s="140">
        <f t="shared" si="2"/>
        <v>8173.9394999999995</v>
      </c>
      <c r="P54" s="140">
        <f t="shared" si="3"/>
        <v>0</v>
      </c>
      <c r="Q54" s="142">
        <f>Valores!$C$16</f>
        <v>13030.51</v>
      </c>
      <c r="R54" s="142">
        <f>Valores!$D$4</f>
        <v>6352.5280000000002</v>
      </c>
      <c r="S54" s="140">
        <v>0</v>
      </c>
      <c r="T54" s="143">
        <f>IF($H$5="NO",Valores!$C$45,Valores!$C$45/2)</f>
        <v>3100.1</v>
      </c>
      <c r="U54" s="140">
        <f>Valores!$C$25</f>
        <v>5911.11</v>
      </c>
      <c r="V54" s="140">
        <f t="shared" si="13"/>
        <v>5911.11</v>
      </c>
      <c r="W54" s="140">
        <v>0</v>
      </c>
      <c r="X54" s="140">
        <v>0</v>
      </c>
      <c r="Y54" s="144">
        <v>0</v>
      </c>
      <c r="Z54" s="140">
        <f>Y54*Valores!$C$2</f>
        <v>0</v>
      </c>
      <c r="AA54" s="140">
        <v>0</v>
      </c>
      <c r="AB54" s="143">
        <f>Valores!$C$92</f>
        <v>4440.01</v>
      </c>
      <c r="AC54" s="145">
        <f>Valores!$C$31</f>
        <v>259.82</v>
      </c>
      <c r="AD54" s="140">
        <f t="shared" si="6"/>
        <v>0</v>
      </c>
      <c r="AE54" s="140">
        <f>Valores!$C$32</f>
        <v>259.82</v>
      </c>
      <c r="AF54" s="144">
        <v>0</v>
      </c>
      <c r="AG54" s="140">
        <f>INT(((AF54*Valores!$C$2)*100)+0.5)/100</f>
        <v>0</v>
      </c>
      <c r="AH54" s="140">
        <f>IF($H$5="NO",Valores!$C$60,Valores!$C$60/2)</f>
        <v>528.49</v>
      </c>
      <c r="AI54" s="140">
        <f>IF($H$5="NO",Valores!$C$62,Valores!$C$62/2)</f>
        <v>151</v>
      </c>
      <c r="AJ54" s="146">
        <f t="shared" si="7"/>
        <v>87689.04750000003</v>
      </c>
      <c r="AK54" s="142">
        <f>Valores!$C$37</f>
        <v>1360.88</v>
      </c>
      <c r="AL54" s="143">
        <f>Valores!$C$87</f>
        <v>4550</v>
      </c>
      <c r="AM54" s="143"/>
      <c r="AN54" s="145">
        <f>IF($H$4="NO",0,Valores!$C$53)</f>
        <v>0</v>
      </c>
      <c r="AO54" s="147">
        <f t="shared" si="5"/>
        <v>5910.88</v>
      </c>
      <c r="AP54" s="148">
        <f>AJ54*Valores!$C$69</f>
        <v>-9645.7952250000035</v>
      </c>
      <c r="AQ54" s="148">
        <f>AJ54*-Valores!$C$70</f>
        <v>0</v>
      </c>
      <c r="AR54" s="142">
        <f>AJ54*Valores!$C$71</f>
        <v>-3946.0071375000011</v>
      </c>
      <c r="AS54" s="142">
        <f>Valores!$C$95</f>
        <v>-193.38</v>
      </c>
      <c r="AT54" s="142">
        <f>IF($H$6=0,Valores!$C$96,(Valores!$C$96+$H$6*(Valores!$C$96)))</f>
        <v>-129</v>
      </c>
      <c r="AU54" s="146">
        <f t="shared" si="8"/>
        <v>79685.745137500024</v>
      </c>
      <c r="AV54" s="199">
        <f t="shared" si="0"/>
        <v>-9645.7952250000035</v>
      </c>
      <c r="AW54" s="142">
        <f>AJ54*Valores!$C$72</f>
        <v>-2367.6042825000009</v>
      </c>
      <c r="AX54" s="142">
        <f>AJ54*Valores!$C$73</f>
        <v>-263.0671425000001</v>
      </c>
      <c r="AY54" s="146">
        <f t="shared" si="9"/>
        <v>81323.460850000032</v>
      </c>
      <c r="AZ54" s="150"/>
      <c r="BA54" s="150"/>
      <c r="BB54" s="135" t="s">
        <v>8</v>
      </c>
    </row>
    <row r="55" spans="1:54" s="114" customFormat="1" ht="11.25" customHeight="1" x14ac:dyDescent="0.15">
      <c r="A55" s="134">
        <v>52</v>
      </c>
      <c r="B55" s="134"/>
      <c r="C55" s="135" t="s">
        <v>223</v>
      </c>
      <c r="D55" s="135"/>
      <c r="E55" s="135">
        <f t="shared" si="1"/>
        <v>33</v>
      </c>
      <c r="F55" s="136" t="s">
        <v>224</v>
      </c>
      <c r="G55" s="137">
        <v>100</v>
      </c>
      <c r="H55" s="138">
        <f>INT((G55*Valores!$C$2*100)+0.5)/100</f>
        <v>1242.67</v>
      </c>
      <c r="I55" s="139">
        <v>3360</v>
      </c>
      <c r="J55" s="140">
        <f>INT((I55*Valores!$C$2*100)+0.5)/100</f>
        <v>41753.71</v>
      </c>
      <c r="K55" s="155">
        <v>0</v>
      </c>
      <c r="L55" s="140">
        <f>INT((K55*Valores!$C$2*100)+0.5)/100</f>
        <v>0</v>
      </c>
      <c r="M55" s="153">
        <v>0</v>
      </c>
      <c r="N55" s="140">
        <f>INT((M55*Valores!$C$2*100)+0.5)/100</f>
        <v>0</v>
      </c>
      <c r="O55" s="140">
        <f t="shared" si="2"/>
        <v>7801.1384999999991</v>
      </c>
      <c r="P55" s="140">
        <f t="shared" si="3"/>
        <v>0</v>
      </c>
      <c r="Q55" s="142">
        <f>Valores!$C$16</f>
        <v>13030.51</v>
      </c>
      <c r="R55" s="142">
        <f>Valores!$D$4</f>
        <v>6352.5280000000002</v>
      </c>
      <c r="S55" s="154">
        <f>Valores!$C$28</f>
        <v>5667.45</v>
      </c>
      <c r="T55" s="143">
        <f>IF($H$5="NO",Valores!$C$45,Valores!$C$45/2)</f>
        <v>3100.1</v>
      </c>
      <c r="U55" s="140">
        <f>Valores!$C$25</f>
        <v>5911.11</v>
      </c>
      <c r="V55" s="140">
        <f t="shared" si="13"/>
        <v>5911.11</v>
      </c>
      <c r="W55" s="140">
        <v>0</v>
      </c>
      <c r="X55" s="140">
        <v>0</v>
      </c>
      <c r="Y55" s="144">
        <v>0</v>
      </c>
      <c r="Z55" s="140">
        <f>Y55*Valores!$C$2</f>
        <v>0</v>
      </c>
      <c r="AA55" s="140">
        <v>0</v>
      </c>
      <c r="AB55" s="143">
        <f>Valores!$C$92</f>
        <v>4440.01</v>
      </c>
      <c r="AC55" s="145">
        <f>Valores!$C$31</f>
        <v>259.82</v>
      </c>
      <c r="AD55" s="140">
        <f t="shared" si="6"/>
        <v>0</v>
      </c>
      <c r="AE55" s="140">
        <f>Valores!$C$32</f>
        <v>259.82</v>
      </c>
      <c r="AF55" s="144">
        <v>0</v>
      </c>
      <c r="AG55" s="140">
        <f>INT(((AF55*Valores!$C$2)*100)+0.5)/100</f>
        <v>0</v>
      </c>
      <c r="AH55" s="140">
        <f>IF($H$5="NO",Valores!$C$60,Valores!$C$60/2)</f>
        <v>528.49</v>
      </c>
      <c r="AI55" s="140">
        <f>IF($H$5="NO",Valores!$C$62,Valores!$C$62/2)</f>
        <v>151</v>
      </c>
      <c r="AJ55" s="146">
        <f t="shared" si="7"/>
        <v>90498.356500000024</v>
      </c>
      <c r="AK55" s="142">
        <f>Valores!$C$37</f>
        <v>1360.88</v>
      </c>
      <c r="AL55" s="143">
        <f>Valores!$C$87</f>
        <v>4550</v>
      </c>
      <c r="AM55" s="143"/>
      <c r="AN55" s="145">
        <f>IF($H$4="NO",0,Valores!$C$53)</f>
        <v>0</v>
      </c>
      <c r="AO55" s="147">
        <f t="shared" si="5"/>
        <v>5910.88</v>
      </c>
      <c r="AP55" s="148">
        <f>AJ55*Valores!$C$69</f>
        <v>-9954.8192150000032</v>
      </c>
      <c r="AQ55" s="148">
        <f>AJ55*-Valores!$C$70</f>
        <v>0</v>
      </c>
      <c r="AR55" s="142">
        <f>AJ55*Valores!$C$71</f>
        <v>-4072.4260425000011</v>
      </c>
      <c r="AS55" s="142">
        <f>Valores!$C$95</f>
        <v>-193.38</v>
      </c>
      <c r="AT55" s="142">
        <f>IF($H$6=0,Valores!$C$96,(Valores!$C$96+$H$6*(Valores!$C$96)))</f>
        <v>-129</v>
      </c>
      <c r="AU55" s="146">
        <f t="shared" si="8"/>
        <v>82059.611242500017</v>
      </c>
      <c r="AV55" s="199">
        <f t="shared" si="0"/>
        <v>-9954.8192150000032</v>
      </c>
      <c r="AW55" s="142">
        <f>AJ55*Valores!$C$72</f>
        <v>-2443.4556255000007</v>
      </c>
      <c r="AX55" s="142">
        <f>AJ55*Valores!$C$73</f>
        <v>-271.49506950000006</v>
      </c>
      <c r="AY55" s="146">
        <f t="shared" si="9"/>
        <v>83739.466590000025</v>
      </c>
      <c r="AZ55" s="150"/>
      <c r="BA55" s="150"/>
      <c r="BB55" s="135" t="s">
        <v>4</v>
      </c>
    </row>
    <row r="56" spans="1:54" s="114" customFormat="1" ht="11.25" customHeight="1" x14ac:dyDescent="0.15">
      <c r="A56" s="134">
        <v>53</v>
      </c>
      <c r="B56" s="134"/>
      <c r="C56" s="135" t="s">
        <v>225</v>
      </c>
      <c r="D56" s="135"/>
      <c r="E56" s="135">
        <f t="shared" si="1"/>
        <v>25</v>
      </c>
      <c r="F56" s="136" t="s">
        <v>226</v>
      </c>
      <c r="G56" s="137">
        <v>98</v>
      </c>
      <c r="H56" s="138">
        <f>INT((G56*Valores!$C$2*100)+0.5)/100</f>
        <v>1217.82</v>
      </c>
      <c r="I56" s="139">
        <v>2686</v>
      </c>
      <c r="J56" s="140">
        <f>INT((I56*Valores!$C$2*100)+0.5)/100</f>
        <v>33378.120000000003</v>
      </c>
      <c r="K56" s="155">
        <v>0</v>
      </c>
      <c r="L56" s="140">
        <f>INT((K56*Valores!$C$2*100)+0.5)/100</f>
        <v>0</v>
      </c>
      <c r="M56" s="153">
        <v>0</v>
      </c>
      <c r="N56" s="140">
        <f>INT((M56*Valores!$C$2*100)+0.5)/100</f>
        <v>0</v>
      </c>
      <c r="O56" s="140">
        <f t="shared" si="2"/>
        <v>6391.9229999999998</v>
      </c>
      <c r="P56" s="140">
        <f t="shared" si="3"/>
        <v>0</v>
      </c>
      <c r="Q56" s="142">
        <f>Valores!$C$16</f>
        <v>13030.51</v>
      </c>
      <c r="R56" s="142">
        <f>Valores!$D$4</f>
        <v>6352.5280000000002</v>
      </c>
      <c r="S56" s="140">
        <f>Valores!$C$28</f>
        <v>5667.45</v>
      </c>
      <c r="T56" s="143">
        <f>IF($H$5="NO",Valores!$C$44,Valores!$C$44/2)</f>
        <v>2105.77</v>
      </c>
      <c r="U56" s="140">
        <f>Valores!$C$25</f>
        <v>5911.11</v>
      </c>
      <c r="V56" s="140">
        <f t="shared" si="13"/>
        <v>5911.11</v>
      </c>
      <c r="W56" s="140">
        <v>0</v>
      </c>
      <c r="X56" s="140">
        <v>0</v>
      </c>
      <c r="Y56" s="144">
        <v>0</v>
      </c>
      <c r="Z56" s="140">
        <f>Y56*Valores!$C$2</f>
        <v>0</v>
      </c>
      <c r="AA56" s="140">
        <v>0</v>
      </c>
      <c r="AB56" s="143">
        <f>Valores!$C$91</f>
        <v>2664.01</v>
      </c>
      <c r="AC56" s="145">
        <f>Valores!$C$31</f>
        <v>259.82</v>
      </c>
      <c r="AD56" s="140">
        <f t="shared" si="6"/>
        <v>0</v>
      </c>
      <c r="AE56" s="140">
        <f>Valores!$C$32</f>
        <v>259.82</v>
      </c>
      <c r="AF56" s="144">
        <v>0</v>
      </c>
      <c r="AG56" s="140">
        <f>INT(((AF56*Valores!$C$2)*100)+0.5)/100</f>
        <v>0</v>
      </c>
      <c r="AH56" s="140">
        <f>IF($H$5="NO",Valores!$C$60,Valores!$C$60/2)</f>
        <v>528.49</v>
      </c>
      <c r="AI56" s="140">
        <f>IF($H$5="NO",Valores!$C$62,Valores!$C$62/2)</f>
        <v>151</v>
      </c>
      <c r="AJ56" s="146">
        <f t="shared" si="7"/>
        <v>77918.371000000028</v>
      </c>
      <c r="AK56" s="142">
        <f>Valores!$C$37</f>
        <v>1360.88</v>
      </c>
      <c r="AL56" s="143">
        <f>Valores!$C$86</f>
        <v>2730</v>
      </c>
      <c r="AM56" s="143"/>
      <c r="AN56" s="145">
        <f>IF($H$4="NO",0,Valores!$C$53)</f>
        <v>0</v>
      </c>
      <c r="AO56" s="147">
        <f t="shared" si="5"/>
        <v>4090.88</v>
      </c>
      <c r="AP56" s="148">
        <f>AJ56*Valores!$C$69</f>
        <v>-8571.0208100000036</v>
      </c>
      <c r="AQ56" s="148">
        <f>AJ56*-Valores!$C$70</f>
        <v>0</v>
      </c>
      <c r="AR56" s="142">
        <f>AJ56*Valores!$C$71</f>
        <v>-3506.3266950000011</v>
      </c>
      <c r="AS56" s="142">
        <f>Valores!$C$95</f>
        <v>-193.38</v>
      </c>
      <c r="AT56" s="142">
        <f>IF($H$6=0,Valores!$C$96,(Valores!$C$96+$H$6*(Valores!$C$96)))</f>
        <v>-129</v>
      </c>
      <c r="AU56" s="146">
        <f t="shared" si="8"/>
        <v>69609.52349500003</v>
      </c>
      <c r="AV56" s="199">
        <f t="shared" si="0"/>
        <v>-8571.0208100000036</v>
      </c>
      <c r="AW56" s="142">
        <f>AJ56*Valores!$C$72</f>
        <v>-2103.7960170000006</v>
      </c>
      <c r="AX56" s="142">
        <f>AJ56*Valores!$C$73</f>
        <v>-233.75511300000008</v>
      </c>
      <c r="AY56" s="146">
        <f t="shared" si="9"/>
        <v>71100.679060000024</v>
      </c>
      <c r="AZ56" s="150"/>
      <c r="BA56" s="150">
        <v>30</v>
      </c>
      <c r="BB56" s="135" t="s">
        <v>4</v>
      </c>
    </row>
    <row r="57" spans="1:54" s="114" customFormat="1" ht="11.25" customHeight="1" x14ac:dyDescent="0.15">
      <c r="A57" s="134">
        <v>54</v>
      </c>
      <c r="B57" s="134"/>
      <c r="C57" s="135" t="s">
        <v>227</v>
      </c>
      <c r="D57" s="135"/>
      <c r="E57" s="135">
        <f t="shared" si="1"/>
        <v>28</v>
      </c>
      <c r="F57" s="136" t="s">
        <v>228</v>
      </c>
      <c r="G57" s="137">
        <v>94</v>
      </c>
      <c r="H57" s="138">
        <f>INT((G57*Valores!$C$2*100)+0.5)/100</f>
        <v>1168.1099999999999</v>
      </c>
      <c r="I57" s="139">
        <v>2690</v>
      </c>
      <c r="J57" s="140">
        <f>INT((I57*Valores!$C$2*100)+0.5)/100</f>
        <v>33427.82</v>
      </c>
      <c r="K57" s="155">
        <v>0</v>
      </c>
      <c r="L57" s="140">
        <f>INT((K57*Valores!$C$2*100)+0.5)/100</f>
        <v>0</v>
      </c>
      <c r="M57" s="153">
        <v>0</v>
      </c>
      <c r="N57" s="140">
        <f>INT((M57*Valores!$C$2*100)+0.5)/100</f>
        <v>0</v>
      </c>
      <c r="O57" s="140">
        <f t="shared" si="2"/>
        <v>6391.9214999999995</v>
      </c>
      <c r="P57" s="140">
        <f t="shared" si="3"/>
        <v>0</v>
      </c>
      <c r="Q57" s="142">
        <f>Valores!$C$16</f>
        <v>13030.51</v>
      </c>
      <c r="R57" s="142">
        <f>Valores!$D$4</f>
        <v>6352.5280000000002</v>
      </c>
      <c r="S57" s="154">
        <f>Valores!$C$28</f>
        <v>5667.45</v>
      </c>
      <c r="T57" s="143">
        <f>IF($H$5="NO",Valores!$C$44,Valores!$C$44/2)</f>
        <v>2105.77</v>
      </c>
      <c r="U57" s="140">
        <f>Valores!$C$25</f>
        <v>5911.11</v>
      </c>
      <c r="V57" s="140">
        <f t="shared" si="13"/>
        <v>5911.11</v>
      </c>
      <c r="W57" s="140">
        <v>0</v>
      </c>
      <c r="X57" s="140">
        <v>0</v>
      </c>
      <c r="Y57" s="144">
        <v>0</v>
      </c>
      <c r="Z57" s="140">
        <f>Y57*Valores!$C$2</f>
        <v>0</v>
      </c>
      <c r="AA57" s="140">
        <v>0</v>
      </c>
      <c r="AB57" s="143">
        <f>Valores!$C$91</f>
        <v>2664.01</v>
      </c>
      <c r="AC57" s="145">
        <f>Valores!$C$31</f>
        <v>259.82</v>
      </c>
      <c r="AD57" s="140">
        <f t="shared" si="6"/>
        <v>0</v>
      </c>
      <c r="AE57" s="140">
        <f>Valores!$C$32</f>
        <v>259.82</v>
      </c>
      <c r="AF57" s="144">
        <v>94</v>
      </c>
      <c r="AG57" s="140">
        <f>INT(((AF57*Valores!$C$2)*100)+0.5)/100</f>
        <v>1168.1099999999999</v>
      </c>
      <c r="AH57" s="140">
        <f>IF($H$5="NO",Valores!$C$60,Valores!$C$60/2)</f>
        <v>528.49</v>
      </c>
      <c r="AI57" s="140">
        <f>IF($H$5="NO",Valores!$C$62,Valores!$C$62/2)</f>
        <v>151</v>
      </c>
      <c r="AJ57" s="146">
        <f t="shared" si="7"/>
        <v>79086.469500000021</v>
      </c>
      <c r="AK57" s="142">
        <f>Valores!$C$37</f>
        <v>1360.88</v>
      </c>
      <c r="AL57" s="143">
        <f>Valores!$C$86</f>
        <v>2730</v>
      </c>
      <c r="AM57" s="143"/>
      <c r="AN57" s="145">
        <f>IF($H$4="NO",0,Valores!$C$53)</f>
        <v>0</v>
      </c>
      <c r="AO57" s="147">
        <f t="shared" si="5"/>
        <v>4090.88</v>
      </c>
      <c r="AP57" s="148">
        <f>AJ57*Valores!$C$69</f>
        <v>-8699.5116450000023</v>
      </c>
      <c r="AQ57" s="148">
        <f>AJ57*-Valores!$C$70</f>
        <v>0</v>
      </c>
      <c r="AR57" s="142">
        <f>AJ57*Valores!$C$71</f>
        <v>-3558.8911275000009</v>
      </c>
      <c r="AS57" s="142">
        <f>Valores!$C$95</f>
        <v>-193.38</v>
      </c>
      <c r="AT57" s="142">
        <f>IF($H$6=0,Valores!$C$96,(Valores!$C$96+$H$6*(Valores!$C$96)))</f>
        <v>-129</v>
      </c>
      <c r="AU57" s="146">
        <f t="shared" si="8"/>
        <v>70596.566727500016</v>
      </c>
      <c r="AV57" s="199">
        <f t="shared" si="0"/>
        <v>-8699.5116450000023</v>
      </c>
      <c r="AW57" s="142">
        <f>AJ57*Valores!$C$72</f>
        <v>-2135.3346765000006</v>
      </c>
      <c r="AX57" s="142">
        <f>AJ57*Valores!$C$73</f>
        <v>-237.25940850000006</v>
      </c>
      <c r="AY57" s="146">
        <f t="shared" si="9"/>
        <v>72105.24377000003</v>
      </c>
      <c r="AZ57" s="150"/>
      <c r="BA57" s="150">
        <v>25</v>
      </c>
      <c r="BB57" s="135" t="s">
        <v>4</v>
      </c>
    </row>
    <row r="58" spans="1:54" s="114" customFormat="1" ht="11.25" customHeight="1" x14ac:dyDescent="0.15">
      <c r="A58" s="152">
        <v>55</v>
      </c>
      <c r="B58" s="152" t="s">
        <v>139</v>
      </c>
      <c r="C58" s="135" t="s">
        <v>229</v>
      </c>
      <c r="D58" s="135"/>
      <c r="E58" s="135">
        <f t="shared" si="1"/>
        <v>25</v>
      </c>
      <c r="F58" s="136" t="s">
        <v>230</v>
      </c>
      <c r="G58" s="137">
        <v>93</v>
      </c>
      <c r="H58" s="138">
        <f>INT((G58*Valores!$C$2*100)+0.5)/100</f>
        <v>1155.68</v>
      </c>
      <c r="I58" s="139">
        <v>2547</v>
      </c>
      <c r="J58" s="140">
        <f>INT((I58*Valores!$C$2*100)+0.5)/100</f>
        <v>31650.799999999999</v>
      </c>
      <c r="K58" s="155">
        <v>0</v>
      </c>
      <c r="L58" s="140">
        <f>INT((K58*Valores!$C$2*100)+0.5)/100</f>
        <v>0</v>
      </c>
      <c r="M58" s="153">
        <v>0</v>
      </c>
      <c r="N58" s="140">
        <f>INT((M58*Valores!$C$2*100)+0.5)/100</f>
        <v>0</v>
      </c>
      <c r="O58" s="140">
        <f t="shared" si="2"/>
        <v>6123.503999999999</v>
      </c>
      <c r="P58" s="140">
        <f t="shared" si="3"/>
        <v>0</v>
      </c>
      <c r="Q58" s="142">
        <f>Valores!$C$16</f>
        <v>13030.51</v>
      </c>
      <c r="R58" s="142">
        <f>Valores!$D$4</f>
        <v>6352.5280000000002</v>
      </c>
      <c r="S58" s="154">
        <f>Valores!$C$28</f>
        <v>5667.45</v>
      </c>
      <c r="T58" s="143">
        <f>IF($H$5="NO",Valores!$C$44,Valores!$C$44/2)</f>
        <v>2105.77</v>
      </c>
      <c r="U58" s="140">
        <f>Valores!$C$25</f>
        <v>5911.11</v>
      </c>
      <c r="V58" s="140">
        <f t="shared" si="13"/>
        <v>5911.11</v>
      </c>
      <c r="W58" s="140">
        <v>0</v>
      </c>
      <c r="X58" s="140">
        <v>0</v>
      </c>
      <c r="Y58" s="144">
        <v>0</v>
      </c>
      <c r="Z58" s="140">
        <f>Y58*Valores!$C$2</f>
        <v>0</v>
      </c>
      <c r="AA58" s="140">
        <v>0</v>
      </c>
      <c r="AB58" s="143">
        <f>Valores!$C$91</f>
        <v>2664.01</v>
      </c>
      <c r="AC58" s="145">
        <f>Valores!$C$31</f>
        <v>259.82</v>
      </c>
      <c r="AD58" s="140">
        <f t="shared" si="6"/>
        <v>0</v>
      </c>
      <c r="AE58" s="140">
        <f>Valores!$C$32</f>
        <v>259.82</v>
      </c>
      <c r="AF58" s="144">
        <v>0</v>
      </c>
      <c r="AG58" s="140">
        <f>INT(((AF58*Valores!$C$2)*100)+0.5)/100</f>
        <v>0</v>
      </c>
      <c r="AH58" s="140">
        <f>IF($H$5="NO",Valores!$C$60,Valores!$C$60/2)</f>
        <v>528.49</v>
      </c>
      <c r="AI58" s="140">
        <f>IF($H$5="NO",Valores!$C$62,Valores!$C$62/2)</f>
        <v>151</v>
      </c>
      <c r="AJ58" s="146">
        <f t="shared" si="7"/>
        <v>75860.492000000013</v>
      </c>
      <c r="AK58" s="142">
        <f>Valores!$C$37</f>
        <v>1360.88</v>
      </c>
      <c r="AL58" s="143">
        <f>Valores!$C$86</f>
        <v>2730</v>
      </c>
      <c r="AM58" s="143"/>
      <c r="AN58" s="145">
        <f>IF($H$4="NO",0,Valores!$C$53)</f>
        <v>0</v>
      </c>
      <c r="AO58" s="147">
        <f t="shared" si="5"/>
        <v>4090.88</v>
      </c>
      <c r="AP58" s="148">
        <f>AJ58*Valores!$C$69</f>
        <v>-8344.6541200000011</v>
      </c>
      <c r="AQ58" s="148">
        <f>AJ58*-Valores!$C$70</f>
        <v>0</v>
      </c>
      <c r="AR58" s="142">
        <f>AJ58*Valores!$C$71</f>
        <v>-3413.7221400000003</v>
      </c>
      <c r="AS58" s="142">
        <f>Valores!$C$95</f>
        <v>-193.38</v>
      </c>
      <c r="AT58" s="142">
        <f>IF($H$6=0,Valores!$C$96,(Valores!$C$96+$H$6*(Valores!$C$96)))</f>
        <v>-129</v>
      </c>
      <c r="AU58" s="146">
        <f t="shared" si="8"/>
        <v>67870.615740000008</v>
      </c>
      <c r="AV58" s="199">
        <f t="shared" si="0"/>
        <v>-8344.6541200000011</v>
      </c>
      <c r="AW58" s="142">
        <f>AJ58*Valores!$C$72</f>
        <v>-2048.2332840000004</v>
      </c>
      <c r="AX58" s="142">
        <f>AJ58*Valores!$C$73</f>
        <v>-227.58147600000004</v>
      </c>
      <c r="AY58" s="146">
        <f t="shared" si="9"/>
        <v>69330.903120000017</v>
      </c>
      <c r="AZ58" s="150"/>
      <c r="BA58" s="150">
        <v>30</v>
      </c>
      <c r="BB58" s="135" t="s">
        <v>4</v>
      </c>
    </row>
    <row r="59" spans="1:54" s="114" customFormat="1" ht="11.25" customHeight="1" x14ac:dyDescent="0.15">
      <c r="A59" s="134">
        <v>56</v>
      </c>
      <c r="B59" s="134"/>
      <c r="C59" s="135" t="s">
        <v>231</v>
      </c>
      <c r="D59" s="135"/>
      <c r="E59" s="135">
        <f t="shared" si="1"/>
        <v>28</v>
      </c>
      <c r="F59" s="136" t="s">
        <v>232</v>
      </c>
      <c r="G59" s="137">
        <v>89</v>
      </c>
      <c r="H59" s="138">
        <f>INT((G59*Valores!$C$2*100)+0.5)/100</f>
        <v>1105.98</v>
      </c>
      <c r="I59" s="139">
        <v>2551</v>
      </c>
      <c r="J59" s="140">
        <f>INT((I59*Valores!$C$2*100)+0.5)/100</f>
        <v>31700.51</v>
      </c>
      <c r="K59" s="155">
        <v>0</v>
      </c>
      <c r="L59" s="140">
        <f>INT((K59*Valores!$C$2*100)+0.5)/100</f>
        <v>0</v>
      </c>
      <c r="M59" s="153">
        <v>0</v>
      </c>
      <c r="N59" s="140">
        <f>INT((M59*Valores!$C$2*100)+0.5)/100</f>
        <v>0</v>
      </c>
      <c r="O59" s="140">
        <f t="shared" si="2"/>
        <v>6123.5054999999993</v>
      </c>
      <c r="P59" s="140">
        <f t="shared" si="3"/>
        <v>0</v>
      </c>
      <c r="Q59" s="142">
        <f>Valores!$C$16</f>
        <v>13030.51</v>
      </c>
      <c r="R59" s="142">
        <f>Valores!$D$4</f>
        <v>6352.5280000000002</v>
      </c>
      <c r="S59" s="154">
        <f>Valores!$C$28</f>
        <v>5667.45</v>
      </c>
      <c r="T59" s="143">
        <f>IF($H$5="NO",Valores!$C$44,Valores!$C$44/2)</f>
        <v>2105.77</v>
      </c>
      <c r="U59" s="140">
        <f>Valores!$C$25</f>
        <v>5911.11</v>
      </c>
      <c r="V59" s="140">
        <f t="shared" si="13"/>
        <v>5911.11</v>
      </c>
      <c r="W59" s="140">
        <v>0</v>
      </c>
      <c r="X59" s="140">
        <v>0</v>
      </c>
      <c r="Y59" s="144">
        <v>0</v>
      </c>
      <c r="Z59" s="140">
        <f>Y59*Valores!$C$2</f>
        <v>0</v>
      </c>
      <c r="AA59" s="140">
        <v>0</v>
      </c>
      <c r="AB59" s="143">
        <f>Valores!$C$91</f>
        <v>2664.01</v>
      </c>
      <c r="AC59" s="145">
        <f>Valores!$C$31</f>
        <v>259.82</v>
      </c>
      <c r="AD59" s="140">
        <f t="shared" si="6"/>
        <v>0</v>
      </c>
      <c r="AE59" s="140">
        <f>Valores!$C$32</f>
        <v>259.82</v>
      </c>
      <c r="AF59" s="144">
        <v>94</v>
      </c>
      <c r="AG59" s="140">
        <f>INT(((AF59*Valores!$C$2)*100)+0.5)/100</f>
        <v>1168.1099999999999</v>
      </c>
      <c r="AH59" s="140">
        <f>IF($H$5="NO",Valores!$C$60,Valores!$C$60/2)</f>
        <v>528.49</v>
      </c>
      <c r="AI59" s="140">
        <f>IF($H$5="NO",Valores!$C$62,Valores!$C$62/2)</f>
        <v>151</v>
      </c>
      <c r="AJ59" s="146">
        <f t="shared" si="7"/>
        <v>77028.613500000007</v>
      </c>
      <c r="AK59" s="142">
        <f>Valores!$C$37</f>
        <v>1360.88</v>
      </c>
      <c r="AL59" s="143">
        <f>Valores!$C$86</f>
        <v>2730</v>
      </c>
      <c r="AM59" s="143"/>
      <c r="AN59" s="145">
        <f>IF($H$4="NO",0,Valores!$C$53)</f>
        <v>0</v>
      </c>
      <c r="AO59" s="147">
        <f t="shared" si="5"/>
        <v>4090.88</v>
      </c>
      <c r="AP59" s="148">
        <f>AJ59*Valores!$C$69</f>
        <v>-8473.1474850000013</v>
      </c>
      <c r="AQ59" s="148">
        <f>AJ59*-Valores!$C$70</f>
        <v>0</v>
      </c>
      <c r="AR59" s="142">
        <f>AJ59*Valores!$C$71</f>
        <v>-3466.2876075000004</v>
      </c>
      <c r="AS59" s="142">
        <f>Valores!$C$95</f>
        <v>-193.38</v>
      </c>
      <c r="AT59" s="142">
        <f>IF($H$6=0,Valores!$C$96,(Valores!$C$96+$H$6*(Valores!$C$96)))</f>
        <v>-129</v>
      </c>
      <c r="AU59" s="146">
        <f t="shared" si="8"/>
        <v>68857.678407500003</v>
      </c>
      <c r="AV59" s="199">
        <f t="shared" si="0"/>
        <v>-8473.1474850000013</v>
      </c>
      <c r="AW59" s="142">
        <f>AJ59*Valores!$C$72</f>
        <v>-2079.7725645</v>
      </c>
      <c r="AX59" s="142">
        <f>AJ59*Valores!$C$73</f>
        <v>-231.08584050000002</v>
      </c>
      <c r="AY59" s="146">
        <f t="shared" si="9"/>
        <v>70335.487610000011</v>
      </c>
      <c r="AZ59" s="150"/>
      <c r="BA59" s="150">
        <v>25</v>
      </c>
      <c r="BB59" s="135" t="s">
        <v>4</v>
      </c>
    </row>
    <row r="60" spans="1:54" s="114" customFormat="1" ht="11.25" customHeight="1" x14ac:dyDescent="0.15">
      <c r="A60" s="134">
        <v>57</v>
      </c>
      <c r="B60" s="134"/>
      <c r="C60" s="135" t="s">
        <v>233</v>
      </c>
      <c r="D60" s="135"/>
      <c r="E60" s="135">
        <f t="shared" si="1"/>
        <v>25</v>
      </c>
      <c r="F60" s="136" t="s">
        <v>234</v>
      </c>
      <c r="G60" s="137">
        <v>89</v>
      </c>
      <c r="H60" s="138">
        <f>INT((G60*Valores!$C$2*100)+0.5)/100</f>
        <v>1105.98</v>
      </c>
      <c r="I60" s="139">
        <v>2251</v>
      </c>
      <c r="J60" s="140">
        <f>INT((I60*Valores!$C$2*100)+0.5)/100</f>
        <v>27972.5</v>
      </c>
      <c r="K60" s="155">
        <v>0</v>
      </c>
      <c r="L60" s="140">
        <f>INT((K60*Valores!$C$2*100)+0.5)/100</f>
        <v>0</v>
      </c>
      <c r="M60" s="153">
        <v>0</v>
      </c>
      <c r="N60" s="140">
        <f>INT((M60*Valores!$C$2*100)+0.5)/100</f>
        <v>0</v>
      </c>
      <c r="O60" s="140">
        <f t="shared" si="2"/>
        <v>5564.3039999999992</v>
      </c>
      <c r="P60" s="140">
        <f t="shared" si="3"/>
        <v>0</v>
      </c>
      <c r="Q60" s="142">
        <f>Valores!$C$16</f>
        <v>13030.51</v>
      </c>
      <c r="R60" s="142">
        <f>Valores!$D$4</f>
        <v>6352.5280000000002</v>
      </c>
      <c r="S60" s="154">
        <f>Valores!$C$28</f>
        <v>5667.45</v>
      </c>
      <c r="T60" s="143">
        <f>IF($H$5="NO",Valores!$C$44,Valores!$C$44/2)</f>
        <v>2105.77</v>
      </c>
      <c r="U60" s="140">
        <f>Valores!$C$25</f>
        <v>5911.11</v>
      </c>
      <c r="V60" s="140">
        <f t="shared" si="13"/>
        <v>5911.11</v>
      </c>
      <c r="W60" s="140">
        <v>0</v>
      </c>
      <c r="X60" s="140">
        <v>0</v>
      </c>
      <c r="Y60" s="144">
        <v>0</v>
      </c>
      <c r="Z60" s="140">
        <f>Y60*Valores!$C$2</f>
        <v>0</v>
      </c>
      <c r="AA60" s="140">
        <v>0</v>
      </c>
      <c r="AB60" s="143">
        <f>Valores!$C$91</f>
        <v>2664.01</v>
      </c>
      <c r="AC60" s="145">
        <f>Valores!$C$31</f>
        <v>259.82</v>
      </c>
      <c r="AD60" s="140">
        <f t="shared" si="6"/>
        <v>0</v>
      </c>
      <c r="AE60" s="140">
        <f>Valores!$C$32</f>
        <v>259.82</v>
      </c>
      <c r="AF60" s="144">
        <v>0</v>
      </c>
      <c r="AG60" s="140">
        <f>INT(((AF60*Valores!$C$2)*100)+0.5)/100</f>
        <v>0</v>
      </c>
      <c r="AH60" s="140">
        <f>IF($H$5="NO",Valores!$C$60,Valores!$C$60/2)</f>
        <v>528.49</v>
      </c>
      <c r="AI60" s="140">
        <f>IF($H$5="NO",Valores!$C$62,Valores!$C$62/2)</f>
        <v>151</v>
      </c>
      <c r="AJ60" s="146">
        <f t="shared" si="7"/>
        <v>71573.292000000016</v>
      </c>
      <c r="AK60" s="142">
        <f>Valores!$C$37</f>
        <v>1360.88</v>
      </c>
      <c r="AL60" s="143">
        <f>Valores!$C$86</f>
        <v>2730</v>
      </c>
      <c r="AM60" s="143"/>
      <c r="AN60" s="145">
        <f>IF($H$4="NO",0,Valores!$C$53)</f>
        <v>0</v>
      </c>
      <c r="AO60" s="147">
        <f t="shared" si="5"/>
        <v>4090.88</v>
      </c>
      <c r="AP60" s="148">
        <f>AJ60*Valores!$C$69</f>
        <v>-7873.0621200000014</v>
      </c>
      <c r="AQ60" s="148">
        <f>AJ60*-Valores!$C$70</f>
        <v>0</v>
      </c>
      <c r="AR60" s="142">
        <f>AJ60*Valores!$C$71</f>
        <v>-3220.7981400000008</v>
      </c>
      <c r="AS60" s="142">
        <f>Valores!$C$95</f>
        <v>-193.38</v>
      </c>
      <c r="AT60" s="142">
        <f>IF($H$6=0,Valores!$C$96,(Valores!$C$96+$H$6*(Valores!$C$96)))</f>
        <v>-129</v>
      </c>
      <c r="AU60" s="146">
        <f t="shared" si="8"/>
        <v>64247.931740000015</v>
      </c>
      <c r="AV60" s="199">
        <f t="shared" si="0"/>
        <v>-7873.0621200000014</v>
      </c>
      <c r="AW60" s="142">
        <f>AJ60*Valores!$C$72</f>
        <v>-1932.4788840000003</v>
      </c>
      <c r="AX60" s="142">
        <f>AJ60*Valores!$C$73</f>
        <v>-214.71987600000006</v>
      </c>
      <c r="AY60" s="146">
        <f t="shared" si="9"/>
        <v>65643.911120000019</v>
      </c>
      <c r="AZ60" s="150"/>
      <c r="BA60" s="150">
        <v>30</v>
      </c>
      <c r="BB60" s="135" t="s">
        <v>4</v>
      </c>
    </row>
    <row r="61" spans="1:54" s="114" customFormat="1" ht="11.25" customHeight="1" x14ac:dyDescent="0.15">
      <c r="A61" s="134">
        <v>58</v>
      </c>
      <c r="B61" s="134"/>
      <c r="C61" s="135" t="s">
        <v>235</v>
      </c>
      <c r="D61" s="135"/>
      <c r="E61" s="135">
        <f t="shared" si="1"/>
        <v>28</v>
      </c>
      <c r="F61" s="136" t="s">
        <v>236</v>
      </c>
      <c r="G61" s="137">
        <v>85</v>
      </c>
      <c r="H61" s="138">
        <f>INT((G61*Valores!$C$2*100)+0.5)/100</f>
        <v>1056.27</v>
      </c>
      <c r="I61" s="139">
        <v>2255</v>
      </c>
      <c r="J61" s="140">
        <f>INT((I61*Valores!$C$2*100)+0.5)/100</f>
        <v>28022.21</v>
      </c>
      <c r="K61" s="155">
        <v>0</v>
      </c>
      <c r="L61" s="140">
        <f>INT((K61*Valores!$C$2*100)+0.5)/100</f>
        <v>0</v>
      </c>
      <c r="M61" s="153">
        <v>0</v>
      </c>
      <c r="N61" s="140">
        <f>INT((M61*Valores!$C$2*100)+0.5)/100</f>
        <v>0</v>
      </c>
      <c r="O61" s="140">
        <f t="shared" si="2"/>
        <v>5564.3039999999992</v>
      </c>
      <c r="P61" s="140">
        <f t="shared" si="3"/>
        <v>0</v>
      </c>
      <c r="Q61" s="142">
        <f>Valores!$C$16</f>
        <v>13030.51</v>
      </c>
      <c r="R61" s="142">
        <f>Valores!$D$4</f>
        <v>6352.5280000000002</v>
      </c>
      <c r="S61" s="140">
        <f>Valores!$C$28</f>
        <v>5667.45</v>
      </c>
      <c r="T61" s="143">
        <f>IF($H$5="NO",Valores!$C$44,Valores!$C$44/2)</f>
        <v>2105.77</v>
      </c>
      <c r="U61" s="140">
        <f>Valores!$C$25</f>
        <v>5911.11</v>
      </c>
      <c r="V61" s="140">
        <f t="shared" si="13"/>
        <v>5911.11</v>
      </c>
      <c r="W61" s="140">
        <v>0</v>
      </c>
      <c r="X61" s="140">
        <v>0</v>
      </c>
      <c r="Y61" s="144">
        <v>0</v>
      </c>
      <c r="Z61" s="140">
        <f>Y61*Valores!$C$2</f>
        <v>0</v>
      </c>
      <c r="AA61" s="140">
        <v>0</v>
      </c>
      <c r="AB61" s="143">
        <f>Valores!$C$91</f>
        <v>2664.01</v>
      </c>
      <c r="AC61" s="145">
        <f>Valores!$C$31</f>
        <v>259.82</v>
      </c>
      <c r="AD61" s="140">
        <f t="shared" si="6"/>
        <v>0</v>
      </c>
      <c r="AE61" s="140">
        <f>Valores!$C$32</f>
        <v>259.82</v>
      </c>
      <c r="AF61" s="144">
        <v>94</v>
      </c>
      <c r="AG61" s="140">
        <f>INT(((AF61*Valores!$C$2)*100)+0.5)/100</f>
        <v>1168.1099999999999</v>
      </c>
      <c r="AH61" s="140">
        <f>IF($H$5="NO",Valores!$C$60,Valores!$C$60/2)</f>
        <v>528.49</v>
      </c>
      <c r="AI61" s="140">
        <f>IF($H$5="NO",Valores!$C$62,Valores!$C$62/2)</f>
        <v>151</v>
      </c>
      <c r="AJ61" s="146">
        <f t="shared" si="7"/>
        <v>72741.402000000016</v>
      </c>
      <c r="AK61" s="142">
        <f>Valores!$C$37</f>
        <v>1360.88</v>
      </c>
      <c r="AL61" s="143">
        <f>Valores!$C$86</f>
        <v>2730</v>
      </c>
      <c r="AM61" s="143"/>
      <c r="AN61" s="145">
        <f>IF($H$4="NO",0,Valores!$C$53)</f>
        <v>0</v>
      </c>
      <c r="AO61" s="147">
        <f t="shared" si="5"/>
        <v>4090.88</v>
      </c>
      <c r="AP61" s="148">
        <f>AJ61*Valores!$C$69</f>
        <v>-8001.5542200000018</v>
      </c>
      <c r="AQ61" s="148">
        <f>AJ61*-Valores!$C$70</f>
        <v>0</v>
      </c>
      <c r="AR61" s="142">
        <f>AJ61*Valores!$C$71</f>
        <v>-3273.3630900000007</v>
      </c>
      <c r="AS61" s="142">
        <f>Valores!$C$95</f>
        <v>-193.38</v>
      </c>
      <c r="AT61" s="142">
        <f>IF($H$6=0,Valores!$C$96,(Valores!$C$96+$H$6*(Valores!$C$96)))</f>
        <v>-129</v>
      </c>
      <c r="AU61" s="146">
        <f t="shared" si="8"/>
        <v>65234.984690000012</v>
      </c>
      <c r="AV61" s="199">
        <f t="shared" si="0"/>
        <v>-8001.5542200000018</v>
      </c>
      <c r="AW61" s="142">
        <f>AJ61*Valores!$C$72</f>
        <v>-1964.0178540000004</v>
      </c>
      <c r="AX61" s="142">
        <f>AJ61*Valores!$C$73</f>
        <v>-218.22420600000007</v>
      </c>
      <c r="AY61" s="146">
        <f t="shared" si="9"/>
        <v>66648.485720000026</v>
      </c>
      <c r="AZ61" s="150"/>
      <c r="BA61" s="150">
        <v>25</v>
      </c>
      <c r="BB61" s="135" t="s">
        <v>4</v>
      </c>
    </row>
    <row r="62" spans="1:54" s="114" customFormat="1" ht="11.25" customHeight="1" x14ac:dyDescent="0.15">
      <c r="A62" s="134">
        <v>59</v>
      </c>
      <c r="B62" s="134"/>
      <c r="C62" s="135" t="s">
        <v>237</v>
      </c>
      <c r="D62" s="135"/>
      <c r="E62" s="135">
        <f t="shared" si="1"/>
        <v>33</v>
      </c>
      <c r="F62" s="136" t="s">
        <v>238</v>
      </c>
      <c r="G62" s="137">
        <v>100</v>
      </c>
      <c r="H62" s="138">
        <f>INT((G62*Valores!$C$2*100)+0.5)/100</f>
        <v>1242.67</v>
      </c>
      <c r="I62" s="139">
        <v>3180</v>
      </c>
      <c r="J62" s="140">
        <f>INT((I62*Valores!$C$2*100)+0.5)/100</f>
        <v>39516.910000000003</v>
      </c>
      <c r="K62" s="155">
        <v>0</v>
      </c>
      <c r="L62" s="140">
        <f>INT((K62*Valores!$C$2*100)+0.5)/100</f>
        <v>0</v>
      </c>
      <c r="M62" s="153">
        <v>0</v>
      </c>
      <c r="N62" s="140">
        <f>INT((M62*Valores!$C$2*100)+0.5)/100</f>
        <v>0</v>
      </c>
      <c r="O62" s="140">
        <f t="shared" si="2"/>
        <v>7465.6184999999996</v>
      </c>
      <c r="P62" s="140">
        <f t="shared" si="3"/>
        <v>0</v>
      </c>
      <c r="Q62" s="142">
        <f>Valores!$C$16</f>
        <v>13030.51</v>
      </c>
      <c r="R62" s="142">
        <f>Valores!$D$4</f>
        <v>6352.5280000000002</v>
      </c>
      <c r="S62" s="154">
        <f>Valores!$C$28</f>
        <v>5667.45</v>
      </c>
      <c r="T62" s="143">
        <f>IF($H$5="NO",Valores!$C$45,Valores!$C$45/2)</f>
        <v>3100.1</v>
      </c>
      <c r="U62" s="140">
        <f>Valores!$C$25</f>
        <v>5911.11</v>
      </c>
      <c r="V62" s="140">
        <f t="shared" si="13"/>
        <v>5911.11</v>
      </c>
      <c r="W62" s="140">
        <v>0</v>
      </c>
      <c r="X62" s="140">
        <v>0</v>
      </c>
      <c r="Y62" s="144">
        <v>0</v>
      </c>
      <c r="Z62" s="140">
        <f>Y62*Valores!$C$2</f>
        <v>0</v>
      </c>
      <c r="AA62" s="140">
        <v>0</v>
      </c>
      <c r="AB62" s="143">
        <f>Valores!$C$91</f>
        <v>2664.01</v>
      </c>
      <c r="AC62" s="145">
        <f>Valores!$C$31</f>
        <v>259.82</v>
      </c>
      <c r="AD62" s="140">
        <f t="shared" si="6"/>
        <v>0</v>
      </c>
      <c r="AE62" s="140">
        <f>Valores!$C$32</f>
        <v>259.82</v>
      </c>
      <c r="AF62" s="144">
        <v>0</v>
      </c>
      <c r="AG62" s="140">
        <f>INT(((AF62*Valores!$C$2)*100)+0.5)/100</f>
        <v>0</v>
      </c>
      <c r="AH62" s="140">
        <f>IF($H$5="NO",Valores!$C$60,Valores!$C$60/2)</f>
        <v>528.49</v>
      </c>
      <c r="AI62" s="140">
        <f>IF($H$5="NO",Valores!$C$62,Valores!$C$62/2)</f>
        <v>151</v>
      </c>
      <c r="AJ62" s="146">
        <f t="shared" si="7"/>
        <v>86150.036500000017</v>
      </c>
      <c r="AK62" s="142">
        <f>Valores!$C$37</f>
        <v>1360.88</v>
      </c>
      <c r="AL62" s="143">
        <f>Valores!$C$86</f>
        <v>2730</v>
      </c>
      <c r="AM62" s="143"/>
      <c r="AN62" s="145">
        <f>IF($H$4="NO",0,Valores!$C$53)</f>
        <v>0</v>
      </c>
      <c r="AO62" s="147">
        <f t="shared" si="5"/>
        <v>4090.88</v>
      </c>
      <c r="AP62" s="148">
        <f>AJ62*Valores!$C$69</f>
        <v>-9476.5040150000023</v>
      </c>
      <c r="AQ62" s="148">
        <f>AJ62*-Valores!$C$70</f>
        <v>0</v>
      </c>
      <c r="AR62" s="142">
        <f>AJ62*Valores!$C$71</f>
        <v>-3876.7516425000008</v>
      </c>
      <c r="AS62" s="142">
        <f>Valores!$C$95</f>
        <v>-193.38</v>
      </c>
      <c r="AT62" s="142">
        <f>IF($H$6=0,Valores!$C$96,(Valores!$C$96+$H$6*(Valores!$C$96)))</f>
        <v>-129</v>
      </c>
      <c r="AU62" s="146">
        <f t="shared" si="8"/>
        <v>76565.280842500011</v>
      </c>
      <c r="AV62" s="199">
        <f t="shared" si="0"/>
        <v>-9476.5040150000023</v>
      </c>
      <c r="AW62" s="142">
        <f>AJ62*Valores!$C$72</f>
        <v>-2326.0509855000005</v>
      </c>
      <c r="AX62" s="142">
        <f>AJ62*Valores!$C$73</f>
        <v>-258.45010950000005</v>
      </c>
      <c r="AY62" s="146">
        <f t="shared" si="9"/>
        <v>78179.911390000023</v>
      </c>
      <c r="AZ62" s="150"/>
      <c r="BA62" s="150"/>
      <c r="BB62" s="135" t="s">
        <v>4</v>
      </c>
    </row>
    <row r="63" spans="1:54" s="114" customFormat="1" ht="11.25" customHeight="1" x14ac:dyDescent="0.15">
      <c r="A63" s="152">
        <v>60</v>
      </c>
      <c r="B63" s="152" t="s">
        <v>139</v>
      </c>
      <c r="C63" s="135" t="s">
        <v>239</v>
      </c>
      <c r="D63" s="135"/>
      <c r="E63" s="135">
        <f t="shared" si="1"/>
        <v>30</v>
      </c>
      <c r="F63" s="136" t="s">
        <v>240</v>
      </c>
      <c r="G63" s="137">
        <v>83</v>
      </c>
      <c r="H63" s="138">
        <f>INT((G63*Valores!$C$2*100)+0.5)/100</f>
        <v>1031.42</v>
      </c>
      <c r="I63" s="139">
        <v>2352</v>
      </c>
      <c r="J63" s="140">
        <f>INT((I63*Valores!$C$2*100)+0.5)/100</f>
        <v>29227.599999999999</v>
      </c>
      <c r="K63" s="155">
        <v>0</v>
      </c>
      <c r="L63" s="140">
        <f>INT((K63*Valores!$C$2*100)+0.5)/100</f>
        <v>0</v>
      </c>
      <c r="M63" s="153">
        <v>0</v>
      </c>
      <c r="N63" s="140">
        <f>INT((M63*Valores!$C$2*100)+0.5)/100</f>
        <v>0</v>
      </c>
      <c r="O63" s="140">
        <f t="shared" si="2"/>
        <v>5741.3849999999993</v>
      </c>
      <c r="P63" s="140">
        <f t="shared" si="3"/>
        <v>0</v>
      </c>
      <c r="Q63" s="142">
        <f>Valores!$C$16</f>
        <v>13030.51</v>
      </c>
      <c r="R63" s="142">
        <f>Valores!$D$4</f>
        <v>6352.5280000000002</v>
      </c>
      <c r="S63" s="154">
        <f>Valores!$C$28</f>
        <v>5667.45</v>
      </c>
      <c r="T63" s="143">
        <f>IF($H$5="NO",Valores!$C$44,Valores!$C$44/2)</f>
        <v>2105.77</v>
      </c>
      <c r="U63" s="140">
        <f>Valores!$C$25</f>
        <v>5911.11</v>
      </c>
      <c r="V63" s="140">
        <f t="shared" si="13"/>
        <v>5911.11</v>
      </c>
      <c r="W63" s="140">
        <v>0</v>
      </c>
      <c r="X63" s="140">
        <v>0</v>
      </c>
      <c r="Y63" s="144">
        <v>0</v>
      </c>
      <c r="Z63" s="140">
        <f>Y63*Valores!$C$2</f>
        <v>0</v>
      </c>
      <c r="AA63" s="140">
        <v>0</v>
      </c>
      <c r="AB63" s="143">
        <f>Valores!$C$91</f>
        <v>2664.01</v>
      </c>
      <c r="AC63" s="145">
        <f>Valores!$C$31</f>
        <v>259.82</v>
      </c>
      <c r="AD63" s="140">
        <f t="shared" si="6"/>
        <v>0</v>
      </c>
      <c r="AE63" s="140">
        <f>Valores!$C$32</f>
        <v>259.82</v>
      </c>
      <c r="AF63" s="144">
        <v>0</v>
      </c>
      <c r="AG63" s="140">
        <f>INT(((AF63*Valores!$C$2)*100)+0.5)/100</f>
        <v>0</v>
      </c>
      <c r="AH63" s="140">
        <f>IF($H$5="NO",Valores!$C$60,Valores!$C$60/2)</f>
        <v>528.49</v>
      </c>
      <c r="AI63" s="140">
        <f>IF($H$5="NO",Valores!$C$62,Valores!$C$62/2)</f>
        <v>151</v>
      </c>
      <c r="AJ63" s="146">
        <f t="shared" si="7"/>
        <v>72930.913000000015</v>
      </c>
      <c r="AK63" s="142">
        <f>Valores!$C$37</f>
        <v>1360.88</v>
      </c>
      <c r="AL63" s="143">
        <f>Valores!$C$86</f>
        <v>2730</v>
      </c>
      <c r="AM63" s="143"/>
      <c r="AN63" s="145">
        <f>IF($H$4="NO",0,Valores!$C$53)</f>
        <v>0</v>
      </c>
      <c r="AO63" s="147">
        <f t="shared" si="5"/>
        <v>4090.88</v>
      </c>
      <c r="AP63" s="148">
        <f>AJ63*Valores!$C$69</f>
        <v>-8022.4004300000015</v>
      </c>
      <c r="AQ63" s="148">
        <f>AJ63*-Valores!$C$70</f>
        <v>0</v>
      </c>
      <c r="AR63" s="142">
        <f>AJ63*Valores!$C$71</f>
        <v>-3281.8910850000007</v>
      </c>
      <c r="AS63" s="142">
        <f>Valores!$C$95</f>
        <v>-193.38</v>
      </c>
      <c r="AT63" s="142">
        <f>IF($H$6=0,Valores!$C$96,(Valores!$C$96+$H$6*(Valores!$C$96)))</f>
        <v>-129</v>
      </c>
      <c r="AU63" s="146">
        <f t="shared" si="8"/>
        <v>65395.121485000011</v>
      </c>
      <c r="AV63" s="199">
        <f t="shared" si="0"/>
        <v>-8022.4004300000015</v>
      </c>
      <c r="AW63" s="142">
        <f>AJ63*Valores!$C$72</f>
        <v>-1969.1346510000003</v>
      </c>
      <c r="AX63" s="142">
        <f>AJ63*Valores!$C$73</f>
        <v>-218.79273900000004</v>
      </c>
      <c r="AY63" s="146">
        <f t="shared" si="9"/>
        <v>66811.465180000014</v>
      </c>
      <c r="AZ63" s="150"/>
      <c r="BA63" s="150">
        <v>30</v>
      </c>
      <c r="BB63" s="135" t="s">
        <v>4</v>
      </c>
    </row>
    <row r="64" spans="1:54" s="114" customFormat="1" ht="11.25" customHeight="1" x14ac:dyDescent="0.15">
      <c r="A64" s="134">
        <v>61</v>
      </c>
      <c r="B64" s="134"/>
      <c r="C64" s="135" t="s">
        <v>241</v>
      </c>
      <c r="D64" s="135"/>
      <c r="E64" s="135">
        <f t="shared" si="1"/>
        <v>33</v>
      </c>
      <c r="F64" s="136" t="s">
        <v>242</v>
      </c>
      <c r="G64" s="137">
        <v>81</v>
      </c>
      <c r="H64" s="138">
        <f>INT((G64*Valores!$C$2*100)+0.5)/100</f>
        <v>1006.56</v>
      </c>
      <c r="I64" s="139">
        <v>2354</v>
      </c>
      <c r="J64" s="140">
        <f>INT((I64*Valores!$C$2*100)+0.5)/100</f>
        <v>29252.45</v>
      </c>
      <c r="K64" s="155">
        <v>0</v>
      </c>
      <c r="L64" s="140">
        <f>INT((K64*Valores!$C$2*100)+0.5)/100</f>
        <v>0</v>
      </c>
      <c r="M64" s="153">
        <v>0</v>
      </c>
      <c r="N64" s="140">
        <f>INT((M64*Valores!$C$2*100)+0.5)/100</f>
        <v>0</v>
      </c>
      <c r="O64" s="140">
        <f t="shared" si="2"/>
        <v>5741.3834999999999</v>
      </c>
      <c r="P64" s="140">
        <f t="shared" si="3"/>
        <v>0</v>
      </c>
      <c r="Q64" s="142">
        <f>Valores!$C$16</f>
        <v>13030.51</v>
      </c>
      <c r="R64" s="142">
        <f>Valores!$D$4</f>
        <v>6352.5280000000002</v>
      </c>
      <c r="S64" s="154">
        <f>Valores!$C$28</f>
        <v>5667.45</v>
      </c>
      <c r="T64" s="143">
        <f>IF($H$5="NO",Valores!$C$44,Valores!$C$44/2)</f>
        <v>2105.77</v>
      </c>
      <c r="U64" s="140">
        <f>Valores!$C$25</f>
        <v>5911.11</v>
      </c>
      <c r="V64" s="140">
        <f t="shared" si="13"/>
        <v>5911.11</v>
      </c>
      <c r="W64" s="140">
        <v>0</v>
      </c>
      <c r="X64" s="140">
        <v>0</v>
      </c>
      <c r="Y64" s="144">
        <v>0</v>
      </c>
      <c r="Z64" s="140">
        <f>Y64*Valores!$C$2</f>
        <v>0</v>
      </c>
      <c r="AA64" s="140">
        <v>0</v>
      </c>
      <c r="AB64" s="143">
        <f>Valores!$C$91</f>
        <v>2664.01</v>
      </c>
      <c r="AC64" s="145">
        <f>Valores!$C$31</f>
        <v>259.82</v>
      </c>
      <c r="AD64" s="140">
        <f t="shared" si="6"/>
        <v>0</v>
      </c>
      <c r="AE64" s="140">
        <f>Valores!$C$32</f>
        <v>259.82</v>
      </c>
      <c r="AF64" s="144">
        <v>94</v>
      </c>
      <c r="AG64" s="140">
        <f>INT(((AF64*Valores!$C$2)*100)+0.5)/100</f>
        <v>1168.1099999999999</v>
      </c>
      <c r="AH64" s="140">
        <f>IF($H$5="NO",Valores!$C$60,Valores!$C$60/2)</f>
        <v>528.49</v>
      </c>
      <c r="AI64" s="140">
        <f>IF($H$5="NO",Valores!$C$62,Valores!$C$62/2)</f>
        <v>151</v>
      </c>
      <c r="AJ64" s="146">
        <f t="shared" si="7"/>
        <v>74099.011500000022</v>
      </c>
      <c r="AK64" s="142">
        <f>Valores!$C$37</f>
        <v>1360.88</v>
      </c>
      <c r="AL64" s="143">
        <f>Valores!$C$86</f>
        <v>2730</v>
      </c>
      <c r="AM64" s="143"/>
      <c r="AN64" s="145">
        <f>IF($H$4="NO",0,Valores!$C$53)</f>
        <v>0</v>
      </c>
      <c r="AO64" s="147">
        <f t="shared" si="5"/>
        <v>4090.88</v>
      </c>
      <c r="AP64" s="148">
        <f>AJ64*Valores!$C$69</f>
        <v>-8150.8912650000029</v>
      </c>
      <c r="AQ64" s="148">
        <f>AJ64*-Valores!$C$70</f>
        <v>0</v>
      </c>
      <c r="AR64" s="142">
        <f>AJ64*Valores!$C$71</f>
        <v>-3334.455517500001</v>
      </c>
      <c r="AS64" s="142">
        <f>Valores!$C$95</f>
        <v>-193.38</v>
      </c>
      <c r="AT64" s="142">
        <f>IF($H$6=0,Valores!$C$96,(Valores!$C$96+$H$6*(Valores!$C$96)))</f>
        <v>-129</v>
      </c>
      <c r="AU64" s="146">
        <f t="shared" si="8"/>
        <v>66382.164717500025</v>
      </c>
      <c r="AV64" s="199">
        <f t="shared" si="0"/>
        <v>-8150.8912650000029</v>
      </c>
      <c r="AW64" s="142">
        <f>AJ64*Valores!$C$72</f>
        <v>-2000.6733105000005</v>
      </c>
      <c r="AX64" s="142">
        <f>AJ64*Valores!$C$73</f>
        <v>-222.29703450000008</v>
      </c>
      <c r="AY64" s="146">
        <f t="shared" si="9"/>
        <v>67816.02989000002</v>
      </c>
      <c r="AZ64" s="150"/>
      <c r="BA64" s="150">
        <v>25</v>
      </c>
      <c r="BB64" s="135" t="s">
        <v>4</v>
      </c>
    </row>
    <row r="65" spans="1:54" s="114" customFormat="1" ht="11.25" customHeight="1" x14ac:dyDescent="0.15">
      <c r="A65" s="134">
        <v>62</v>
      </c>
      <c r="B65" s="134"/>
      <c r="C65" s="135" t="s">
        <v>243</v>
      </c>
      <c r="D65" s="135"/>
      <c r="E65" s="135">
        <f t="shared" si="1"/>
        <v>30</v>
      </c>
      <c r="F65" s="136" t="s">
        <v>244</v>
      </c>
      <c r="G65" s="137">
        <v>81</v>
      </c>
      <c r="H65" s="138">
        <f>INT((G65*Valores!$C$2*100)+0.5)/100</f>
        <v>1006.56</v>
      </c>
      <c r="I65" s="139">
        <v>2094</v>
      </c>
      <c r="J65" s="140">
        <f>INT((I65*Valores!$C$2*100)+0.5)/100</f>
        <v>26021.51</v>
      </c>
      <c r="K65" s="155">
        <v>0</v>
      </c>
      <c r="L65" s="140">
        <f>INT((K65*Valores!$C$2*100)+0.5)/100</f>
        <v>0</v>
      </c>
      <c r="M65" s="153">
        <v>0</v>
      </c>
      <c r="N65" s="140">
        <f>INT((M65*Valores!$C$2*100)+0.5)/100</f>
        <v>0</v>
      </c>
      <c r="O65" s="140">
        <f t="shared" si="2"/>
        <v>5256.7424999999994</v>
      </c>
      <c r="P65" s="140">
        <f t="shared" si="3"/>
        <v>0</v>
      </c>
      <c r="Q65" s="142">
        <f>Valores!$C$16</f>
        <v>13030.51</v>
      </c>
      <c r="R65" s="142">
        <f>Valores!$D$4</f>
        <v>6352.5280000000002</v>
      </c>
      <c r="S65" s="154">
        <f>Valores!$C$28</f>
        <v>5667.45</v>
      </c>
      <c r="T65" s="143">
        <f>IF($H$5="NO",Valores!$C$44,Valores!$C$44/2)</f>
        <v>2105.77</v>
      </c>
      <c r="U65" s="140">
        <f>Valores!$C$25</f>
        <v>5911.11</v>
      </c>
      <c r="V65" s="140">
        <f t="shared" si="13"/>
        <v>5911.11</v>
      </c>
      <c r="W65" s="140">
        <v>0</v>
      </c>
      <c r="X65" s="140">
        <v>0</v>
      </c>
      <c r="Y65" s="144">
        <v>0</v>
      </c>
      <c r="Z65" s="140">
        <f>Y65*Valores!$C$2</f>
        <v>0</v>
      </c>
      <c r="AA65" s="140">
        <v>0</v>
      </c>
      <c r="AB65" s="143">
        <f>Valores!$C$91</f>
        <v>2664.01</v>
      </c>
      <c r="AC65" s="145">
        <f>Valores!$C$31</f>
        <v>259.82</v>
      </c>
      <c r="AD65" s="140">
        <f t="shared" si="6"/>
        <v>0</v>
      </c>
      <c r="AE65" s="140">
        <f>Valores!$C$32</f>
        <v>259.82</v>
      </c>
      <c r="AF65" s="144">
        <v>0</v>
      </c>
      <c r="AG65" s="140">
        <f>INT(((AF65*Valores!$C$2)*100)+0.5)/100</f>
        <v>0</v>
      </c>
      <c r="AH65" s="140">
        <f>IF($H$5="NO",Valores!$C$60,Valores!$C$60/2)</f>
        <v>528.49</v>
      </c>
      <c r="AI65" s="140">
        <f>IF($H$5="NO",Valores!$C$62,Valores!$C$62/2)</f>
        <v>151</v>
      </c>
      <c r="AJ65" s="146">
        <f t="shared" si="7"/>
        <v>69215.320500000002</v>
      </c>
      <c r="AK65" s="142">
        <f>Valores!$C$37</f>
        <v>1360.88</v>
      </c>
      <c r="AL65" s="143">
        <f>Valores!$C$86</f>
        <v>2730</v>
      </c>
      <c r="AM65" s="143"/>
      <c r="AN65" s="145">
        <f>IF($H$4="NO",0,Valores!$C$53)</f>
        <v>0</v>
      </c>
      <c r="AO65" s="147">
        <f t="shared" si="5"/>
        <v>4090.88</v>
      </c>
      <c r="AP65" s="148">
        <f>AJ65*Valores!$C$69</f>
        <v>-7613.6852550000003</v>
      </c>
      <c r="AQ65" s="148">
        <f>AJ65*-Valores!$C$70</f>
        <v>0</v>
      </c>
      <c r="AR65" s="142">
        <f>AJ65*Valores!$C$71</f>
        <v>-3114.6894225000001</v>
      </c>
      <c r="AS65" s="142">
        <f>Valores!$C$95</f>
        <v>-193.38</v>
      </c>
      <c r="AT65" s="142">
        <f>IF($H$6=0,Valores!$C$96,(Valores!$C$96+$H$6*(Valores!$C$96)))</f>
        <v>-129</v>
      </c>
      <c r="AU65" s="146">
        <f t="shared" si="8"/>
        <v>62255.445822499998</v>
      </c>
      <c r="AV65" s="199">
        <f t="shared" si="0"/>
        <v>-7613.6852550000003</v>
      </c>
      <c r="AW65" s="142">
        <f>AJ65*Valores!$C$72</f>
        <v>-1868.8136535000001</v>
      </c>
      <c r="AX65" s="142">
        <f>AJ65*Valores!$C$73</f>
        <v>-207.6459615</v>
      </c>
      <c r="AY65" s="146">
        <f t="shared" si="9"/>
        <v>63616.055630000003</v>
      </c>
      <c r="AZ65" s="150"/>
      <c r="BA65" s="150">
        <v>30</v>
      </c>
      <c r="BB65" s="135" t="s">
        <v>4</v>
      </c>
    </row>
    <row r="66" spans="1:54" s="114" customFormat="1" ht="11.25" customHeight="1" x14ac:dyDescent="0.15">
      <c r="A66" s="134">
        <v>63</v>
      </c>
      <c r="B66" s="134"/>
      <c r="C66" s="135" t="s">
        <v>245</v>
      </c>
      <c r="D66" s="135"/>
      <c r="E66" s="135">
        <f t="shared" si="1"/>
        <v>33</v>
      </c>
      <c r="F66" s="136" t="s">
        <v>246</v>
      </c>
      <c r="G66" s="137">
        <v>80</v>
      </c>
      <c r="H66" s="138">
        <f>INT((G66*Valores!$C$2*100)+0.5)/100</f>
        <v>994.14</v>
      </c>
      <c r="I66" s="139">
        <v>2095</v>
      </c>
      <c r="J66" s="140">
        <f>INT((I66*Valores!$C$2*100)+0.5)/100</f>
        <v>26033.94</v>
      </c>
      <c r="K66" s="155">
        <v>0</v>
      </c>
      <c r="L66" s="140">
        <f>INT((K66*Valores!$C$2*100)+0.5)/100</f>
        <v>0</v>
      </c>
      <c r="M66" s="153">
        <v>0</v>
      </c>
      <c r="N66" s="140">
        <f>INT((M66*Valores!$C$2*100)+0.5)/100</f>
        <v>0</v>
      </c>
      <c r="O66" s="140">
        <f t="shared" si="2"/>
        <v>5256.7439999999988</v>
      </c>
      <c r="P66" s="140">
        <f t="shared" si="3"/>
        <v>0</v>
      </c>
      <c r="Q66" s="142">
        <f>Valores!$C$16</f>
        <v>13030.51</v>
      </c>
      <c r="R66" s="142">
        <f>Valores!$D$4</f>
        <v>6352.5280000000002</v>
      </c>
      <c r="S66" s="140">
        <f>Valores!$C$28</f>
        <v>5667.45</v>
      </c>
      <c r="T66" s="143">
        <f>IF($H$5="NO",Valores!$C$44,Valores!$C$44/2)</f>
        <v>2105.77</v>
      </c>
      <c r="U66" s="140">
        <f>Valores!$C$25</f>
        <v>5911.11</v>
      </c>
      <c r="V66" s="140">
        <f t="shared" si="13"/>
        <v>5911.11</v>
      </c>
      <c r="W66" s="140">
        <v>0</v>
      </c>
      <c r="X66" s="140">
        <v>0</v>
      </c>
      <c r="Y66" s="144">
        <v>0</v>
      </c>
      <c r="Z66" s="140">
        <f>Y66*Valores!$C$2</f>
        <v>0</v>
      </c>
      <c r="AA66" s="140">
        <v>0</v>
      </c>
      <c r="AB66" s="143">
        <f>Valores!$C$91</f>
        <v>2664.01</v>
      </c>
      <c r="AC66" s="145">
        <f>Valores!$C$31</f>
        <v>259.82</v>
      </c>
      <c r="AD66" s="140">
        <f t="shared" si="6"/>
        <v>0</v>
      </c>
      <c r="AE66" s="140">
        <f>Valores!$C$32</f>
        <v>259.82</v>
      </c>
      <c r="AF66" s="144">
        <v>94</v>
      </c>
      <c r="AG66" s="140">
        <f>INT(((AF66*Valores!$C$2)*100)+0.5)/100</f>
        <v>1168.1099999999999</v>
      </c>
      <c r="AH66" s="140">
        <f>IF($H$5="NO",Valores!$C$60,Valores!$C$60/2)</f>
        <v>528.49</v>
      </c>
      <c r="AI66" s="140">
        <f>IF($H$5="NO",Valores!$C$62,Valores!$C$62/2)</f>
        <v>151</v>
      </c>
      <c r="AJ66" s="146">
        <f t="shared" si="7"/>
        <v>70383.441999999995</v>
      </c>
      <c r="AK66" s="142">
        <f>Valores!$C$37</f>
        <v>1360.88</v>
      </c>
      <c r="AL66" s="143">
        <f>Valores!$C$86</f>
        <v>2730</v>
      </c>
      <c r="AM66" s="143"/>
      <c r="AN66" s="145">
        <f>IF($H$4="NO",0,Valores!$C$53)</f>
        <v>0</v>
      </c>
      <c r="AO66" s="147">
        <f t="shared" si="5"/>
        <v>4090.88</v>
      </c>
      <c r="AP66" s="148">
        <f>AJ66*Valores!$C$69</f>
        <v>-7742.1786199999997</v>
      </c>
      <c r="AQ66" s="148">
        <f>AJ66*-Valores!$C$70</f>
        <v>0</v>
      </c>
      <c r="AR66" s="142">
        <f>AJ66*Valores!$C$71</f>
        <v>-3167.2548899999997</v>
      </c>
      <c r="AS66" s="142">
        <f>Valores!$C$95</f>
        <v>-193.38</v>
      </c>
      <c r="AT66" s="142">
        <f>IF($H$6=0,Valores!$C$96,(Valores!$C$96+$H$6*(Valores!$C$96)))</f>
        <v>-129</v>
      </c>
      <c r="AU66" s="146">
        <f t="shared" si="8"/>
        <v>63242.508489999993</v>
      </c>
      <c r="AV66" s="199">
        <f t="shared" si="0"/>
        <v>-7742.1786199999997</v>
      </c>
      <c r="AW66" s="142">
        <f>AJ66*Valores!$C$72</f>
        <v>-1900.3529339999998</v>
      </c>
      <c r="AX66" s="142">
        <f>AJ66*Valores!$C$73</f>
        <v>-211.15032599999998</v>
      </c>
      <c r="AY66" s="146">
        <f t="shared" si="9"/>
        <v>64620.640119999996</v>
      </c>
      <c r="AZ66" s="150"/>
      <c r="BA66" s="150">
        <v>25</v>
      </c>
      <c r="BB66" s="135" t="s">
        <v>4</v>
      </c>
    </row>
    <row r="67" spans="1:54" s="114" customFormat="1" ht="11.25" customHeight="1" x14ac:dyDescent="0.15">
      <c r="A67" s="134">
        <v>64</v>
      </c>
      <c r="B67" s="134"/>
      <c r="C67" s="135" t="s">
        <v>247</v>
      </c>
      <c r="D67" s="135"/>
      <c r="E67" s="135">
        <f t="shared" si="1"/>
        <v>30</v>
      </c>
      <c r="F67" s="136" t="s">
        <v>248</v>
      </c>
      <c r="G67" s="137">
        <v>79</v>
      </c>
      <c r="H67" s="138">
        <f>INT((G67*Valores!$C$2*100)+0.5)/100</f>
        <v>981.71</v>
      </c>
      <c r="I67" s="139">
        <v>1944</v>
      </c>
      <c r="J67" s="140">
        <f>INT((I67*Valores!$C$2*100)+0.5)/100</f>
        <v>24157.5</v>
      </c>
      <c r="K67" s="155">
        <v>0</v>
      </c>
      <c r="L67" s="140">
        <f>INT((K67*Valores!$C$2*100)+0.5)/100</f>
        <v>0</v>
      </c>
      <c r="M67" s="153">
        <v>0</v>
      </c>
      <c r="N67" s="140">
        <f>INT((M67*Valores!$C$2*100)+0.5)/100</f>
        <v>0</v>
      </c>
      <c r="O67" s="140">
        <f t="shared" si="2"/>
        <v>4973.4134999999997</v>
      </c>
      <c r="P67" s="140">
        <f t="shared" si="3"/>
        <v>0</v>
      </c>
      <c r="Q67" s="142">
        <f>Valores!$C$16</f>
        <v>13030.51</v>
      </c>
      <c r="R67" s="142">
        <f>Valores!$D$4</f>
        <v>6352.5280000000002</v>
      </c>
      <c r="S67" s="154">
        <f>Valores!$C$28</f>
        <v>5667.45</v>
      </c>
      <c r="T67" s="143">
        <f>IF($H$5="NO",Valores!$C$44,Valores!$C$44/2)</f>
        <v>2105.77</v>
      </c>
      <c r="U67" s="140">
        <f>Valores!$C$25</f>
        <v>5911.11</v>
      </c>
      <c r="V67" s="140">
        <f t="shared" si="13"/>
        <v>5911.11</v>
      </c>
      <c r="W67" s="140">
        <v>0</v>
      </c>
      <c r="X67" s="140">
        <v>0</v>
      </c>
      <c r="Y67" s="144">
        <v>0</v>
      </c>
      <c r="Z67" s="140">
        <f>Y67*Valores!$C$2</f>
        <v>0</v>
      </c>
      <c r="AA67" s="140">
        <v>0</v>
      </c>
      <c r="AB67" s="143">
        <f>Valores!$C$91</f>
        <v>2664.01</v>
      </c>
      <c r="AC67" s="145">
        <f>Valores!$C$31</f>
        <v>259.82</v>
      </c>
      <c r="AD67" s="140">
        <f t="shared" si="6"/>
        <v>0</v>
      </c>
      <c r="AE67" s="140">
        <f>Valores!$C$32</f>
        <v>259.82</v>
      </c>
      <c r="AF67" s="144">
        <v>0</v>
      </c>
      <c r="AG67" s="140">
        <f>INT(((AF67*Valores!$C$2)*100)+0.5)/100</f>
        <v>0</v>
      </c>
      <c r="AH67" s="140">
        <f>IF($H$5="NO",Valores!$C$60,Valores!$C$60/2)</f>
        <v>528.49</v>
      </c>
      <c r="AI67" s="140">
        <f>IF($H$5="NO",Valores!$C$62,Valores!$C$62/2)</f>
        <v>151</v>
      </c>
      <c r="AJ67" s="146">
        <f t="shared" si="7"/>
        <v>67043.131499999989</v>
      </c>
      <c r="AK67" s="142">
        <f>Valores!$C$37</f>
        <v>1360.88</v>
      </c>
      <c r="AL67" s="143">
        <f>Valores!$C$86</f>
        <v>2730</v>
      </c>
      <c r="AM67" s="143"/>
      <c r="AN67" s="145">
        <f>IF($H$4="NO",0,Valores!$C$53)</f>
        <v>0</v>
      </c>
      <c r="AO67" s="147">
        <f t="shared" si="5"/>
        <v>4090.88</v>
      </c>
      <c r="AP67" s="148">
        <f>AJ67*Valores!$C$69</f>
        <v>-7374.7444649999989</v>
      </c>
      <c r="AQ67" s="148">
        <f>AJ67*-Valores!$C$70</f>
        <v>0</v>
      </c>
      <c r="AR67" s="142">
        <f>AJ67*Valores!$C$71</f>
        <v>-3016.9409174999992</v>
      </c>
      <c r="AS67" s="142">
        <f>Valores!$C$95</f>
        <v>-193.38</v>
      </c>
      <c r="AT67" s="142">
        <f>IF($H$6=0,Valores!$C$96,(Valores!$C$96+$H$6*(Valores!$C$96)))</f>
        <v>-129</v>
      </c>
      <c r="AU67" s="146">
        <f t="shared" si="8"/>
        <v>60419.946117499989</v>
      </c>
      <c r="AV67" s="199">
        <f t="shared" si="0"/>
        <v>-7374.7444649999989</v>
      </c>
      <c r="AW67" s="142">
        <f>AJ67*Valores!$C$72</f>
        <v>-1810.1645504999997</v>
      </c>
      <c r="AX67" s="142">
        <f>AJ67*Valores!$C$73</f>
        <v>-201.12939449999996</v>
      </c>
      <c r="AY67" s="146">
        <f t="shared" si="9"/>
        <v>61747.97309</v>
      </c>
      <c r="AZ67" s="150"/>
      <c r="BA67" s="150">
        <v>30</v>
      </c>
      <c r="BB67" s="135" t="s">
        <v>4</v>
      </c>
    </row>
    <row r="68" spans="1:54" s="114" customFormat="1" ht="11.25" customHeight="1" x14ac:dyDescent="0.15">
      <c r="A68" s="152">
        <v>65</v>
      </c>
      <c r="B68" s="152" t="s">
        <v>139</v>
      </c>
      <c r="C68" s="135" t="s">
        <v>249</v>
      </c>
      <c r="D68" s="135"/>
      <c r="E68" s="135">
        <f t="shared" si="1"/>
        <v>33</v>
      </c>
      <c r="F68" s="136" t="s">
        <v>250</v>
      </c>
      <c r="G68" s="137">
        <v>79</v>
      </c>
      <c r="H68" s="138">
        <f>INT((G68*Valores!$C$2*100)+0.5)/100</f>
        <v>981.71</v>
      </c>
      <c r="I68" s="139">
        <v>1944</v>
      </c>
      <c r="J68" s="140">
        <f>INT((I68*Valores!$C$2*100)+0.5)/100</f>
        <v>24157.5</v>
      </c>
      <c r="K68" s="155">
        <v>0</v>
      </c>
      <c r="L68" s="140">
        <f>INT((K68*Valores!$C$2*100)+0.5)/100</f>
        <v>0</v>
      </c>
      <c r="M68" s="153">
        <v>0</v>
      </c>
      <c r="N68" s="140">
        <f>INT((M68*Valores!$C$2*100)+0.5)/100</f>
        <v>0</v>
      </c>
      <c r="O68" s="140">
        <f t="shared" si="2"/>
        <v>4973.4134999999997</v>
      </c>
      <c r="P68" s="140">
        <f t="shared" si="3"/>
        <v>0</v>
      </c>
      <c r="Q68" s="142">
        <f>Valores!$C$16</f>
        <v>13030.51</v>
      </c>
      <c r="R68" s="142">
        <f>Valores!$D$4</f>
        <v>6352.5280000000002</v>
      </c>
      <c r="S68" s="154">
        <f>Valores!$C$28</f>
        <v>5667.45</v>
      </c>
      <c r="T68" s="143">
        <f>IF($H$5="NO",Valores!$C$44,Valores!$C$44/2)</f>
        <v>2105.77</v>
      </c>
      <c r="U68" s="140">
        <f>Valores!$C$25</f>
        <v>5911.11</v>
      </c>
      <c r="V68" s="140">
        <f t="shared" si="13"/>
        <v>5911.11</v>
      </c>
      <c r="W68" s="140">
        <v>0</v>
      </c>
      <c r="X68" s="140">
        <v>0</v>
      </c>
      <c r="Y68" s="144">
        <v>0</v>
      </c>
      <c r="Z68" s="140">
        <f>Y68*Valores!$C$2</f>
        <v>0</v>
      </c>
      <c r="AA68" s="140">
        <v>0</v>
      </c>
      <c r="AB68" s="143">
        <f>Valores!$C$91</f>
        <v>2664.01</v>
      </c>
      <c r="AC68" s="145">
        <f>Valores!$C$31</f>
        <v>259.82</v>
      </c>
      <c r="AD68" s="140">
        <f t="shared" si="6"/>
        <v>0</v>
      </c>
      <c r="AE68" s="140">
        <f>Valores!$C$32</f>
        <v>259.82</v>
      </c>
      <c r="AF68" s="144">
        <v>94</v>
      </c>
      <c r="AG68" s="140">
        <f>INT(((AF68*Valores!$C$2)*100)+0.5)/100</f>
        <v>1168.1099999999999</v>
      </c>
      <c r="AH68" s="140">
        <f>IF($H$5="NO",Valores!$C$60,Valores!$C$60/2)</f>
        <v>528.49</v>
      </c>
      <c r="AI68" s="140">
        <f>IF($H$5="NO",Valores!$C$62,Valores!$C$62/2)</f>
        <v>151</v>
      </c>
      <c r="AJ68" s="146">
        <f t="shared" si="7"/>
        <v>68211.241499999989</v>
      </c>
      <c r="AK68" s="142">
        <f>Valores!$C$37</f>
        <v>1360.88</v>
      </c>
      <c r="AL68" s="143">
        <f>Valores!$C$86</f>
        <v>2730</v>
      </c>
      <c r="AM68" s="143"/>
      <c r="AN68" s="145">
        <f>IF($H$4="NO",0,Valores!$C$53)</f>
        <v>0</v>
      </c>
      <c r="AO68" s="147">
        <f t="shared" si="5"/>
        <v>4090.88</v>
      </c>
      <c r="AP68" s="148">
        <f>AJ68*Valores!$C$69</f>
        <v>-7503.2365649999992</v>
      </c>
      <c r="AQ68" s="148">
        <f>AJ68*-Valores!$C$70</f>
        <v>0</v>
      </c>
      <c r="AR68" s="142">
        <f>AJ68*Valores!$C$71</f>
        <v>-3069.5058674999996</v>
      </c>
      <c r="AS68" s="142">
        <f>Valores!$C$95</f>
        <v>-193.38</v>
      </c>
      <c r="AT68" s="142">
        <f>IF($H$6=0,Valores!$C$96,(Valores!$C$96+$H$6*(Valores!$C$96)))</f>
        <v>-129</v>
      </c>
      <c r="AU68" s="146">
        <f t="shared" si="8"/>
        <v>61406.999067499994</v>
      </c>
      <c r="AV68" s="199">
        <f t="shared" si="0"/>
        <v>-7503.2365649999992</v>
      </c>
      <c r="AW68" s="142">
        <f>AJ68*Valores!$C$72</f>
        <v>-1841.7035204999997</v>
      </c>
      <c r="AX68" s="142">
        <f>AJ68*Valores!$C$73</f>
        <v>-204.63372449999997</v>
      </c>
      <c r="AY68" s="146">
        <f t="shared" si="9"/>
        <v>62752.547689999992</v>
      </c>
      <c r="AZ68" s="150"/>
      <c r="BA68" s="150">
        <v>25</v>
      </c>
      <c r="BB68" s="135" t="s">
        <v>8</v>
      </c>
    </row>
    <row r="69" spans="1:54" s="114" customFormat="1" ht="11.25" customHeight="1" x14ac:dyDescent="0.15">
      <c r="A69" s="134">
        <v>66</v>
      </c>
      <c r="B69" s="134"/>
      <c r="C69" s="135" t="s">
        <v>251</v>
      </c>
      <c r="D69" s="135"/>
      <c r="E69" s="135">
        <f t="shared" si="1"/>
        <v>29</v>
      </c>
      <c r="F69" s="136" t="s">
        <v>252</v>
      </c>
      <c r="G69" s="137">
        <v>100</v>
      </c>
      <c r="H69" s="138">
        <f>INT((G69*Valores!$C$2*100)+0.5)/100</f>
        <v>1242.67</v>
      </c>
      <c r="I69" s="139">
        <v>2864</v>
      </c>
      <c r="J69" s="140">
        <f>INT((I69*Valores!$C$2*100)+0.5)/100</f>
        <v>35590.07</v>
      </c>
      <c r="K69" s="155">
        <v>0</v>
      </c>
      <c r="L69" s="140">
        <f>INT((K69*Valores!$C$2*100)+0.5)/100</f>
        <v>0</v>
      </c>
      <c r="M69" s="153">
        <v>0</v>
      </c>
      <c r="N69" s="140">
        <f>INT((M69*Valores!$C$2*100)+0.5)/100</f>
        <v>0</v>
      </c>
      <c r="O69" s="140">
        <f t="shared" si="2"/>
        <v>6727.4429999999993</v>
      </c>
      <c r="P69" s="140">
        <f t="shared" si="3"/>
        <v>0</v>
      </c>
      <c r="Q69" s="142">
        <f>Valores!$C$16</f>
        <v>13030.51</v>
      </c>
      <c r="R69" s="142">
        <f>Valores!$D$4</f>
        <v>6352.5280000000002</v>
      </c>
      <c r="S69" s="140">
        <v>0</v>
      </c>
      <c r="T69" s="143">
        <f>IF($H$5="NO",Valores!$C$44,Valores!$C$44/2)</f>
        <v>2105.77</v>
      </c>
      <c r="U69" s="140">
        <f>Valores!$C$25</f>
        <v>5911.11</v>
      </c>
      <c r="V69" s="140">
        <f t="shared" si="13"/>
        <v>5911.11</v>
      </c>
      <c r="W69" s="140">
        <v>0</v>
      </c>
      <c r="X69" s="140">
        <v>0</v>
      </c>
      <c r="Y69" s="144">
        <v>0</v>
      </c>
      <c r="Z69" s="140">
        <f>Y69*Valores!$C$2</f>
        <v>0</v>
      </c>
      <c r="AA69" s="140">
        <v>0</v>
      </c>
      <c r="AB69" s="143">
        <f>Valores!$C$90</f>
        <v>2220.0100000000002</v>
      </c>
      <c r="AC69" s="145">
        <f>Valores!$C$31</f>
        <v>259.82</v>
      </c>
      <c r="AD69" s="140">
        <f t="shared" si="6"/>
        <v>0</v>
      </c>
      <c r="AE69" s="140">
        <f>Valores!$C$32</f>
        <v>259.82</v>
      </c>
      <c r="AF69" s="144">
        <v>0</v>
      </c>
      <c r="AG69" s="140">
        <f>INT(((AF69*Valores!$C$2)*100)+0.5)/100</f>
        <v>0</v>
      </c>
      <c r="AH69" s="140">
        <f>IF($H$5="NO",Valores!$C$60,Valores!$C$60/2)</f>
        <v>528.49</v>
      </c>
      <c r="AI69" s="140">
        <f>IF($H$5="NO",Valores!$C$62,Valores!$C$62/2)</f>
        <v>151</v>
      </c>
      <c r="AJ69" s="146">
        <f t="shared" si="7"/>
        <v>74379.241000000009</v>
      </c>
      <c r="AK69" s="142">
        <f>Valores!$C$37</f>
        <v>1360.88</v>
      </c>
      <c r="AL69" s="143">
        <f>Valores!$C$85</f>
        <v>2275</v>
      </c>
      <c r="AM69" s="143"/>
      <c r="AN69" s="145">
        <f>IF($H$4="NO",0,Valores!$C$52)</f>
        <v>0</v>
      </c>
      <c r="AO69" s="147">
        <f t="shared" si="5"/>
        <v>3635.88</v>
      </c>
      <c r="AP69" s="148">
        <f>AJ69*Valores!$C$69</f>
        <v>-8181.7165100000011</v>
      </c>
      <c r="AQ69" s="148">
        <f>AJ69*-Valores!$C$70</f>
        <v>0</v>
      </c>
      <c r="AR69" s="142">
        <f>AJ69*Valores!$C$71</f>
        <v>-3347.0658450000001</v>
      </c>
      <c r="AS69" s="142">
        <f>Valores!$C$95</f>
        <v>-193.38</v>
      </c>
      <c r="AT69" s="142">
        <f>IF($H$6=0,Valores!$C$96,(Valores!$C$96+$H$6*(Valores!$C$96)))</f>
        <v>-129</v>
      </c>
      <c r="AU69" s="146">
        <f t="shared" si="8"/>
        <v>66163.958645000006</v>
      </c>
      <c r="AV69" s="199">
        <f t="shared" si="0"/>
        <v>-8181.7165100000011</v>
      </c>
      <c r="AW69" s="142">
        <f>AJ69*Valores!$C$72</f>
        <v>-2008.2395070000002</v>
      </c>
      <c r="AX69" s="142">
        <f>AJ69*Valores!$C$73</f>
        <v>-223.13772300000002</v>
      </c>
      <c r="AY69" s="146">
        <f t="shared" si="9"/>
        <v>67602.027260000017</v>
      </c>
      <c r="AZ69" s="150"/>
      <c r="BA69" s="150"/>
      <c r="BB69" s="135" t="s">
        <v>4</v>
      </c>
    </row>
    <row r="70" spans="1:54" s="114" customFormat="1" ht="11.25" customHeight="1" x14ac:dyDescent="0.15">
      <c r="A70" s="134">
        <v>67</v>
      </c>
      <c r="B70" s="134"/>
      <c r="C70" s="135" t="s">
        <v>253</v>
      </c>
      <c r="D70" s="135"/>
      <c r="E70" s="135">
        <f t="shared" si="1"/>
        <v>24</v>
      </c>
      <c r="F70" s="136" t="s">
        <v>254</v>
      </c>
      <c r="G70" s="137">
        <v>79</v>
      </c>
      <c r="H70" s="138">
        <f>INT((G70*Valores!$C$2*100)+0.5)/100</f>
        <v>981.71</v>
      </c>
      <c r="I70" s="139">
        <v>2161</v>
      </c>
      <c r="J70" s="140">
        <f>INT((I70*Valores!$C$2*100)+0.5)/100</f>
        <v>26854.1</v>
      </c>
      <c r="K70" s="155">
        <v>0</v>
      </c>
      <c r="L70" s="140">
        <f>INT((K70*Valores!$C$2*100)+0.5)/100</f>
        <v>0</v>
      </c>
      <c r="M70" s="153">
        <v>0</v>
      </c>
      <c r="N70" s="140">
        <f>INT((M70*Valores!$C$2*100)+0.5)/100</f>
        <v>0</v>
      </c>
      <c r="O70" s="140">
        <f t="shared" si="2"/>
        <v>5377.9034999999994</v>
      </c>
      <c r="P70" s="140">
        <f t="shared" si="3"/>
        <v>0</v>
      </c>
      <c r="Q70" s="142">
        <f>Valores!$C$16</f>
        <v>13030.51</v>
      </c>
      <c r="R70" s="142">
        <f>Valores!$D$4</f>
        <v>6352.5280000000002</v>
      </c>
      <c r="S70" s="154">
        <f>Valores!$C$28</f>
        <v>5667.45</v>
      </c>
      <c r="T70" s="143">
        <f>IF($H$5="NO",Valores!$C$44,Valores!$C$44/2)</f>
        <v>2105.77</v>
      </c>
      <c r="U70" s="140">
        <f>Valores!$C$25</f>
        <v>5911.11</v>
      </c>
      <c r="V70" s="140">
        <f t="shared" si="13"/>
        <v>5911.11</v>
      </c>
      <c r="W70" s="140">
        <v>0</v>
      </c>
      <c r="X70" s="140">
        <v>0</v>
      </c>
      <c r="Y70" s="144">
        <v>0</v>
      </c>
      <c r="Z70" s="140">
        <f>Y70*Valores!$C$2</f>
        <v>0</v>
      </c>
      <c r="AA70" s="140">
        <v>0</v>
      </c>
      <c r="AB70" s="143">
        <f>Valores!$C$91</f>
        <v>2664.01</v>
      </c>
      <c r="AC70" s="145">
        <f>Valores!$C$31</f>
        <v>259.82</v>
      </c>
      <c r="AD70" s="140">
        <f t="shared" si="6"/>
        <v>0</v>
      </c>
      <c r="AE70" s="140">
        <f>Valores!$C$32</f>
        <v>259.82</v>
      </c>
      <c r="AF70" s="144">
        <v>0</v>
      </c>
      <c r="AG70" s="140">
        <f>INT(((AF70*Valores!$C$2)*100)+0.5)/100</f>
        <v>0</v>
      </c>
      <c r="AH70" s="140">
        <f>IF($H$5="NO",Valores!$C$60,Valores!$C$60/2)</f>
        <v>528.49</v>
      </c>
      <c r="AI70" s="140">
        <f>IF($H$5="NO",Valores!$C$62,Valores!$C$62/2)</f>
        <v>151</v>
      </c>
      <c r="AJ70" s="146">
        <f t="shared" si="7"/>
        <v>70144.2215</v>
      </c>
      <c r="AK70" s="142">
        <f>Valores!$C$37</f>
        <v>1360.88</v>
      </c>
      <c r="AL70" s="143">
        <f>Valores!$C$86</f>
        <v>2730</v>
      </c>
      <c r="AM70" s="143"/>
      <c r="AN70" s="145">
        <f>IF($H$4="NO",0,Valores!$C$53)</f>
        <v>0</v>
      </c>
      <c r="AO70" s="147">
        <f t="shared" si="5"/>
        <v>4090.88</v>
      </c>
      <c r="AP70" s="148">
        <f>AJ70*Valores!$C$69</f>
        <v>-7715.8643650000004</v>
      </c>
      <c r="AQ70" s="148">
        <f>AJ70*-Valores!$C$70</f>
        <v>0</v>
      </c>
      <c r="AR70" s="142">
        <f>AJ70*Valores!$C$71</f>
        <v>-3156.4899674999997</v>
      </c>
      <c r="AS70" s="142">
        <f>Valores!$C$95</f>
        <v>-193.38</v>
      </c>
      <c r="AT70" s="142">
        <f>IF($H$6=0,Valores!$C$96,(Valores!$C$96+$H$6*(Valores!$C$96)))</f>
        <v>-129</v>
      </c>
      <c r="AU70" s="146">
        <f t="shared" si="8"/>
        <v>63040.367167500001</v>
      </c>
      <c r="AV70" s="199">
        <f t="shared" si="0"/>
        <v>-7715.8643650000004</v>
      </c>
      <c r="AW70" s="142">
        <f>AJ70*Valores!$C$72</f>
        <v>-1893.8939805</v>
      </c>
      <c r="AX70" s="142">
        <f>AJ70*Valores!$C$73</f>
        <v>-210.43266450000002</v>
      </c>
      <c r="AY70" s="146">
        <f t="shared" si="9"/>
        <v>64414.910490000002</v>
      </c>
      <c r="AZ70" s="150"/>
      <c r="BA70" s="150">
        <v>30</v>
      </c>
      <c r="BB70" s="135" t="s">
        <v>4</v>
      </c>
    </row>
    <row r="71" spans="1:54" s="114" customFormat="1" ht="11.25" customHeight="1" x14ac:dyDescent="0.15">
      <c r="A71" s="134">
        <v>68</v>
      </c>
      <c r="B71" s="134"/>
      <c r="C71" s="135" t="s">
        <v>255</v>
      </c>
      <c r="D71" s="135"/>
      <c r="E71" s="135">
        <f t="shared" si="1"/>
        <v>32</v>
      </c>
      <c r="F71" s="136" t="s">
        <v>256</v>
      </c>
      <c r="G71" s="137">
        <v>90</v>
      </c>
      <c r="H71" s="138">
        <f>INT((G71*Valores!$C$2*100)+0.5)/100</f>
        <v>1118.4000000000001</v>
      </c>
      <c r="I71" s="139">
        <v>3010</v>
      </c>
      <c r="J71" s="140">
        <f>INT((I71*Valores!$C$2*100)+0.5)/100</f>
        <v>37404.370000000003</v>
      </c>
      <c r="K71" s="155">
        <v>0</v>
      </c>
      <c r="L71" s="140">
        <f>INT((K71*Valores!$C$2*100)+0.5)/100</f>
        <v>0</v>
      </c>
      <c r="M71" s="153">
        <v>0</v>
      </c>
      <c r="N71" s="140">
        <f>INT((M71*Valores!$C$2*100)+0.5)/100</f>
        <v>0</v>
      </c>
      <c r="O71" s="140">
        <f t="shared" si="2"/>
        <v>7130.0970000000007</v>
      </c>
      <c r="P71" s="140">
        <f t="shared" si="3"/>
        <v>0</v>
      </c>
      <c r="Q71" s="142">
        <f>Valores!$C$16</f>
        <v>13030.51</v>
      </c>
      <c r="R71" s="142">
        <f>Valores!$D$4</f>
        <v>6352.5280000000002</v>
      </c>
      <c r="S71" s="140">
        <f>Valores!$C$28</f>
        <v>5667.45</v>
      </c>
      <c r="T71" s="143">
        <f>IF($H$5="NO",Valores!$C$45,Valores!$C$45/2)</f>
        <v>3100.1</v>
      </c>
      <c r="U71" s="140">
        <f>Valores!$C$25</f>
        <v>5911.11</v>
      </c>
      <c r="V71" s="140">
        <f t="shared" si="13"/>
        <v>5911.11</v>
      </c>
      <c r="W71" s="140">
        <v>0</v>
      </c>
      <c r="X71" s="140">
        <v>0</v>
      </c>
      <c r="Y71" s="144">
        <v>0</v>
      </c>
      <c r="Z71" s="140">
        <f>Y71*Valores!$C$2</f>
        <v>0</v>
      </c>
      <c r="AA71" s="140">
        <v>0</v>
      </c>
      <c r="AB71" s="143">
        <f>Valores!$C$91</f>
        <v>2664.01</v>
      </c>
      <c r="AC71" s="145">
        <f>Valores!$C$31</f>
        <v>259.82</v>
      </c>
      <c r="AD71" s="140">
        <f t="shared" si="6"/>
        <v>0</v>
      </c>
      <c r="AE71" s="140">
        <f>Valores!$C$32</f>
        <v>259.82</v>
      </c>
      <c r="AF71" s="144">
        <v>0</v>
      </c>
      <c r="AG71" s="140">
        <f>INT(((AF71*Valores!$C$2)*100)+0.5)/100</f>
        <v>0</v>
      </c>
      <c r="AH71" s="140">
        <f>IF($H$5="NO",Valores!$C$60,Valores!$C$60/2)</f>
        <v>528.49</v>
      </c>
      <c r="AI71" s="140">
        <f>IF($H$5="NO",Valores!$C$62,Valores!$C$62/2)</f>
        <v>151</v>
      </c>
      <c r="AJ71" s="146">
        <f t="shared" si="7"/>
        <v>83577.705000000031</v>
      </c>
      <c r="AK71" s="142">
        <f>Valores!$C$37</f>
        <v>1360.88</v>
      </c>
      <c r="AL71" s="143">
        <f>Valores!$C$86</f>
        <v>2730</v>
      </c>
      <c r="AM71" s="143"/>
      <c r="AN71" s="145">
        <f>IF($H$4="NO",0,Valores!$C$53)</f>
        <v>0</v>
      </c>
      <c r="AO71" s="147">
        <f t="shared" si="5"/>
        <v>4090.88</v>
      </c>
      <c r="AP71" s="148">
        <f>AJ71*Valores!$C$69</f>
        <v>-9193.547550000003</v>
      </c>
      <c r="AQ71" s="148">
        <f>AJ71*-Valores!$C$70</f>
        <v>0</v>
      </c>
      <c r="AR71" s="142">
        <f>AJ71*Valores!$C$71</f>
        <v>-3760.9967250000013</v>
      </c>
      <c r="AS71" s="142">
        <f>Valores!$C$95</f>
        <v>-193.38</v>
      </c>
      <c r="AT71" s="142">
        <f>IF($H$6=0,Valores!$C$96,(Valores!$C$96+$H$6*(Valores!$C$96)))</f>
        <v>-129</v>
      </c>
      <c r="AU71" s="146">
        <f t="shared" si="8"/>
        <v>74391.660725000023</v>
      </c>
      <c r="AV71" s="199">
        <f t="shared" si="0"/>
        <v>-9193.547550000003</v>
      </c>
      <c r="AW71" s="142">
        <f>AJ71*Valores!$C$72</f>
        <v>-2256.5980350000009</v>
      </c>
      <c r="AX71" s="142">
        <f>AJ71*Valores!$C$73</f>
        <v>-250.73311500000011</v>
      </c>
      <c r="AY71" s="146">
        <f t="shared" si="9"/>
        <v>75967.706300000034</v>
      </c>
      <c r="AZ71" s="150"/>
      <c r="BA71" s="150"/>
      <c r="BB71" s="135" t="s">
        <v>4</v>
      </c>
    </row>
    <row r="72" spans="1:54" s="114" customFormat="1" ht="11.25" customHeight="1" x14ac:dyDescent="0.15">
      <c r="A72" s="134">
        <v>69</v>
      </c>
      <c r="B72" s="134"/>
      <c r="C72" s="135" t="s">
        <v>257</v>
      </c>
      <c r="D72" s="135"/>
      <c r="E72" s="135">
        <f t="shared" si="1"/>
        <v>27</v>
      </c>
      <c r="F72" s="136" t="s">
        <v>258</v>
      </c>
      <c r="G72" s="137">
        <v>78</v>
      </c>
      <c r="H72" s="138">
        <f>INT((G72*Valores!$C$2*100)+0.5)/100</f>
        <v>969.28</v>
      </c>
      <c r="I72" s="139">
        <v>2162</v>
      </c>
      <c r="J72" s="140">
        <f>INT((I72*Valores!$C$2*100)+0.5)/100</f>
        <v>26866.53</v>
      </c>
      <c r="K72" s="155">
        <v>0</v>
      </c>
      <c r="L72" s="140">
        <f>INT((K72*Valores!$C$2*100)+0.5)/100</f>
        <v>0</v>
      </c>
      <c r="M72" s="153">
        <v>0</v>
      </c>
      <c r="N72" s="140">
        <f>INT((M72*Valores!$C$2*100)+0.5)/100</f>
        <v>0</v>
      </c>
      <c r="O72" s="140">
        <f t="shared" si="2"/>
        <v>5377.9034999999994</v>
      </c>
      <c r="P72" s="140">
        <f t="shared" si="3"/>
        <v>0</v>
      </c>
      <c r="Q72" s="142">
        <f>Valores!$C$16</f>
        <v>13030.51</v>
      </c>
      <c r="R72" s="142">
        <f>Valores!$D$4</f>
        <v>6352.5280000000002</v>
      </c>
      <c r="S72" s="154">
        <f>Valores!$C$28</f>
        <v>5667.45</v>
      </c>
      <c r="T72" s="143">
        <f>IF($H$5="NO",Valores!$C$44,Valores!$C$44/2)</f>
        <v>2105.77</v>
      </c>
      <c r="U72" s="140">
        <f>Valores!$C$25</f>
        <v>5911.11</v>
      </c>
      <c r="V72" s="140">
        <f t="shared" si="13"/>
        <v>5911.11</v>
      </c>
      <c r="W72" s="140">
        <v>0</v>
      </c>
      <c r="X72" s="140">
        <v>0</v>
      </c>
      <c r="Y72" s="144">
        <v>0</v>
      </c>
      <c r="Z72" s="140">
        <f>Y72*Valores!$C$2</f>
        <v>0</v>
      </c>
      <c r="AA72" s="140">
        <v>0</v>
      </c>
      <c r="AB72" s="143">
        <f>Valores!$C$91</f>
        <v>2664.01</v>
      </c>
      <c r="AC72" s="145">
        <f>Valores!$C$31</f>
        <v>259.82</v>
      </c>
      <c r="AD72" s="140">
        <f t="shared" si="6"/>
        <v>0</v>
      </c>
      <c r="AE72" s="140">
        <f>Valores!$C$32</f>
        <v>259.82</v>
      </c>
      <c r="AF72" s="144">
        <v>0</v>
      </c>
      <c r="AG72" s="140">
        <f>INT(((AF72*Valores!$C$2)*100)+0.5)/100</f>
        <v>0</v>
      </c>
      <c r="AH72" s="140">
        <f>IF($H$5="NO",Valores!$C$60,Valores!$C$60/2)</f>
        <v>528.49</v>
      </c>
      <c r="AI72" s="140">
        <f>IF($H$5="NO",Valores!$C$62,Valores!$C$62/2)</f>
        <v>151</v>
      </c>
      <c r="AJ72" s="146">
        <f t="shared" si="7"/>
        <v>70144.2215</v>
      </c>
      <c r="AK72" s="142">
        <f>Valores!$C$37</f>
        <v>1360.88</v>
      </c>
      <c r="AL72" s="143">
        <f>Valores!$C$86</f>
        <v>2730</v>
      </c>
      <c r="AM72" s="143"/>
      <c r="AN72" s="145">
        <f>IF($H$4="NO",0,Valores!$C$53)</f>
        <v>0</v>
      </c>
      <c r="AO72" s="147">
        <f t="shared" si="5"/>
        <v>4090.88</v>
      </c>
      <c r="AP72" s="148">
        <f>AJ72*Valores!$C$69</f>
        <v>-7715.8643650000004</v>
      </c>
      <c r="AQ72" s="148">
        <f>AJ72*-Valores!$C$70</f>
        <v>0</v>
      </c>
      <c r="AR72" s="142">
        <f>AJ72*Valores!$C$71</f>
        <v>-3156.4899674999997</v>
      </c>
      <c r="AS72" s="142">
        <f>Valores!$C$95</f>
        <v>-193.38</v>
      </c>
      <c r="AT72" s="142">
        <f>IF($H$6=0,Valores!$C$96,(Valores!$C$96+$H$6*(Valores!$C$96)))</f>
        <v>-129</v>
      </c>
      <c r="AU72" s="146">
        <f t="shared" si="8"/>
        <v>63040.367167500001</v>
      </c>
      <c r="AV72" s="199">
        <f t="shared" ref="AV72:AV135" si="14">AP72</f>
        <v>-7715.8643650000004</v>
      </c>
      <c r="AW72" s="142">
        <f>AJ72*Valores!$C$72</f>
        <v>-1893.8939805</v>
      </c>
      <c r="AX72" s="142">
        <f>AJ72*Valores!$C$73</f>
        <v>-210.43266450000002</v>
      </c>
      <c r="AY72" s="146">
        <f t="shared" si="9"/>
        <v>64414.910490000002</v>
      </c>
      <c r="AZ72" s="150"/>
      <c r="BA72" s="150">
        <v>25</v>
      </c>
      <c r="BB72" s="135" t="s">
        <v>4</v>
      </c>
    </row>
    <row r="73" spans="1:54" s="114" customFormat="1" ht="11.25" customHeight="1" x14ac:dyDescent="0.15">
      <c r="A73" s="152">
        <v>70</v>
      </c>
      <c r="B73" s="152" t="s">
        <v>139</v>
      </c>
      <c r="C73" s="135" t="s">
        <v>259</v>
      </c>
      <c r="D73" s="135"/>
      <c r="E73" s="135">
        <f t="shared" ref="E73:E136" si="15">LEN(F73)</f>
        <v>32</v>
      </c>
      <c r="F73" s="136" t="s">
        <v>260</v>
      </c>
      <c r="G73" s="137">
        <v>90</v>
      </c>
      <c r="H73" s="138">
        <f>INT((G73*Valores!$C$2*100)+0.5)/100</f>
        <v>1118.4000000000001</v>
      </c>
      <c r="I73" s="139">
        <v>2800</v>
      </c>
      <c r="J73" s="140">
        <f>INT((I73*Valores!$C$2*100)+0.5)/100</f>
        <v>34794.76</v>
      </c>
      <c r="K73" s="155">
        <v>0</v>
      </c>
      <c r="L73" s="140">
        <f>INT((K73*Valores!$C$2*100)+0.5)/100</f>
        <v>0</v>
      </c>
      <c r="M73" s="153">
        <v>0</v>
      </c>
      <c r="N73" s="140">
        <f>INT((M73*Valores!$C$2*100)+0.5)/100</f>
        <v>0</v>
      </c>
      <c r="O73" s="140">
        <f t="shared" ref="O73:O136" si="16">IF($J$2=0,IF(C73&lt;&gt;"13-930",(SUM(H73,J73,L73,N73,Z73,U73,T73)*$O$2),0),0)</f>
        <v>6738.6554999999998</v>
      </c>
      <c r="P73" s="140">
        <f t="shared" ref="P73:P136" si="17">SUM(H73,J73,L73,N73,Z73,T73)*$J$2</f>
        <v>0</v>
      </c>
      <c r="Q73" s="142">
        <f>Valores!$C$16</f>
        <v>13030.51</v>
      </c>
      <c r="R73" s="142">
        <f>Valores!$D$4</f>
        <v>6352.5280000000002</v>
      </c>
      <c r="S73" s="140">
        <v>0</v>
      </c>
      <c r="T73" s="143">
        <f>IF($H$5="NO",Valores!$C$45,Valores!$C$45/2)</f>
        <v>3100.1</v>
      </c>
      <c r="U73" s="140">
        <f>Valores!$C$25</f>
        <v>5911.11</v>
      </c>
      <c r="V73" s="140">
        <f t="shared" si="13"/>
        <v>5911.11</v>
      </c>
      <c r="W73" s="140">
        <v>0</v>
      </c>
      <c r="X73" s="140">
        <v>0</v>
      </c>
      <c r="Y73" s="144">
        <v>0</v>
      </c>
      <c r="Z73" s="140">
        <f>Y73*Valores!$C$2</f>
        <v>0</v>
      </c>
      <c r="AA73" s="140">
        <v>0</v>
      </c>
      <c r="AB73" s="143">
        <f>Valores!$C$91</f>
        <v>2664.01</v>
      </c>
      <c r="AC73" s="145">
        <f>Valores!$C$31</f>
        <v>259.82</v>
      </c>
      <c r="AD73" s="140">
        <f t="shared" si="6"/>
        <v>0</v>
      </c>
      <c r="AE73" s="140">
        <f>Valores!$C$32</f>
        <v>259.82</v>
      </c>
      <c r="AF73" s="144">
        <v>0</v>
      </c>
      <c r="AG73" s="140">
        <f>INT(((AF73*Valores!$C$2)*100)+0.5)/100</f>
        <v>0</v>
      </c>
      <c r="AH73" s="140">
        <f>IF($H$5="NO",Valores!$C$60,Valores!$C$60/2)</f>
        <v>528.49</v>
      </c>
      <c r="AI73" s="140">
        <f>IF($H$5="NO",Valores!$C$62,Valores!$C$62/2)</f>
        <v>151</v>
      </c>
      <c r="AJ73" s="146">
        <f t="shared" si="7"/>
        <v>74909.203500000018</v>
      </c>
      <c r="AK73" s="142">
        <f>Valores!$C$37</f>
        <v>1360.88</v>
      </c>
      <c r="AL73" s="143">
        <f>Valores!$C$86</f>
        <v>2730</v>
      </c>
      <c r="AM73" s="143"/>
      <c r="AN73" s="145">
        <f>IF($H$4="NO",0,Valores!$C$53)</f>
        <v>0</v>
      </c>
      <c r="AO73" s="147">
        <f t="shared" ref="AO73:AO136" si="18">IF($H$4="SI",SUM(AK73:AN73),SUM(AK73:AL73))</f>
        <v>4090.88</v>
      </c>
      <c r="AP73" s="148">
        <f>AJ73*Valores!$C$69</f>
        <v>-8240.0123850000018</v>
      </c>
      <c r="AQ73" s="148">
        <f>AJ73*-Valores!$C$70</f>
        <v>0</v>
      </c>
      <c r="AR73" s="142">
        <f>AJ73*Valores!$C$71</f>
        <v>-3370.9141575000008</v>
      </c>
      <c r="AS73" s="142">
        <f>Valores!$C$95</f>
        <v>-193.38</v>
      </c>
      <c r="AT73" s="142">
        <f>IF($H$6=0,Valores!$C$96,(Valores!$C$96+$H$6*(Valores!$C$96)))</f>
        <v>-129</v>
      </c>
      <c r="AU73" s="146">
        <f t="shared" si="8"/>
        <v>67066.776957500013</v>
      </c>
      <c r="AV73" s="199">
        <f t="shared" si="14"/>
        <v>-8240.0123850000018</v>
      </c>
      <c r="AW73" s="142">
        <f>AJ73*Valores!$C$72</f>
        <v>-2022.5484945000005</v>
      </c>
      <c r="AX73" s="142">
        <f>AJ73*Valores!$C$73</f>
        <v>-224.72761050000005</v>
      </c>
      <c r="AY73" s="146">
        <f t="shared" si="9"/>
        <v>68512.795010000016</v>
      </c>
      <c r="AZ73" s="150"/>
      <c r="BA73" s="150"/>
      <c r="BB73" s="135" t="s">
        <v>8</v>
      </c>
    </row>
    <row r="74" spans="1:54" s="114" customFormat="1" ht="11.25" customHeight="1" x14ac:dyDescent="0.15">
      <c r="A74" s="134">
        <v>71</v>
      </c>
      <c r="B74" s="134"/>
      <c r="C74" s="135" t="s">
        <v>261</v>
      </c>
      <c r="D74" s="135"/>
      <c r="E74" s="135">
        <f t="shared" si="15"/>
        <v>27</v>
      </c>
      <c r="F74" s="136" t="s">
        <v>262</v>
      </c>
      <c r="G74" s="137">
        <v>79</v>
      </c>
      <c r="H74" s="138">
        <f>INT((G74*Valores!$C$2*100)+0.5)/100</f>
        <v>981.71</v>
      </c>
      <c r="I74" s="139">
        <v>2161</v>
      </c>
      <c r="J74" s="140">
        <f>INT((I74*Valores!$C$2*100)+0.5)/100</f>
        <v>26854.1</v>
      </c>
      <c r="K74" s="155">
        <v>0</v>
      </c>
      <c r="L74" s="140">
        <f>INT((K74*Valores!$C$2*100)+0.5)/100</f>
        <v>0</v>
      </c>
      <c r="M74" s="153">
        <v>0</v>
      </c>
      <c r="N74" s="140">
        <f>INT((M74*Valores!$C$2*100)+0.5)/100</f>
        <v>0</v>
      </c>
      <c r="O74" s="140">
        <f t="shared" si="16"/>
        <v>5377.9034999999994</v>
      </c>
      <c r="P74" s="140">
        <f t="shared" si="17"/>
        <v>0</v>
      </c>
      <c r="Q74" s="142">
        <f>Valores!$C$16</f>
        <v>13030.51</v>
      </c>
      <c r="R74" s="142">
        <f>Valores!$D$4</f>
        <v>6352.5280000000002</v>
      </c>
      <c r="S74" s="154">
        <f>Valores!$C$28</f>
        <v>5667.45</v>
      </c>
      <c r="T74" s="143">
        <f>IF($H$5="NO",Valores!$C$44,Valores!$C$44/2)</f>
        <v>2105.77</v>
      </c>
      <c r="U74" s="140">
        <f>Valores!$C$25</f>
        <v>5911.11</v>
      </c>
      <c r="V74" s="140">
        <f t="shared" si="13"/>
        <v>5911.11</v>
      </c>
      <c r="W74" s="140">
        <v>0</v>
      </c>
      <c r="X74" s="140">
        <v>0</v>
      </c>
      <c r="Y74" s="144">
        <v>0</v>
      </c>
      <c r="Z74" s="140">
        <f>Y74*Valores!$C$2</f>
        <v>0</v>
      </c>
      <c r="AA74" s="140">
        <v>0</v>
      </c>
      <c r="AB74" s="143">
        <f>Valores!$C$91</f>
        <v>2664.01</v>
      </c>
      <c r="AC74" s="145">
        <f>Valores!$C$31</f>
        <v>259.82</v>
      </c>
      <c r="AD74" s="140">
        <f t="shared" ref="AD74:AD137" si="19">SUM(H74,J74,L74,Z74,T74)*$H$3/100</f>
        <v>0</v>
      </c>
      <c r="AE74" s="140">
        <f>Valores!$C$32</f>
        <v>259.82</v>
      </c>
      <c r="AF74" s="144">
        <v>0</v>
      </c>
      <c r="AG74" s="140">
        <f>INT(((AF74*Valores!$C$2)*100)+0.5)/100</f>
        <v>0</v>
      </c>
      <c r="AH74" s="140">
        <f>IF($H$5="NO",Valores!$C$60,Valores!$C$60/2)</f>
        <v>528.49</v>
      </c>
      <c r="AI74" s="140">
        <f>IF($H$5="NO",Valores!$C$62,Valores!$C$62/2)</f>
        <v>151</v>
      </c>
      <c r="AJ74" s="146">
        <f t="shared" ref="AJ74:AJ137" si="20">SUM(H74,J74,L74,N74,O74,P74,Q74,R74,S74,V74,W74,X74,Z74,AA74,AC74,AD74,AE74,AG74,T74,AH74,AI74,AB74)</f>
        <v>70144.2215</v>
      </c>
      <c r="AK74" s="142">
        <f>Valores!$C$37</f>
        <v>1360.88</v>
      </c>
      <c r="AL74" s="143">
        <f>Valores!$C$86</f>
        <v>2730</v>
      </c>
      <c r="AM74" s="143"/>
      <c r="AN74" s="145">
        <f>IF($H$4="NO",0,Valores!$C$53)</f>
        <v>0</v>
      </c>
      <c r="AO74" s="147">
        <f t="shared" si="18"/>
        <v>4090.88</v>
      </c>
      <c r="AP74" s="148">
        <f>AJ74*Valores!$C$69</f>
        <v>-7715.8643650000004</v>
      </c>
      <c r="AQ74" s="148">
        <f>AJ74*-Valores!$C$70</f>
        <v>0</v>
      </c>
      <c r="AR74" s="142">
        <f>AJ74*Valores!$C$71</f>
        <v>-3156.4899674999997</v>
      </c>
      <c r="AS74" s="142">
        <f>Valores!$C$95</f>
        <v>-193.38</v>
      </c>
      <c r="AT74" s="142">
        <f>IF($H$6=0,Valores!$C$96,(Valores!$C$96+$H$6*(Valores!$C$96)))</f>
        <v>-129</v>
      </c>
      <c r="AU74" s="146">
        <f t="shared" ref="AU74:AU137" si="21">AJ74+SUM(AO74:AT74)</f>
        <v>63040.367167500001</v>
      </c>
      <c r="AV74" s="199">
        <f t="shared" si="14"/>
        <v>-7715.8643650000004</v>
      </c>
      <c r="AW74" s="142">
        <f>AJ74*Valores!$C$72</f>
        <v>-1893.8939805</v>
      </c>
      <c r="AX74" s="142">
        <f>AJ74*Valores!$C$73</f>
        <v>-210.43266450000002</v>
      </c>
      <c r="AY74" s="146">
        <f t="shared" ref="AY74:AY137" si="22">AJ74+AO74+SUM(AV74:AX74)</f>
        <v>64414.910490000002</v>
      </c>
      <c r="AZ74" s="150"/>
      <c r="BA74" s="150">
        <v>30</v>
      </c>
      <c r="BB74" s="135" t="s">
        <v>4</v>
      </c>
    </row>
    <row r="75" spans="1:54" s="114" customFormat="1" ht="11.25" customHeight="1" x14ac:dyDescent="0.15">
      <c r="A75" s="134">
        <v>72</v>
      </c>
      <c r="B75" s="134"/>
      <c r="C75" s="135" t="s">
        <v>263</v>
      </c>
      <c r="D75" s="135"/>
      <c r="E75" s="135">
        <f t="shared" si="15"/>
        <v>32</v>
      </c>
      <c r="F75" s="136" t="s">
        <v>264</v>
      </c>
      <c r="G75" s="137">
        <v>90</v>
      </c>
      <c r="H75" s="138">
        <f>INT((G75*Valores!$C$2*100)+0.5)/100</f>
        <v>1118.4000000000001</v>
      </c>
      <c r="I75" s="139">
        <v>2720</v>
      </c>
      <c r="J75" s="140">
        <f>INT((I75*Valores!$C$2*100)+0.5)/100</f>
        <v>33800.620000000003</v>
      </c>
      <c r="K75" s="155">
        <v>0</v>
      </c>
      <c r="L75" s="140">
        <f>INT((K75*Valores!$C$2*100)+0.5)/100</f>
        <v>0</v>
      </c>
      <c r="M75" s="153">
        <v>0</v>
      </c>
      <c r="N75" s="140">
        <f>INT((M75*Valores!$C$2*100)+0.5)/100</f>
        <v>0</v>
      </c>
      <c r="O75" s="140">
        <f t="shared" si="16"/>
        <v>6589.5345000000007</v>
      </c>
      <c r="P75" s="140">
        <f t="shared" si="17"/>
        <v>0</v>
      </c>
      <c r="Q75" s="142">
        <f>Valores!$C$16</f>
        <v>13030.51</v>
      </c>
      <c r="R75" s="142">
        <f>Valores!$D$4</f>
        <v>6352.5280000000002</v>
      </c>
      <c r="S75" s="140">
        <v>0</v>
      </c>
      <c r="T75" s="143">
        <f>IF($H$5="NO",Valores!$C$45,Valores!$C$45/2)</f>
        <v>3100.1</v>
      </c>
      <c r="U75" s="140">
        <f>Valores!$C$25</f>
        <v>5911.11</v>
      </c>
      <c r="V75" s="140">
        <f t="shared" si="13"/>
        <v>5911.11</v>
      </c>
      <c r="W75" s="140">
        <v>0</v>
      </c>
      <c r="X75" s="140">
        <v>0</v>
      </c>
      <c r="Y75" s="144">
        <v>0</v>
      </c>
      <c r="Z75" s="140">
        <f>Y75*Valores!$C$2</f>
        <v>0</v>
      </c>
      <c r="AA75" s="140">
        <v>0</v>
      </c>
      <c r="AB75" s="143">
        <f>Valores!$C$91</f>
        <v>2664.01</v>
      </c>
      <c r="AC75" s="145">
        <f>Valores!$C$31</f>
        <v>259.82</v>
      </c>
      <c r="AD75" s="140">
        <f t="shared" si="19"/>
        <v>0</v>
      </c>
      <c r="AE75" s="140">
        <f>Valores!$C$32</f>
        <v>259.82</v>
      </c>
      <c r="AF75" s="144">
        <v>0</v>
      </c>
      <c r="AG75" s="140">
        <f>INT(((AF75*Valores!$C$2)*100)+0.5)/100</f>
        <v>0</v>
      </c>
      <c r="AH75" s="140">
        <f>IF($H$5="NO",Valores!$C$60,Valores!$C$60/2)</f>
        <v>528.49</v>
      </c>
      <c r="AI75" s="140">
        <f>IF($H$5="NO",Valores!$C$62,Valores!$C$62/2)</f>
        <v>151</v>
      </c>
      <c r="AJ75" s="146">
        <f t="shared" si="20"/>
        <v>73765.942500000019</v>
      </c>
      <c r="AK75" s="142">
        <f>Valores!$C$37</f>
        <v>1360.88</v>
      </c>
      <c r="AL75" s="143">
        <f>Valores!$C$86</f>
        <v>2730</v>
      </c>
      <c r="AM75" s="143"/>
      <c r="AN75" s="145">
        <f>IF($H$4="NO",0,Valores!$C$53)</f>
        <v>0</v>
      </c>
      <c r="AO75" s="147">
        <f t="shared" si="18"/>
        <v>4090.88</v>
      </c>
      <c r="AP75" s="148">
        <f>AJ75*Valores!$C$69</f>
        <v>-8114.2536750000017</v>
      </c>
      <c r="AQ75" s="148">
        <f>AJ75*-Valores!$C$70</f>
        <v>0</v>
      </c>
      <c r="AR75" s="142">
        <f>AJ75*Valores!$C$71</f>
        <v>-3319.4674125000006</v>
      </c>
      <c r="AS75" s="142">
        <f>Valores!$C$95</f>
        <v>-193.38</v>
      </c>
      <c r="AT75" s="142">
        <f>IF($H$6=0,Valores!$C$96,(Valores!$C$96+$H$6*(Valores!$C$96)))</f>
        <v>-129</v>
      </c>
      <c r="AU75" s="146">
        <f t="shared" si="21"/>
        <v>66100.721412500017</v>
      </c>
      <c r="AV75" s="199">
        <f t="shared" si="14"/>
        <v>-8114.2536750000017</v>
      </c>
      <c r="AW75" s="142">
        <f>AJ75*Valores!$C$72</f>
        <v>-1991.6804475000006</v>
      </c>
      <c r="AX75" s="142">
        <f>AJ75*Valores!$C$73</f>
        <v>-221.29782750000007</v>
      </c>
      <c r="AY75" s="146">
        <f t="shared" si="22"/>
        <v>67529.590550000023</v>
      </c>
      <c r="AZ75" s="150"/>
      <c r="BA75" s="150"/>
      <c r="BB75" s="135" t="s">
        <v>8</v>
      </c>
    </row>
    <row r="76" spans="1:54" s="114" customFormat="1" ht="11.25" customHeight="1" x14ac:dyDescent="0.15">
      <c r="A76" s="134">
        <v>73</v>
      </c>
      <c r="B76" s="134"/>
      <c r="C76" s="135" t="s">
        <v>265</v>
      </c>
      <c r="D76" s="135"/>
      <c r="E76" s="135">
        <f t="shared" si="15"/>
        <v>16</v>
      </c>
      <c r="F76" s="136" t="s">
        <v>266</v>
      </c>
      <c r="G76" s="137">
        <v>78</v>
      </c>
      <c r="H76" s="138">
        <f>INT((G76*Valores!$C$2*100)+0.5)/100</f>
        <v>969.28</v>
      </c>
      <c r="I76" s="139">
        <v>1284</v>
      </c>
      <c r="J76" s="140">
        <f>INT((I76*Valores!$C$2*100)+0.5)/100</f>
        <v>15955.88</v>
      </c>
      <c r="K76" s="155">
        <v>0</v>
      </c>
      <c r="L76" s="140">
        <f>INT((K76*Valores!$C$2*100)+0.5)/100</f>
        <v>0</v>
      </c>
      <c r="M76" s="153">
        <v>0</v>
      </c>
      <c r="N76" s="140">
        <f>INT((M76*Valores!$C$2*100)+0.5)/100</f>
        <v>0</v>
      </c>
      <c r="O76" s="140">
        <f t="shared" si="16"/>
        <v>3732.2415000000001</v>
      </c>
      <c r="P76" s="140">
        <f t="shared" si="17"/>
        <v>0</v>
      </c>
      <c r="Q76" s="142">
        <f>Valores!$C$15</f>
        <v>12990.26</v>
      </c>
      <c r="R76" s="142">
        <f>Valores!$D$4</f>
        <v>6352.5280000000002</v>
      </c>
      <c r="S76" s="140">
        <f>Valores!$C$28</f>
        <v>5667.45</v>
      </c>
      <c r="T76" s="143">
        <f>IF($H$5="NO",Valores!$C$44,Valores!$C$44/2)</f>
        <v>2105.77</v>
      </c>
      <c r="U76" s="154">
        <f>Valores!$C$26</f>
        <v>5850.68</v>
      </c>
      <c r="V76" s="140">
        <f t="shared" si="13"/>
        <v>5850.68</v>
      </c>
      <c r="W76" s="140">
        <v>0</v>
      </c>
      <c r="X76" s="140">
        <v>0</v>
      </c>
      <c r="Y76" s="144">
        <v>0</v>
      </c>
      <c r="Z76" s="140">
        <f>Y76*Valores!$C$2</f>
        <v>0</v>
      </c>
      <c r="AA76" s="140">
        <v>0</v>
      </c>
      <c r="AB76" s="143">
        <f>Valores!$C$90</f>
        <v>2220.0100000000002</v>
      </c>
      <c r="AC76" s="145">
        <f>Valores!$C$31</f>
        <v>259.82</v>
      </c>
      <c r="AD76" s="140">
        <f t="shared" si="19"/>
        <v>0</v>
      </c>
      <c r="AE76" s="140">
        <f>Valores!$C$32</f>
        <v>259.82</v>
      </c>
      <c r="AF76" s="144">
        <v>0</v>
      </c>
      <c r="AG76" s="140">
        <f>INT(((AF76*Valores!$C$2)*100)+0.5)/100</f>
        <v>0</v>
      </c>
      <c r="AH76" s="140">
        <f>IF($H$5="NO",Valores!$C$60,Valores!$C$60/2)</f>
        <v>528.49</v>
      </c>
      <c r="AI76" s="140">
        <f>IF($H$5="NO",Valores!$C$62,Valores!$C$62/2)</f>
        <v>151</v>
      </c>
      <c r="AJ76" s="146">
        <f t="shared" si="20"/>
        <v>57043.229499999994</v>
      </c>
      <c r="AK76" s="142">
        <f>Valores!$C$37</f>
        <v>1360.88</v>
      </c>
      <c r="AL76" s="143">
        <f>Valores!$C$85</f>
        <v>2275</v>
      </c>
      <c r="AM76" s="143"/>
      <c r="AN76" s="145">
        <f>IF($H$4="NO",0,Valores!$C$53)</f>
        <v>0</v>
      </c>
      <c r="AO76" s="147">
        <f t="shared" si="18"/>
        <v>3635.88</v>
      </c>
      <c r="AP76" s="148">
        <f>AJ76*Valores!$C$69</f>
        <v>-6274.7552449999994</v>
      </c>
      <c r="AQ76" s="148">
        <f>AJ76*-Valores!$C$70</f>
        <v>0</v>
      </c>
      <c r="AR76" s="142">
        <f>AJ76*Valores!$C$71</f>
        <v>-2566.9453274999996</v>
      </c>
      <c r="AS76" s="142">
        <f>Valores!$C$95</f>
        <v>-193.38</v>
      </c>
      <c r="AT76" s="142">
        <f>IF($H$6=0,Valores!$C$96,(Valores!$C$96+$H$6*(Valores!$C$96)))</f>
        <v>-129</v>
      </c>
      <c r="AU76" s="146">
        <f t="shared" si="21"/>
        <v>51515.028927499996</v>
      </c>
      <c r="AV76" s="199">
        <f t="shared" si="14"/>
        <v>-6274.7552449999994</v>
      </c>
      <c r="AW76" s="142">
        <f>AJ76*Valores!$C$72</f>
        <v>-1540.1671964999998</v>
      </c>
      <c r="AX76" s="142">
        <f>AJ76*Valores!$C$73</f>
        <v>-171.12968849999999</v>
      </c>
      <c r="AY76" s="146">
        <f t="shared" si="22"/>
        <v>52693.057369999995</v>
      </c>
      <c r="AZ76" s="150"/>
      <c r="BA76" s="150">
        <v>30</v>
      </c>
      <c r="BB76" s="135" t="s">
        <v>4</v>
      </c>
    </row>
    <row r="77" spans="1:54" s="114" customFormat="1" ht="11.25" customHeight="1" x14ac:dyDescent="0.15">
      <c r="A77" s="134">
        <v>74</v>
      </c>
      <c r="B77" s="134"/>
      <c r="C77" s="135" t="s">
        <v>267</v>
      </c>
      <c r="D77" s="135"/>
      <c r="E77" s="135">
        <f t="shared" si="15"/>
        <v>33</v>
      </c>
      <c r="F77" s="136" t="s">
        <v>268</v>
      </c>
      <c r="G77" s="137">
        <v>78</v>
      </c>
      <c r="H77" s="138">
        <f>INT((G77*Valores!$C$2*100)+0.5)/100</f>
        <v>969.28</v>
      </c>
      <c r="I77" s="139">
        <v>1284</v>
      </c>
      <c r="J77" s="140">
        <f>INT((I77*Valores!$C$2*100)+0.5)/100</f>
        <v>15955.88</v>
      </c>
      <c r="K77" s="155">
        <v>0</v>
      </c>
      <c r="L77" s="140">
        <f>INT((K77*Valores!$C$2*100)+0.5)/100</f>
        <v>0</v>
      </c>
      <c r="M77" s="153">
        <v>0</v>
      </c>
      <c r="N77" s="140">
        <f>INT((M77*Valores!$C$2*100)+0.5)/100</f>
        <v>0</v>
      </c>
      <c r="O77" s="140">
        <f t="shared" si="16"/>
        <v>3732.2415000000001</v>
      </c>
      <c r="P77" s="140">
        <f t="shared" si="17"/>
        <v>0</v>
      </c>
      <c r="Q77" s="142">
        <f>Valores!$C$15</f>
        <v>12990.26</v>
      </c>
      <c r="R77" s="142">
        <f>Valores!$D$4</f>
        <v>6352.5280000000002</v>
      </c>
      <c r="S77" s="154">
        <f>Valores!$C$28</f>
        <v>5667.45</v>
      </c>
      <c r="T77" s="143">
        <f>IF($H$5="NO",Valores!$C$44,Valores!$C$44/2)</f>
        <v>2105.77</v>
      </c>
      <c r="U77" s="154">
        <f>Valores!$C$26</f>
        <v>5850.68</v>
      </c>
      <c r="V77" s="140">
        <f t="shared" si="13"/>
        <v>5850.68</v>
      </c>
      <c r="W77" s="140">
        <v>0</v>
      </c>
      <c r="X77" s="140">
        <v>0</v>
      </c>
      <c r="Y77" s="144">
        <v>0</v>
      </c>
      <c r="Z77" s="140">
        <f>Y77*Valores!$C$2</f>
        <v>0</v>
      </c>
      <c r="AA77" s="140">
        <v>0</v>
      </c>
      <c r="AB77" s="143">
        <f>Valores!$C$90</f>
        <v>2220.0100000000002</v>
      </c>
      <c r="AC77" s="145">
        <f>Valores!$C$31</f>
        <v>259.82</v>
      </c>
      <c r="AD77" s="140">
        <f t="shared" si="19"/>
        <v>0</v>
      </c>
      <c r="AE77" s="140">
        <f>Valores!$C$32</f>
        <v>259.82</v>
      </c>
      <c r="AF77" s="144">
        <v>0</v>
      </c>
      <c r="AG77" s="140">
        <f>INT(((AF77*Valores!$C$2)*100)+0.5)/100</f>
        <v>0</v>
      </c>
      <c r="AH77" s="140">
        <f>IF($H$5="NO",Valores!$C$60,Valores!$C$60/2)</f>
        <v>528.49</v>
      </c>
      <c r="AI77" s="140">
        <f>IF($H$5="NO",Valores!$C$62,Valores!$C$62/2)</f>
        <v>151</v>
      </c>
      <c r="AJ77" s="146">
        <f t="shared" si="20"/>
        <v>57043.229499999994</v>
      </c>
      <c r="AK77" s="142">
        <f>Valores!$C$37</f>
        <v>1360.88</v>
      </c>
      <c r="AL77" s="143">
        <f>Valores!$C$85</f>
        <v>2275</v>
      </c>
      <c r="AM77" s="143"/>
      <c r="AN77" s="145">
        <v>0</v>
      </c>
      <c r="AO77" s="147">
        <f t="shared" si="18"/>
        <v>3635.88</v>
      </c>
      <c r="AP77" s="148">
        <f>AJ77*Valores!$C$69</f>
        <v>-6274.7552449999994</v>
      </c>
      <c r="AQ77" s="148">
        <f>AJ77*-Valores!$C$70</f>
        <v>0</v>
      </c>
      <c r="AR77" s="142">
        <f>AJ77*Valores!$C$71</f>
        <v>-2566.9453274999996</v>
      </c>
      <c r="AS77" s="142">
        <f>Valores!$C$95</f>
        <v>-193.38</v>
      </c>
      <c r="AT77" s="142">
        <f>IF($H$6=0,Valores!$C$96,(Valores!$C$96+$H$6*(Valores!$C$96)))</f>
        <v>-129</v>
      </c>
      <c r="AU77" s="146">
        <f t="shared" si="21"/>
        <v>51515.028927499996</v>
      </c>
      <c r="AV77" s="199">
        <f t="shared" si="14"/>
        <v>-6274.7552449999994</v>
      </c>
      <c r="AW77" s="142">
        <f>AJ77*Valores!$C$72</f>
        <v>-1540.1671964999998</v>
      </c>
      <c r="AX77" s="142">
        <f>AJ77*Valores!$C$73</f>
        <v>-171.12968849999999</v>
      </c>
      <c r="AY77" s="146">
        <f t="shared" si="22"/>
        <v>52693.057369999995</v>
      </c>
      <c r="AZ77" s="150"/>
      <c r="BA77" s="150"/>
      <c r="BB77" s="135" t="s">
        <v>8</v>
      </c>
    </row>
    <row r="78" spans="1:54" s="114" customFormat="1" ht="11.25" customHeight="1" x14ac:dyDescent="0.15">
      <c r="A78" s="152">
        <v>75</v>
      </c>
      <c r="B78" s="152" t="s">
        <v>139</v>
      </c>
      <c r="C78" s="135" t="s">
        <v>269</v>
      </c>
      <c r="D78" s="135"/>
      <c r="E78" s="135">
        <f t="shared" si="15"/>
        <v>33</v>
      </c>
      <c r="F78" s="136" t="s">
        <v>270</v>
      </c>
      <c r="G78" s="137">
        <v>78</v>
      </c>
      <c r="H78" s="138">
        <f>INT((G78*Valores!$C$2*100)+0.5)/100</f>
        <v>969.28</v>
      </c>
      <c r="I78" s="139">
        <v>1284</v>
      </c>
      <c r="J78" s="140">
        <f>INT((I78*Valores!$C$2*100)+0.5)/100</f>
        <v>15955.88</v>
      </c>
      <c r="K78" s="155">
        <v>0</v>
      </c>
      <c r="L78" s="140">
        <f>INT((K78*Valores!$C$2*100)+0.5)/100</f>
        <v>0</v>
      </c>
      <c r="M78" s="153">
        <v>0</v>
      </c>
      <c r="N78" s="140">
        <f>INT((M78*Valores!$C$2*100)+0.5)/100</f>
        <v>0</v>
      </c>
      <c r="O78" s="140">
        <f t="shared" si="16"/>
        <v>2854.6394999999998</v>
      </c>
      <c r="P78" s="140">
        <f t="shared" si="17"/>
        <v>0</v>
      </c>
      <c r="Q78" s="142">
        <f>Valores!$C$21</f>
        <v>10738.26</v>
      </c>
      <c r="R78" s="142">
        <f>Valores!$D$4</f>
        <v>6352.5280000000002</v>
      </c>
      <c r="S78" s="154">
        <f>Valores!$C$28</f>
        <v>5667.45</v>
      </c>
      <c r="T78" s="143">
        <f>IF($H$5="NO",Valores!$C$44,Valores!$C$44/2)</f>
        <v>2105.77</v>
      </c>
      <c r="U78" s="154">
        <v>0</v>
      </c>
      <c r="V78" s="140">
        <f t="shared" si="13"/>
        <v>0</v>
      </c>
      <c r="W78" s="140">
        <v>0</v>
      </c>
      <c r="X78" s="140">
        <v>0</v>
      </c>
      <c r="Y78" s="144">
        <v>0</v>
      </c>
      <c r="Z78" s="140">
        <f>Y78*Valores!$C$2</f>
        <v>0</v>
      </c>
      <c r="AA78" s="140">
        <v>0</v>
      </c>
      <c r="AB78" s="143">
        <f>Valores!$C$90</f>
        <v>2220.0100000000002</v>
      </c>
      <c r="AC78" s="145">
        <f>Valores!$C$31</f>
        <v>259.82</v>
      </c>
      <c r="AD78" s="140">
        <f t="shared" si="19"/>
        <v>0</v>
      </c>
      <c r="AE78" s="140">
        <f>Valores!$C$32</f>
        <v>259.82</v>
      </c>
      <c r="AF78" s="144">
        <v>0</v>
      </c>
      <c r="AG78" s="140">
        <f>INT(((AF78*Valores!$C$2)*100)+0.5)/100</f>
        <v>0</v>
      </c>
      <c r="AH78" s="140">
        <f>IF($H$5="NO",Valores!$C$60,Valores!$C$60/2)</f>
        <v>528.49</v>
      </c>
      <c r="AI78" s="140">
        <f>IF($H$5="NO",Valores!$C$62,Valores!$C$62/2)</f>
        <v>151</v>
      </c>
      <c r="AJ78" s="146">
        <f t="shared" si="20"/>
        <v>48062.947499999995</v>
      </c>
      <c r="AK78" s="142">
        <f>Valores!$C$37</f>
        <v>1360.88</v>
      </c>
      <c r="AL78" s="143">
        <f>Valores!$C$85</f>
        <v>2275</v>
      </c>
      <c r="AM78" s="143"/>
      <c r="AN78" s="145">
        <v>0</v>
      </c>
      <c r="AO78" s="147">
        <f t="shared" si="18"/>
        <v>3635.88</v>
      </c>
      <c r="AP78" s="148">
        <f>AJ78*Valores!$C$69</f>
        <v>-5286.9242249999998</v>
      </c>
      <c r="AQ78" s="148">
        <f>AJ78*-Valores!$C$70</f>
        <v>0</v>
      </c>
      <c r="AR78" s="142">
        <f>AJ78*Valores!$C$71</f>
        <v>-2162.8326374999997</v>
      </c>
      <c r="AS78" s="142">
        <f>Valores!$C$95</f>
        <v>-193.38</v>
      </c>
      <c r="AT78" s="142">
        <f>IF($H$6=0,Valores!$C$96,(Valores!$C$96+$H$6*(Valores!$C$96)))</f>
        <v>-129</v>
      </c>
      <c r="AU78" s="146">
        <f t="shared" si="21"/>
        <v>43926.690637499996</v>
      </c>
      <c r="AV78" s="199">
        <f t="shared" si="14"/>
        <v>-5286.9242249999998</v>
      </c>
      <c r="AW78" s="142">
        <f>AJ78*Valores!$C$72</f>
        <v>-1297.6995824999999</v>
      </c>
      <c r="AX78" s="142">
        <f>AJ78*Valores!$C$73</f>
        <v>-144.18884249999999</v>
      </c>
      <c r="AY78" s="146">
        <f t="shared" si="22"/>
        <v>44970.014849999992</v>
      </c>
      <c r="AZ78" s="150"/>
      <c r="BA78" s="150"/>
      <c r="BB78" s="135" t="s">
        <v>8</v>
      </c>
    </row>
    <row r="79" spans="1:54" s="114" customFormat="1" ht="11.25" customHeight="1" x14ac:dyDescent="0.15">
      <c r="A79" s="134">
        <v>76</v>
      </c>
      <c r="B79" s="134"/>
      <c r="C79" s="135" t="s">
        <v>271</v>
      </c>
      <c r="D79" s="135"/>
      <c r="E79" s="135">
        <f t="shared" si="15"/>
        <v>29</v>
      </c>
      <c r="F79" s="136" t="s">
        <v>272</v>
      </c>
      <c r="G79" s="137">
        <v>82</v>
      </c>
      <c r="H79" s="138">
        <f>INT((G79*Valores!$C$2*100)+0.5)/100</f>
        <v>1018.99</v>
      </c>
      <c r="I79" s="139">
        <v>2038</v>
      </c>
      <c r="J79" s="140">
        <f>INT((I79*Valores!$C$2*100)+0.5)/100</f>
        <v>25325.61</v>
      </c>
      <c r="K79" s="155">
        <v>0</v>
      </c>
      <c r="L79" s="140">
        <f>INT((K79*Valores!$C$2*100)+0.5)/100</f>
        <v>0</v>
      </c>
      <c r="M79" s="153">
        <v>0</v>
      </c>
      <c r="N79" s="140">
        <f>INT((M79*Valores!$C$2*100)+0.5)/100</f>
        <v>0</v>
      </c>
      <c r="O79" s="140">
        <f t="shared" si="16"/>
        <v>5154.2220000000007</v>
      </c>
      <c r="P79" s="140">
        <f t="shared" si="17"/>
        <v>0</v>
      </c>
      <c r="Q79" s="158">
        <f>Valores!$C$16</f>
        <v>13030.51</v>
      </c>
      <c r="R79" s="158">
        <f>Valores!$D$4</f>
        <v>6352.5280000000002</v>
      </c>
      <c r="S79" s="157">
        <f>Valores!$C$28</f>
        <v>5667.45</v>
      </c>
      <c r="T79" s="143">
        <f>IF($H$5="NO",Valores!$C$44,Valores!$C$44/2)</f>
        <v>2105.77</v>
      </c>
      <c r="U79" s="143">
        <f>Valores!$C$25</f>
        <v>5911.11</v>
      </c>
      <c r="V79" s="140">
        <f t="shared" si="13"/>
        <v>5911.11</v>
      </c>
      <c r="W79" s="140">
        <v>0</v>
      </c>
      <c r="X79" s="140">
        <v>0</v>
      </c>
      <c r="Y79" s="144">
        <v>0</v>
      </c>
      <c r="Z79" s="140">
        <f>Y79*Valores!$C$2</f>
        <v>0</v>
      </c>
      <c r="AA79" s="140">
        <v>0</v>
      </c>
      <c r="AB79" s="143">
        <f>Valores!$C$90</f>
        <v>2220.0100000000002</v>
      </c>
      <c r="AC79" s="145">
        <f>Valores!$C$31</f>
        <v>259.82</v>
      </c>
      <c r="AD79" s="140">
        <f t="shared" si="19"/>
        <v>0</v>
      </c>
      <c r="AE79" s="140">
        <f>Valores!$C$32</f>
        <v>259.82</v>
      </c>
      <c r="AF79" s="144">
        <v>0</v>
      </c>
      <c r="AG79" s="140">
        <f>INT(((AF79*Valores!$C$2)*100)+0.5)/100</f>
        <v>0</v>
      </c>
      <c r="AH79" s="140">
        <f>IF($H$5="NO",Valores!$C$60,Valores!$C$60/2)</f>
        <v>528.49</v>
      </c>
      <c r="AI79" s="140">
        <f>IF($H$5="NO",Valores!$C$62,Valores!$C$62/2)</f>
        <v>151</v>
      </c>
      <c r="AJ79" s="146">
        <f t="shared" si="20"/>
        <v>67985.329999999987</v>
      </c>
      <c r="AK79" s="142">
        <f>Valores!$C$37</f>
        <v>1360.88</v>
      </c>
      <c r="AL79" s="143">
        <f>Valores!$C$85</f>
        <v>2275</v>
      </c>
      <c r="AM79" s="143"/>
      <c r="AN79" s="145">
        <f>IF($H$4="NO",0,Valores!$C$53)</f>
        <v>0</v>
      </c>
      <c r="AO79" s="147">
        <f t="shared" si="18"/>
        <v>3635.88</v>
      </c>
      <c r="AP79" s="148">
        <f>AJ79*Valores!$C$69</f>
        <v>-7478.3862999999983</v>
      </c>
      <c r="AQ79" s="148">
        <f>AJ79*-Valores!$C$70</f>
        <v>0</v>
      </c>
      <c r="AR79" s="142">
        <f>AJ79*Valores!$C$71</f>
        <v>-3059.3398499999994</v>
      </c>
      <c r="AS79" s="142">
        <f>Valores!$C$95</f>
        <v>-193.38</v>
      </c>
      <c r="AT79" s="142">
        <f>IF($H$6=0,Valores!$C$96,(Valores!$C$96+$H$6*(Valores!$C$96)))</f>
        <v>-129</v>
      </c>
      <c r="AU79" s="146">
        <f t="shared" si="21"/>
        <v>60761.103849999992</v>
      </c>
      <c r="AV79" s="199">
        <f t="shared" si="14"/>
        <v>-7478.3862999999983</v>
      </c>
      <c r="AW79" s="142">
        <f>AJ79*Valores!$C$72</f>
        <v>-1835.6039099999996</v>
      </c>
      <c r="AX79" s="142">
        <f>AJ79*Valores!$C$73</f>
        <v>-203.95598999999996</v>
      </c>
      <c r="AY79" s="146">
        <f t="shared" si="22"/>
        <v>62103.263799999993</v>
      </c>
      <c r="AZ79" s="150"/>
      <c r="BA79" s="150">
        <v>25</v>
      </c>
      <c r="BB79" s="135" t="s">
        <v>4</v>
      </c>
    </row>
    <row r="80" spans="1:54" s="114" customFormat="1" ht="11.25" customHeight="1" x14ac:dyDescent="0.15">
      <c r="A80" s="134">
        <v>77</v>
      </c>
      <c r="B80" s="134"/>
      <c r="C80" s="135" t="s">
        <v>273</v>
      </c>
      <c r="D80" s="135"/>
      <c r="E80" s="135">
        <f t="shared" si="15"/>
        <v>24</v>
      </c>
      <c r="F80" s="136" t="s">
        <v>274</v>
      </c>
      <c r="G80" s="137">
        <v>78</v>
      </c>
      <c r="H80" s="138">
        <f>INT((G80*Valores!$C$2*100)+0.5)/100</f>
        <v>969.28</v>
      </c>
      <c r="I80" s="139">
        <v>2072</v>
      </c>
      <c r="J80" s="140">
        <f>INT((I80*Valores!$C$2*100)+0.5)/100</f>
        <v>25748.12</v>
      </c>
      <c r="K80" s="155">
        <v>0</v>
      </c>
      <c r="L80" s="140">
        <f>INT((K80*Valores!$C$2*100)+0.5)/100</f>
        <v>0</v>
      </c>
      <c r="M80" s="153">
        <v>0</v>
      </c>
      <c r="N80" s="140">
        <f>INT((M80*Valores!$C$2*100)+0.5)/100</f>
        <v>0</v>
      </c>
      <c r="O80" s="140">
        <f t="shared" si="16"/>
        <v>5210.1419999999998</v>
      </c>
      <c r="P80" s="140">
        <f t="shared" si="17"/>
        <v>0</v>
      </c>
      <c r="Q80" s="158">
        <f>Valores!$C$16</f>
        <v>13030.51</v>
      </c>
      <c r="R80" s="158">
        <f>Valores!$D$4</f>
        <v>6352.5280000000002</v>
      </c>
      <c r="S80" s="157">
        <f>Valores!$C$28</f>
        <v>5667.45</v>
      </c>
      <c r="T80" s="143">
        <f>IF($H$5="NO",Valores!$C$44,Valores!$C$44/2)</f>
        <v>2105.77</v>
      </c>
      <c r="U80" s="143">
        <f>Valores!$C$25</f>
        <v>5911.11</v>
      </c>
      <c r="V80" s="140">
        <f t="shared" si="13"/>
        <v>5911.11</v>
      </c>
      <c r="W80" s="140">
        <v>0</v>
      </c>
      <c r="X80" s="140">
        <v>0</v>
      </c>
      <c r="Y80" s="144">
        <v>0</v>
      </c>
      <c r="Z80" s="140">
        <f>Y80*Valores!$C$2</f>
        <v>0</v>
      </c>
      <c r="AA80" s="140">
        <v>0</v>
      </c>
      <c r="AB80" s="143">
        <f>Valores!$C$91</f>
        <v>2664.01</v>
      </c>
      <c r="AC80" s="145">
        <f>Valores!$C$31</f>
        <v>259.82</v>
      </c>
      <c r="AD80" s="140">
        <f t="shared" si="19"/>
        <v>0</v>
      </c>
      <c r="AE80" s="140">
        <f>Valores!$C$32</f>
        <v>259.82</v>
      </c>
      <c r="AF80" s="144">
        <v>0</v>
      </c>
      <c r="AG80" s="140">
        <f>INT(((AF80*Valores!$C$2)*100)+0.5)/100</f>
        <v>0</v>
      </c>
      <c r="AH80" s="140">
        <f>IF($H$5="NO",Valores!$C$60,Valores!$C$60/2)</f>
        <v>528.49</v>
      </c>
      <c r="AI80" s="140">
        <f>IF($H$5="NO",Valores!$C$62,Valores!$C$62/2)</f>
        <v>151</v>
      </c>
      <c r="AJ80" s="146">
        <f t="shared" si="20"/>
        <v>68858.049999999988</v>
      </c>
      <c r="AK80" s="142">
        <f>Valores!$C$37</f>
        <v>1360.88</v>
      </c>
      <c r="AL80" s="143">
        <f>Valores!$C$86</f>
        <v>2730</v>
      </c>
      <c r="AM80" s="143"/>
      <c r="AN80" s="145">
        <f>IF($H$4="NO",0,Valores!$C$53)</f>
        <v>0</v>
      </c>
      <c r="AO80" s="147">
        <f t="shared" si="18"/>
        <v>4090.88</v>
      </c>
      <c r="AP80" s="148">
        <f>AJ80*Valores!$C$69</f>
        <v>-7574.3854999999985</v>
      </c>
      <c r="AQ80" s="148">
        <f>AJ80*-Valores!$C$70</f>
        <v>0</v>
      </c>
      <c r="AR80" s="142">
        <f>AJ80*Valores!$C$71</f>
        <v>-3098.6122499999992</v>
      </c>
      <c r="AS80" s="142">
        <f>Valores!$C$95</f>
        <v>-193.38</v>
      </c>
      <c r="AT80" s="142">
        <f>IF($H$6=0,Valores!$C$96,(Valores!$C$96+$H$6*(Valores!$C$96)))</f>
        <v>-129</v>
      </c>
      <c r="AU80" s="146">
        <f t="shared" si="21"/>
        <v>61953.552249999993</v>
      </c>
      <c r="AV80" s="199">
        <f t="shared" si="14"/>
        <v>-7574.3854999999985</v>
      </c>
      <c r="AW80" s="142">
        <f>AJ80*Valores!$C$72</f>
        <v>-1859.1673499999997</v>
      </c>
      <c r="AX80" s="142">
        <f>AJ80*Valores!$C$73</f>
        <v>-206.57414999999997</v>
      </c>
      <c r="AY80" s="146">
        <f t="shared" si="22"/>
        <v>63308.802999999993</v>
      </c>
      <c r="AZ80" s="150"/>
      <c r="BA80" s="150">
        <v>30</v>
      </c>
      <c r="BB80" s="135" t="s">
        <v>4</v>
      </c>
    </row>
    <row r="81" spans="1:54" s="114" customFormat="1" ht="11.25" customHeight="1" x14ac:dyDescent="0.15">
      <c r="A81" s="134">
        <v>78</v>
      </c>
      <c r="B81" s="134"/>
      <c r="C81" s="135" t="s">
        <v>275</v>
      </c>
      <c r="D81" s="135"/>
      <c r="E81" s="135">
        <f t="shared" si="15"/>
        <v>24</v>
      </c>
      <c r="F81" s="136" t="s">
        <v>276</v>
      </c>
      <c r="G81" s="137">
        <v>78</v>
      </c>
      <c r="H81" s="138">
        <f>INT((G81*Valores!$C$2*100)+0.5)/100</f>
        <v>969.28</v>
      </c>
      <c r="I81" s="139">
        <v>1770</v>
      </c>
      <c r="J81" s="140">
        <f>INT((I81*Valores!$C$2*100)+0.5)/100</f>
        <v>21995.26</v>
      </c>
      <c r="K81" s="155">
        <v>0</v>
      </c>
      <c r="L81" s="140">
        <f>INT((K81*Valores!$C$2*100)+0.5)/100</f>
        <v>0</v>
      </c>
      <c r="M81" s="153">
        <v>0</v>
      </c>
      <c r="N81" s="140">
        <f>INT((M81*Valores!$C$2*100)+0.5)/100</f>
        <v>0</v>
      </c>
      <c r="O81" s="140">
        <f t="shared" si="16"/>
        <v>4647.2129999999997</v>
      </c>
      <c r="P81" s="140">
        <f t="shared" si="17"/>
        <v>0</v>
      </c>
      <c r="Q81" s="158">
        <f>Valores!$C$16</f>
        <v>13030.51</v>
      </c>
      <c r="R81" s="158">
        <f>Valores!$D$4</f>
        <v>6352.5280000000002</v>
      </c>
      <c r="S81" s="143">
        <f>Valores!$C$28</f>
        <v>5667.45</v>
      </c>
      <c r="T81" s="143">
        <f>IF($H$5="NO",Valores!$C$44,Valores!$C$44/2)</f>
        <v>2105.77</v>
      </c>
      <c r="U81" s="143">
        <f>Valores!$C$25</f>
        <v>5911.11</v>
      </c>
      <c r="V81" s="140">
        <f t="shared" si="13"/>
        <v>5911.11</v>
      </c>
      <c r="W81" s="140">
        <v>0</v>
      </c>
      <c r="X81" s="140">
        <v>0</v>
      </c>
      <c r="Y81" s="144">
        <v>0</v>
      </c>
      <c r="Z81" s="140">
        <f>Y81*Valores!$C$2</f>
        <v>0</v>
      </c>
      <c r="AA81" s="140">
        <v>0</v>
      </c>
      <c r="AB81" s="143">
        <f>Valores!$C$91</f>
        <v>2664.01</v>
      </c>
      <c r="AC81" s="145">
        <f>Valores!$C$31</f>
        <v>259.82</v>
      </c>
      <c r="AD81" s="140">
        <f t="shared" si="19"/>
        <v>0</v>
      </c>
      <c r="AE81" s="140">
        <f>Valores!$C$32</f>
        <v>259.82</v>
      </c>
      <c r="AF81" s="144">
        <v>0</v>
      </c>
      <c r="AG81" s="140">
        <f>INT(((AF81*Valores!$C$2)*100)+0.5)/100</f>
        <v>0</v>
      </c>
      <c r="AH81" s="140">
        <f>IF($H$5="NO",Valores!$C$60,Valores!$C$60/2)</f>
        <v>528.49</v>
      </c>
      <c r="AI81" s="140">
        <f>IF($H$5="NO",Valores!$C$62,Valores!$C$62/2)</f>
        <v>151</v>
      </c>
      <c r="AJ81" s="146">
        <f t="shared" si="20"/>
        <v>64542.260999999991</v>
      </c>
      <c r="AK81" s="142">
        <f>Valores!$C$37</f>
        <v>1360.88</v>
      </c>
      <c r="AL81" s="143">
        <f>Valores!$C$86</f>
        <v>2730</v>
      </c>
      <c r="AM81" s="143"/>
      <c r="AN81" s="145">
        <f>IF($H$4="NO",0,Valores!$C$53)</f>
        <v>0</v>
      </c>
      <c r="AO81" s="147">
        <f t="shared" si="18"/>
        <v>4090.88</v>
      </c>
      <c r="AP81" s="148">
        <f>AJ81*Valores!$C$69</f>
        <v>-7099.6487099999995</v>
      </c>
      <c r="AQ81" s="148">
        <f>AJ81*-Valores!$C$70</f>
        <v>0</v>
      </c>
      <c r="AR81" s="142">
        <f>AJ81*Valores!$C$71</f>
        <v>-2904.4017449999997</v>
      </c>
      <c r="AS81" s="142">
        <f>Valores!$C$95</f>
        <v>-193.38</v>
      </c>
      <c r="AT81" s="142">
        <f>IF($H$6=0,Valores!$C$96,(Valores!$C$96+$H$6*(Valores!$C$96)))</f>
        <v>-129</v>
      </c>
      <c r="AU81" s="146">
        <f t="shared" si="21"/>
        <v>58306.710544999994</v>
      </c>
      <c r="AV81" s="199">
        <f t="shared" si="14"/>
        <v>-7099.6487099999995</v>
      </c>
      <c r="AW81" s="142">
        <f>AJ81*Valores!$C$72</f>
        <v>-1742.6410469999998</v>
      </c>
      <c r="AX81" s="142">
        <f>AJ81*Valores!$C$73</f>
        <v>-193.62678299999999</v>
      </c>
      <c r="AY81" s="146">
        <f t="shared" si="22"/>
        <v>59597.22445999999</v>
      </c>
      <c r="AZ81" s="150"/>
      <c r="BA81" s="150"/>
      <c r="BB81" s="135" t="s">
        <v>4</v>
      </c>
    </row>
    <row r="82" spans="1:54" s="114" customFormat="1" ht="11.25" customHeight="1" x14ac:dyDescent="0.15">
      <c r="A82" s="134">
        <v>79</v>
      </c>
      <c r="B82" s="134"/>
      <c r="C82" s="135" t="s">
        <v>277</v>
      </c>
      <c r="D82" s="135"/>
      <c r="E82" s="135">
        <f t="shared" si="15"/>
        <v>27</v>
      </c>
      <c r="F82" s="136" t="s">
        <v>278</v>
      </c>
      <c r="G82" s="137">
        <v>77</v>
      </c>
      <c r="H82" s="138">
        <f>INT((G82*Valores!$C$2*100)+0.5)/100</f>
        <v>956.86</v>
      </c>
      <c r="I82" s="139">
        <v>2073</v>
      </c>
      <c r="J82" s="140">
        <f>INT((I82*Valores!$C$2*100)+0.5)/100</f>
        <v>25760.55</v>
      </c>
      <c r="K82" s="155">
        <v>0</v>
      </c>
      <c r="L82" s="140">
        <f>INT((K82*Valores!$C$2*100)+0.5)/100</f>
        <v>0</v>
      </c>
      <c r="M82" s="153">
        <v>0</v>
      </c>
      <c r="N82" s="140">
        <f>INT((M82*Valores!$C$2*100)+0.5)/100</f>
        <v>0</v>
      </c>
      <c r="O82" s="140">
        <f t="shared" si="16"/>
        <v>5210.1435000000001</v>
      </c>
      <c r="P82" s="140">
        <f t="shared" si="17"/>
        <v>0</v>
      </c>
      <c r="Q82" s="158">
        <f>Valores!$C$16</f>
        <v>13030.51</v>
      </c>
      <c r="R82" s="158">
        <f>Valores!$D$4</f>
        <v>6352.5280000000002</v>
      </c>
      <c r="S82" s="157">
        <f>Valores!$C$28</f>
        <v>5667.45</v>
      </c>
      <c r="T82" s="143">
        <f>IF($H$5="NO",Valores!$C$44,Valores!$C$44/2)</f>
        <v>2105.77</v>
      </c>
      <c r="U82" s="143">
        <f>Valores!$C$25</f>
        <v>5911.11</v>
      </c>
      <c r="V82" s="140">
        <f t="shared" si="13"/>
        <v>5911.11</v>
      </c>
      <c r="W82" s="140">
        <v>0</v>
      </c>
      <c r="X82" s="140">
        <v>0</v>
      </c>
      <c r="Y82" s="144">
        <v>0</v>
      </c>
      <c r="Z82" s="140">
        <f>Y82*Valores!$C$2</f>
        <v>0</v>
      </c>
      <c r="AA82" s="140">
        <v>0</v>
      </c>
      <c r="AB82" s="143">
        <f>Valores!$C$91</f>
        <v>2664.01</v>
      </c>
      <c r="AC82" s="145">
        <f>Valores!$C$31</f>
        <v>259.82</v>
      </c>
      <c r="AD82" s="140">
        <f t="shared" si="19"/>
        <v>0</v>
      </c>
      <c r="AE82" s="140">
        <f>Valores!$C$32</f>
        <v>259.82</v>
      </c>
      <c r="AF82" s="144">
        <v>0</v>
      </c>
      <c r="AG82" s="140">
        <f>INT(((AF82*Valores!$C$2)*100)+0.5)/100</f>
        <v>0</v>
      </c>
      <c r="AH82" s="140">
        <f>IF($H$5="NO",Valores!$C$60,Valores!$C$60/2)</f>
        <v>528.49</v>
      </c>
      <c r="AI82" s="140">
        <f>IF($H$5="NO",Valores!$C$62,Valores!$C$62/2)</f>
        <v>151</v>
      </c>
      <c r="AJ82" s="146">
        <f t="shared" si="20"/>
        <v>68858.061499999996</v>
      </c>
      <c r="AK82" s="142">
        <f>Valores!$C$37</f>
        <v>1360.88</v>
      </c>
      <c r="AL82" s="143">
        <f>Valores!$C$86</f>
        <v>2730</v>
      </c>
      <c r="AM82" s="143"/>
      <c r="AN82" s="145">
        <f>IF($H$4="NO",0,Valores!$C$53)</f>
        <v>0</v>
      </c>
      <c r="AO82" s="147">
        <f t="shared" si="18"/>
        <v>4090.88</v>
      </c>
      <c r="AP82" s="148">
        <f>AJ82*Valores!$C$69</f>
        <v>-7574.3867649999993</v>
      </c>
      <c r="AQ82" s="148">
        <f>AJ82*-Valores!$C$70</f>
        <v>0</v>
      </c>
      <c r="AR82" s="142">
        <f>AJ82*Valores!$C$71</f>
        <v>-3098.6127674999998</v>
      </c>
      <c r="AS82" s="142">
        <f>Valores!$C$95</f>
        <v>-193.38</v>
      </c>
      <c r="AT82" s="142">
        <f>IF($H$6=0,Valores!$C$96,(Valores!$C$96+$H$6*(Valores!$C$96)))</f>
        <v>-129</v>
      </c>
      <c r="AU82" s="146">
        <f t="shared" si="21"/>
        <v>61953.561967499998</v>
      </c>
      <c r="AV82" s="199">
        <f t="shared" si="14"/>
        <v>-7574.3867649999993</v>
      </c>
      <c r="AW82" s="142">
        <f>AJ82*Valores!$C$72</f>
        <v>-1859.1676604999998</v>
      </c>
      <c r="AX82" s="142">
        <f>AJ82*Valores!$C$73</f>
        <v>-206.5741845</v>
      </c>
      <c r="AY82" s="146">
        <f t="shared" si="22"/>
        <v>63308.812890000001</v>
      </c>
      <c r="AZ82" s="150"/>
      <c r="BA82" s="150">
        <v>25</v>
      </c>
      <c r="BB82" s="135" t="s">
        <v>8</v>
      </c>
    </row>
    <row r="83" spans="1:54" s="114" customFormat="1" ht="11.25" customHeight="1" x14ac:dyDescent="0.15">
      <c r="A83" s="152">
        <v>80</v>
      </c>
      <c r="B83" s="152" t="s">
        <v>139</v>
      </c>
      <c r="C83" s="135" t="s">
        <v>279</v>
      </c>
      <c r="D83" s="135"/>
      <c r="E83" s="135">
        <f t="shared" si="15"/>
        <v>27</v>
      </c>
      <c r="F83" s="136" t="s">
        <v>280</v>
      </c>
      <c r="G83" s="137">
        <v>76</v>
      </c>
      <c r="H83" s="138">
        <f>INT((G83*Valores!$C$2*100)+0.5)/100</f>
        <v>944.43</v>
      </c>
      <c r="I83" s="139">
        <v>1872</v>
      </c>
      <c r="J83" s="140">
        <f>INT((I83*Valores!$C$2*100)+0.5)/100</f>
        <v>23262.78</v>
      </c>
      <c r="K83" s="155">
        <v>0</v>
      </c>
      <c r="L83" s="140">
        <f>INT((K83*Valores!$C$2*100)+0.5)/100</f>
        <v>0</v>
      </c>
      <c r="M83" s="153">
        <v>0</v>
      </c>
      <c r="N83" s="140">
        <f>INT((M83*Valores!$C$2*100)+0.5)/100</f>
        <v>0</v>
      </c>
      <c r="O83" s="140">
        <f t="shared" si="16"/>
        <v>4833.6134999999995</v>
      </c>
      <c r="P83" s="140">
        <f t="shared" si="17"/>
        <v>0</v>
      </c>
      <c r="Q83" s="158">
        <f>Valores!$C$16</f>
        <v>13030.51</v>
      </c>
      <c r="R83" s="158">
        <f>Valores!$D$4</f>
        <v>6352.5280000000002</v>
      </c>
      <c r="S83" s="143">
        <v>0</v>
      </c>
      <c r="T83" s="143">
        <f>IF($H$5="NO",Valores!$C$44,Valores!$C$44/2)</f>
        <v>2105.77</v>
      </c>
      <c r="U83" s="143">
        <f>Valores!$C$25</f>
        <v>5911.11</v>
      </c>
      <c r="V83" s="140">
        <f t="shared" si="13"/>
        <v>5911.11</v>
      </c>
      <c r="W83" s="140">
        <v>0</v>
      </c>
      <c r="X83" s="140">
        <v>0</v>
      </c>
      <c r="Y83" s="144">
        <v>0</v>
      </c>
      <c r="Z83" s="140">
        <f>Y83*Valores!$C$2</f>
        <v>0</v>
      </c>
      <c r="AA83" s="140">
        <v>0</v>
      </c>
      <c r="AB83" s="143">
        <f>Valores!$C$91</f>
        <v>2664.01</v>
      </c>
      <c r="AC83" s="145">
        <f>Valores!$C$31</f>
        <v>259.82</v>
      </c>
      <c r="AD83" s="140">
        <f t="shared" si="19"/>
        <v>0</v>
      </c>
      <c r="AE83" s="140">
        <f>Valores!$C$32</f>
        <v>259.82</v>
      </c>
      <c r="AF83" s="144">
        <v>0</v>
      </c>
      <c r="AG83" s="140">
        <f>INT(((AF83*Valores!$C$2)*100)+0.5)/100</f>
        <v>0</v>
      </c>
      <c r="AH83" s="140">
        <f>IF($H$5="NO",Valores!$C$60,Valores!$C$60/2)</f>
        <v>528.49</v>
      </c>
      <c r="AI83" s="140">
        <f>IF($H$5="NO",Valores!$C$62,Valores!$C$62/2)</f>
        <v>151</v>
      </c>
      <c r="AJ83" s="146">
        <f t="shared" si="20"/>
        <v>60303.881499999996</v>
      </c>
      <c r="AK83" s="142">
        <f>Valores!$C$37</f>
        <v>1360.88</v>
      </c>
      <c r="AL83" s="143">
        <f>Valores!$C$86</f>
        <v>2730</v>
      </c>
      <c r="AM83" s="143"/>
      <c r="AN83" s="145">
        <f>IF($H$4="NO",0,Valores!$C$53)</f>
        <v>0</v>
      </c>
      <c r="AO83" s="147">
        <f t="shared" si="18"/>
        <v>4090.88</v>
      </c>
      <c r="AP83" s="148">
        <f>AJ83*Valores!$C$69</f>
        <v>-6633.4269649999997</v>
      </c>
      <c r="AQ83" s="148">
        <f>AJ83*-Valores!$C$70</f>
        <v>0</v>
      </c>
      <c r="AR83" s="142">
        <f>AJ83*Valores!$C$71</f>
        <v>-2713.6746674999995</v>
      </c>
      <c r="AS83" s="142">
        <f>Valores!$C$95</f>
        <v>-193.38</v>
      </c>
      <c r="AT83" s="142">
        <f>IF($H$6=0,Valores!$C$96,(Valores!$C$96+$H$6*(Valores!$C$96)))</f>
        <v>-129</v>
      </c>
      <c r="AU83" s="146">
        <f t="shared" si="21"/>
        <v>54725.279867499994</v>
      </c>
      <c r="AV83" s="199">
        <f t="shared" si="14"/>
        <v>-6633.4269649999997</v>
      </c>
      <c r="AW83" s="142">
        <f>AJ83*Valores!$C$72</f>
        <v>-1628.2048004999999</v>
      </c>
      <c r="AX83" s="142">
        <f>AJ83*Valores!$C$73</f>
        <v>-180.91164449999999</v>
      </c>
      <c r="AY83" s="146">
        <f t="shared" si="22"/>
        <v>55952.218089999995</v>
      </c>
      <c r="AZ83" s="150"/>
      <c r="BA83" s="150">
        <v>30</v>
      </c>
      <c r="BB83" s="135" t="s">
        <v>8</v>
      </c>
    </row>
    <row r="84" spans="1:54" s="114" customFormat="1" ht="11.25" customHeight="1" x14ac:dyDescent="0.15">
      <c r="A84" s="134">
        <v>81</v>
      </c>
      <c r="B84" s="134"/>
      <c r="C84" s="135" t="s">
        <v>281</v>
      </c>
      <c r="D84" s="135"/>
      <c r="E84" s="135">
        <f t="shared" si="15"/>
        <v>30</v>
      </c>
      <c r="F84" s="136" t="s">
        <v>282</v>
      </c>
      <c r="G84" s="137">
        <v>75</v>
      </c>
      <c r="H84" s="138">
        <f>INT((G84*Valores!$C$2*100)+0.5)/100</f>
        <v>932</v>
      </c>
      <c r="I84" s="139">
        <v>1873</v>
      </c>
      <c r="J84" s="140">
        <f>INT((I84*Valores!$C$2*100)+0.5)/100</f>
        <v>23275.21</v>
      </c>
      <c r="K84" s="155">
        <v>0</v>
      </c>
      <c r="L84" s="140">
        <f>INT((K84*Valores!$C$2*100)+0.5)/100</f>
        <v>0</v>
      </c>
      <c r="M84" s="153">
        <v>0</v>
      </c>
      <c r="N84" s="140">
        <f>INT((M84*Valores!$C$2*100)+0.5)/100</f>
        <v>0</v>
      </c>
      <c r="O84" s="140">
        <f t="shared" si="16"/>
        <v>4833.6134999999995</v>
      </c>
      <c r="P84" s="140">
        <f t="shared" si="17"/>
        <v>0</v>
      </c>
      <c r="Q84" s="158">
        <f>Valores!$C$16</f>
        <v>13030.51</v>
      </c>
      <c r="R84" s="158">
        <f>Valores!$D$4</f>
        <v>6352.5280000000002</v>
      </c>
      <c r="S84" s="157">
        <f>Valores!$C$28</f>
        <v>5667.45</v>
      </c>
      <c r="T84" s="143">
        <f>IF($H$5="NO",Valores!$C$44,Valores!$C$44/2)</f>
        <v>2105.77</v>
      </c>
      <c r="U84" s="143">
        <f>Valores!$C$25</f>
        <v>5911.11</v>
      </c>
      <c r="V84" s="140">
        <f t="shared" si="13"/>
        <v>5911.11</v>
      </c>
      <c r="W84" s="140">
        <v>0</v>
      </c>
      <c r="X84" s="140">
        <v>0</v>
      </c>
      <c r="Y84" s="144">
        <v>0</v>
      </c>
      <c r="Z84" s="140">
        <f>Y84*Valores!$C$2</f>
        <v>0</v>
      </c>
      <c r="AA84" s="140">
        <v>0</v>
      </c>
      <c r="AB84" s="143">
        <f>Valores!$C$91</f>
        <v>2664.01</v>
      </c>
      <c r="AC84" s="145">
        <f>Valores!$C$31</f>
        <v>259.82</v>
      </c>
      <c r="AD84" s="140">
        <f t="shared" si="19"/>
        <v>0</v>
      </c>
      <c r="AE84" s="140">
        <f>Valores!$C$32</f>
        <v>259.82</v>
      </c>
      <c r="AF84" s="144">
        <v>0</v>
      </c>
      <c r="AG84" s="140">
        <f>INT(((AF84*Valores!$C$2)*100)+0.5)/100</f>
        <v>0</v>
      </c>
      <c r="AH84" s="140">
        <f>IF($H$5="NO",Valores!$C$60,Valores!$C$60/2)</f>
        <v>528.49</v>
      </c>
      <c r="AI84" s="140">
        <f>IF($H$5="NO",Valores!$C$62,Valores!$C$62/2)</f>
        <v>151</v>
      </c>
      <c r="AJ84" s="146">
        <f t="shared" si="20"/>
        <v>65971.331499999986</v>
      </c>
      <c r="AK84" s="142">
        <f>Valores!$C$37</f>
        <v>1360.88</v>
      </c>
      <c r="AL84" s="143">
        <f>Valores!$C$86</f>
        <v>2730</v>
      </c>
      <c r="AM84" s="143"/>
      <c r="AN84" s="145">
        <f>IF($H$4="NO",0,Valores!$C$53)</f>
        <v>0</v>
      </c>
      <c r="AO84" s="147">
        <f t="shared" si="18"/>
        <v>4090.88</v>
      </c>
      <c r="AP84" s="148">
        <f>AJ84*Valores!$C$69</f>
        <v>-7256.8464649999987</v>
      </c>
      <c r="AQ84" s="148">
        <f>AJ84*-Valores!$C$70</f>
        <v>0</v>
      </c>
      <c r="AR84" s="142">
        <f>AJ84*Valores!$C$71</f>
        <v>-2968.7099174999994</v>
      </c>
      <c r="AS84" s="142">
        <f>Valores!$C$95</f>
        <v>-193.38</v>
      </c>
      <c r="AT84" s="142">
        <f>IF($H$6=0,Valores!$C$96,(Valores!$C$96+$H$6*(Valores!$C$96)))</f>
        <v>-129</v>
      </c>
      <c r="AU84" s="146">
        <f t="shared" si="21"/>
        <v>59514.275117499987</v>
      </c>
      <c r="AV84" s="199">
        <f t="shared" si="14"/>
        <v>-7256.8464649999987</v>
      </c>
      <c r="AW84" s="142">
        <f>AJ84*Valores!$C$72</f>
        <v>-1781.2259504999995</v>
      </c>
      <c r="AX84" s="142">
        <f>AJ84*Valores!$C$73</f>
        <v>-197.91399449999997</v>
      </c>
      <c r="AY84" s="146">
        <f t="shared" si="22"/>
        <v>60826.225089999993</v>
      </c>
      <c r="AZ84" s="150"/>
      <c r="BA84" s="150">
        <v>25</v>
      </c>
      <c r="BB84" s="135" t="s">
        <v>4</v>
      </c>
    </row>
    <row r="85" spans="1:54" s="114" customFormat="1" ht="11.25" customHeight="1" x14ac:dyDescent="0.15">
      <c r="A85" s="134">
        <v>82</v>
      </c>
      <c r="B85" s="134"/>
      <c r="C85" s="135" t="s">
        <v>283</v>
      </c>
      <c r="D85" s="135"/>
      <c r="E85" s="135">
        <f t="shared" si="15"/>
        <v>27</v>
      </c>
      <c r="F85" s="136" t="s">
        <v>284</v>
      </c>
      <c r="G85" s="137">
        <v>76</v>
      </c>
      <c r="H85" s="138">
        <f>INT((G85*Valores!$C$2*100)+0.5)/100</f>
        <v>944.43</v>
      </c>
      <c r="I85" s="139">
        <v>1752</v>
      </c>
      <c r="J85" s="140">
        <f>INT((I85*Valores!$C$2*100)+0.5)/100</f>
        <v>21771.58</v>
      </c>
      <c r="K85" s="155">
        <v>0</v>
      </c>
      <c r="L85" s="140">
        <f>INT((K85*Valores!$C$2*100)+0.5)/100</f>
        <v>0</v>
      </c>
      <c r="M85" s="153">
        <v>0</v>
      </c>
      <c r="N85" s="140">
        <f>INT((M85*Valores!$C$2*100)+0.5)/100</f>
        <v>0</v>
      </c>
      <c r="O85" s="140">
        <f t="shared" si="16"/>
        <v>4609.9335000000001</v>
      </c>
      <c r="P85" s="140">
        <f t="shared" si="17"/>
        <v>0</v>
      </c>
      <c r="Q85" s="158">
        <f>Valores!$C$15</f>
        <v>12990.26</v>
      </c>
      <c r="R85" s="158">
        <f>Valores!$D$4</f>
        <v>6352.5280000000002</v>
      </c>
      <c r="S85" s="157">
        <f>Valores!$C$28</f>
        <v>5667.45</v>
      </c>
      <c r="T85" s="143">
        <f>IF($H$5="NO",Valores!$C$44,Valores!$C$44/2)</f>
        <v>2105.77</v>
      </c>
      <c r="U85" s="143">
        <f>Valores!$C$25</f>
        <v>5911.11</v>
      </c>
      <c r="V85" s="140">
        <f t="shared" si="13"/>
        <v>5911.11</v>
      </c>
      <c r="W85" s="140">
        <v>0</v>
      </c>
      <c r="X85" s="140">
        <v>0</v>
      </c>
      <c r="Y85" s="144">
        <v>0</v>
      </c>
      <c r="Z85" s="140">
        <f>Y85*Valores!$C$2</f>
        <v>0</v>
      </c>
      <c r="AA85" s="140">
        <v>0</v>
      </c>
      <c r="AB85" s="143">
        <f>Valores!$C$90</f>
        <v>2220.0100000000002</v>
      </c>
      <c r="AC85" s="145">
        <f>Valores!$C$31</f>
        <v>259.82</v>
      </c>
      <c r="AD85" s="140">
        <f t="shared" si="19"/>
        <v>0</v>
      </c>
      <c r="AE85" s="140">
        <f>Valores!$C$32</f>
        <v>259.82</v>
      </c>
      <c r="AF85" s="144">
        <v>0</v>
      </c>
      <c r="AG85" s="140">
        <f>INT(((AF85*Valores!$C$2)*100)+0.5)/100</f>
        <v>0</v>
      </c>
      <c r="AH85" s="140">
        <f>IF($H$5="NO",Valores!$C$60,Valores!$C$60/2)</f>
        <v>528.49</v>
      </c>
      <c r="AI85" s="140">
        <f>IF($H$5="NO",Valores!$C$62,Valores!$C$62/2)</f>
        <v>151</v>
      </c>
      <c r="AJ85" s="146">
        <f t="shared" si="20"/>
        <v>63772.201499999996</v>
      </c>
      <c r="AK85" s="142">
        <f>Valores!$C$37</f>
        <v>1360.88</v>
      </c>
      <c r="AL85" s="143">
        <f>Valores!$C$85</f>
        <v>2275</v>
      </c>
      <c r="AM85" s="143"/>
      <c r="AN85" s="145">
        <f>IF($H$4="NO",0,Valores!$C$53)</f>
        <v>0</v>
      </c>
      <c r="AO85" s="147">
        <f t="shared" si="18"/>
        <v>3635.88</v>
      </c>
      <c r="AP85" s="148">
        <f>AJ85*Valores!$C$69</f>
        <v>-7014.9421649999995</v>
      </c>
      <c r="AQ85" s="148">
        <f>AJ85*-Valores!$C$70</f>
        <v>0</v>
      </c>
      <c r="AR85" s="142">
        <f>AJ85*Valores!$C$71</f>
        <v>-2869.7490674999999</v>
      </c>
      <c r="AS85" s="142">
        <f>Valores!$C$95</f>
        <v>-193.38</v>
      </c>
      <c r="AT85" s="142">
        <f>IF($H$6=0,Valores!$C$96,(Valores!$C$96+$H$6*(Valores!$C$96)))</f>
        <v>-129</v>
      </c>
      <c r="AU85" s="146">
        <f t="shared" si="21"/>
        <v>57201.010267499994</v>
      </c>
      <c r="AV85" s="199">
        <f t="shared" si="14"/>
        <v>-7014.9421649999995</v>
      </c>
      <c r="AW85" s="142">
        <f>AJ85*Valores!$C$72</f>
        <v>-1721.8494404999999</v>
      </c>
      <c r="AX85" s="142">
        <f>AJ85*Valores!$C$73</f>
        <v>-191.31660449999998</v>
      </c>
      <c r="AY85" s="146">
        <f t="shared" si="22"/>
        <v>58479.973290000002</v>
      </c>
      <c r="AZ85" s="150"/>
      <c r="BA85" s="150">
        <v>25</v>
      </c>
      <c r="BB85" s="135" t="s">
        <v>8</v>
      </c>
    </row>
    <row r="86" spans="1:54" s="114" customFormat="1" ht="11.25" customHeight="1" x14ac:dyDescent="0.15">
      <c r="A86" s="134">
        <v>83</v>
      </c>
      <c r="B86" s="134"/>
      <c r="C86" s="135" t="s">
        <v>285</v>
      </c>
      <c r="D86" s="135"/>
      <c r="E86" s="135">
        <f t="shared" si="15"/>
        <v>31</v>
      </c>
      <c r="F86" s="136" t="s">
        <v>286</v>
      </c>
      <c r="G86" s="137">
        <v>78</v>
      </c>
      <c r="H86" s="138">
        <f>INT((G86*Valores!$C$2*100)+0.5)/100</f>
        <v>969.28</v>
      </c>
      <c r="I86" s="139">
        <v>1770</v>
      </c>
      <c r="J86" s="140">
        <f>INT((I86*Valores!$C$2*100)+0.5)/100</f>
        <v>21995.26</v>
      </c>
      <c r="K86" s="155">
        <v>0</v>
      </c>
      <c r="L86" s="140">
        <f>INT((K86*Valores!$C$2*100)+0.5)/100</f>
        <v>0</v>
      </c>
      <c r="M86" s="153">
        <v>0</v>
      </c>
      <c r="N86" s="140">
        <f>INT((M86*Valores!$C$2*100)+0.5)/100</f>
        <v>0</v>
      </c>
      <c r="O86" s="140">
        <f t="shared" si="16"/>
        <v>4609.9169999999995</v>
      </c>
      <c r="P86" s="140">
        <f t="shared" si="17"/>
        <v>0</v>
      </c>
      <c r="Q86" s="158">
        <f>Valores!$C$17</f>
        <v>11080.51</v>
      </c>
      <c r="R86" s="158">
        <f>Valores!$D$4</f>
        <v>6352.5280000000002</v>
      </c>
      <c r="S86" s="143">
        <f>Valores!$C$28</f>
        <v>5667.45</v>
      </c>
      <c r="T86" s="143">
        <f>IF($H$5="NO",Valores!$C$43,Valores!$C$43/2)</f>
        <v>1857.13</v>
      </c>
      <c r="U86" s="157">
        <f>Valores!$C$25</f>
        <v>5911.11</v>
      </c>
      <c r="V86" s="140">
        <f t="shared" si="13"/>
        <v>5911.11</v>
      </c>
      <c r="W86" s="140">
        <v>0</v>
      </c>
      <c r="X86" s="140">
        <v>0</v>
      </c>
      <c r="Y86" s="144">
        <v>0</v>
      </c>
      <c r="Z86" s="140">
        <f>Y86*Valores!$C$2</f>
        <v>0</v>
      </c>
      <c r="AA86" s="140">
        <v>0</v>
      </c>
      <c r="AB86" s="143">
        <f>Valores!$C$90</f>
        <v>2220.0100000000002</v>
      </c>
      <c r="AC86" s="145">
        <f>Valores!$C$31</f>
        <v>259.82</v>
      </c>
      <c r="AD86" s="140">
        <f t="shared" si="19"/>
        <v>0</v>
      </c>
      <c r="AE86" s="140">
        <f>Valores!$C$32</f>
        <v>259.82</v>
      </c>
      <c r="AF86" s="144">
        <v>0</v>
      </c>
      <c r="AG86" s="140">
        <f>INT(((AF86*Valores!$C$2)*100)+0.5)/100</f>
        <v>0</v>
      </c>
      <c r="AH86" s="140">
        <f>IF($H$5="NO",Valores!$C$60,Valores!$C$60/2)</f>
        <v>528.49</v>
      </c>
      <c r="AI86" s="140">
        <f>IF($H$5="NO",Valores!$C$62,Valores!$C$62/2)</f>
        <v>151</v>
      </c>
      <c r="AJ86" s="146">
        <f t="shared" si="20"/>
        <v>61862.32499999999</v>
      </c>
      <c r="AK86" s="142">
        <f>Valores!$C$37</f>
        <v>1360.88</v>
      </c>
      <c r="AL86" s="143">
        <f>Valores!$C$85</f>
        <v>2275</v>
      </c>
      <c r="AM86" s="143"/>
      <c r="AN86" s="145">
        <f>IF($H$4="NO",0,Valores!$C$53)</f>
        <v>0</v>
      </c>
      <c r="AO86" s="147">
        <f t="shared" si="18"/>
        <v>3635.88</v>
      </c>
      <c r="AP86" s="148">
        <f>AJ86*Valores!$C$69</f>
        <v>-6804.8557499999988</v>
      </c>
      <c r="AQ86" s="148">
        <f>AJ86*-Valores!$C$70</f>
        <v>0</v>
      </c>
      <c r="AR86" s="142">
        <f>AJ86*Valores!$C$71</f>
        <v>-2783.8046249999993</v>
      </c>
      <c r="AS86" s="142">
        <f>Valores!$C$95</f>
        <v>-193.38</v>
      </c>
      <c r="AT86" s="142">
        <f>IF($H$6=0,Valores!$C$96,(Valores!$C$96+$H$6*(Valores!$C$96)))</f>
        <v>-129</v>
      </c>
      <c r="AU86" s="146">
        <f t="shared" si="21"/>
        <v>55587.16462499999</v>
      </c>
      <c r="AV86" s="199">
        <f t="shared" si="14"/>
        <v>-6804.8557499999988</v>
      </c>
      <c r="AW86" s="142">
        <f>AJ86*Valores!$C$72</f>
        <v>-1670.2827749999997</v>
      </c>
      <c r="AX86" s="142">
        <f>AJ86*Valores!$C$73</f>
        <v>-185.58697499999997</v>
      </c>
      <c r="AY86" s="146">
        <f t="shared" si="22"/>
        <v>56837.479499999987</v>
      </c>
      <c r="AZ86" s="150"/>
      <c r="BA86" s="150">
        <v>27</v>
      </c>
      <c r="BB86" s="135" t="s">
        <v>4</v>
      </c>
    </row>
    <row r="87" spans="1:54" s="114" customFormat="1" ht="11.25" customHeight="1" x14ac:dyDescent="0.15">
      <c r="A87" s="134">
        <v>84</v>
      </c>
      <c r="B87" s="134"/>
      <c r="C87" s="135" t="s">
        <v>287</v>
      </c>
      <c r="D87" s="135"/>
      <c r="E87" s="135">
        <f t="shared" si="15"/>
        <v>28</v>
      </c>
      <c r="F87" s="136" t="s">
        <v>288</v>
      </c>
      <c r="G87" s="137">
        <v>76</v>
      </c>
      <c r="H87" s="138">
        <f>INT((G87*Valores!$C$2*100)+0.5)/100</f>
        <v>944.43</v>
      </c>
      <c r="I87" s="139">
        <v>1872</v>
      </c>
      <c r="J87" s="140">
        <f>INT((I87*Valores!$C$2*100)+0.5)/100</f>
        <v>23262.78</v>
      </c>
      <c r="K87" s="155">
        <v>0</v>
      </c>
      <c r="L87" s="140">
        <f>INT((K87*Valores!$C$2*100)+0.5)/100</f>
        <v>0</v>
      </c>
      <c r="M87" s="153">
        <v>0</v>
      </c>
      <c r="N87" s="140">
        <f>INT((M87*Valores!$C$2*100)+0.5)/100</f>
        <v>0</v>
      </c>
      <c r="O87" s="140">
        <f t="shared" si="16"/>
        <v>4796.3175000000001</v>
      </c>
      <c r="P87" s="140">
        <f t="shared" si="17"/>
        <v>0</v>
      </c>
      <c r="Q87" s="158">
        <f>Valores!$C$17</f>
        <v>11080.51</v>
      </c>
      <c r="R87" s="158">
        <f>Valores!$D$4</f>
        <v>6352.5280000000002</v>
      </c>
      <c r="S87" s="143">
        <v>0</v>
      </c>
      <c r="T87" s="143">
        <f>IF($H$5="NO",Valores!$C$43,Valores!$C$43/2)</f>
        <v>1857.13</v>
      </c>
      <c r="U87" s="157">
        <f>Valores!$C$25</f>
        <v>5911.11</v>
      </c>
      <c r="V87" s="140">
        <f t="shared" si="13"/>
        <v>5911.11</v>
      </c>
      <c r="W87" s="140">
        <v>0</v>
      </c>
      <c r="X87" s="140">
        <v>0</v>
      </c>
      <c r="Y87" s="144">
        <v>0</v>
      </c>
      <c r="Z87" s="140">
        <f>Y87*Valores!$C$2</f>
        <v>0</v>
      </c>
      <c r="AA87" s="140">
        <v>0</v>
      </c>
      <c r="AB87" s="143">
        <f>Valores!$C$90</f>
        <v>2220.0100000000002</v>
      </c>
      <c r="AC87" s="145">
        <f>Valores!$C$31</f>
        <v>259.82</v>
      </c>
      <c r="AD87" s="140">
        <f t="shared" si="19"/>
        <v>0</v>
      </c>
      <c r="AE87" s="140">
        <f>Valores!$C$32</f>
        <v>259.82</v>
      </c>
      <c r="AF87" s="144">
        <v>0</v>
      </c>
      <c r="AG87" s="140">
        <f>INT(((AF87*Valores!$C$2)*100)+0.5)/100</f>
        <v>0</v>
      </c>
      <c r="AH87" s="140">
        <f>IF($H$5="NO",Valores!$C$60,Valores!$C$60/2)</f>
        <v>528.49</v>
      </c>
      <c r="AI87" s="140">
        <f>IF($H$5="NO",Valores!$C$62,Valores!$C$62/2)</f>
        <v>151</v>
      </c>
      <c r="AJ87" s="146">
        <f t="shared" si="20"/>
        <v>57623.945499999994</v>
      </c>
      <c r="AK87" s="142">
        <f>Valores!$C$37</f>
        <v>1360.88</v>
      </c>
      <c r="AL87" s="143">
        <f>Valores!$C$85</f>
        <v>2275</v>
      </c>
      <c r="AM87" s="143"/>
      <c r="AN87" s="145">
        <f>IF($H$4="NO",0,Valores!$C$53)</f>
        <v>0</v>
      </c>
      <c r="AO87" s="147">
        <f t="shared" si="18"/>
        <v>3635.88</v>
      </c>
      <c r="AP87" s="148">
        <f>AJ87*Valores!$C$69</f>
        <v>-6338.634004999999</v>
      </c>
      <c r="AQ87" s="148">
        <f>AJ87*-Valores!$C$70</f>
        <v>0</v>
      </c>
      <c r="AR87" s="142">
        <f>AJ87*Valores!$C$71</f>
        <v>-2593.0775474999996</v>
      </c>
      <c r="AS87" s="142">
        <f>Valores!$C$95</f>
        <v>-193.38</v>
      </c>
      <c r="AT87" s="142">
        <f>IF($H$6=0,Valores!$C$96,(Valores!$C$96+$H$6*(Valores!$C$96)))</f>
        <v>-129</v>
      </c>
      <c r="AU87" s="146">
        <f t="shared" si="21"/>
        <v>52005.733947499997</v>
      </c>
      <c r="AV87" s="199">
        <f t="shared" si="14"/>
        <v>-6338.634004999999</v>
      </c>
      <c r="AW87" s="142">
        <f>AJ87*Valores!$C$72</f>
        <v>-1555.8465284999997</v>
      </c>
      <c r="AX87" s="142">
        <f>AJ87*Valores!$C$73</f>
        <v>-172.8718365</v>
      </c>
      <c r="AY87" s="146">
        <f t="shared" si="22"/>
        <v>53192.473129999991</v>
      </c>
      <c r="AZ87" s="150"/>
      <c r="BA87" s="150">
        <v>27</v>
      </c>
      <c r="BB87" s="135" t="s">
        <v>4</v>
      </c>
    </row>
    <row r="88" spans="1:54" s="114" customFormat="1" ht="11.25" customHeight="1" x14ac:dyDescent="0.15">
      <c r="A88" s="152">
        <v>85</v>
      </c>
      <c r="B88" s="152" t="s">
        <v>139</v>
      </c>
      <c r="C88" s="135" t="s">
        <v>289</v>
      </c>
      <c r="D88" s="135"/>
      <c r="E88" s="135">
        <f t="shared" si="15"/>
        <v>21</v>
      </c>
      <c r="F88" s="136" t="s">
        <v>290</v>
      </c>
      <c r="G88" s="137">
        <v>169</v>
      </c>
      <c r="H88" s="138">
        <f>INT((G88*Valores!$C$2*100)+0.5)/100</f>
        <v>2100.11</v>
      </c>
      <c r="I88" s="139">
        <f>1997</f>
        <v>1997</v>
      </c>
      <c r="J88" s="140">
        <f>INT((I88*Valores!$C$2*100)+0.5)/100</f>
        <v>24816.12</v>
      </c>
      <c r="K88" s="155">
        <v>0</v>
      </c>
      <c r="L88" s="140">
        <f>INT((K88*Valores!$C$2*100)+0.5)/100</f>
        <v>0</v>
      </c>
      <c r="M88" s="153">
        <v>0</v>
      </c>
      <c r="N88" s="140">
        <f>INT((M88*Valores!$C$2*100)+0.5)/100</f>
        <v>0</v>
      </c>
      <c r="O88" s="140">
        <f t="shared" si="16"/>
        <v>5239.9664999999986</v>
      </c>
      <c r="P88" s="140">
        <f t="shared" si="17"/>
        <v>0</v>
      </c>
      <c r="Q88" s="142">
        <f>Valores!$C$16</f>
        <v>13030.51</v>
      </c>
      <c r="R88" s="142">
        <f>Valores!$D$4</f>
        <v>6352.5280000000002</v>
      </c>
      <c r="S88" s="154">
        <f>Valores!$C$28</f>
        <v>5667.45</v>
      </c>
      <c r="T88" s="143">
        <f>IF($H$5="NO",Valores!$C$44,Valores!$C$44/2)</f>
        <v>2105.77</v>
      </c>
      <c r="U88" s="140">
        <f>Valores!$C$25</f>
        <v>5911.11</v>
      </c>
      <c r="V88" s="140">
        <f t="shared" si="13"/>
        <v>5911.11</v>
      </c>
      <c r="W88" s="140">
        <v>0</v>
      </c>
      <c r="X88" s="140">
        <v>0</v>
      </c>
      <c r="Y88" s="144">
        <v>0</v>
      </c>
      <c r="Z88" s="140">
        <f>Y88*Valores!$C$2</f>
        <v>0</v>
      </c>
      <c r="AA88" s="140">
        <v>0</v>
      </c>
      <c r="AB88" s="143">
        <f>Valores!$C$90</f>
        <v>2220.0100000000002</v>
      </c>
      <c r="AC88" s="145">
        <f>Valores!$C$31</f>
        <v>259.82</v>
      </c>
      <c r="AD88" s="140">
        <f t="shared" si="19"/>
        <v>0</v>
      </c>
      <c r="AE88" s="140">
        <f>Valores!$C$32</f>
        <v>259.82</v>
      </c>
      <c r="AF88" s="144">
        <v>0</v>
      </c>
      <c r="AG88" s="140">
        <f>INT(((AF88*Valores!$C$2)*100)+0.5)/100</f>
        <v>0</v>
      </c>
      <c r="AH88" s="140">
        <f>IF($H$5="NO",Valores!$C$60,Valores!$C$60/2)</f>
        <v>528.49</v>
      </c>
      <c r="AI88" s="140">
        <f>IF($H$5="NO",Valores!$C$62,Valores!$C$62/2)</f>
        <v>151</v>
      </c>
      <c r="AJ88" s="146">
        <f t="shared" si="20"/>
        <v>68642.704499999993</v>
      </c>
      <c r="AK88" s="142">
        <f>Valores!$C$37</f>
        <v>1360.88</v>
      </c>
      <c r="AL88" s="143">
        <f>Valores!$C$85</f>
        <v>2275</v>
      </c>
      <c r="AM88" s="143"/>
      <c r="AN88" s="145">
        <f>IF($H$4="NO",0,Valores!$C$53)</f>
        <v>0</v>
      </c>
      <c r="AO88" s="147">
        <f t="shared" si="18"/>
        <v>3635.88</v>
      </c>
      <c r="AP88" s="148">
        <f>AJ88*Valores!$C$69</f>
        <v>-7550.6974949999994</v>
      </c>
      <c r="AQ88" s="148">
        <f>AJ88*-Valores!$C$70</f>
        <v>0</v>
      </c>
      <c r="AR88" s="142">
        <f>AJ88*Valores!$C$71</f>
        <v>-3088.9217024999994</v>
      </c>
      <c r="AS88" s="142">
        <f>Valores!$C$95</f>
        <v>-193.38</v>
      </c>
      <c r="AT88" s="142">
        <f>IF($H$6=0,Valores!$C$96,(Valores!$C$96+$H$6*(Valores!$C$96)))</f>
        <v>-129</v>
      </c>
      <c r="AU88" s="146">
        <f t="shared" si="21"/>
        <v>61316.585302499996</v>
      </c>
      <c r="AV88" s="199">
        <f t="shared" si="14"/>
        <v>-7550.6974949999994</v>
      </c>
      <c r="AW88" s="142">
        <f>AJ88*Valores!$C$72</f>
        <v>-1853.3530214999998</v>
      </c>
      <c r="AX88" s="142">
        <f>AJ88*Valores!$C$73</f>
        <v>-205.92811349999999</v>
      </c>
      <c r="AY88" s="146">
        <f t="shared" si="22"/>
        <v>62668.605869999999</v>
      </c>
      <c r="AZ88" s="150"/>
      <c r="BA88" s="150">
        <v>25</v>
      </c>
      <c r="BB88" s="135" t="s">
        <v>8</v>
      </c>
    </row>
    <row r="89" spans="1:54" s="114" customFormat="1" ht="11.25" customHeight="1" x14ac:dyDescent="0.15">
      <c r="A89" s="134">
        <v>86</v>
      </c>
      <c r="B89" s="134"/>
      <c r="C89" s="135" t="s">
        <v>291</v>
      </c>
      <c r="D89" s="135"/>
      <c r="E89" s="135">
        <f t="shared" si="15"/>
        <v>28</v>
      </c>
      <c r="F89" s="136" t="s">
        <v>292</v>
      </c>
      <c r="G89" s="137">
        <v>218</v>
      </c>
      <c r="H89" s="138">
        <f>INT((G89*Valores!$C$2*100)+0.5)/100</f>
        <v>2709.02</v>
      </c>
      <c r="I89" s="139">
        <f>1997</f>
        <v>1997</v>
      </c>
      <c r="J89" s="140">
        <f>INT((I89*Valores!$C$2*100)+0.5)/100</f>
        <v>24816.12</v>
      </c>
      <c r="K89" s="155">
        <v>0</v>
      </c>
      <c r="L89" s="140">
        <f>INT((K89*Valores!$C$2*100)+0.5)/100</f>
        <v>0</v>
      </c>
      <c r="M89" s="153">
        <v>0</v>
      </c>
      <c r="N89" s="140">
        <f>INT((M89*Valores!$C$2*100)+0.5)/100</f>
        <v>0</v>
      </c>
      <c r="O89" s="140">
        <f t="shared" si="16"/>
        <v>5331.302999999999</v>
      </c>
      <c r="P89" s="140">
        <f t="shared" si="17"/>
        <v>0</v>
      </c>
      <c r="Q89" s="142">
        <f>Valores!$C$22</f>
        <v>15370.51</v>
      </c>
      <c r="R89" s="142">
        <f>Valores!$D$4</f>
        <v>6352.5280000000002</v>
      </c>
      <c r="S89" s="154">
        <f>Valores!$C$28</f>
        <v>5667.45</v>
      </c>
      <c r="T89" s="143">
        <f>IF($H$5="NO",Valores!$C$44,Valores!$C$44/2)</f>
        <v>2105.77</v>
      </c>
      <c r="U89" s="140">
        <f>Valores!$C$25</f>
        <v>5911.11</v>
      </c>
      <c r="V89" s="140">
        <f t="shared" si="13"/>
        <v>5911.11</v>
      </c>
      <c r="W89" s="140">
        <v>0</v>
      </c>
      <c r="X89" s="140">
        <v>0</v>
      </c>
      <c r="Y89" s="144">
        <v>0</v>
      </c>
      <c r="Z89" s="140">
        <f>Y89*Valores!$C$2</f>
        <v>0</v>
      </c>
      <c r="AA89" s="140">
        <v>0</v>
      </c>
      <c r="AB89" s="143">
        <f>Valores!$C$90</f>
        <v>2220.0100000000002</v>
      </c>
      <c r="AC89" s="145">
        <f>Valores!$C$31</f>
        <v>259.82</v>
      </c>
      <c r="AD89" s="140">
        <f t="shared" si="19"/>
        <v>0</v>
      </c>
      <c r="AE89" s="140">
        <f>Valores!$C$32</f>
        <v>259.82</v>
      </c>
      <c r="AF89" s="144">
        <v>0</v>
      </c>
      <c r="AG89" s="140">
        <f>INT(((AF89*Valores!$C$2)*100)+0.5)/100</f>
        <v>0</v>
      </c>
      <c r="AH89" s="140">
        <f>IF($H$5="NO",Valores!$C$60,Valores!$C$60/2)</f>
        <v>528.49</v>
      </c>
      <c r="AI89" s="140">
        <f>IF($H$5="NO",Valores!$C$62,Valores!$C$62/2)</f>
        <v>151</v>
      </c>
      <c r="AJ89" s="146">
        <f t="shared" si="20"/>
        <v>71682.951000000015</v>
      </c>
      <c r="AK89" s="142">
        <f>Valores!$C$37</f>
        <v>1360.88</v>
      </c>
      <c r="AL89" s="143">
        <f>Valores!$C$85</f>
        <v>2275</v>
      </c>
      <c r="AM89" s="143"/>
      <c r="AN89" s="145">
        <f>IF($H$4="NO",0,Valores!$C$53)</f>
        <v>0</v>
      </c>
      <c r="AO89" s="147">
        <f t="shared" si="18"/>
        <v>3635.88</v>
      </c>
      <c r="AP89" s="148">
        <f>AJ89*Valores!$C$69</f>
        <v>-7885.1246100000017</v>
      </c>
      <c r="AQ89" s="148">
        <f>AJ89*-Valores!$C$70</f>
        <v>0</v>
      </c>
      <c r="AR89" s="142">
        <f>AJ89*Valores!$C$71</f>
        <v>-3225.7327950000004</v>
      </c>
      <c r="AS89" s="142">
        <f>Valores!$C$95</f>
        <v>-193.38</v>
      </c>
      <c r="AT89" s="142">
        <f>IF($H$6=0,Valores!$C$96,(Valores!$C$96+$H$6*(Valores!$C$96)))</f>
        <v>-129</v>
      </c>
      <c r="AU89" s="146">
        <f t="shared" si="21"/>
        <v>63885.593595000013</v>
      </c>
      <c r="AV89" s="199">
        <f t="shared" si="14"/>
        <v>-7885.1246100000017</v>
      </c>
      <c r="AW89" s="142">
        <f>AJ89*Valores!$C$72</f>
        <v>-1935.4396770000003</v>
      </c>
      <c r="AX89" s="142">
        <f>AJ89*Valores!$C$73</f>
        <v>-215.04885300000007</v>
      </c>
      <c r="AY89" s="146">
        <f t="shared" si="22"/>
        <v>65283.217860000019</v>
      </c>
      <c r="AZ89" s="150"/>
      <c r="BA89" s="150">
        <v>25</v>
      </c>
      <c r="BB89" s="135" t="s">
        <v>4</v>
      </c>
    </row>
    <row r="90" spans="1:54" s="114" customFormat="1" ht="11.25" customHeight="1" x14ac:dyDescent="0.15">
      <c r="A90" s="134">
        <v>87</v>
      </c>
      <c r="B90" s="134"/>
      <c r="C90" s="135" t="s">
        <v>291</v>
      </c>
      <c r="D90" s="135"/>
      <c r="E90" s="135">
        <f t="shared" si="15"/>
        <v>41</v>
      </c>
      <c r="F90" s="136" t="s">
        <v>293</v>
      </c>
      <c r="G90" s="137">
        <v>218</v>
      </c>
      <c r="H90" s="138">
        <f>INT((G90*Valores!$C$2*100)+0.5)/100</f>
        <v>2709.02</v>
      </c>
      <c r="I90" s="139">
        <f>1997</f>
        <v>1997</v>
      </c>
      <c r="J90" s="140">
        <f>INT((I90*Valores!$C$2*100)+0.5)/100</f>
        <v>24816.12</v>
      </c>
      <c r="K90" s="155">
        <v>0</v>
      </c>
      <c r="L90" s="140">
        <f>INT((K90*Valores!$C$2*100)+0.5)/100</f>
        <v>0</v>
      </c>
      <c r="M90" s="153">
        <v>0</v>
      </c>
      <c r="N90" s="140">
        <f>INT((M90*Valores!$C$2*100)+0.5)/100</f>
        <v>0</v>
      </c>
      <c r="O90" s="140">
        <f t="shared" si="16"/>
        <v>5331.302999999999</v>
      </c>
      <c r="P90" s="140">
        <f t="shared" si="17"/>
        <v>0</v>
      </c>
      <c r="Q90" s="142">
        <f>Valores!$C$22</f>
        <v>15370.51</v>
      </c>
      <c r="R90" s="142">
        <f>Valores!$D$4</f>
        <v>6352.5280000000002</v>
      </c>
      <c r="S90" s="154">
        <f>Valores!$C$28</f>
        <v>5667.45</v>
      </c>
      <c r="T90" s="143">
        <f>IF($H$5="NO",Valores!$C$44,Valores!$C$44/2)</f>
        <v>2105.77</v>
      </c>
      <c r="U90" s="140">
        <f>Valores!$C$25</f>
        <v>5911.11</v>
      </c>
      <c r="V90" s="140">
        <f t="shared" si="13"/>
        <v>5911.11</v>
      </c>
      <c r="W90" s="140">
        <v>0</v>
      </c>
      <c r="X90" s="140">
        <v>0</v>
      </c>
      <c r="Y90" s="144">
        <v>0</v>
      </c>
      <c r="Z90" s="140">
        <f>Y90*Valores!$C$2</f>
        <v>0</v>
      </c>
      <c r="AA90" s="140">
        <v>0</v>
      </c>
      <c r="AB90" s="143">
        <f>Valores!$C$90</f>
        <v>2220.0100000000002</v>
      </c>
      <c r="AC90" s="145">
        <f>Valores!$C$31</f>
        <v>259.82</v>
      </c>
      <c r="AD90" s="140">
        <f t="shared" si="19"/>
        <v>0</v>
      </c>
      <c r="AE90" s="140">
        <f>Valores!$C$32</f>
        <v>259.82</v>
      </c>
      <c r="AF90" s="144">
        <v>19</v>
      </c>
      <c r="AG90" s="140">
        <f>INT(((AF90*Valores!$C$2)*100)+0.5)/100</f>
        <v>236.11</v>
      </c>
      <c r="AH90" s="140">
        <f>IF($H$5="NO",Valores!$C$60,Valores!$C$60/2)</f>
        <v>528.49</v>
      </c>
      <c r="AI90" s="140">
        <f>IF($H$5="NO",Valores!$C$62,Valores!$C$62/2)</f>
        <v>151</v>
      </c>
      <c r="AJ90" s="146">
        <f t="shared" si="20"/>
        <v>71919.061000000016</v>
      </c>
      <c r="AK90" s="142">
        <f>Valores!$C$37</f>
        <v>1360.88</v>
      </c>
      <c r="AL90" s="143">
        <f>Valores!$C$85</f>
        <v>2275</v>
      </c>
      <c r="AM90" s="143"/>
      <c r="AN90" s="145">
        <f>IF($H$4="NO",0,Valores!$C$53)</f>
        <v>0</v>
      </c>
      <c r="AO90" s="147">
        <f t="shared" si="18"/>
        <v>3635.88</v>
      </c>
      <c r="AP90" s="148">
        <f>AJ90*Valores!$C$69</f>
        <v>-7911.0967100000016</v>
      </c>
      <c r="AQ90" s="148">
        <f>AJ90*-Valores!$C$70</f>
        <v>0</v>
      </c>
      <c r="AR90" s="142">
        <f>AJ90*Valores!$C$71</f>
        <v>-3236.3577450000007</v>
      </c>
      <c r="AS90" s="142">
        <f>Valores!$C$95</f>
        <v>-193.38</v>
      </c>
      <c r="AT90" s="142">
        <f>IF($H$6=0,Valores!$C$96,(Valores!$C$96+$H$6*(Valores!$C$96)))</f>
        <v>-129</v>
      </c>
      <c r="AU90" s="146">
        <f t="shared" si="21"/>
        <v>64085.106545000017</v>
      </c>
      <c r="AV90" s="199">
        <f t="shared" si="14"/>
        <v>-7911.0967100000016</v>
      </c>
      <c r="AW90" s="142">
        <f>AJ90*Valores!$C$72</f>
        <v>-1941.8146470000004</v>
      </c>
      <c r="AX90" s="142">
        <f>AJ90*Valores!$C$73</f>
        <v>-215.75718300000005</v>
      </c>
      <c r="AY90" s="146">
        <f t="shared" si="22"/>
        <v>65486.272460000022</v>
      </c>
      <c r="AZ90" s="150"/>
      <c r="BA90" s="150">
        <v>25</v>
      </c>
      <c r="BB90" s="135" t="s">
        <v>4</v>
      </c>
    </row>
    <row r="91" spans="1:54" s="114" customFormat="1" ht="11.25" customHeight="1" x14ac:dyDescent="0.15">
      <c r="A91" s="134">
        <v>88</v>
      </c>
      <c r="B91" s="134"/>
      <c r="C91" s="135" t="s">
        <v>294</v>
      </c>
      <c r="D91" s="135"/>
      <c r="E91" s="135">
        <f t="shared" si="15"/>
        <v>33</v>
      </c>
      <c r="F91" s="136" t="s">
        <v>295</v>
      </c>
      <c r="G91" s="137">
        <f>75+143</f>
        <v>218</v>
      </c>
      <c r="H91" s="138">
        <f>INT((G91*Valores!$C$2*100)+0.5)/100</f>
        <v>2709.02</v>
      </c>
      <c r="I91" s="139">
        <v>1997</v>
      </c>
      <c r="J91" s="140">
        <f>INT((I91*Valores!$C$2*100)+0.5)/100</f>
        <v>24816.12</v>
      </c>
      <c r="K91" s="155">
        <v>0</v>
      </c>
      <c r="L91" s="140">
        <f>INT((K91*Valores!$C$2*100)+0.5)/100</f>
        <v>0</v>
      </c>
      <c r="M91" s="153">
        <v>0</v>
      </c>
      <c r="N91" s="140">
        <f>INT((M91*Valores!$C$2*100)+0.5)/100</f>
        <v>0</v>
      </c>
      <c r="O91" s="140">
        <f t="shared" si="16"/>
        <v>5173.3702499999999</v>
      </c>
      <c r="P91" s="140">
        <f t="shared" si="17"/>
        <v>0</v>
      </c>
      <c r="Q91" s="142">
        <f>Valores!$C$16</f>
        <v>13030.51</v>
      </c>
      <c r="R91" s="142">
        <f>Valores!$D$4</f>
        <v>6352.5280000000002</v>
      </c>
      <c r="S91" s="140">
        <f>Valores!$C$28</f>
        <v>5667.45</v>
      </c>
      <c r="T91" s="143">
        <f>Valores!$C$44/2</f>
        <v>1052.885</v>
      </c>
      <c r="U91" s="140">
        <f>Valores!$C$25</f>
        <v>5911.11</v>
      </c>
      <c r="V91" s="140">
        <f t="shared" si="13"/>
        <v>5911.11</v>
      </c>
      <c r="W91" s="140">
        <v>0</v>
      </c>
      <c r="X91" s="140">
        <v>0</v>
      </c>
      <c r="Y91" s="144">
        <v>0</v>
      </c>
      <c r="Z91" s="140">
        <f>Y91*Valores!$C$2</f>
        <v>0</v>
      </c>
      <c r="AA91" s="140">
        <v>0</v>
      </c>
      <c r="AB91" s="143">
        <f>Valores!$C$90</f>
        <v>2220.0100000000002</v>
      </c>
      <c r="AC91" s="145">
        <f>Valores!$C$31</f>
        <v>259.82</v>
      </c>
      <c r="AD91" s="140">
        <f t="shared" si="19"/>
        <v>0</v>
      </c>
      <c r="AE91" s="140">
        <f>Valores!$C$32</f>
        <v>259.82</v>
      </c>
      <c r="AF91" s="144">
        <v>0</v>
      </c>
      <c r="AG91" s="140">
        <f>INT(((AF91*Valores!$C$2)*100)+0.5)/100</f>
        <v>0</v>
      </c>
      <c r="AH91" s="140">
        <f>Valores!$C$60/2</f>
        <v>264.245</v>
      </c>
      <c r="AI91" s="140">
        <f>Valores!$C$62/2</f>
        <v>75.5</v>
      </c>
      <c r="AJ91" s="146">
        <f t="shared" si="20"/>
        <v>67792.388250000004</v>
      </c>
      <c r="AK91" s="142">
        <f>Valores!$C$37</f>
        <v>1360.88</v>
      </c>
      <c r="AL91" s="143">
        <f>Valores!$C$85</f>
        <v>2275</v>
      </c>
      <c r="AM91" s="143"/>
      <c r="AN91" s="145">
        <f>IF($H$4="NO",0,Valores!$C$53)</f>
        <v>0</v>
      </c>
      <c r="AO91" s="147">
        <f t="shared" si="18"/>
        <v>3635.88</v>
      </c>
      <c r="AP91" s="148">
        <f>AJ91*Valores!$C$69</f>
        <v>-7457.1627075000006</v>
      </c>
      <c r="AQ91" s="148">
        <f>AJ91*-Valores!$C$70</f>
        <v>0</v>
      </c>
      <c r="AR91" s="142">
        <f>AJ91*Valores!$C$71</f>
        <v>-3050.6574712500001</v>
      </c>
      <c r="AS91" s="142">
        <f>Valores!$C$95</f>
        <v>-193.38</v>
      </c>
      <c r="AT91" s="142">
        <f>IF($H$6=0,Valores!$C$96,(Valores!$C$96+$H$6*(Valores!$C$96)))</f>
        <v>-129</v>
      </c>
      <c r="AU91" s="146">
        <f t="shared" si="21"/>
        <v>60598.068071250003</v>
      </c>
      <c r="AV91" s="199">
        <f t="shared" si="14"/>
        <v>-7457.1627075000006</v>
      </c>
      <c r="AW91" s="142">
        <f>AJ91*Valores!$C$72</f>
        <v>-1830.3944827500002</v>
      </c>
      <c r="AX91" s="142">
        <f>AJ91*Valores!$C$73</f>
        <v>-203.37716475000002</v>
      </c>
      <c r="AY91" s="146">
        <f t="shared" si="22"/>
        <v>61937.333895000003</v>
      </c>
      <c r="AZ91" s="150"/>
      <c r="BA91" s="150">
        <v>25</v>
      </c>
      <c r="BB91" s="135" t="s">
        <v>8</v>
      </c>
    </row>
    <row r="92" spans="1:54" s="114" customFormat="1" ht="11.25" customHeight="1" x14ac:dyDescent="0.15">
      <c r="A92" s="134">
        <v>89</v>
      </c>
      <c r="B92" s="134"/>
      <c r="C92" s="135" t="s">
        <v>296</v>
      </c>
      <c r="D92" s="135"/>
      <c r="E92" s="135">
        <f t="shared" si="15"/>
        <v>28</v>
      </c>
      <c r="F92" s="136" t="s">
        <v>297</v>
      </c>
      <c r="G92" s="137">
        <v>187</v>
      </c>
      <c r="H92" s="138">
        <f>INT((G92*Valores!$C$2*100)+0.5)/100</f>
        <v>2323.79</v>
      </c>
      <c r="I92" s="139">
        <v>1704</v>
      </c>
      <c r="J92" s="140">
        <f>INT((I92*Valores!$C$2*100)+0.5)/100</f>
        <v>21175.1</v>
      </c>
      <c r="K92" s="155">
        <v>0</v>
      </c>
      <c r="L92" s="140">
        <f>INT((K92*Valores!$C$2*100)+0.5)/100</f>
        <v>0</v>
      </c>
      <c r="M92" s="153">
        <v>0</v>
      </c>
      <c r="N92" s="140">
        <f>INT((M92*Valores!$C$2*100)+0.5)/100</f>
        <v>0</v>
      </c>
      <c r="O92" s="140">
        <f t="shared" si="16"/>
        <v>4727.3654999999999</v>
      </c>
      <c r="P92" s="140">
        <f t="shared" si="17"/>
        <v>0</v>
      </c>
      <c r="Q92" s="142">
        <f>Valores!$C$16</f>
        <v>13030.51</v>
      </c>
      <c r="R92" s="142">
        <f>Valores!$D$4</f>
        <v>6352.5280000000002</v>
      </c>
      <c r="S92" s="140">
        <f>Valores!$C$28</f>
        <v>5667.45</v>
      </c>
      <c r="T92" s="143">
        <f>IF($H$5="NO",Valores!$C$44,Valores!$C$44/2)</f>
        <v>2105.77</v>
      </c>
      <c r="U92" s="140">
        <f>Valores!$C$25</f>
        <v>5911.11</v>
      </c>
      <c r="V92" s="140">
        <f t="shared" si="13"/>
        <v>5911.11</v>
      </c>
      <c r="W92" s="140">
        <v>0</v>
      </c>
      <c r="X92" s="140">
        <v>0</v>
      </c>
      <c r="Y92" s="144">
        <v>0</v>
      </c>
      <c r="Z92" s="140">
        <f>Y92*Valores!$C$2</f>
        <v>0</v>
      </c>
      <c r="AA92" s="140">
        <v>0</v>
      </c>
      <c r="AB92" s="143">
        <f>Valores!$C$90</f>
        <v>2220.0100000000002</v>
      </c>
      <c r="AC92" s="145">
        <f>Valores!$C$31</f>
        <v>259.82</v>
      </c>
      <c r="AD92" s="140">
        <f t="shared" si="19"/>
        <v>0</v>
      </c>
      <c r="AE92" s="140">
        <f>Valores!$C$32</f>
        <v>259.82</v>
      </c>
      <c r="AF92" s="144">
        <v>0</v>
      </c>
      <c r="AG92" s="140">
        <f>INT(((AF92*Valores!$C$2)*100)+0.5)/100</f>
        <v>0</v>
      </c>
      <c r="AH92" s="140">
        <f>IF($H$5="NO",Valores!$C$60,Valores!$C$60/2)</f>
        <v>528.49</v>
      </c>
      <c r="AI92" s="140">
        <f>IF($H$5="NO",Valores!$C$62,Valores!$C$62/2)</f>
        <v>151</v>
      </c>
      <c r="AJ92" s="146">
        <f t="shared" si="20"/>
        <v>64712.763499999994</v>
      </c>
      <c r="AK92" s="142">
        <f>Valores!$C$37</f>
        <v>1360.88</v>
      </c>
      <c r="AL92" s="143">
        <f>Valores!$C$85</f>
        <v>2275</v>
      </c>
      <c r="AM92" s="143"/>
      <c r="AN92" s="145">
        <f>IF($H$4="NO",0,Valores!$C$53)</f>
        <v>0</v>
      </c>
      <c r="AO92" s="147">
        <f t="shared" si="18"/>
        <v>3635.88</v>
      </c>
      <c r="AP92" s="148">
        <f>AJ92*Valores!$C$69</f>
        <v>-7118.403984999999</v>
      </c>
      <c r="AQ92" s="148">
        <f>AJ92*-Valores!$C$70</f>
        <v>0</v>
      </c>
      <c r="AR92" s="142">
        <f>AJ92*Valores!$C$71</f>
        <v>-2912.0743574999997</v>
      </c>
      <c r="AS92" s="142">
        <f>Valores!$C$95</f>
        <v>-193.38</v>
      </c>
      <c r="AT92" s="142">
        <f>IF($H$6=0,Valores!$C$96,(Valores!$C$96+$H$6*(Valores!$C$96)))</f>
        <v>-129</v>
      </c>
      <c r="AU92" s="146">
        <f t="shared" si="21"/>
        <v>57995.785157499995</v>
      </c>
      <c r="AV92" s="199">
        <f t="shared" si="14"/>
        <v>-7118.403984999999</v>
      </c>
      <c r="AW92" s="142">
        <f>AJ92*Valores!$C$72</f>
        <v>-1747.2446144999999</v>
      </c>
      <c r="AX92" s="142">
        <f>AJ92*Valores!$C$73</f>
        <v>-194.13829049999998</v>
      </c>
      <c r="AY92" s="146">
        <f t="shared" si="22"/>
        <v>59288.856609999995</v>
      </c>
      <c r="AZ92" s="150"/>
      <c r="BA92" s="150">
        <v>25</v>
      </c>
      <c r="BB92" s="135" t="s">
        <v>4</v>
      </c>
    </row>
    <row r="93" spans="1:54" s="114" customFormat="1" ht="11.25" customHeight="1" x14ac:dyDescent="0.15">
      <c r="A93" s="152">
        <v>90</v>
      </c>
      <c r="B93" s="152" t="s">
        <v>139</v>
      </c>
      <c r="C93" s="135" t="s">
        <v>296</v>
      </c>
      <c r="D93" s="135"/>
      <c r="E93" s="135">
        <f t="shared" si="15"/>
        <v>41</v>
      </c>
      <c r="F93" s="136" t="s">
        <v>298</v>
      </c>
      <c r="G93" s="137">
        <v>187</v>
      </c>
      <c r="H93" s="138">
        <f>INT((G93*Valores!$C$2*100)+0.5)/100</f>
        <v>2323.79</v>
      </c>
      <c r="I93" s="139">
        <v>1704</v>
      </c>
      <c r="J93" s="140">
        <f>INT((I93*Valores!$C$2*100)+0.5)/100</f>
        <v>21175.1</v>
      </c>
      <c r="K93" s="155">
        <v>0</v>
      </c>
      <c r="L93" s="140">
        <f>INT((K93*Valores!$C$2*100)+0.5)/100</f>
        <v>0</v>
      </c>
      <c r="M93" s="153">
        <v>0</v>
      </c>
      <c r="N93" s="140">
        <f>INT((M93*Valores!$C$2*100)+0.5)/100</f>
        <v>0</v>
      </c>
      <c r="O93" s="140">
        <f t="shared" si="16"/>
        <v>4727.3654999999999</v>
      </c>
      <c r="P93" s="140">
        <f t="shared" si="17"/>
        <v>0</v>
      </c>
      <c r="Q93" s="142">
        <f>Valores!$C$16</f>
        <v>13030.51</v>
      </c>
      <c r="R93" s="142">
        <f>Valores!$D$4</f>
        <v>6352.5280000000002</v>
      </c>
      <c r="S93" s="140">
        <f>Valores!$C$28</f>
        <v>5667.45</v>
      </c>
      <c r="T93" s="143">
        <f>IF($H$5="NO",Valores!$C$44,Valores!$C$44/2)</f>
        <v>2105.77</v>
      </c>
      <c r="U93" s="140">
        <f>Valores!$C$25</f>
        <v>5911.11</v>
      </c>
      <c r="V93" s="140">
        <f t="shared" si="13"/>
        <v>5911.11</v>
      </c>
      <c r="W93" s="140">
        <v>0</v>
      </c>
      <c r="X93" s="140">
        <v>0</v>
      </c>
      <c r="Y93" s="144">
        <v>0</v>
      </c>
      <c r="Z93" s="140">
        <f>Y93*Valores!$C$2</f>
        <v>0</v>
      </c>
      <c r="AA93" s="140">
        <v>0</v>
      </c>
      <c r="AB93" s="143">
        <f>Valores!$C$90</f>
        <v>2220.0100000000002</v>
      </c>
      <c r="AC93" s="145">
        <f>Valores!$C$31</f>
        <v>259.82</v>
      </c>
      <c r="AD93" s="140">
        <f t="shared" si="19"/>
        <v>0</v>
      </c>
      <c r="AE93" s="140">
        <f>Valores!$C$32</f>
        <v>259.82</v>
      </c>
      <c r="AF93" s="144">
        <v>19</v>
      </c>
      <c r="AG93" s="140">
        <f>INT(((AF93*Valores!$C$2)*100)+0.5)/100</f>
        <v>236.11</v>
      </c>
      <c r="AH93" s="140">
        <f>IF($H$5="NO",Valores!$C$60,Valores!$C$60/2)</f>
        <v>528.49</v>
      </c>
      <c r="AI93" s="140">
        <f>IF($H$5="NO",Valores!$C$62,Valores!$C$62/2)</f>
        <v>151</v>
      </c>
      <c r="AJ93" s="146">
        <f t="shared" si="20"/>
        <v>64948.873499999994</v>
      </c>
      <c r="AK93" s="142">
        <f>Valores!$C$37</f>
        <v>1360.88</v>
      </c>
      <c r="AL93" s="143">
        <f>Valores!$C$85</f>
        <v>2275</v>
      </c>
      <c r="AM93" s="143"/>
      <c r="AN93" s="145">
        <f>IF($H$4="NO",0,Valores!$C$53)</f>
        <v>0</v>
      </c>
      <c r="AO93" s="147">
        <f t="shared" si="18"/>
        <v>3635.88</v>
      </c>
      <c r="AP93" s="148">
        <f>AJ93*Valores!$C$69</f>
        <v>-7144.376084999999</v>
      </c>
      <c r="AQ93" s="148">
        <f>AJ93*-Valores!$C$70</f>
        <v>0</v>
      </c>
      <c r="AR93" s="142">
        <f>AJ93*Valores!$C$71</f>
        <v>-2922.6993074999996</v>
      </c>
      <c r="AS93" s="142">
        <f>Valores!$C$95</f>
        <v>-193.38</v>
      </c>
      <c r="AT93" s="142">
        <f>IF($H$6=0,Valores!$C$96,(Valores!$C$96+$H$6*(Valores!$C$96)))</f>
        <v>-129</v>
      </c>
      <c r="AU93" s="146">
        <f t="shared" si="21"/>
        <v>58195.298107499999</v>
      </c>
      <c r="AV93" s="199">
        <f t="shared" si="14"/>
        <v>-7144.376084999999</v>
      </c>
      <c r="AW93" s="142">
        <f>AJ93*Valores!$C$72</f>
        <v>-1753.6195844999997</v>
      </c>
      <c r="AX93" s="142">
        <f>AJ93*Valores!$C$73</f>
        <v>-194.8466205</v>
      </c>
      <c r="AY93" s="146">
        <f t="shared" si="22"/>
        <v>59491.911209999991</v>
      </c>
      <c r="AZ93" s="150"/>
      <c r="BA93" s="150">
        <v>25</v>
      </c>
      <c r="BB93" s="135" t="s">
        <v>4</v>
      </c>
    </row>
    <row r="94" spans="1:54" s="114" customFormat="1" ht="11.25" customHeight="1" x14ac:dyDescent="0.15">
      <c r="A94" s="134">
        <v>91</v>
      </c>
      <c r="B94" s="134"/>
      <c r="C94" s="135" t="s">
        <v>299</v>
      </c>
      <c r="D94" s="135"/>
      <c r="E94" s="135">
        <f t="shared" si="15"/>
        <v>28</v>
      </c>
      <c r="F94" s="136" t="s">
        <v>300</v>
      </c>
      <c r="G94" s="137">
        <v>161</v>
      </c>
      <c r="H94" s="138">
        <f>INT((G94*Valores!$C$2*100)+0.5)/100</f>
        <v>2000.7</v>
      </c>
      <c r="I94" s="139">
        <f>1480</f>
        <v>1480</v>
      </c>
      <c r="J94" s="140">
        <f>INT((I94*Valores!$C$2*100)+0.5)/100</f>
        <v>18391.52</v>
      </c>
      <c r="K94" s="155">
        <v>0</v>
      </c>
      <c r="L94" s="140">
        <f>INT((K94*Valores!$C$2*100)+0.5)/100</f>
        <v>0</v>
      </c>
      <c r="M94" s="153">
        <v>0</v>
      </c>
      <c r="N94" s="140">
        <f>INT((M94*Valores!$C$2*100)+0.5)/100</f>
        <v>0</v>
      </c>
      <c r="O94" s="140">
        <f t="shared" si="16"/>
        <v>4261.3649999999998</v>
      </c>
      <c r="P94" s="140">
        <f t="shared" si="17"/>
        <v>0</v>
      </c>
      <c r="Q94" s="142">
        <f>Valores!$C$16</f>
        <v>13030.51</v>
      </c>
      <c r="R94" s="142">
        <f>Valores!$D$4</f>
        <v>6352.5280000000002</v>
      </c>
      <c r="S94" s="154">
        <f>Valores!$C$28</f>
        <v>5667.45</v>
      </c>
      <c r="T94" s="143">
        <f>IF($H$5="NO",Valores!$C$44,Valores!$C$44/2)</f>
        <v>2105.77</v>
      </c>
      <c r="U94" s="140">
        <f>Valores!$C$25</f>
        <v>5911.11</v>
      </c>
      <c r="V94" s="140">
        <f t="shared" si="13"/>
        <v>5911.11</v>
      </c>
      <c r="W94" s="140">
        <v>0</v>
      </c>
      <c r="X94" s="140">
        <v>0</v>
      </c>
      <c r="Y94" s="144">
        <v>0</v>
      </c>
      <c r="Z94" s="140">
        <f>Y94*Valores!$C$2</f>
        <v>0</v>
      </c>
      <c r="AA94" s="140">
        <v>0</v>
      </c>
      <c r="AB94" s="143">
        <f>Valores!$C$90</f>
        <v>2220.0100000000002</v>
      </c>
      <c r="AC94" s="145">
        <f>Valores!$C$31</f>
        <v>259.82</v>
      </c>
      <c r="AD94" s="140">
        <f t="shared" si="19"/>
        <v>0</v>
      </c>
      <c r="AE94" s="140">
        <f>Valores!$C$32</f>
        <v>259.82</v>
      </c>
      <c r="AF94" s="144">
        <v>0</v>
      </c>
      <c r="AG94" s="140">
        <f>INT(((AF94*Valores!$C$2)*100)+0.5)/100</f>
        <v>0</v>
      </c>
      <c r="AH94" s="140">
        <f>IF($H$5="NO",Valores!$C$60,Valores!$C$60/2)</f>
        <v>528.49</v>
      </c>
      <c r="AI94" s="140">
        <f>IF($H$5="NO",Valores!$C$62,Valores!$C$62/2)</f>
        <v>151</v>
      </c>
      <c r="AJ94" s="146">
        <f t="shared" si="20"/>
        <v>61140.092999999993</v>
      </c>
      <c r="AK94" s="142">
        <f>Valores!$C$37</f>
        <v>1360.88</v>
      </c>
      <c r="AL94" s="143">
        <f>Valores!$C$85</f>
        <v>2275</v>
      </c>
      <c r="AM94" s="143"/>
      <c r="AN94" s="145">
        <f>IF($H$4="NO",0,Valores!$C$53)</f>
        <v>0</v>
      </c>
      <c r="AO94" s="147">
        <f t="shared" si="18"/>
        <v>3635.88</v>
      </c>
      <c r="AP94" s="148">
        <f>AJ94*Valores!$C$69</f>
        <v>-6725.4102299999995</v>
      </c>
      <c r="AQ94" s="148">
        <f>AJ94*-Valores!$C$70</f>
        <v>0</v>
      </c>
      <c r="AR94" s="142">
        <f>AJ94*Valores!$C$71</f>
        <v>-2751.3041849999995</v>
      </c>
      <c r="AS94" s="142">
        <f>Valores!$C$95</f>
        <v>-193.38</v>
      </c>
      <c r="AT94" s="142">
        <f>IF($H$6=0,Valores!$C$96,(Valores!$C$96+$H$6*(Valores!$C$96)))</f>
        <v>-129</v>
      </c>
      <c r="AU94" s="146">
        <f t="shared" si="21"/>
        <v>54976.878584999991</v>
      </c>
      <c r="AV94" s="199">
        <f t="shared" si="14"/>
        <v>-6725.4102299999995</v>
      </c>
      <c r="AW94" s="142">
        <f>AJ94*Valores!$C$72</f>
        <v>-1650.7825109999999</v>
      </c>
      <c r="AX94" s="142">
        <f>AJ94*Valores!$C$73</f>
        <v>-183.42027899999999</v>
      </c>
      <c r="AY94" s="146">
        <f t="shared" si="22"/>
        <v>56216.359979999994</v>
      </c>
      <c r="AZ94" s="150"/>
      <c r="BA94" s="150">
        <v>25</v>
      </c>
      <c r="BB94" s="135" t="s">
        <v>4</v>
      </c>
    </row>
    <row r="95" spans="1:54" s="114" customFormat="1" ht="11.25" customHeight="1" x14ac:dyDescent="0.15">
      <c r="A95" s="134">
        <v>92</v>
      </c>
      <c r="B95" s="134"/>
      <c r="C95" s="135" t="s">
        <v>299</v>
      </c>
      <c r="D95" s="135"/>
      <c r="E95" s="135">
        <f t="shared" si="15"/>
        <v>41</v>
      </c>
      <c r="F95" s="136" t="s">
        <v>301</v>
      </c>
      <c r="G95" s="137">
        <v>161</v>
      </c>
      <c r="H95" s="138">
        <f>INT((G95*Valores!$C$2*100)+0.5)/100</f>
        <v>2000.7</v>
      </c>
      <c r="I95" s="139">
        <f>1480</f>
        <v>1480</v>
      </c>
      <c r="J95" s="140">
        <f>INT((I95*Valores!$C$2*100)+0.5)/100</f>
        <v>18391.52</v>
      </c>
      <c r="K95" s="155">
        <v>0</v>
      </c>
      <c r="L95" s="140">
        <f>INT((K95*Valores!$C$2*100)+0.5)/100</f>
        <v>0</v>
      </c>
      <c r="M95" s="153">
        <v>0</v>
      </c>
      <c r="N95" s="140">
        <f>INT((M95*Valores!$C$2*100)+0.5)/100</f>
        <v>0</v>
      </c>
      <c r="O95" s="140">
        <f t="shared" si="16"/>
        <v>4261.3649999999998</v>
      </c>
      <c r="P95" s="140">
        <f t="shared" si="17"/>
        <v>0</v>
      </c>
      <c r="Q95" s="142">
        <f>Valores!$C$16</f>
        <v>13030.51</v>
      </c>
      <c r="R95" s="142">
        <f>Valores!$D$4</f>
        <v>6352.5280000000002</v>
      </c>
      <c r="S95" s="154">
        <f>Valores!$C$28</f>
        <v>5667.45</v>
      </c>
      <c r="T95" s="143">
        <f>IF($H$5="NO",Valores!$C$44,Valores!$C$44/2)</f>
        <v>2105.77</v>
      </c>
      <c r="U95" s="140">
        <f>Valores!$C$25</f>
        <v>5911.11</v>
      </c>
      <c r="V95" s="140">
        <f t="shared" si="13"/>
        <v>5911.11</v>
      </c>
      <c r="W95" s="140">
        <v>0</v>
      </c>
      <c r="X95" s="140">
        <v>0</v>
      </c>
      <c r="Y95" s="144">
        <v>0</v>
      </c>
      <c r="Z95" s="140">
        <f>Y95*Valores!$C$2</f>
        <v>0</v>
      </c>
      <c r="AA95" s="140">
        <v>0</v>
      </c>
      <c r="AB95" s="143">
        <f>Valores!$C$90</f>
        <v>2220.0100000000002</v>
      </c>
      <c r="AC95" s="145">
        <f>Valores!$C$31</f>
        <v>259.82</v>
      </c>
      <c r="AD95" s="140">
        <f t="shared" si="19"/>
        <v>0</v>
      </c>
      <c r="AE95" s="140">
        <f>Valores!$C$32</f>
        <v>259.82</v>
      </c>
      <c r="AF95" s="144">
        <v>19</v>
      </c>
      <c r="AG95" s="140">
        <f>INT(((AF95*Valores!$C$2)*100)+0.5)/100</f>
        <v>236.11</v>
      </c>
      <c r="AH95" s="140">
        <f>IF($H$5="NO",Valores!$C$60,Valores!$C$60/2)</f>
        <v>528.49</v>
      </c>
      <c r="AI95" s="140">
        <f>IF($H$5="NO",Valores!$C$62,Valores!$C$62/2)</f>
        <v>151</v>
      </c>
      <c r="AJ95" s="146">
        <f t="shared" si="20"/>
        <v>61376.202999999994</v>
      </c>
      <c r="AK95" s="142">
        <f>Valores!$C$37</f>
        <v>1360.88</v>
      </c>
      <c r="AL95" s="143">
        <f>Valores!$C$85</f>
        <v>2275</v>
      </c>
      <c r="AM95" s="143"/>
      <c r="AN95" s="145">
        <f>IF($H$4="NO",0,Valores!$C$53)</f>
        <v>0</v>
      </c>
      <c r="AO95" s="147">
        <f t="shared" si="18"/>
        <v>3635.88</v>
      </c>
      <c r="AP95" s="148">
        <f>AJ95*Valores!$C$69</f>
        <v>-6751.3823299999995</v>
      </c>
      <c r="AQ95" s="148">
        <f>AJ95*-Valores!$C$70</f>
        <v>0</v>
      </c>
      <c r="AR95" s="142">
        <f>AJ95*Valores!$C$71</f>
        <v>-2761.9291349999994</v>
      </c>
      <c r="AS95" s="142">
        <f>Valores!$C$95</f>
        <v>-193.38</v>
      </c>
      <c r="AT95" s="142">
        <f>IF($H$6=0,Valores!$C$96,(Valores!$C$96+$H$6*(Valores!$C$96)))</f>
        <v>-129</v>
      </c>
      <c r="AU95" s="146">
        <f t="shared" si="21"/>
        <v>55176.391534999995</v>
      </c>
      <c r="AV95" s="199">
        <f t="shared" si="14"/>
        <v>-6751.3823299999995</v>
      </c>
      <c r="AW95" s="142">
        <f>AJ95*Valores!$C$72</f>
        <v>-1657.1574809999997</v>
      </c>
      <c r="AX95" s="142">
        <f>AJ95*Valores!$C$73</f>
        <v>-184.12860899999998</v>
      </c>
      <c r="AY95" s="146">
        <f t="shared" si="22"/>
        <v>56419.414579999997</v>
      </c>
      <c r="AZ95" s="150"/>
      <c r="BA95" s="150">
        <v>25</v>
      </c>
      <c r="BB95" s="135" t="s">
        <v>4</v>
      </c>
    </row>
    <row r="96" spans="1:54" s="114" customFormat="1" ht="11.25" customHeight="1" x14ac:dyDescent="0.15">
      <c r="A96" s="134">
        <v>93</v>
      </c>
      <c r="B96" s="134"/>
      <c r="C96" s="135" t="s">
        <v>302</v>
      </c>
      <c r="D96" s="135"/>
      <c r="E96" s="135">
        <f t="shared" si="15"/>
        <v>26</v>
      </c>
      <c r="F96" s="136" t="s">
        <v>303</v>
      </c>
      <c r="G96" s="137">
        <v>179</v>
      </c>
      <c r="H96" s="138">
        <f>INT((G96*Valores!$C$2*100)+0.5)/100</f>
        <v>2224.38</v>
      </c>
      <c r="I96" s="139">
        <v>1712</v>
      </c>
      <c r="J96" s="140">
        <f>INT((I96*Valores!$C$2*100)+0.5)/100</f>
        <v>21274.51</v>
      </c>
      <c r="K96" s="155">
        <v>0</v>
      </c>
      <c r="L96" s="140">
        <f>INT((K96*Valores!$C$2*100)+0.5)/100</f>
        <v>0</v>
      </c>
      <c r="M96" s="153">
        <v>0</v>
      </c>
      <c r="N96" s="140">
        <f>INT((M96*Valores!$C$2*100)+0.5)/100</f>
        <v>0</v>
      </c>
      <c r="O96" s="140">
        <f t="shared" si="16"/>
        <v>4727.3654999999999</v>
      </c>
      <c r="P96" s="140">
        <f t="shared" si="17"/>
        <v>0</v>
      </c>
      <c r="Q96" s="142">
        <f>Valores!$C$16</f>
        <v>13030.51</v>
      </c>
      <c r="R96" s="142">
        <f>Valores!$D$4</f>
        <v>6352.5280000000002</v>
      </c>
      <c r="S96" s="154">
        <f>Valores!$C$28</f>
        <v>5667.45</v>
      </c>
      <c r="T96" s="143">
        <f>IF($H$5="NO",Valores!$C$44,Valores!$C$44/2)</f>
        <v>2105.77</v>
      </c>
      <c r="U96" s="140">
        <f>Valores!$C$25</f>
        <v>5911.11</v>
      </c>
      <c r="V96" s="140">
        <f t="shared" si="13"/>
        <v>5911.11</v>
      </c>
      <c r="W96" s="140">
        <v>0</v>
      </c>
      <c r="X96" s="140">
        <v>0</v>
      </c>
      <c r="Y96" s="144">
        <v>0</v>
      </c>
      <c r="Z96" s="140">
        <f>Y96*Valores!$C$2</f>
        <v>0</v>
      </c>
      <c r="AA96" s="140">
        <v>0</v>
      </c>
      <c r="AB96" s="143">
        <f>Valores!$C$90</f>
        <v>2220.0100000000002</v>
      </c>
      <c r="AC96" s="145">
        <f>Valores!$C$31</f>
        <v>259.82</v>
      </c>
      <c r="AD96" s="140">
        <f t="shared" si="19"/>
        <v>0</v>
      </c>
      <c r="AE96" s="140">
        <f>Valores!$C$32</f>
        <v>259.82</v>
      </c>
      <c r="AF96" s="144">
        <v>0</v>
      </c>
      <c r="AG96" s="140">
        <f>INT(((AF96*Valores!$C$2)*100)+0.5)/100</f>
        <v>0</v>
      </c>
      <c r="AH96" s="140">
        <f>IF($H$5="NO",Valores!$C$60,Valores!$C$60/2)</f>
        <v>528.49</v>
      </c>
      <c r="AI96" s="140">
        <f>IF($H$5="NO",Valores!$C$62,Valores!$C$62/2)</f>
        <v>151</v>
      </c>
      <c r="AJ96" s="146">
        <f t="shared" si="20"/>
        <v>64712.763499999994</v>
      </c>
      <c r="AK96" s="142">
        <f>Valores!$C$37</f>
        <v>1360.88</v>
      </c>
      <c r="AL96" s="143">
        <f>Valores!$C$85</f>
        <v>2275</v>
      </c>
      <c r="AM96" s="143"/>
      <c r="AN96" s="145">
        <f>IF($H$4="NO",0,Valores!$C$53)</f>
        <v>0</v>
      </c>
      <c r="AO96" s="147">
        <f t="shared" si="18"/>
        <v>3635.88</v>
      </c>
      <c r="AP96" s="148">
        <f>AJ96*Valores!$C$69</f>
        <v>-7118.403984999999</v>
      </c>
      <c r="AQ96" s="148">
        <f>AJ96*-Valores!$C$70</f>
        <v>0</v>
      </c>
      <c r="AR96" s="142">
        <f>AJ96*Valores!$C$71</f>
        <v>-2912.0743574999997</v>
      </c>
      <c r="AS96" s="142">
        <f>Valores!$C$95</f>
        <v>-193.38</v>
      </c>
      <c r="AT96" s="142">
        <f>IF($H$6=0,Valores!$C$96,(Valores!$C$96+$H$6*(Valores!$C$96)))</f>
        <v>-129</v>
      </c>
      <c r="AU96" s="146">
        <f t="shared" si="21"/>
        <v>57995.785157499995</v>
      </c>
      <c r="AV96" s="199">
        <f t="shared" si="14"/>
        <v>-7118.403984999999</v>
      </c>
      <c r="AW96" s="142">
        <f>AJ96*Valores!$C$72</f>
        <v>-1747.2446144999999</v>
      </c>
      <c r="AX96" s="142">
        <f>AJ96*Valores!$C$73</f>
        <v>-194.13829049999998</v>
      </c>
      <c r="AY96" s="146">
        <f t="shared" si="22"/>
        <v>59288.856609999995</v>
      </c>
      <c r="AZ96" s="150"/>
      <c r="BA96" s="150">
        <v>25</v>
      </c>
      <c r="BB96" s="135" t="s">
        <v>4</v>
      </c>
    </row>
    <row r="97" spans="1:54" s="114" customFormat="1" ht="11.25" customHeight="1" x14ac:dyDescent="0.15">
      <c r="A97" s="134">
        <v>94</v>
      </c>
      <c r="B97" s="134"/>
      <c r="C97" s="135" t="s">
        <v>304</v>
      </c>
      <c r="D97" s="135"/>
      <c r="E97" s="135">
        <f t="shared" si="15"/>
        <v>30</v>
      </c>
      <c r="F97" s="136" t="s">
        <v>305</v>
      </c>
      <c r="G97" s="137">
        <v>64</v>
      </c>
      <c r="H97" s="138">
        <f>INT((G97*Valores!$C$2*100)+0.5)/100</f>
        <v>795.31</v>
      </c>
      <c r="I97" s="139">
        <v>2086</v>
      </c>
      <c r="J97" s="140">
        <f>INT((I97*Valores!$C$2*100)+0.5)/100</f>
        <v>25922.1</v>
      </c>
      <c r="K97" s="155">
        <v>0</v>
      </c>
      <c r="L97" s="140">
        <f>INT((K97*Valores!$C$2*100)+0.5)/100</f>
        <v>0</v>
      </c>
      <c r="M97" s="153">
        <v>0</v>
      </c>
      <c r="N97" s="140">
        <f>INT((M97*Valores!$C$2*100)+0.5)/100</f>
        <v>0</v>
      </c>
      <c r="O97" s="140">
        <f t="shared" si="16"/>
        <v>5210.1435000000001</v>
      </c>
      <c r="P97" s="140">
        <f t="shared" si="17"/>
        <v>0</v>
      </c>
      <c r="Q97" s="142">
        <f>Valores!$C$16</f>
        <v>13030.51</v>
      </c>
      <c r="R97" s="142">
        <f>Valores!$D$4</f>
        <v>6352.5280000000002</v>
      </c>
      <c r="S97" s="154">
        <f>Valores!$C$28</f>
        <v>5667.45</v>
      </c>
      <c r="T97" s="143">
        <f>IF($H$5="NO",Valores!$C$44,Valores!$C$44/2)</f>
        <v>2105.77</v>
      </c>
      <c r="U97" s="140">
        <f>Valores!$C$25</f>
        <v>5911.11</v>
      </c>
      <c r="V97" s="140">
        <f t="shared" si="13"/>
        <v>5911.11</v>
      </c>
      <c r="W97" s="140">
        <v>0</v>
      </c>
      <c r="X97" s="140">
        <v>0</v>
      </c>
      <c r="Y97" s="144">
        <v>0</v>
      </c>
      <c r="Z97" s="140">
        <f>Y97*Valores!$C$2</f>
        <v>0</v>
      </c>
      <c r="AA97" s="140">
        <v>0</v>
      </c>
      <c r="AB97" s="143">
        <f>Valores!$C$91</f>
        <v>2664.01</v>
      </c>
      <c r="AC97" s="145">
        <f>Valores!$C$31</f>
        <v>259.82</v>
      </c>
      <c r="AD97" s="140">
        <f t="shared" si="19"/>
        <v>0</v>
      </c>
      <c r="AE97" s="140">
        <f>Valores!$C$32</f>
        <v>259.82</v>
      </c>
      <c r="AF97" s="144">
        <v>0</v>
      </c>
      <c r="AG97" s="140">
        <f>INT(((AF97*Valores!$C$2)*100)+0.5)/100</f>
        <v>0</v>
      </c>
      <c r="AH97" s="140">
        <f>IF($H$5="NO",Valores!$C$60,Valores!$C$60/2)</f>
        <v>528.49</v>
      </c>
      <c r="AI97" s="140">
        <f>IF($H$5="NO",Valores!$C$62,Valores!$C$62/2)</f>
        <v>151</v>
      </c>
      <c r="AJ97" s="146">
        <f t="shared" si="20"/>
        <v>68858.061499999996</v>
      </c>
      <c r="AK97" s="142">
        <f>Valores!$C$37</f>
        <v>1360.88</v>
      </c>
      <c r="AL97" s="143">
        <f>Valores!$C$86</f>
        <v>2730</v>
      </c>
      <c r="AM97" s="143"/>
      <c r="AN97" s="145">
        <f>IF($H$4="NO",0,Valores!$C$53)</f>
        <v>0</v>
      </c>
      <c r="AO97" s="147">
        <f t="shared" si="18"/>
        <v>4090.88</v>
      </c>
      <c r="AP97" s="148">
        <f>AJ97*Valores!$C$69</f>
        <v>-7574.3867649999993</v>
      </c>
      <c r="AQ97" s="148">
        <f>AJ97*-Valores!$C$70</f>
        <v>0</v>
      </c>
      <c r="AR97" s="142">
        <f>AJ97*Valores!$C$71</f>
        <v>-3098.6127674999998</v>
      </c>
      <c r="AS97" s="142">
        <f>Valores!$C$95</f>
        <v>-193.38</v>
      </c>
      <c r="AT97" s="142">
        <f>IF($H$6=0,Valores!$C$96,(Valores!$C$96+$H$6*(Valores!$C$96)))</f>
        <v>-129</v>
      </c>
      <c r="AU97" s="146">
        <f t="shared" si="21"/>
        <v>61953.561967499998</v>
      </c>
      <c r="AV97" s="199">
        <f t="shared" si="14"/>
        <v>-7574.3867649999993</v>
      </c>
      <c r="AW97" s="142">
        <f>AJ97*Valores!$C$72</f>
        <v>-1859.1676604999998</v>
      </c>
      <c r="AX97" s="142">
        <f>AJ97*Valores!$C$73</f>
        <v>-206.5741845</v>
      </c>
      <c r="AY97" s="146">
        <f t="shared" si="22"/>
        <v>63308.812890000001</v>
      </c>
      <c r="AZ97" s="150"/>
      <c r="BA97" s="150">
        <v>25</v>
      </c>
      <c r="BB97" s="135" t="s">
        <v>4</v>
      </c>
    </row>
    <row r="98" spans="1:54" s="114" customFormat="1" ht="11.25" customHeight="1" x14ac:dyDescent="0.15">
      <c r="A98" s="152">
        <v>95</v>
      </c>
      <c r="B98" s="152" t="s">
        <v>139</v>
      </c>
      <c r="C98" s="135" t="s">
        <v>306</v>
      </c>
      <c r="D98" s="135"/>
      <c r="E98" s="135">
        <f t="shared" si="15"/>
        <v>31</v>
      </c>
      <c r="F98" s="136" t="s">
        <v>307</v>
      </c>
      <c r="G98" s="137">
        <v>89</v>
      </c>
      <c r="H98" s="138">
        <f>INT((G98*Valores!$C$2*100)+0.5)/100</f>
        <v>1105.98</v>
      </c>
      <c r="I98" s="139">
        <v>2481</v>
      </c>
      <c r="J98" s="140">
        <f>INT((I98*Valores!$C$2*100)+0.5)/100</f>
        <v>30830.639999999999</v>
      </c>
      <c r="K98" s="155">
        <v>0</v>
      </c>
      <c r="L98" s="140">
        <f>INT((K98*Valores!$C$2*100)+0.5)/100</f>
        <v>0</v>
      </c>
      <c r="M98" s="153">
        <v>0</v>
      </c>
      <c r="N98" s="140">
        <f>INT((M98*Valores!$C$2*100)+0.5)/100</f>
        <v>0</v>
      </c>
      <c r="O98" s="140">
        <f t="shared" si="16"/>
        <v>5993.0249999999987</v>
      </c>
      <c r="P98" s="140">
        <f t="shared" si="17"/>
        <v>0</v>
      </c>
      <c r="Q98" s="142">
        <f>Valores!$C$15</f>
        <v>12990.26</v>
      </c>
      <c r="R98" s="142">
        <f>Valores!$D$4</f>
        <v>6352.5280000000002</v>
      </c>
      <c r="S98" s="140">
        <v>0</v>
      </c>
      <c r="T98" s="143">
        <f>IF($H$5="NO",Valores!$C$44,Valores!$C$44/2)</f>
        <v>2105.77</v>
      </c>
      <c r="U98" s="140">
        <f>Valores!$C$25</f>
        <v>5911.11</v>
      </c>
      <c r="V98" s="140">
        <f t="shared" si="13"/>
        <v>5911.11</v>
      </c>
      <c r="W98" s="140">
        <v>0</v>
      </c>
      <c r="X98" s="140">
        <v>0</v>
      </c>
      <c r="Y98" s="144">
        <v>0</v>
      </c>
      <c r="Z98" s="140">
        <f>Y98*Valores!$C$2</f>
        <v>0</v>
      </c>
      <c r="AA98" s="140">
        <v>0</v>
      </c>
      <c r="AB98" s="143">
        <f>Valores!$C$90</f>
        <v>2220.0100000000002</v>
      </c>
      <c r="AC98" s="145">
        <f>Valores!$C$31</f>
        <v>259.82</v>
      </c>
      <c r="AD98" s="140">
        <f t="shared" si="19"/>
        <v>0</v>
      </c>
      <c r="AE98" s="140">
        <f>Valores!$C$32</f>
        <v>259.82</v>
      </c>
      <c r="AF98" s="144">
        <v>0</v>
      </c>
      <c r="AG98" s="140">
        <f>INT(((AF98*Valores!$C$2)*100)+0.5)/100</f>
        <v>0</v>
      </c>
      <c r="AH98" s="140">
        <f>IF($H$5="NO",Valores!$C$60,Valores!$C$60/2)</f>
        <v>528.49</v>
      </c>
      <c r="AI98" s="140">
        <f>IF($H$5="NO",Valores!$C$62,Valores!$C$62/2)</f>
        <v>151</v>
      </c>
      <c r="AJ98" s="146">
        <f t="shared" si="20"/>
        <v>68708.452999999994</v>
      </c>
      <c r="AK98" s="142">
        <f>Valores!$C$37</f>
        <v>1360.88</v>
      </c>
      <c r="AL98" s="143">
        <f>Valores!$C$85</f>
        <v>2275</v>
      </c>
      <c r="AM98" s="143"/>
      <c r="AN98" s="145">
        <f>IF($H$4="NO",0,Valores!$C$53)</f>
        <v>0</v>
      </c>
      <c r="AO98" s="147">
        <f t="shared" si="18"/>
        <v>3635.88</v>
      </c>
      <c r="AP98" s="148">
        <f>AJ98*Valores!$C$69</f>
        <v>-7557.9298299999991</v>
      </c>
      <c r="AQ98" s="148">
        <f>AJ98*-Valores!$C$70</f>
        <v>0</v>
      </c>
      <c r="AR98" s="142">
        <f>AJ98*Valores!$C$71</f>
        <v>-3091.8803849999995</v>
      </c>
      <c r="AS98" s="142">
        <f>Valores!$C$95</f>
        <v>-193.38</v>
      </c>
      <c r="AT98" s="142">
        <f>IF($H$6=0,Valores!$C$96,(Valores!$C$96+$H$6*(Valores!$C$96)))</f>
        <v>-129</v>
      </c>
      <c r="AU98" s="146">
        <f t="shared" si="21"/>
        <v>61372.142784999996</v>
      </c>
      <c r="AV98" s="199">
        <f t="shared" si="14"/>
        <v>-7557.9298299999991</v>
      </c>
      <c r="AW98" s="142">
        <f>AJ98*Valores!$C$72</f>
        <v>-1855.1282309999999</v>
      </c>
      <c r="AX98" s="142">
        <f>AJ98*Valores!$C$73</f>
        <v>-206.12535899999997</v>
      </c>
      <c r="AY98" s="146">
        <f t="shared" si="22"/>
        <v>62725.149579999998</v>
      </c>
      <c r="AZ98" s="150"/>
      <c r="BA98" s="150">
        <v>25</v>
      </c>
      <c r="BB98" s="135" t="s">
        <v>8</v>
      </c>
    </row>
    <row r="99" spans="1:54" s="114" customFormat="1" ht="11.25" customHeight="1" x14ac:dyDescent="0.15">
      <c r="A99" s="134">
        <v>96</v>
      </c>
      <c r="B99" s="134"/>
      <c r="C99" s="135" t="s">
        <v>308</v>
      </c>
      <c r="D99" s="135"/>
      <c r="E99" s="135">
        <f t="shared" si="15"/>
        <v>31</v>
      </c>
      <c r="F99" s="136" t="s">
        <v>309</v>
      </c>
      <c r="G99" s="137">
        <v>89</v>
      </c>
      <c r="H99" s="138">
        <f>INT((G99*Valores!$C$2*100)+0.5)/100</f>
        <v>1105.98</v>
      </c>
      <c r="I99" s="139">
        <v>2381</v>
      </c>
      <c r="J99" s="140">
        <f>INT((I99*Valores!$C$2*100)+0.5)/100</f>
        <v>29587.97</v>
      </c>
      <c r="K99" s="155">
        <v>0</v>
      </c>
      <c r="L99" s="140">
        <f>INT((K99*Valores!$C$2*100)+0.5)/100</f>
        <v>0</v>
      </c>
      <c r="M99" s="153">
        <v>0</v>
      </c>
      <c r="N99" s="140">
        <f>INT((M99*Valores!$C$2*100)+0.5)/100</f>
        <v>0</v>
      </c>
      <c r="O99" s="140">
        <f t="shared" si="16"/>
        <v>5806.624499999999</v>
      </c>
      <c r="P99" s="140">
        <f t="shared" si="17"/>
        <v>0</v>
      </c>
      <c r="Q99" s="142">
        <f>Valores!$C$21</f>
        <v>10738.26</v>
      </c>
      <c r="R99" s="142">
        <f>Valores!$D$4</f>
        <v>6352.5280000000002</v>
      </c>
      <c r="S99" s="140">
        <f>Valores!$C$28</f>
        <v>5667.45</v>
      </c>
      <c r="T99" s="143">
        <f>IF($H$5="NO",Valores!$C$44,Valores!$C$44/2)</f>
        <v>2105.77</v>
      </c>
      <c r="U99" s="140">
        <f>Valores!$C$25</f>
        <v>5911.11</v>
      </c>
      <c r="V99" s="140">
        <f t="shared" si="13"/>
        <v>5911.11</v>
      </c>
      <c r="W99" s="140">
        <v>0</v>
      </c>
      <c r="X99" s="140">
        <v>0</v>
      </c>
      <c r="Y99" s="144">
        <v>0</v>
      </c>
      <c r="Z99" s="140">
        <f>Y99*Valores!$C$2</f>
        <v>0</v>
      </c>
      <c r="AA99" s="140">
        <v>0</v>
      </c>
      <c r="AB99" s="143">
        <f>Valores!$C$90</f>
        <v>2220.0100000000002</v>
      </c>
      <c r="AC99" s="145">
        <f>Valores!$C$31</f>
        <v>259.82</v>
      </c>
      <c r="AD99" s="140">
        <f t="shared" si="19"/>
        <v>0</v>
      </c>
      <c r="AE99" s="140">
        <f>Valores!$C$32</f>
        <v>259.82</v>
      </c>
      <c r="AF99" s="144">
        <v>0</v>
      </c>
      <c r="AG99" s="140">
        <f>INT(((AF99*Valores!$C$2)*100)+0.5)/100</f>
        <v>0</v>
      </c>
      <c r="AH99" s="140">
        <f>IF($H$5="NO",Valores!$C$60,Valores!$C$60/2)</f>
        <v>528.49</v>
      </c>
      <c r="AI99" s="140">
        <f>IF($H$5="NO",Valores!$C$62,Valores!$C$62/2)</f>
        <v>151</v>
      </c>
      <c r="AJ99" s="146">
        <f t="shared" si="20"/>
        <v>70694.832500000004</v>
      </c>
      <c r="AK99" s="142">
        <f>Valores!$C$37</f>
        <v>1360.88</v>
      </c>
      <c r="AL99" s="143">
        <f>Valores!$C$85</f>
        <v>2275</v>
      </c>
      <c r="AM99" s="143"/>
      <c r="AN99" s="145">
        <f>IF($H$4="NO",0,Valores!$C$53)</f>
        <v>0</v>
      </c>
      <c r="AO99" s="147">
        <f t="shared" si="18"/>
        <v>3635.88</v>
      </c>
      <c r="AP99" s="148">
        <f>AJ99*Valores!$C$69</f>
        <v>-7776.4315750000005</v>
      </c>
      <c r="AQ99" s="148">
        <f>AJ99*-Valores!$C$70</f>
        <v>0</v>
      </c>
      <c r="AR99" s="142">
        <f>AJ99*Valores!$C$71</f>
        <v>-3181.2674625</v>
      </c>
      <c r="AS99" s="142">
        <f>Valores!$C$95</f>
        <v>-193.38</v>
      </c>
      <c r="AT99" s="142">
        <f>IF($H$6=0,Valores!$C$96,(Valores!$C$96+$H$6*(Valores!$C$96)))</f>
        <v>-129</v>
      </c>
      <c r="AU99" s="146">
        <f t="shared" si="21"/>
        <v>63050.633462500002</v>
      </c>
      <c r="AV99" s="199">
        <f t="shared" si="14"/>
        <v>-7776.4315750000005</v>
      </c>
      <c r="AW99" s="142">
        <f>AJ99*Valores!$C$72</f>
        <v>-1908.7604775</v>
      </c>
      <c r="AX99" s="142">
        <f>AJ99*Valores!$C$73</f>
        <v>-212.08449750000003</v>
      </c>
      <c r="AY99" s="146">
        <f t="shared" si="22"/>
        <v>64433.435950000006</v>
      </c>
      <c r="AZ99" s="150"/>
      <c r="BA99" s="150">
        <v>25</v>
      </c>
      <c r="BB99" s="135" t="s">
        <v>4</v>
      </c>
    </row>
    <row r="100" spans="1:54" s="114" customFormat="1" ht="11.25" customHeight="1" x14ac:dyDescent="0.15">
      <c r="A100" s="134">
        <v>97</v>
      </c>
      <c r="B100" s="134"/>
      <c r="C100" s="135" t="s">
        <v>310</v>
      </c>
      <c r="D100" s="135"/>
      <c r="E100" s="135">
        <f t="shared" si="15"/>
        <v>31</v>
      </c>
      <c r="F100" s="136" t="s">
        <v>311</v>
      </c>
      <c r="G100" s="137">
        <v>89</v>
      </c>
      <c r="H100" s="138">
        <f>INT((G100*Valores!$C$2*100)+0.5)/100</f>
        <v>1105.98</v>
      </c>
      <c r="I100" s="139">
        <v>1768</v>
      </c>
      <c r="J100" s="140">
        <f>INT((I100*Valores!$C$2*100)+0.5)/100</f>
        <v>21970.41</v>
      </c>
      <c r="K100" s="155">
        <v>0</v>
      </c>
      <c r="L100" s="140">
        <f>INT((K100*Valores!$C$2*100)+0.5)/100</f>
        <v>0</v>
      </c>
      <c r="M100" s="153">
        <v>0</v>
      </c>
      <c r="N100" s="140">
        <f>INT((M100*Valores!$C$2*100)+0.5)/100</f>
        <v>0</v>
      </c>
      <c r="O100" s="140">
        <f t="shared" si="16"/>
        <v>4663.9904999999999</v>
      </c>
      <c r="P100" s="140">
        <f t="shared" si="17"/>
        <v>0</v>
      </c>
      <c r="Q100" s="142">
        <f>Valores!$C$21</f>
        <v>10738.26</v>
      </c>
      <c r="R100" s="142">
        <f>Valores!$D$4</f>
        <v>6352.5280000000002</v>
      </c>
      <c r="S100" s="154">
        <f>Valores!$C$28</f>
        <v>5667.45</v>
      </c>
      <c r="T100" s="143">
        <f>IF($H$5="NO",Valores!$C$44,Valores!$C$44/2)</f>
        <v>2105.77</v>
      </c>
      <c r="U100" s="140">
        <f>Valores!$C$25</f>
        <v>5911.11</v>
      </c>
      <c r="V100" s="140">
        <f t="shared" si="13"/>
        <v>5911.11</v>
      </c>
      <c r="W100" s="140">
        <v>0</v>
      </c>
      <c r="X100" s="140">
        <v>0</v>
      </c>
      <c r="Y100" s="144">
        <v>0</v>
      </c>
      <c r="Z100" s="140">
        <f>Y100*Valores!$C$2</f>
        <v>0</v>
      </c>
      <c r="AA100" s="140">
        <v>0</v>
      </c>
      <c r="AB100" s="143">
        <f>Valores!$C$90</f>
        <v>2220.0100000000002</v>
      </c>
      <c r="AC100" s="145">
        <f>Valores!$C$31</f>
        <v>259.82</v>
      </c>
      <c r="AD100" s="140">
        <f t="shared" si="19"/>
        <v>0</v>
      </c>
      <c r="AE100" s="140">
        <f>Valores!$C$32</f>
        <v>259.82</v>
      </c>
      <c r="AF100" s="144">
        <v>0</v>
      </c>
      <c r="AG100" s="140">
        <f>INT(((AF100*Valores!$C$2)*100)+0.5)/100</f>
        <v>0</v>
      </c>
      <c r="AH100" s="140">
        <f>IF($H$5="NO",Valores!$C$60,Valores!$C$60/2)</f>
        <v>528.49</v>
      </c>
      <c r="AI100" s="140">
        <f>IF($H$5="NO",Valores!$C$62,Valores!$C$62/2)</f>
        <v>151</v>
      </c>
      <c r="AJ100" s="146">
        <f t="shared" si="20"/>
        <v>61934.638499999994</v>
      </c>
      <c r="AK100" s="142">
        <f>Valores!$C$37</f>
        <v>1360.88</v>
      </c>
      <c r="AL100" s="143">
        <f>Valores!$C$85</f>
        <v>2275</v>
      </c>
      <c r="AM100" s="143"/>
      <c r="AN100" s="145">
        <f>IF($H$4="NO",0,Valores!$C$53)</f>
        <v>0</v>
      </c>
      <c r="AO100" s="147">
        <f t="shared" si="18"/>
        <v>3635.88</v>
      </c>
      <c r="AP100" s="148">
        <f>AJ100*Valores!$C$69</f>
        <v>-6812.810234999999</v>
      </c>
      <c r="AQ100" s="148">
        <f>AJ100*-Valores!$C$70</f>
        <v>0</v>
      </c>
      <c r="AR100" s="142">
        <f>AJ100*Valores!$C$71</f>
        <v>-2787.0587324999997</v>
      </c>
      <c r="AS100" s="142">
        <f>Valores!$C$95</f>
        <v>-193.38</v>
      </c>
      <c r="AT100" s="142">
        <f>IF($H$6=0,Valores!$C$96,(Valores!$C$96+$H$6*(Valores!$C$96)))</f>
        <v>-129</v>
      </c>
      <c r="AU100" s="146">
        <f t="shared" si="21"/>
        <v>55648.269532499995</v>
      </c>
      <c r="AV100" s="199">
        <f t="shared" si="14"/>
        <v>-6812.810234999999</v>
      </c>
      <c r="AW100" s="142">
        <f>AJ100*Valores!$C$72</f>
        <v>-1672.2352394999998</v>
      </c>
      <c r="AX100" s="142">
        <f>AJ100*Valores!$C$73</f>
        <v>-185.80391549999999</v>
      </c>
      <c r="AY100" s="146">
        <f t="shared" si="22"/>
        <v>56899.669109999988</v>
      </c>
      <c r="AZ100" s="150"/>
      <c r="BA100" s="150">
        <v>25</v>
      </c>
      <c r="BB100" s="135" t="s">
        <v>4</v>
      </c>
    </row>
    <row r="101" spans="1:54" s="114" customFormat="1" ht="11.25" customHeight="1" x14ac:dyDescent="0.15">
      <c r="A101" s="134">
        <v>98</v>
      </c>
      <c r="B101" s="134"/>
      <c r="C101" s="135" t="s">
        <v>312</v>
      </c>
      <c r="D101" s="135"/>
      <c r="E101" s="135">
        <f t="shared" si="15"/>
        <v>29</v>
      </c>
      <c r="F101" s="136" t="s">
        <v>313</v>
      </c>
      <c r="G101" s="137">
        <v>89</v>
      </c>
      <c r="H101" s="138">
        <f>INT((G101*Valores!$C$2*100)+0.5)/100</f>
        <v>1105.98</v>
      </c>
      <c r="I101" s="139">
        <v>1768</v>
      </c>
      <c r="J101" s="140">
        <f>INT((I101*Valores!$C$2*100)+0.5)/100</f>
        <v>21970.41</v>
      </c>
      <c r="K101" s="155">
        <v>0</v>
      </c>
      <c r="L101" s="140">
        <f>INT((K101*Valores!$C$2*100)+0.5)/100</f>
        <v>0</v>
      </c>
      <c r="M101" s="153">
        <v>0</v>
      </c>
      <c r="N101" s="140">
        <f>INT((M101*Valores!$C$2*100)+0.5)/100</f>
        <v>0</v>
      </c>
      <c r="O101" s="140">
        <f t="shared" si="16"/>
        <v>4663.9904999999999</v>
      </c>
      <c r="P101" s="140">
        <f t="shared" si="17"/>
        <v>0</v>
      </c>
      <c r="Q101" s="142">
        <f>Valores!$C$15</f>
        <v>12990.26</v>
      </c>
      <c r="R101" s="142">
        <f>Valores!$D$4</f>
        <v>6352.5280000000002</v>
      </c>
      <c r="S101" s="154">
        <f>Valores!$C$28</f>
        <v>5667.45</v>
      </c>
      <c r="T101" s="143">
        <f>IF($H$5="NO",Valores!$C$44,Valores!$C$44/2)</f>
        <v>2105.77</v>
      </c>
      <c r="U101" s="140">
        <f>Valores!$C$25</f>
        <v>5911.11</v>
      </c>
      <c r="V101" s="140">
        <f t="shared" si="13"/>
        <v>5911.11</v>
      </c>
      <c r="W101" s="140">
        <v>0</v>
      </c>
      <c r="X101" s="140">
        <v>0</v>
      </c>
      <c r="Y101" s="144">
        <v>0</v>
      </c>
      <c r="Z101" s="140">
        <f>Y101*Valores!$C$2</f>
        <v>0</v>
      </c>
      <c r="AA101" s="140">
        <v>0</v>
      </c>
      <c r="AB101" s="143">
        <f>Valores!$C$90</f>
        <v>2220.0100000000002</v>
      </c>
      <c r="AC101" s="145">
        <f>Valores!$C$31</f>
        <v>259.82</v>
      </c>
      <c r="AD101" s="140">
        <f t="shared" si="19"/>
        <v>0</v>
      </c>
      <c r="AE101" s="140">
        <f>Valores!$C$32</f>
        <v>259.82</v>
      </c>
      <c r="AF101" s="144">
        <v>0</v>
      </c>
      <c r="AG101" s="140">
        <f>INT(((AF101*Valores!$C$2)*100)+0.5)/100</f>
        <v>0</v>
      </c>
      <c r="AH101" s="140">
        <f>IF($H$5="NO",Valores!$C$60,Valores!$C$60/2)</f>
        <v>528.49</v>
      </c>
      <c r="AI101" s="140">
        <f>IF($H$5="NO",Valores!$C$62,Valores!$C$62/2)</f>
        <v>151</v>
      </c>
      <c r="AJ101" s="146">
        <f t="shared" si="20"/>
        <v>64186.638499999994</v>
      </c>
      <c r="AK101" s="142">
        <f>Valores!$C$37</f>
        <v>1360.88</v>
      </c>
      <c r="AL101" s="143">
        <f>Valores!$C$85</f>
        <v>2275</v>
      </c>
      <c r="AM101" s="143"/>
      <c r="AN101" s="145">
        <f>IF($H$4="NO",0,Valores!$C$53)</f>
        <v>0</v>
      </c>
      <c r="AO101" s="147">
        <f t="shared" si="18"/>
        <v>3635.88</v>
      </c>
      <c r="AP101" s="148">
        <f>AJ101*Valores!$C$69</f>
        <v>-7060.5302349999993</v>
      </c>
      <c r="AQ101" s="148">
        <f>AJ101*-Valores!$C$70</f>
        <v>0</v>
      </c>
      <c r="AR101" s="142">
        <f>AJ101*Valores!$C$71</f>
        <v>-2888.3987324999998</v>
      </c>
      <c r="AS101" s="142">
        <f>Valores!$C$95</f>
        <v>-193.38</v>
      </c>
      <c r="AT101" s="142">
        <f>IF($H$6=0,Valores!$C$96,(Valores!$C$96+$H$6*(Valores!$C$96)))</f>
        <v>-129</v>
      </c>
      <c r="AU101" s="146">
        <f t="shared" si="21"/>
        <v>57551.209532499997</v>
      </c>
      <c r="AV101" s="199">
        <f t="shared" si="14"/>
        <v>-7060.5302349999993</v>
      </c>
      <c r="AW101" s="142">
        <f>AJ101*Valores!$C$72</f>
        <v>-1733.0392394999999</v>
      </c>
      <c r="AX101" s="142">
        <f>AJ101*Valores!$C$73</f>
        <v>-192.55991549999999</v>
      </c>
      <c r="AY101" s="146">
        <f t="shared" si="22"/>
        <v>58836.389109999989</v>
      </c>
      <c r="AZ101" s="150"/>
      <c r="BA101" s="150"/>
      <c r="BB101" s="135" t="s">
        <v>4</v>
      </c>
    </row>
    <row r="102" spans="1:54" s="114" customFormat="1" ht="11.25" customHeight="1" x14ac:dyDescent="0.15">
      <c r="A102" s="134">
        <v>99</v>
      </c>
      <c r="B102" s="134"/>
      <c r="C102" s="135" t="s">
        <v>314</v>
      </c>
      <c r="D102" s="135"/>
      <c r="E102" s="135">
        <f t="shared" si="15"/>
        <v>31</v>
      </c>
      <c r="F102" s="136" t="s">
        <v>315</v>
      </c>
      <c r="G102" s="137">
        <v>89</v>
      </c>
      <c r="H102" s="138">
        <f>INT((G102*Valores!$C$2*100)+0.5)/100</f>
        <v>1105.98</v>
      </c>
      <c r="I102" s="139">
        <v>2211</v>
      </c>
      <c r="J102" s="140">
        <f>INT((I102*Valores!$C$2*100)+0.5)/100</f>
        <v>27475.43</v>
      </c>
      <c r="K102" s="155">
        <v>0</v>
      </c>
      <c r="L102" s="140">
        <f>INT((K102*Valores!$C$2*100)+0.5)/100</f>
        <v>0</v>
      </c>
      <c r="M102" s="153">
        <v>0</v>
      </c>
      <c r="N102" s="140">
        <f>INT((M102*Valores!$C$2*100)+0.5)/100</f>
        <v>0</v>
      </c>
      <c r="O102" s="140">
        <f t="shared" si="16"/>
        <v>5489.7434999999987</v>
      </c>
      <c r="P102" s="140">
        <f t="shared" si="17"/>
        <v>0</v>
      </c>
      <c r="Q102" s="142">
        <f>Valores!$C$15</f>
        <v>12990.26</v>
      </c>
      <c r="R102" s="142">
        <f>Valores!$D$4</f>
        <v>6352.5280000000002</v>
      </c>
      <c r="S102" s="154">
        <f>Valores!$C$28</f>
        <v>5667.45</v>
      </c>
      <c r="T102" s="143">
        <f>IF($H$5="NO",Valores!$C$44,Valores!$C$44/2)</f>
        <v>2105.77</v>
      </c>
      <c r="U102" s="140">
        <f>Valores!$C$25</f>
        <v>5911.11</v>
      </c>
      <c r="V102" s="140">
        <f t="shared" si="13"/>
        <v>5911.11</v>
      </c>
      <c r="W102" s="140">
        <v>0</v>
      </c>
      <c r="X102" s="140">
        <v>0</v>
      </c>
      <c r="Y102" s="144">
        <v>0</v>
      </c>
      <c r="Z102" s="140">
        <f>Y102*Valores!$C$2</f>
        <v>0</v>
      </c>
      <c r="AA102" s="140">
        <v>0</v>
      </c>
      <c r="AB102" s="143">
        <f>Valores!$C$90</f>
        <v>2220.0100000000002</v>
      </c>
      <c r="AC102" s="145">
        <f>Valores!$C$31</f>
        <v>259.82</v>
      </c>
      <c r="AD102" s="140">
        <f t="shared" si="19"/>
        <v>0</v>
      </c>
      <c r="AE102" s="140">
        <f>Valores!$C$32</f>
        <v>259.82</v>
      </c>
      <c r="AF102" s="144">
        <v>0</v>
      </c>
      <c r="AG102" s="140">
        <f>INT(((AF102*Valores!$C$2)*100)+0.5)/100</f>
        <v>0</v>
      </c>
      <c r="AH102" s="140">
        <f>IF($H$5="NO",Valores!$C$60,Valores!$C$60/2)</f>
        <v>528.49</v>
      </c>
      <c r="AI102" s="140">
        <f>IF($H$5="NO",Valores!$C$62,Valores!$C$62/2)</f>
        <v>151</v>
      </c>
      <c r="AJ102" s="146">
        <f t="shared" si="20"/>
        <v>70517.411500000002</v>
      </c>
      <c r="AK102" s="142">
        <f>Valores!$C$37</f>
        <v>1360.88</v>
      </c>
      <c r="AL102" s="143">
        <f>Valores!$C$85</f>
        <v>2275</v>
      </c>
      <c r="AM102" s="143"/>
      <c r="AN102" s="145">
        <f>IF($H$4="NO",0,Valores!$C$53)</f>
        <v>0</v>
      </c>
      <c r="AO102" s="147">
        <f t="shared" si="18"/>
        <v>3635.88</v>
      </c>
      <c r="AP102" s="148">
        <f>AJ102*Valores!$C$69</f>
        <v>-7756.9152650000005</v>
      </c>
      <c r="AQ102" s="148">
        <f>AJ102*-Valores!$C$70</f>
        <v>0</v>
      </c>
      <c r="AR102" s="142">
        <f>AJ102*Valores!$C$71</f>
        <v>-3173.2835175</v>
      </c>
      <c r="AS102" s="142">
        <f>Valores!$C$95</f>
        <v>-193.38</v>
      </c>
      <c r="AT102" s="142">
        <f>IF($H$6=0,Valores!$C$96,(Valores!$C$96+$H$6*(Valores!$C$96)))</f>
        <v>-129</v>
      </c>
      <c r="AU102" s="146">
        <f t="shared" si="21"/>
        <v>62900.712717499999</v>
      </c>
      <c r="AV102" s="199">
        <f t="shared" si="14"/>
        <v>-7756.9152650000005</v>
      </c>
      <c r="AW102" s="142">
        <f>AJ102*Valores!$C$72</f>
        <v>-1903.9701104999999</v>
      </c>
      <c r="AX102" s="142">
        <f>AJ102*Valores!$C$73</f>
        <v>-211.5522345</v>
      </c>
      <c r="AY102" s="146">
        <f t="shared" si="22"/>
        <v>64280.853890000006</v>
      </c>
      <c r="AZ102" s="150"/>
      <c r="BA102" s="150"/>
      <c r="BB102" s="135" t="s">
        <v>4</v>
      </c>
    </row>
    <row r="103" spans="1:54" s="114" customFormat="1" ht="11.25" customHeight="1" x14ac:dyDescent="0.15">
      <c r="A103" s="152">
        <v>100</v>
      </c>
      <c r="B103" s="152" t="s">
        <v>139</v>
      </c>
      <c r="C103" s="135" t="s">
        <v>316</v>
      </c>
      <c r="D103" s="135"/>
      <c r="E103" s="135">
        <f t="shared" si="15"/>
        <v>31</v>
      </c>
      <c r="F103" s="136" t="s">
        <v>317</v>
      </c>
      <c r="G103" s="137">
        <v>89</v>
      </c>
      <c r="H103" s="138">
        <f>INT((G103*Valores!$C$2*100)+0.5)/100</f>
        <v>1105.98</v>
      </c>
      <c r="I103" s="139">
        <v>1956</v>
      </c>
      <c r="J103" s="140">
        <f>INT((I103*Valores!$C$2*100)+0.5)/100</f>
        <v>24306.63</v>
      </c>
      <c r="K103" s="155">
        <v>0</v>
      </c>
      <c r="L103" s="140">
        <f>INT((K103*Valores!$C$2*100)+0.5)/100</f>
        <v>0</v>
      </c>
      <c r="M103" s="153">
        <v>0</v>
      </c>
      <c r="N103" s="140">
        <f>INT((M103*Valores!$C$2*100)+0.5)/100</f>
        <v>0</v>
      </c>
      <c r="O103" s="140">
        <f t="shared" si="16"/>
        <v>5014.4234999999999</v>
      </c>
      <c r="P103" s="140">
        <f t="shared" si="17"/>
        <v>0</v>
      </c>
      <c r="Q103" s="142">
        <f>Valores!$C$21</f>
        <v>10738.26</v>
      </c>
      <c r="R103" s="142">
        <f>Valores!$D$4</f>
        <v>6352.5280000000002</v>
      </c>
      <c r="S103" s="140">
        <v>0</v>
      </c>
      <c r="T103" s="143">
        <f>IF($H$5="NO",Valores!$C$44,Valores!$C$44/2)</f>
        <v>2105.77</v>
      </c>
      <c r="U103" s="140">
        <f>Valores!$C$25</f>
        <v>5911.11</v>
      </c>
      <c r="V103" s="140">
        <f t="shared" si="13"/>
        <v>5911.11</v>
      </c>
      <c r="W103" s="140">
        <v>0</v>
      </c>
      <c r="X103" s="140">
        <v>0</v>
      </c>
      <c r="Y103" s="144">
        <v>0</v>
      </c>
      <c r="Z103" s="140">
        <f>Y103*Valores!$C$2</f>
        <v>0</v>
      </c>
      <c r="AA103" s="140">
        <v>0</v>
      </c>
      <c r="AB103" s="143">
        <f>Valores!$C$90</f>
        <v>2220.0100000000002</v>
      </c>
      <c r="AC103" s="145">
        <f>Valores!$C$31</f>
        <v>259.82</v>
      </c>
      <c r="AD103" s="140">
        <f t="shared" si="19"/>
        <v>0</v>
      </c>
      <c r="AE103" s="140">
        <f>Valores!$C$32</f>
        <v>259.82</v>
      </c>
      <c r="AF103" s="144">
        <v>0</v>
      </c>
      <c r="AG103" s="140">
        <f>INT(((AF103*Valores!$C$2)*100)+0.5)/100</f>
        <v>0</v>
      </c>
      <c r="AH103" s="140">
        <f>IF($H$5="NO",Valores!$C$60,Valores!$C$60/2)</f>
        <v>528.49</v>
      </c>
      <c r="AI103" s="140">
        <f>IF($H$5="NO",Valores!$C$62,Valores!$C$62/2)</f>
        <v>151</v>
      </c>
      <c r="AJ103" s="146">
        <f t="shared" si="20"/>
        <v>58953.841499999995</v>
      </c>
      <c r="AK103" s="142">
        <f>Valores!$C$37</f>
        <v>1360.88</v>
      </c>
      <c r="AL103" s="143">
        <f>Valores!$C$85</f>
        <v>2275</v>
      </c>
      <c r="AM103" s="143"/>
      <c r="AN103" s="145">
        <f>IF($H$4="NO",0,Valores!$C$53)</f>
        <v>0</v>
      </c>
      <c r="AO103" s="147">
        <f t="shared" si="18"/>
        <v>3635.88</v>
      </c>
      <c r="AP103" s="148">
        <f>AJ103*Valores!$C$69</f>
        <v>-6484.9225649999998</v>
      </c>
      <c r="AQ103" s="148">
        <f>AJ103*-Valores!$C$70</f>
        <v>0</v>
      </c>
      <c r="AR103" s="142">
        <f>AJ103*Valores!$C$71</f>
        <v>-2652.9228674999995</v>
      </c>
      <c r="AS103" s="142">
        <f>Valores!$C$95</f>
        <v>-193.38</v>
      </c>
      <c r="AT103" s="142">
        <f>IF($H$6=0,Valores!$C$96,(Valores!$C$96+$H$6*(Valores!$C$96)))</f>
        <v>-129</v>
      </c>
      <c r="AU103" s="146">
        <f t="shared" si="21"/>
        <v>53129.496067499997</v>
      </c>
      <c r="AV103" s="199">
        <f t="shared" si="14"/>
        <v>-6484.9225649999998</v>
      </c>
      <c r="AW103" s="142">
        <f>AJ103*Valores!$C$72</f>
        <v>-1591.7537204999999</v>
      </c>
      <c r="AX103" s="142">
        <f>AJ103*Valores!$C$73</f>
        <v>-176.8615245</v>
      </c>
      <c r="AY103" s="146">
        <f t="shared" si="22"/>
        <v>54336.183689999991</v>
      </c>
      <c r="AZ103" s="150"/>
      <c r="BA103" s="150"/>
      <c r="BB103" s="135" t="s">
        <v>8</v>
      </c>
    </row>
    <row r="104" spans="1:54" s="114" customFormat="1" ht="11.25" customHeight="1" x14ac:dyDescent="0.15">
      <c r="A104" s="134">
        <v>101</v>
      </c>
      <c r="B104" s="134"/>
      <c r="C104" s="135" t="s">
        <v>318</v>
      </c>
      <c r="D104" s="135"/>
      <c r="E104" s="135">
        <f t="shared" si="15"/>
        <v>31</v>
      </c>
      <c r="F104" s="136" t="s">
        <v>319</v>
      </c>
      <c r="G104" s="137">
        <v>89</v>
      </c>
      <c r="H104" s="138">
        <f>INT((G104*Valores!$C$2*100)+0.5)/100</f>
        <v>1105.98</v>
      </c>
      <c r="I104" s="139">
        <v>1267</v>
      </c>
      <c r="J104" s="140">
        <f>INT((I104*Valores!$C$2*100)+0.5)/100</f>
        <v>15744.63</v>
      </c>
      <c r="K104" s="155">
        <v>0</v>
      </c>
      <c r="L104" s="140">
        <f>INT((K104*Valores!$C$2*100)+0.5)/100</f>
        <v>0</v>
      </c>
      <c r="M104" s="153">
        <v>0</v>
      </c>
      <c r="N104" s="140">
        <f>INT((M104*Valores!$C$2*100)+0.5)/100</f>
        <v>0</v>
      </c>
      <c r="O104" s="140">
        <f t="shared" si="16"/>
        <v>3730.1235000000001</v>
      </c>
      <c r="P104" s="140">
        <f t="shared" si="17"/>
        <v>0</v>
      </c>
      <c r="Q104" s="142">
        <f>Valores!$C$21</f>
        <v>10738.26</v>
      </c>
      <c r="R104" s="142">
        <f>Valores!$D$4</f>
        <v>6352.5280000000002</v>
      </c>
      <c r="S104" s="140">
        <v>0</v>
      </c>
      <c r="T104" s="143">
        <f>IF($H$5="NO",Valores!$C$44,Valores!$C$44/2)</f>
        <v>2105.77</v>
      </c>
      <c r="U104" s="140">
        <f>Valores!$C$25</f>
        <v>5911.11</v>
      </c>
      <c r="V104" s="140">
        <f t="shared" si="13"/>
        <v>5911.11</v>
      </c>
      <c r="W104" s="140">
        <v>0</v>
      </c>
      <c r="X104" s="140">
        <v>0</v>
      </c>
      <c r="Y104" s="144">
        <v>0</v>
      </c>
      <c r="Z104" s="140">
        <f>Y104*Valores!$C$2</f>
        <v>0</v>
      </c>
      <c r="AA104" s="140">
        <v>0</v>
      </c>
      <c r="AB104" s="143">
        <f>Valores!$C$90</f>
        <v>2220.0100000000002</v>
      </c>
      <c r="AC104" s="145">
        <f>Valores!$C$31</f>
        <v>259.82</v>
      </c>
      <c r="AD104" s="140">
        <f t="shared" si="19"/>
        <v>0</v>
      </c>
      <c r="AE104" s="140">
        <f>Valores!$C$32</f>
        <v>259.82</v>
      </c>
      <c r="AF104" s="144">
        <v>0</v>
      </c>
      <c r="AG104" s="140">
        <f>INT(((AF104*Valores!$C$2)*100)+0.5)/100</f>
        <v>0</v>
      </c>
      <c r="AH104" s="140">
        <f>IF($H$5="NO",Valores!$C$60,Valores!$C$60/2)</f>
        <v>528.49</v>
      </c>
      <c r="AI104" s="140">
        <f>IF($H$5="NO",Valores!$C$62,Valores!$C$62/2)</f>
        <v>151</v>
      </c>
      <c r="AJ104" s="146">
        <f t="shared" si="20"/>
        <v>49107.541499999999</v>
      </c>
      <c r="AK104" s="142">
        <f>Valores!$C$37</f>
        <v>1360.88</v>
      </c>
      <c r="AL104" s="143">
        <f>Valores!$C$85</f>
        <v>2275</v>
      </c>
      <c r="AM104" s="143"/>
      <c r="AN104" s="145">
        <f>IF($H$4="NO",0,Valores!$C$53)</f>
        <v>0</v>
      </c>
      <c r="AO104" s="147">
        <f t="shared" si="18"/>
        <v>3635.88</v>
      </c>
      <c r="AP104" s="148">
        <f>AJ104*Valores!$C$69</f>
        <v>-5401.829565</v>
      </c>
      <c r="AQ104" s="148">
        <f>AJ104*-Valores!$C$70</f>
        <v>0</v>
      </c>
      <c r="AR104" s="142">
        <f>AJ104*Valores!$C$71</f>
        <v>-2209.8393674999998</v>
      </c>
      <c r="AS104" s="142">
        <f>Valores!$C$95</f>
        <v>-193.38</v>
      </c>
      <c r="AT104" s="142">
        <f>IF($H$6=0,Valores!$C$96,(Valores!$C$96+$H$6*(Valores!$C$96)))</f>
        <v>-129</v>
      </c>
      <c r="AU104" s="146">
        <f t="shared" si="21"/>
        <v>44809.372567500002</v>
      </c>
      <c r="AV104" s="199">
        <f t="shared" si="14"/>
        <v>-5401.829565</v>
      </c>
      <c r="AW104" s="142">
        <f>AJ104*Valores!$C$72</f>
        <v>-1325.9036205</v>
      </c>
      <c r="AX104" s="142">
        <f>AJ104*Valores!$C$73</f>
        <v>-147.32262449999999</v>
      </c>
      <c r="AY104" s="146">
        <f t="shared" si="22"/>
        <v>45868.365689999999</v>
      </c>
      <c r="AZ104" s="150"/>
      <c r="BA104" s="150"/>
      <c r="BB104" s="135" t="s">
        <v>8</v>
      </c>
    </row>
    <row r="105" spans="1:54" s="114" customFormat="1" ht="11.25" customHeight="1" x14ac:dyDescent="0.15">
      <c r="A105" s="134">
        <v>102</v>
      </c>
      <c r="B105" s="134"/>
      <c r="C105" s="135" t="s">
        <v>320</v>
      </c>
      <c r="D105" s="135"/>
      <c r="E105" s="135">
        <f t="shared" si="15"/>
        <v>31</v>
      </c>
      <c r="F105" s="136" t="s">
        <v>321</v>
      </c>
      <c r="G105" s="137">
        <v>67</v>
      </c>
      <c r="H105" s="138">
        <f>INT((G105*Valores!$C$2*100)+0.5)/100</f>
        <v>832.59</v>
      </c>
      <c r="I105" s="139">
        <v>2108</v>
      </c>
      <c r="J105" s="140">
        <f>INT((I105*Valores!$C$2*100)+0.5)/100</f>
        <v>26195.48</v>
      </c>
      <c r="K105" s="155">
        <v>0</v>
      </c>
      <c r="L105" s="140">
        <f>INT((K105*Valores!$C$2*100)+0.5)/100</f>
        <v>0</v>
      </c>
      <c r="M105" s="153">
        <v>0</v>
      </c>
      <c r="N105" s="140">
        <f>INT((M105*Valores!$C$2*100)+0.5)/100</f>
        <v>0</v>
      </c>
      <c r="O105" s="140">
        <f t="shared" si="16"/>
        <v>5173.0919999999996</v>
      </c>
      <c r="P105" s="140">
        <f t="shared" si="17"/>
        <v>0</v>
      </c>
      <c r="Q105" s="142">
        <f>Valores!$C$21</f>
        <v>10738.26</v>
      </c>
      <c r="R105" s="142">
        <f>Valores!$D$4</f>
        <v>6352.5280000000002</v>
      </c>
      <c r="S105" s="140">
        <v>0</v>
      </c>
      <c r="T105" s="143">
        <f>IF($H$5="NO",Valores!$C$42,Valores!$C$42/2)</f>
        <v>1608.53</v>
      </c>
      <c r="U105" s="154">
        <f>Valores!$C$26</f>
        <v>5850.68</v>
      </c>
      <c r="V105" s="140">
        <f t="shared" si="13"/>
        <v>5850.68</v>
      </c>
      <c r="W105" s="140">
        <v>0</v>
      </c>
      <c r="X105" s="140">
        <v>0</v>
      </c>
      <c r="Y105" s="144">
        <v>0</v>
      </c>
      <c r="Z105" s="140">
        <f>Y105*Valores!$C$2</f>
        <v>0</v>
      </c>
      <c r="AA105" s="140">
        <v>0</v>
      </c>
      <c r="AB105" s="143">
        <f>Valores!$C$90</f>
        <v>2220.0100000000002</v>
      </c>
      <c r="AC105" s="145">
        <f>Valores!$C$31</f>
        <v>259.82</v>
      </c>
      <c r="AD105" s="140">
        <f t="shared" si="19"/>
        <v>0</v>
      </c>
      <c r="AE105" s="140">
        <f>Valores!$C$32</f>
        <v>259.82</v>
      </c>
      <c r="AF105" s="144">
        <v>0</v>
      </c>
      <c r="AG105" s="140">
        <f>INT(((AF105*Valores!$C$2)*100)+0.5)/100</f>
        <v>0</v>
      </c>
      <c r="AH105" s="140">
        <f>IF($H$5="NO",Valores!$C$60,Valores!$C$60/2)</f>
        <v>528.49</v>
      </c>
      <c r="AI105" s="140">
        <f>IF($H$5="NO",Valores!$C$62,Valores!$C$62/2)</f>
        <v>151</v>
      </c>
      <c r="AJ105" s="146">
        <f t="shared" si="20"/>
        <v>60170.299999999996</v>
      </c>
      <c r="AK105" s="142">
        <f>Valores!$C$37</f>
        <v>1360.88</v>
      </c>
      <c r="AL105" s="143">
        <f>Valores!$C$85</f>
        <v>2275</v>
      </c>
      <c r="AM105" s="143"/>
      <c r="AN105" s="145">
        <f>IF($H$4="NO",0,Valores!$C$53)</f>
        <v>0</v>
      </c>
      <c r="AO105" s="147">
        <f t="shared" si="18"/>
        <v>3635.88</v>
      </c>
      <c r="AP105" s="148">
        <f>AJ105*Valores!$C$69</f>
        <v>-6618.7329999999993</v>
      </c>
      <c r="AQ105" s="148">
        <f>AJ105*-Valores!$C$70</f>
        <v>0</v>
      </c>
      <c r="AR105" s="142">
        <f>AJ105*Valores!$C$71</f>
        <v>-2707.6634999999997</v>
      </c>
      <c r="AS105" s="142">
        <f>Valores!$C$95</f>
        <v>-193.38</v>
      </c>
      <c r="AT105" s="142">
        <f>IF($H$6=0,Valores!$C$96,(Valores!$C$96+$H$6*(Valores!$C$96)))</f>
        <v>-129</v>
      </c>
      <c r="AU105" s="146">
        <f t="shared" si="21"/>
        <v>54157.4035</v>
      </c>
      <c r="AV105" s="199">
        <f t="shared" si="14"/>
        <v>-6618.7329999999993</v>
      </c>
      <c r="AW105" s="142">
        <f>AJ105*Valores!$C$72</f>
        <v>-1624.5980999999999</v>
      </c>
      <c r="AX105" s="142">
        <f>AJ105*Valores!$C$73</f>
        <v>-180.51089999999999</v>
      </c>
      <c r="AY105" s="146">
        <f t="shared" si="22"/>
        <v>55382.337999999996</v>
      </c>
      <c r="AZ105" s="150"/>
      <c r="BA105" s="150">
        <v>30</v>
      </c>
      <c r="BB105" s="135" t="s">
        <v>4</v>
      </c>
    </row>
    <row r="106" spans="1:54" s="114" customFormat="1" ht="11.25" customHeight="1" x14ac:dyDescent="0.15">
      <c r="A106" s="134">
        <v>103</v>
      </c>
      <c r="B106" s="134"/>
      <c r="C106" s="135" t="s">
        <v>322</v>
      </c>
      <c r="D106" s="135"/>
      <c r="E106" s="135">
        <f t="shared" si="15"/>
        <v>30</v>
      </c>
      <c r="F106" s="136" t="s">
        <v>323</v>
      </c>
      <c r="G106" s="137">
        <v>45</v>
      </c>
      <c r="H106" s="138">
        <f>INT((G106*Valores!$C$2*100)+0.5)/100</f>
        <v>559.20000000000005</v>
      </c>
      <c r="I106" s="139">
        <v>1502</v>
      </c>
      <c r="J106" s="140">
        <f>INT((I106*Valores!$C$2*100)+0.5)/100</f>
        <v>18664.900000000001</v>
      </c>
      <c r="K106" s="155">
        <v>0</v>
      </c>
      <c r="L106" s="140">
        <f>INT((K106*Valores!$C$2*100)+0.5)/100</f>
        <v>0</v>
      </c>
      <c r="M106" s="153">
        <v>0</v>
      </c>
      <c r="N106" s="140">
        <f>INT((M106*Valores!$C$2*100)+0.5)/100</f>
        <v>0</v>
      </c>
      <c r="O106" s="140">
        <f t="shared" si="16"/>
        <v>4002.4965000000002</v>
      </c>
      <c r="P106" s="140">
        <f t="shared" si="17"/>
        <v>0</v>
      </c>
      <c r="Q106" s="142">
        <f>Valores!$C$21</f>
        <v>10738.26</v>
      </c>
      <c r="R106" s="142">
        <f>Valores!$D$4</f>
        <v>6352.5280000000002</v>
      </c>
      <c r="S106" s="140">
        <v>0</v>
      </c>
      <c r="T106" s="143">
        <f>IF($H$5="NO",Valores!$C$42,Valores!$C$42/2)</f>
        <v>1608.53</v>
      </c>
      <c r="U106" s="154">
        <f>Valores!$C$26</f>
        <v>5850.68</v>
      </c>
      <c r="V106" s="140">
        <f t="shared" si="13"/>
        <v>5850.68</v>
      </c>
      <c r="W106" s="140">
        <v>0</v>
      </c>
      <c r="X106" s="140">
        <v>0</v>
      </c>
      <c r="Y106" s="144">
        <v>0</v>
      </c>
      <c r="Z106" s="140">
        <f>Y106*Valores!$C$2</f>
        <v>0</v>
      </c>
      <c r="AA106" s="140">
        <v>0</v>
      </c>
      <c r="AB106" s="143">
        <f>Valores!$C$90</f>
        <v>2220.0100000000002</v>
      </c>
      <c r="AC106" s="145">
        <f>Valores!$C$31</f>
        <v>259.82</v>
      </c>
      <c r="AD106" s="140">
        <f t="shared" si="19"/>
        <v>0</v>
      </c>
      <c r="AE106" s="140">
        <f>Valores!$C$32</f>
        <v>259.82</v>
      </c>
      <c r="AF106" s="144">
        <v>0</v>
      </c>
      <c r="AG106" s="140">
        <f>INT(((AF106*Valores!$C$2)*100)+0.5)/100</f>
        <v>0</v>
      </c>
      <c r="AH106" s="140">
        <f>IF($H$5="NO",Valores!$C$60,Valores!$C$60/2)</f>
        <v>528.49</v>
      </c>
      <c r="AI106" s="140">
        <f>IF($H$5="NO",Valores!$C$62,Valores!$C$62/2)</f>
        <v>151</v>
      </c>
      <c r="AJ106" s="146">
        <f t="shared" si="20"/>
        <v>51195.734499999999</v>
      </c>
      <c r="AK106" s="142">
        <f>Valores!$C$37</f>
        <v>1360.88</v>
      </c>
      <c r="AL106" s="143">
        <f>Valores!$C$85</f>
        <v>2275</v>
      </c>
      <c r="AM106" s="143"/>
      <c r="AN106" s="145">
        <f>IF($H$4="NO",0,Valores!$C$53)</f>
        <v>0</v>
      </c>
      <c r="AO106" s="147">
        <f t="shared" si="18"/>
        <v>3635.88</v>
      </c>
      <c r="AP106" s="148">
        <f>AJ106*Valores!$C$69</f>
        <v>-5631.5307949999997</v>
      </c>
      <c r="AQ106" s="148">
        <f>AJ106*-Valores!$C$70</f>
        <v>0</v>
      </c>
      <c r="AR106" s="142">
        <f>AJ106*Valores!$C$71</f>
        <v>-2303.8080525</v>
      </c>
      <c r="AS106" s="142">
        <f>Valores!$C$95</f>
        <v>-193.38</v>
      </c>
      <c r="AT106" s="142">
        <f>IF($H$6=0,Valores!$C$96,(Valores!$C$96+$H$6*(Valores!$C$96)))</f>
        <v>-129</v>
      </c>
      <c r="AU106" s="146">
        <f t="shared" si="21"/>
        <v>46573.895652499996</v>
      </c>
      <c r="AV106" s="199">
        <f t="shared" si="14"/>
        <v>-5631.5307949999997</v>
      </c>
      <c r="AW106" s="142">
        <f>AJ106*Valores!$C$72</f>
        <v>-1382.2848314999999</v>
      </c>
      <c r="AX106" s="142">
        <f>AJ106*Valores!$C$73</f>
        <v>-153.58720349999999</v>
      </c>
      <c r="AY106" s="146">
        <f t="shared" si="22"/>
        <v>47664.211669999997</v>
      </c>
      <c r="AZ106" s="150"/>
      <c r="BA106" s="150"/>
      <c r="BB106" s="135" t="s">
        <v>4</v>
      </c>
    </row>
    <row r="107" spans="1:54" s="114" customFormat="1" ht="11.25" customHeight="1" x14ac:dyDescent="0.15">
      <c r="A107" s="134">
        <v>104</v>
      </c>
      <c r="B107" s="134"/>
      <c r="C107" s="135" t="s">
        <v>324</v>
      </c>
      <c r="D107" s="135"/>
      <c r="E107" s="135">
        <f t="shared" si="15"/>
        <v>32</v>
      </c>
      <c r="F107" s="136" t="s">
        <v>325</v>
      </c>
      <c r="G107" s="137">
        <v>61</v>
      </c>
      <c r="H107" s="138">
        <f>INT((G107*Valores!$C$2*100)+0.5)/100</f>
        <v>758.03</v>
      </c>
      <c r="I107" s="139">
        <v>2114</v>
      </c>
      <c r="J107" s="140">
        <f>INT((I107*Valores!$C$2*100)+0.5)/100</f>
        <v>26270.04</v>
      </c>
      <c r="K107" s="155">
        <v>0</v>
      </c>
      <c r="L107" s="140">
        <f>INT((K107*Valores!$C$2*100)+0.5)/100</f>
        <v>0</v>
      </c>
      <c r="M107" s="153">
        <v>0</v>
      </c>
      <c r="N107" s="140">
        <f>INT((M107*Valores!$C$2*100)+0.5)/100</f>
        <v>0</v>
      </c>
      <c r="O107" s="140">
        <f t="shared" si="16"/>
        <v>5173.0919999999996</v>
      </c>
      <c r="P107" s="140">
        <f t="shared" si="17"/>
        <v>0</v>
      </c>
      <c r="Q107" s="142">
        <f>Valores!$C$21</f>
        <v>10738.26</v>
      </c>
      <c r="R107" s="142">
        <f>Valores!$D$4</f>
        <v>6352.5280000000002</v>
      </c>
      <c r="S107" s="140">
        <v>0</v>
      </c>
      <c r="T107" s="143">
        <f>IF($H$5="NO",Valores!$C$42,Valores!$C$42/2)</f>
        <v>1608.53</v>
      </c>
      <c r="U107" s="154">
        <f>Valores!$C$26</f>
        <v>5850.68</v>
      </c>
      <c r="V107" s="140">
        <f t="shared" si="13"/>
        <v>5850.68</v>
      </c>
      <c r="W107" s="140">
        <v>0</v>
      </c>
      <c r="X107" s="140">
        <v>0</v>
      </c>
      <c r="Y107" s="144">
        <v>0</v>
      </c>
      <c r="Z107" s="140">
        <f>Y107*Valores!$C$2</f>
        <v>0</v>
      </c>
      <c r="AA107" s="140">
        <v>0</v>
      </c>
      <c r="AB107" s="143">
        <f>Valores!$C$90</f>
        <v>2220.0100000000002</v>
      </c>
      <c r="AC107" s="145">
        <f>Valores!$C$31</f>
        <v>259.82</v>
      </c>
      <c r="AD107" s="140">
        <f t="shared" si="19"/>
        <v>0</v>
      </c>
      <c r="AE107" s="140">
        <f>Valores!$C$32</f>
        <v>259.82</v>
      </c>
      <c r="AF107" s="144">
        <v>0</v>
      </c>
      <c r="AG107" s="140">
        <f>INT(((AF107*Valores!$C$2)*100)+0.5)/100</f>
        <v>0</v>
      </c>
      <c r="AH107" s="140">
        <f>IF($H$5="NO",Valores!$C$60,Valores!$C$60/2)</f>
        <v>528.49</v>
      </c>
      <c r="AI107" s="140">
        <f>IF($H$5="NO",Valores!$C$62,Valores!$C$62/2)</f>
        <v>151</v>
      </c>
      <c r="AJ107" s="146">
        <f t="shared" si="20"/>
        <v>60170.299999999996</v>
      </c>
      <c r="AK107" s="142">
        <f>Valores!$C$37</f>
        <v>1360.88</v>
      </c>
      <c r="AL107" s="143">
        <f>Valores!$C$85</f>
        <v>2275</v>
      </c>
      <c r="AM107" s="143"/>
      <c r="AN107" s="145">
        <f>IF($H$4="NO",0,Valores!$C$53)</f>
        <v>0</v>
      </c>
      <c r="AO107" s="147">
        <f t="shared" si="18"/>
        <v>3635.88</v>
      </c>
      <c r="AP107" s="148">
        <f>AJ107*Valores!$C$69</f>
        <v>-6618.7329999999993</v>
      </c>
      <c r="AQ107" s="148">
        <f>AJ107*-Valores!$C$70</f>
        <v>0</v>
      </c>
      <c r="AR107" s="142">
        <f>AJ107*Valores!$C$71</f>
        <v>-2707.6634999999997</v>
      </c>
      <c r="AS107" s="142">
        <f>Valores!$C$95</f>
        <v>-193.38</v>
      </c>
      <c r="AT107" s="142">
        <f>IF($H$6=0,Valores!$C$96,(Valores!$C$96+$H$6*(Valores!$C$96)))</f>
        <v>-129</v>
      </c>
      <c r="AU107" s="146">
        <f t="shared" si="21"/>
        <v>54157.4035</v>
      </c>
      <c r="AV107" s="199">
        <f t="shared" si="14"/>
        <v>-6618.7329999999993</v>
      </c>
      <c r="AW107" s="142">
        <f>AJ107*Valores!$C$72</f>
        <v>-1624.5980999999999</v>
      </c>
      <c r="AX107" s="142">
        <f>AJ107*Valores!$C$73</f>
        <v>-180.51089999999999</v>
      </c>
      <c r="AY107" s="146">
        <f t="shared" si="22"/>
        <v>55382.337999999996</v>
      </c>
      <c r="AZ107" s="150"/>
      <c r="BA107" s="150">
        <v>30</v>
      </c>
      <c r="BB107" s="135" t="s">
        <v>4</v>
      </c>
    </row>
    <row r="108" spans="1:54" s="114" customFormat="1" ht="11.25" customHeight="1" x14ac:dyDescent="0.15">
      <c r="A108" s="152">
        <v>105</v>
      </c>
      <c r="B108" s="152" t="s">
        <v>139</v>
      </c>
      <c r="C108" s="135" t="s">
        <v>326</v>
      </c>
      <c r="D108" s="135"/>
      <c r="E108" s="135">
        <f t="shared" si="15"/>
        <v>32</v>
      </c>
      <c r="F108" s="136" t="s">
        <v>327</v>
      </c>
      <c r="G108" s="137">
        <v>59</v>
      </c>
      <c r="H108" s="138">
        <f>INT((G108*Valores!$C$2*100)+0.5)/100</f>
        <v>733.18</v>
      </c>
      <c r="I108" s="139">
        <v>2013</v>
      </c>
      <c r="J108" s="140">
        <f>INT((I108*Valores!$C$2*100)+0.5)/100</f>
        <v>25014.95</v>
      </c>
      <c r="K108" s="155">
        <v>0</v>
      </c>
      <c r="L108" s="140">
        <f>INT((K108*Valores!$C$2*100)+0.5)/100</f>
        <v>0</v>
      </c>
      <c r="M108" s="153">
        <v>0</v>
      </c>
      <c r="N108" s="140">
        <f>INT((M108*Valores!$C$2*100)+0.5)/100</f>
        <v>0</v>
      </c>
      <c r="O108" s="140">
        <f t="shared" si="16"/>
        <v>4981.1010000000006</v>
      </c>
      <c r="P108" s="140">
        <f t="shared" si="17"/>
        <v>0</v>
      </c>
      <c r="Q108" s="142">
        <f>Valores!$C$21</f>
        <v>10738.26</v>
      </c>
      <c r="R108" s="142">
        <f>Valores!$D$4</f>
        <v>6352.5280000000002</v>
      </c>
      <c r="S108" s="140">
        <v>0</v>
      </c>
      <c r="T108" s="143">
        <f>IF($H$5="NO",Valores!$C$42,Valores!$C$42/2)</f>
        <v>1608.53</v>
      </c>
      <c r="U108" s="154">
        <f>Valores!$C$26</f>
        <v>5850.68</v>
      </c>
      <c r="V108" s="140">
        <f t="shared" si="13"/>
        <v>5850.68</v>
      </c>
      <c r="W108" s="140">
        <v>0</v>
      </c>
      <c r="X108" s="140">
        <v>0</v>
      </c>
      <c r="Y108" s="144">
        <v>0</v>
      </c>
      <c r="Z108" s="140">
        <f>Y108*Valores!$C$2</f>
        <v>0</v>
      </c>
      <c r="AA108" s="140">
        <v>0</v>
      </c>
      <c r="AB108" s="143">
        <f>Valores!$C$90</f>
        <v>2220.0100000000002</v>
      </c>
      <c r="AC108" s="145">
        <f>Valores!$C$31</f>
        <v>259.82</v>
      </c>
      <c r="AD108" s="140">
        <f t="shared" si="19"/>
        <v>0</v>
      </c>
      <c r="AE108" s="140">
        <f>Valores!$C$32</f>
        <v>259.82</v>
      </c>
      <c r="AF108" s="144">
        <v>0</v>
      </c>
      <c r="AG108" s="140">
        <f>INT(((AF108*Valores!$C$2)*100)+0.5)/100</f>
        <v>0</v>
      </c>
      <c r="AH108" s="140">
        <f>IF($H$5="NO",Valores!$C$60,Valores!$C$60/2)</f>
        <v>528.49</v>
      </c>
      <c r="AI108" s="140">
        <f>IF($H$5="NO",Valores!$C$62,Valores!$C$62/2)</f>
        <v>151</v>
      </c>
      <c r="AJ108" s="146">
        <f t="shared" si="20"/>
        <v>58698.368999999999</v>
      </c>
      <c r="AK108" s="142">
        <f>Valores!$C$37</f>
        <v>1360.88</v>
      </c>
      <c r="AL108" s="143">
        <f>Valores!$C$85</f>
        <v>2275</v>
      </c>
      <c r="AM108" s="143"/>
      <c r="AN108" s="145">
        <f>IF($H$4="NO",0,Valores!$C$53)</f>
        <v>0</v>
      </c>
      <c r="AO108" s="147">
        <f t="shared" si="18"/>
        <v>3635.88</v>
      </c>
      <c r="AP108" s="148">
        <f>AJ108*Valores!$C$69</f>
        <v>-6456.8205900000003</v>
      </c>
      <c r="AQ108" s="148">
        <f>AJ108*-Valores!$C$70</f>
        <v>0</v>
      </c>
      <c r="AR108" s="142">
        <f>AJ108*Valores!$C$71</f>
        <v>-2641.4266049999997</v>
      </c>
      <c r="AS108" s="142">
        <f>Valores!$C$95</f>
        <v>-193.38</v>
      </c>
      <c r="AT108" s="142">
        <f>IF($H$6=0,Valores!$C$96,(Valores!$C$96+$H$6*(Valores!$C$96)))</f>
        <v>-129</v>
      </c>
      <c r="AU108" s="146">
        <f t="shared" si="21"/>
        <v>52913.621805000002</v>
      </c>
      <c r="AV108" s="199">
        <f t="shared" si="14"/>
        <v>-6456.8205900000003</v>
      </c>
      <c r="AW108" s="142">
        <f>AJ108*Valores!$C$72</f>
        <v>-1584.855963</v>
      </c>
      <c r="AX108" s="142">
        <f>AJ108*Valores!$C$73</f>
        <v>-176.09510700000001</v>
      </c>
      <c r="AY108" s="146">
        <f t="shared" si="22"/>
        <v>54116.477339999998</v>
      </c>
      <c r="AZ108" s="150"/>
      <c r="BA108" s="150">
        <v>30</v>
      </c>
      <c r="BB108" s="135" t="s">
        <v>4</v>
      </c>
    </row>
    <row r="109" spans="1:54" s="114" customFormat="1" ht="11.25" customHeight="1" x14ac:dyDescent="0.15">
      <c r="A109" s="134">
        <v>106</v>
      </c>
      <c r="B109" s="134"/>
      <c r="C109" s="135" t="s">
        <v>328</v>
      </c>
      <c r="D109" s="135"/>
      <c r="E109" s="135">
        <f t="shared" si="15"/>
        <v>32</v>
      </c>
      <c r="F109" s="136" t="s">
        <v>329</v>
      </c>
      <c r="G109" s="137">
        <v>56</v>
      </c>
      <c r="H109" s="138">
        <f>INT((G109*Valores!$C$2*100)+0.5)/100</f>
        <v>695.9</v>
      </c>
      <c r="I109" s="139">
        <v>1720</v>
      </c>
      <c r="J109" s="140">
        <f>INT((I109*Valores!$C$2*100)+0.5)/100</f>
        <v>21373.919999999998</v>
      </c>
      <c r="K109" s="155">
        <v>0</v>
      </c>
      <c r="L109" s="140">
        <f>INT((K109*Valores!$C$2*100)+0.5)/100</f>
        <v>0</v>
      </c>
      <c r="M109" s="153">
        <v>0</v>
      </c>
      <c r="N109" s="140">
        <f>INT((M109*Valores!$C$2*100)+0.5)/100</f>
        <v>0</v>
      </c>
      <c r="O109" s="140">
        <f t="shared" si="16"/>
        <v>4429.3544999999995</v>
      </c>
      <c r="P109" s="140">
        <f t="shared" si="17"/>
        <v>0</v>
      </c>
      <c r="Q109" s="142">
        <f>Valores!$C$21</f>
        <v>10738.26</v>
      </c>
      <c r="R109" s="142">
        <f>Valores!$D$4</f>
        <v>6352.5280000000002</v>
      </c>
      <c r="S109" s="140">
        <v>0</v>
      </c>
      <c r="T109" s="143">
        <f>IF($H$5="NO",Valores!$C$42,Valores!$C$42/2)</f>
        <v>1608.53</v>
      </c>
      <c r="U109" s="154">
        <f>Valores!$C$26</f>
        <v>5850.68</v>
      </c>
      <c r="V109" s="140">
        <f t="shared" si="13"/>
        <v>5850.68</v>
      </c>
      <c r="W109" s="140">
        <v>0</v>
      </c>
      <c r="X109" s="140">
        <v>0</v>
      </c>
      <c r="Y109" s="144">
        <v>0</v>
      </c>
      <c r="Z109" s="140">
        <f>Y109*Valores!$C$2</f>
        <v>0</v>
      </c>
      <c r="AA109" s="140">
        <v>0</v>
      </c>
      <c r="AB109" s="143">
        <f>Valores!$C$90</f>
        <v>2220.0100000000002</v>
      </c>
      <c r="AC109" s="145">
        <f>Valores!$C$31</f>
        <v>259.82</v>
      </c>
      <c r="AD109" s="140">
        <f t="shared" si="19"/>
        <v>0</v>
      </c>
      <c r="AE109" s="140">
        <f>Valores!$C$32</f>
        <v>259.82</v>
      </c>
      <c r="AF109" s="144">
        <v>0</v>
      </c>
      <c r="AG109" s="140">
        <f>INT(((AF109*Valores!$C$2)*100)+0.5)/100</f>
        <v>0</v>
      </c>
      <c r="AH109" s="140">
        <f>IF($H$5="NO",Valores!$C$60,Valores!$C$60/2)</f>
        <v>528.49</v>
      </c>
      <c r="AI109" s="140">
        <f>IF($H$5="NO",Valores!$C$62,Valores!$C$62/2)</f>
        <v>151</v>
      </c>
      <c r="AJ109" s="146">
        <f t="shared" si="20"/>
        <v>54468.3125</v>
      </c>
      <c r="AK109" s="142">
        <f>Valores!$C$37</f>
        <v>1360.88</v>
      </c>
      <c r="AL109" s="143">
        <f>Valores!$C$85</f>
        <v>2275</v>
      </c>
      <c r="AM109" s="143"/>
      <c r="AN109" s="145">
        <f>IF($H$4="NO",0,Valores!$C$53)</f>
        <v>0</v>
      </c>
      <c r="AO109" s="147">
        <f t="shared" si="18"/>
        <v>3635.88</v>
      </c>
      <c r="AP109" s="148">
        <f>AJ109*Valores!$C$69</f>
        <v>-5991.5143749999997</v>
      </c>
      <c r="AQ109" s="148">
        <f>AJ109*-Valores!$C$70</f>
        <v>0</v>
      </c>
      <c r="AR109" s="142">
        <f>AJ109*Valores!$C$71</f>
        <v>-2451.0740624999999</v>
      </c>
      <c r="AS109" s="142">
        <f>Valores!$C$95</f>
        <v>-193.38</v>
      </c>
      <c r="AT109" s="142">
        <f>IF($H$6=0,Valores!$C$96,(Valores!$C$96+$H$6*(Valores!$C$96)))</f>
        <v>-129</v>
      </c>
      <c r="AU109" s="146">
        <f t="shared" si="21"/>
        <v>49339.224062499998</v>
      </c>
      <c r="AV109" s="199">
        <f t="shared" si="14"/>
        <v>-5991.5143749999997</v>
      </c>
      <c r="AW109" s="142">
        <f>AJ109*Valores!$C$72</f>
        <v>-1470.6444375000001</v>
      </c>
      <c r="AX109" s="142">
        <f>AJ109*Valores!$C$73</f>
        <v>-163.40493750000002</v>
      </c>
      <c r="AY109" s="146">
        <f t="shared" si="22"/>
        <v>50478.628749999996</v>
      </c>
      <c r="AZ109" s="150"/>
      <c r="BA109" s="150">
        <v>30</v>
      </c>
      <c r="BB109" s="135" t="s">
        <v>4</v>
      </c>
    </row>
    <row r="110" spans="1:54" s="114" customFormat="1" ht="11.25" customHeight="1" x14ac:dyDescent="0.15">
      <c r="A110" s="134">
        <v>107</v>
      </c>
      <c r="B110" s="134"/>
      <c r="C110" s="135" t="s">
        <v>330</v>
      </c>
      <c r="D110" s="135"/>
      <c r="E110" s="135">
        <f t="shared" si="15"/>
        <v>30</v>
      </c>
      <c r="F110" s="136" t="s">
        <v>331</v>
      </c>
      <c r="G110" s="137">
        <v>45</v>
      </c>
      <c r="H110" s="138">
        <f>INT((G110*Valores!$C$2*100)+0.5)/100</f>
        <v>559.20000000000005</v>
      </c>
      <c r="I110" s="139">
        <v>1502</v>
      </c>
      <c r="J110" s="140">
        <f>INT((I110*Valores!$C$2*100)+0.5)/100</f>
        <v>18664.900000000001</v>
      </c>
      <c r="K110" s="155">
        <v>0</v>
      </c>
      <c r="L110" s="140">
        <f>INT((K110*Valores!$C$2*100)+0.5)/100</f>
        <v>0</v>
      </c>
      <c r="M110" s="153">
        <v>0</v>
      </c>
      <c r="N110" s="140">
        <f>INT((M110*Valores!$C$2*100)+0.5)/100</f>
        <v>0</v>
      </c>
      <c r="O110" s="140">
        <f t="shared" si="16"/>
        <v>4002.4965000000002</v>
      </c>
      <c r="P110" s="140">
        <f t="shared" si="17"/>
        <v>0</v>
      </c>
      <c r="Q110" s="142">
        <f>Valores!$C$21</f>
        <v>10738.26</v>
      </c>
      <c r="R110" s="142">
        <f>Valores!$D$4</f>
        <v>6352.5280000000002</v>
      </c>
      <c r="S110" s="140">
        <v>0</v>
      </c>
      <c r="T110" s="143">
        <f>IF($H$5="NO",Valores!$C$42,Valores!$C$42/2)</f>
        <v>1608.53</v>
      </c>
      <c r="U110" s="154">
        <f>Valores!$C$26</f>
        <v>5850.68</v>
      </c>
      <c r="V110" s="140">
        <f t="shared" si="13"/>
        <v>5850.68</v>
      </c>
      <c r="W110" s="140">
        <v>0</v>
      </c>
      <c r="X110" s="140">
        <v>0</v>
      </c>
      <c r="Y110" s="144">
        <v>0</v>
      </c>
      <c r="Z110" s="140">
        <f>Y110*Valores!$C$2</f>
        <v>0</v>
      </c>
      <c r="AA110" s="140">
        <v>0</v>
      </c>
      <c r="AB110" s="143">
        <f>Valores!$C$90</f>
        <v>2220.0100000000002</v>
      </c>
      <c r="AC110" s="145">
        <f>Valores!$C$31</f>
        <v>259.82</v>
      </c>
      <c r="AD110" s="140">
        <f t="shared" si="19"/>
        <v>0</v>
      </c>
      <c r="AE110" s="140">
        <f>Valores!$C$32</f>
        <v>259.82</v>
      </c>
      <c r="AF110" s="144">
        <v>0</v>
      </c>
      <c r="AG110" s="140">
        <f>INT(((AF110*Valores!$C$2)*100)+0.5)/100</f>
        <v>0</v>
      </c>
      <c r="AH110" s="140">
        <f>IF($H$5="NO",Valores!$C$60,Valores!$C$60/2)</f>
        <v>528.49</v>
      </c>
      <c r="AI110" s="140">
        <f>IF($H$5="NO",Valores!$C$62,Valores!$C$62/2)</f>
        <v>151</v>
      </c>
      <c r="AJ110" s="146">
        <f t="shared" si="20"/>
        <v>51195.734499999999</v>
      </c>
      <c r="AK110" s="142">
        <f>Valores!$C$37</f>
        <v>1360.88</v>
      </c>
      <c r="AL110" s="143">
        <f>Valores!$C$85</f>
        <v>2275</v>
      </c>
      <c r="AM110" s="143"/>
      <c r="AN110" s="145">
        <f>IF($H$4="NO",0,Valores!$C$53)</f>
        <v>0</v>
      </c>
      <c r="AO110" s="147">
        <f t="shared" si="18"/>
        <v>3635.88</v>
      </c>
      <c r="AP110" s="148">
        <f>AJ110*Valores!$C$69</f>
        <v>-5631.5307949999997</v>
      </c>
      <c r="AQ110" s="148">
        <f>AJ110*-Valores!$C$70</f>
        <v>0</v>
      </c>
      <c r="AR110" s="142">
        <f>AJ110*Valores!$C$71</f>
        <v>-2303.8080525</v>
      </c>
      <c r="AS110" s="142">
        <f>Valores!$C$95</f>
        <v>-193.38</v>
      </c>
      <c r="AT110" s="142">
        <f>IF($H$6=0,Valores!$C$96,(Valores!$C$96+$H$6*(Valores!$C$96)))</f>
        <v>-129</v>
      </c>
      <c r="AU110" s="146">
        <f t="shared" si="21"/>
        <v>46573.895652499996</v>
      </c>
      <c r="AV110" s="199">
        <f t="shared" si="14"/>
        <v>-5631.5307949999997</v>
      </c>
      <c r="AW110" s="142">
        <f>AJ110*Valores!$C$72</f>
        <v>-1382.2848314999999</v>
      </c>
      <c r="AX110" s="142">
        <f>AJ110*Valores!$C$73</f>
        <v>-153.58720349999999</v>
      </c>
      <c r="AY110" s="146">
        <f t="shared" si="22"/>
        <v>47664.211669999997</v>
      </c>
      <c r="AZ110" s="150"/>
      <c r="BA110" s="150">
        <v>30</v>
      </c>
      <c r="BB110" s="135" t="s">
        <v>4</v>
      </c>
    </row>
    <row r="111" spans="1:54" s="114" customFormat="1" ht="11.25" customHeight="1" x14ac:dyDescent="0.15">
      <c r="A111" s="134">
        <v>108</v>
      </c>
      <c r="B111" s="134"/>
      <c r="C111" s="135" t="s">
        <v>332</v>
      </c>
      <c r="D111" s="135"/>
      <c r="E111" s="135">
        <f t="shared" si="15"/>
        <v>30</v>
      </c>
      <c r="F111" s="136" t="s">
        <v>333</v>
      </c>
      <c r="G111" s="137">
        <v>45</v>
      </c>
      <c r="H111" s="138">
        <f>INT((G111*Valores!$C$2*100)+0.5)/100</f>
        <v>559.20000000000005</v>
      </c>
      <c r="I111" s="139">
        <v>1139</v>
      </c>
      <c r="J111" s="140">
        <f>INT((I111*Valores!$C$2*100)+0.5)/100</f>
        <v>14154.01</v>
      </c>
      <c r="K111" s="155">
        <v>0</v>
      </c>
      <c r="L111" s="140">
        <f>INT((K111*Valores!$C$2*100)+0.5)/100</f>
        <v>0</v>
      </c>
      <c r="M111" s="153">
        <v>0</v>
      </c>
      <c r="N111" s="140">
        <f>INT((M111*Valores!$C$2*100)+0.5)/100</f>
        <v>0</v>
      </c>
      <c r="O111" s="140">
        <f t="shared" si="16"/>
        <v>3325.8629999999998</v>
      </c>
      <c r="P111" s="140">
        <f t="shared" si="17"/>
        <v>0</v>
      </c>
      <c r="Q111" s="142">
        <f>Valores!$C$21</f>
        <v>10738.26</v>
      </c>
      <c r="R111" s="142">
        <f>Valores!$D$4</f>
        <v>6352.5280000000002</v>
      </c>
      <c r="S111" s="140">
        <v>0</v>
      </c>
      <c r="T111" s="143">
        <f>IF($H$5="NO",Valores!$C$42,Valores!$C$42/2)</f>
        <v>1608.53</v>
      </c>
      <c r="U111" s="154">
        <f>Valores!$C$26</f>
        <v>5850.68</v>
      </c>
      <c r="V111" s="140">
        <f t="shared" si="13"/>
        <v>5850.68</v>
      </c>
      <c r="W111" s="140">
        <v>0</v>
      </c>
      <c r="X111" s="140">
        <v>0</v>
      </c>
      <c r="Y111" s="144">
        <v>0</v>
      </c>
      <c r="Z111" s="140">
        <f>Y111*Valores!$C$2</f>
        <v>0</v>
      </c>
      <c r="AA111" s="140">
        <v>0</v>
      </c>
      <c r="AB111" s="143">
        <f>Valores!$C$90</f>
        <v>2220.0100000000002</v>
      </c>
      <c r="AC111" s="145">
        <f>Valores!$C$31</f>
        <v>259.82</v>
      </c>
      <c r="AD111" s="140">
        <f t="shared" si="19"/>
        <v>0</v>
      </c>
      <c r="AE111" s="140">
        <f>Valores!$C$32</f>
        <v>259.82</v>
      </c>
      <c r="AF111" s="144">
        <v>0</v>
      </c>
      <c r="AG111" s="140">
        <f>INT(((AF111*Valores!$C$2)*100)+0.5)/100</f>
        <v>0</v>
      </c>
      <c r="AH111" s="140">
        <f>IF($H$5="NO",Valores!$C$60,Valores!$C$60/2)</f>
        <v>528.49</v>
      </c>
      <c r="AI111" s="140">
        <f>IF($H$5="NO",Valores!$C$62,Valores!$C$62/2)</f>
        <v>151</v>
      </c>
      <c r="AJ111" s="146">
        <f t="shared" si="20"/>
        <v>46008.210999999996</v>
      </c>
      <c r="AK111" s="142">
        <f>Valores!$C$37</f>
        <v>1360.88</v>
      </c>
      <c r="AL111" s="143">
        <f>Valores!$C$85</f>
        <v>2275</v>
      </c>
      <c r="AM111" s="143"/>
      <c r="AN111" s="145">
        <f>IF($H$4="NO",0,Valores!$C$53)</f>
        <v>0</v>
      </c>
      <c r="AO111" s="147">
        <f t="shared" si="18"/>
        <v>3635.88</v>
      </c>
      <c r="AP111" s="148">
        <f>AJ111*Valores!$C$69</f>
        <v>-5060.9032099999995</v>
      </c>
      <c r="AQ111" s="148">
        <f>AJ111*-Valores!$C$70</f>
        <v>0</v>
      </c>
      <c r="AR111" s="142">
        <f>AJ111*Valores!$C$71</f>
        <v>-2070.3694949999999</v>
      </c>
      <c r="AS111" s="142">
        <f>Valores!$C$95</f>
        <v>-193.38</v>
      </c>
      <c r="AT111" s="142">
        <f>IF($H$6=0,Valores!$C$96,(Valores!$C$96+$H$6*(Valores!$C$96)))</f>
        <v>-129</v>
      </c>
      <c r="AU111" s="146">
        <f t="shared" si="21"/>
        <v>42190.438295</v>
      </c>
      <c r="AV111" s="199">
        <f t="shared" si="14"/>
        <v>-5060.9032099999995</v>
      </c>
      <c r="AW111" s="142">
        <f>AJ111*Valores!$C$72</f>
        <v>-1242.2216969999999</v>
      </c>
      <c r="AX111" s="142">
        <f>AJ111*Valores!$C$73</f>
        <v>-138.02463299999999</v>
      </c>
      <c r="AY111" s="146">
        <f t="shared" si="22"/>
        <v>43202.941459999995</v>
      </c>
      <c r="AZ111" s="150"/>
      <c r="BA111" s="150">
        <v>30</v>
      </c>
      <c r="BB111" s="135" t="s">
        <v>4</v>
      </c>
    </row>
    <row r="112" spans="1:54" s="114" customFormat="1" ht="11.25" customHeight="1" x14ac:dyDescent="0.15">
      <c r="A112" s="134">
        <v>109</v>
      </c>
      <c r="B112" s="134"/>
      <c r="C112" s="135" t="s">
        <v>334</v>
      </c>
      <c r="D112" s="135"/>
      <c r="E112" s="135">
        <f t="shared" si="15"/>
        <v>30</v>
      </c>
      <c r="F112" s="136" t="s">
        <v>335</v>
      </c>
      <c r="G112" s="137">
        <v>46</v>
      </c>
      <c r="H112" s="138">
        <f>INT((G112*Valores!$C$2*100)+0.5)/100</f>
        <v>571.63</v>
      </c>
      <c r="I112" s="139">
        <v>1102</v>
      </c>
      <c r="J112" s="140">
        <f>INT((I112*Valores!$C$2*100)+0.5)/100</f>
        <v>13694.22</v>
      </c>
      <c r="K112" s="155">
        <v>0</v>
      </c>
      <c r="L112" s="140">
        <f>INT((K112*Valores!$C$2*100)+0.5)/100</f>
        <v>0</v>
      </c>
      <c r="M112" s="153">
        <v>0</v>
      </c>
      <c r="N112" s="140">
        <f>INT((M112*Valores!$C$2*100)+0.5)/100</f>
        <v>0</v>
      </c>
      <c r="O112" s="140">
        <f t="shared" si="16"/>
        <v>3258.7589999999996</v>
      </c>
      <c r="P112" s="140">
        <f t="shared" si="17"/>
        <v>0</v>
      </c>
      <c r="Q112" s="142">
        <f>Valores!$C$21</f>
        <v>10738.26</v>
      </c>
      <c r="R112" s="142">
        <f>Valores!$D$4</f>
        <v>6352.5280000000002</v>
      </c>
      <c r="S112" s="140">
        <v>0</v>
      </c>
      <c r="T112" s="143">
        <f>IF($H$5="NO",Valores!$C$42,Valores!$C$42/2)</f>
        <v>1608.53</v>
      </c>
      <c r="U112" s="154">
        <f>Valores!$C$26</f>
        <v>5850.68</v>
      </c>
      <c r="V112" s="140">
        <f t="shared" ref="V112:V174" si="23">U112*(1+$J$2)</f>
        <v>5850.68</v>
      </c>
      <c r="W112" s="140">
        <v>0</v>
      </c>
      <c r="X112" s="140">
        <v>0</v>
      </c>
      <c r="Y112" s="144">
        <v>0</v>
      </c>
      <c r="Z112" s="140">
        <f>Y112*Valores!$C$2</f>
        <v>0</v>
      </c>
      <c r="AA112" s="140">
        <v>0</v>
      </c>
      <c r="AB112" s="143">
        <f>Valores!$C$90</f>
        <v>2220.0100000000002</v>
      </c>
      <c r="AC112" s="145">
        <f>Valores!$C$31</f>
        <v>259.82</v>
      </c>
      <c r="AD112" s="140">
        <f t="shared" si="19"/>
        <v>0</v>
      </c>
      <c r="AE112" s="140">
        <f>Valores!$C$32</f>
        <v>259.82</v>
      </c>
      <c r="AF112" s="144">
        <v>0</v>
      </c>
      <c r="AG112" s="140">
        <f>INT(((AF112*Valores!$C$2)*100)+0.5)/100</f>
        <v>0</v>
      </c>
      <c r="AH112" s="140">
        <f>IF($H$5="NO",Valores!$C$60,Valores!$C$60/2)</f>
        <v>528.49</v>
      </c>
      <c r="AI112" s="140">
        <f>IF($H$5="NO",Valores!$C$62,Valores!$C$62/2)</f>
        <v>151</v>
      </c>
      <c r="AJ112" s="146">
        <f t="shared" si="20"/>
        <v>45493.746999999996</v>
      </c>
      <c r="AK112" s="142">
        <f>Valores!$C$37</f>
        <v>1360.88</v>
      </c>
      <c r="AL112" s="143">
        <f>Valores!$C$85</f>
        <v>2275</v>
      </c>
      <c r="AM112" s="143"/>
      <c r="AN112" s="145">
        <f>IF($H$4="NO",0,Valores!$C$53)</f>
        <v>0</v>
      </c>
      <c r="AO112" s="147">
        <f t="shared" si="18"/>
        <v>3635.88</v>
      </c>
      <c r="AP112" s="148">
        <f>AJ112*Valores!$C$69</f>
        <v>-5004.3121699999992</v>
      </c>
      <c r="AQ112" s="148">
        <f>AJ112*-Valores!$C$70</f>
        <v>0</v>
      </c>
      <c r="AR112" s="142">
        <f>AJ112*Valores!$C$71</f>
        <v>-2047.2186149999998</v>
      </c>
      <c r="AS112" s="142">
        <f>Valores!$C$95</f>
        <v>-193.38</v>
      </c>
      <c r="AT112" s="142">
        <f>IF($H$6=0,Valores!$C$96,(Valores!$C$96+$H$6*(Valores!$C$96)))</f>
        <v>-129</v>
      </c>
      <c r="AU112" s="146">
        <f t="shared" si="21"/>
        <v>41755.716214999993</v>
      </c>
      <c r="AV112" s="199">
        <f t="shared" si="14"/>
        <v>-5004.3121699999992</v>
      </c>
      <c r="AW112" s="142">
        <f>AJ112*Valores!$C$72</f>
        <v>-1228.3311689999998</v>
      </c>
      <c r="AX112" s="142">
        <f>AJ112*Valores!$C$73</f>
        <v>-136.48124099999998</v>
      </c>
      <c r="AY112" s="146">
        <f t="shared" si="22"/>
        <v>42760.50241999999</v>
      </c>
      <c r="AZ112" s="150"/>
      <c r="BA112" s="150">
        <v>30</v>
      </c>
      <c r="BB112" s="135" t="s">
        <v>4</v>
      </c>
    </row>
    <row r="113" spans="1:54" s="114" customFormat="1" ht="11.25" customHeight="1" x14ac:dyDescent="0.15">
      <c r="A113" s="152">
        <v>110</v>
      </c>
      <c r="B113" s="152" t="s">
        <v>139</v>
      </c>
      <c r="C113" s="135" t="s">
        <v>336</v>
      </c>
      <c r="D113" s="135"/>
      <c r="E113" s="135">
        <f t="shared" si="15"/>
        <v>32</v>
      </c>
      <c r="F113" s="136" t="s">
        <v>337</v>
      </c>
      <c r="G113" s="137">
        <v>66</v>
      </c>
      <c r="H113" s="138">
        <f>INT((G113*Valores!$C$2*100)+0.5)/100</f>
        <v>820.16</v>
      </c>
      <c r="I113" s="139">
        <v>1911</v>
      </c>
      <c r="J113" s="140">
        <f>INT((I113*Valores!$C$2*100)+0.5)/100</f>
        <v>23747.42</v>
      </c>
      <c r="K113" s="155">
        <v>0</v>
      </c>
      <c r="L113" s="140">
        <f>INT((K113*Valores!$C$2*100)+0.5)/100</f>
        <v>0</v>
      </c>
      <c r="M113" s="153">
        <v>0</v>
      </c>
      <c r="N113" s="140">
        <f>INT((M113*Valores!$C$2*100)+0.5)/100</f>
        <v>0</v>
      </c>
      <c r="O113" s="140">
        <f t="shared" si="16"/>
        <v>4804.0184999999992</v>
      </c>
      <c r="P113" s="140">
        <f t="shared" si="17"/>
        <v>0</v>
      </c>
      <c r="Q113" s="142">
        <f>Valores!$C$21</f>
        <v>10738.26</v>
      </c>
      <c r="R113" s="142">
        <f>Valores!$D$4</f>
        <v>6352.5280000000002</v>
      </c>
      <c r="S113" s="154">
        <f>Valores!$C$28</f>
        <v>5667.45</v>
      </c>
      <c r="T113" s="143">
        <f>IF($H$5="NO",Valores!$C$42,Valores!$C$42/2)</f>
        <v>1608.53</v>
      </c>
      <c r="U113" s="154">
        <f>Valores!$C$26</f>
        <v>5850.68</v>
      </c>
      <c r="V113" s="140">
        <f t="shared" si="23"/>
        <v>5850.68</v>
      </c>
      <c r="W113" s="140">
        <v>0</v>
      </c>
      <c r="X113" s="140">
        <v>0</v>
      </c>
      <c r="Y113" s="144">
        <v>0</v>
      </c>
      <c r="Z113" s="140">
        <f>Y113*Valores!$C$2</f>
        <v>0</v>
      </c>
      <c r="AA113" s="140">
        <v>0</v>
      </c>
      <c r="AB113" s="143">
        <f>Valores!$C$90</f>
        <v>2220.0100000000002</v>
      </c>
      <c r="AC113" s="145">
        <f>Valores!$C$31</f>
        <v>259.82</v>
      </c>
      <c r="AD113" s="140">
        <f t="shared" si="19"/>
        <v>0</v>
      </c>
      <c r="AE113" s="140">
        <f>Valores!$C$32</f>
        <v>259.82</v>
      </c>
      <c r="AF113" s="144">
        <v>94</v>
      </c>
      <c r="AG113" s="140">
        <f>INT(((AF113*Valores!$C$2)*100)+0.5)/100</f>
        <v>1168.1099999999999</v>
      </c>
      <c r="AH113" s="140">
        <f>IF($H$5="NO",Valores!$C$60,Valores!$C$60/2)</f>
        <v>528.49</v>
      </c>
      <c r="AI113" s="140">
        <f>IF($H$5="NO",Valores!$C$62,Valores!$C$62/2)</f>
        <v>151</v>
      </c>
      <c r="AJ113" s="146">
        <f t="shared" si="20"/>
        <v>64176.296499999989</v>
      </c>
      <c r="AK113" s="142">
        <f>Valores!$C$37</f>
        <v>1360.88</v>
      </c>
      <c r="AL113" s="143">
        <f>Valores!$C$85</f>
        <v>2275</v>
      </c>
      <c r="AM113" s="143"/>
      <c r="AN113" s="145">
        <f>IF($H$4="NO",0,Valores!$C$53)</f>
        <v>0</v>
      </c>
      <c r="AO113" s="147">
        <f t="shared" si="18"/>
        <v>3635.88</v>
      </c>
      <c r="AP113" s="148">
        <f>AJ113*Valores!$C$69</f>
        <v>-7059.3926149999988</v>
      </c>
      <c r="AQ113" s="148">
        <f>AJ113*-Valores!$C$70</f>
        <v>0</v>
      </c>
      <c r="AR113" s="142">
        <f>AJ113*Valores!$C$71</f>
        <v>-2887.9333424999995</v>
      </c>
      <c r="AS113" s="142">
        <f>Valores!$C$95</f>
        <v>-193.38</v>
      </c>
      <c r="AT113" s="142">
        <f>IF($H$6=0,Valores!$C$96,(Valores!$C$96+$H$6*(Valores!$C$96)))</f>
        <v>-129</v>
      </c>
      <c r="AU113" s="146">
        <f t="shared" si="21"/>
        <v>57542.470542499992</v>
      </c>
      <c r="AV113" s="199">
        <f t="shared" si="14"/>
        <v>-7059.3926149999988</v>
      </c>
      <c r="AW113" s="142">
        <f>AJ113*Valores!$C$72</f>
        <v>-1732.7600054999998</v>
      </c>
      <c r="AX113" s="142">
        <f>AJ113*Valores!$C$73</f>
        <v>-192.52888949999996</v>
      </c>
      <c r="AY113" s="146">
        <f t="shared" si="22"/>
        <v>58827.494989999992</v>
      </c>
      <c r="AZ113" s="150"/>
      <c r="BA113" s="150">
        <v>25</v>
      </c>
      <c r="BB113" s="135" t="s">
        <v>4</v>
      </c>
    </row>
    <row r="114" spans="1:54" s="114" customFormat="1" ht="11.25" customHeight="1" x14ac:dyDescent="0.15">
      <c r="A114" s="134">
        <v>111</v>
      </c>
      <c r="B114" s="134"/>
      <c r="C114" s="135" t="s">
        <v>338</v>
      </c>
      <c r="D114" s="135"/>
      <c r="E114" s="135">
        <f t="shared" si="15"/>
        <v>30</v>
      </c>
      <c r="F114" s="136" t="s">
        <v>339</v>
      </c>
      <c r="G114" s="137">
        <v>61</v>
      </c>
      <c r="H114" s="138">
        <f>INT((G114*Valores!$C$2*100)+0.5)/100</f>
        <v>758.03</v>
      </c>
      <c r="I114" s="139">
        <v>1545</v>
      </c>
      <c r="J114" s="140">
        <f>INT((I114*Valores!$C$2*100)+0.5)/100</f>
        <v>19199.25</v>
      </c>
      <c r="K114" s="155">
        <v>0</v>
      </c>
      <c r="L114" s="140">
        <f>INT((K114*Valores!$C$2*100)+0.5)/100</f>
        <v>0</v>
      </c>
      <c r="M114" s="153">
        <v>0</v>
      </c>
      <c r="N114" s="140">
        <f>INT((M114*Valores!$C$2*100)+0.5)/100</f>
        <v>0</v>
      </c>
      <c r="O114" s="140">
        <f t="shared" si="16"/>
        <v>4112.4734999999991</v>
      </c>
      <c r="P114" s="140">
        <f t="shared" si="17"/>
        <v>0</v>
      </c>
      <c r="Q114" s="142">
        <f>Valores!$C$21</f>
        <v>10738.26</v>
      </c>
      <c r="R114" s="142">
        <f>Valores!$D$4</f>
        <v>6352.5280000000002</v>
      </c>
      <c r="S114" s="140">
        <f>Valores!$C$28</f>
        <v>5667.45</v>
      </c>
      <c r="T114" s="143">
        <f>IF($H$5="NO",Valores!$C$42,Valores!$C$42/2)</f>
        <v>1608.53</v>
      </c>
      <c r="U114" s="154">
        <f>Valores!$C$26</f>
        <v>5850.68</v>
      </c>
      <c r="V114" s="140">
        <f t="shared" si="23"/>
        <v>5850.68</v>
      </c>
      <c r="W114" s="140">
        <v>0</v>
      </c>
      <c r="X114" s="140">
        <v>0</v>
      </c>
      <c r="Y114" s="144">
        <v>0</v>
      </c>
      <c r="Z114" s="140">
        <f>Y114*Valores!$C$2</f>
        <v>0</v>
      </c>
      <c r="AA114" s="140">
        <v>0</v>
      </c>
      <c r="AB114" s="143">
        <f>Valores!$C$90</f>
        <v>2220.0100000000002</v>
      </c>
      <c r="AC114" s="145">
        <f>Valores!$C$31</f>
        <v>259.82</v>
      </c>
      <c r="AD114" s="140">
        <f t="shared" si="19"/>
        <v>0</v>
      </c>
      <c r="AE114" s="140">
        <f>Valores!$C$32</f>
        <v>259.82</v>
      </c>
      <c r="AF114" s="144">
        <v>94</v>
      </c>
      <c r="AG114" s="140">
        <f>INT(((AF114*Valores!$C$2)*100)+0.5)/100</f>
        <v>1168.1099999999999</v>
      </c>
      <c r="AH114" s="140">
        <f>IF($H$5="NO",Valores!$C$60,Valores!$C$60/2)</f>
        <v>528.49</v>
      </c>
      <c r="AI114" s="140">
        <f>IF($H$5="NO",Valores!$C$62,Valores!$C$62/2)</f>
        <v>151</v>
      </c>
      <c r="AJ114" s="146">
        <f t="shared" si="20"/>
        <v>58874.451499999996</v>
      </c>
      <c r="AK114" s="142">
        <f>Valores!$C$37</f>
        <v>1360.88</v>
      </c>
      <c r="AL114" s="143">
        <f>Valores!$C$85</f>
        <v>2275</v>
      </c>
      <c r="AM114" s="143"/>
      <c r="AN114" s="145">
        <f>IF($H$4="NO",0,Valores!$C$53)</f>
        <v>0</v>
      </c>
      <c r="AO114" s="147">
        <f t="shared" si="18"/>
        <v>3635.88</v>
      </c>
      <c r="AP114" s="148">
        <f>AJ114*Valores!$C$69</f>
        <v>-6476.1896649999999</v>
      </c>
      <c r="AQ114" s="148">
        <f>AJ114*-Valores!$C$70</f>
        <v>0</v>
      </c>
      <c r="AR114" s="142">
        <f>AJ114*Valores!$C$71</f>
        <v>-2649.3503174999996</v>
      </c>
      <c r="AS114" s="142">
        <f>Valores!$C$95</f>
        <v>-193.38</v>
      </c>
      <c r="AT114" s="142">
        <f>IF($H$6=0,Valores!$C$96,(Valores!$C$96+$H$6*(Valores!$C$96)))</f>
        <v>-129</v>
      </c>
      <c r="AU114" s="146">
        <f t="shared" si="21"/>
        <v>53062.411517499997</v>
      </c>
      <c r="AV114" s="199">
        <f t="shared" si="14"/>
        <v>-6476.1896649999999</v>
      </c>
      <c r="AW114" s="142">
        <f>AJ114*Valores!$C$72</f>
        <v>-1589.6101904999998</v>
      </c>
      <c r="AX114" s="142">
        <f>AJ114*Valores!$C$73</f>
        <v>-176.62335449999998</v>
      </c>
      <c r="AY114" s="146">
        <f t="shared" si="22"/>
        <v>54267.908289999992</v>
      </c>
      <c r="AZ114" s="150"/>
      <c r="BA114" s="150">
        <v>25</v>
      </c>
      <c r="BB114" s="135" t="s">
        <v>8</v>
      </c>
    </row>
    <row r="115" spans="1:54" s="114" customFormat="1" ht="11.25" customHeight="1" x14ac:dyDescent="0.15">
      <c r="A115" s="134">
        <v>112</v>
      </c>
      <c r="B115" s="134"/>
      <c r="C115" s="135" t="s">
        <v>340</v>
      </c>
      <c r="D115" s="135"/>
      <c r="E115" s="135">
        <f t="shared" si="15"/>
        <v>30</v>
      </c>
      <c r="F115" s="136" t="s">
        <v>341</v>
      </c>
      <c r="G115" s="137">
        <f>75+143</f>
        <v>218</v>
      </c>
      <c r="H115" s="138">
        <f>INT((G115*Valores!$C$2*100)+0.5)/100</f>
        <v>2709.02</v>
      </c>
      <c r="I115" s="139">
        <v>2100</v>
      </c>
      <c r="J115" s="140">
        <f>INT((I115*Valores!$C$2*100)+0.5)/100</f>
        <v>26096.07</v>
      </c>
      <c r="K115" s="155">
        <v>0</v>
      </c>
      <c r="L115" s="140">
        <f>INT((K115*Valores!$C$2*100)+0.5)/100</f>
        <v>0</v>
      </c>
      <c r="M115" s="153">
        <v>0</v>
      </c>
      <c r="N115" s="140">
        <f>INT((M115*Valores!$C$2*100)+0.5)/100</f>
        <v>0</v>
      </c>
      <c r="O115" s="140">
        <f t="shared" si="16"/>
        <v>5439.6450000000004</v>
      </c>
      <c r="P115" s="140">
        <f t="shared" si="17"/>
        <v>0</v>
      </c>
      <c r="Q115" s="142">
        <f>Valores!$C$21</f>
        <v>10738.26</v>
      </c>
      <c r="R115" s="142">
        <f>Valores!$D$4</f>
        <v>6352.5280000000002</v>
      </c>
      <c r="S115" s="154">
        <f>Valores!$C$28</f>
        <v>5667.45</v>
      </c>
      <c r="T115" s="143">
        <f>IF($H$5="NO",Valores!$C$42,Valores!$C$42/2)</f>
        <v>1608.53</v>
      </c>
      <c r="U115" s="154">
        <f>Valores!$C$26</f>
        <v>5850.68</v>
      </c>
      <c r="V115" s="140">
        <f t="shared" si="23"/>
        <v>5850.68</v>
      </c>
      <c r="W115" s="140">
        <v>0</v>
      </c>
      <c r="X115" s="140">
        <v>0</v>
      </c>
      <c r="Y115" s="144">
        <v>0</v>
      </c>
      <c r="Z115" s="140">
        <f>Y115*Valores!$C$2</f>
        <v>0</v>
      </c>
      <c r="AA115" s="140">
        <v>0</v>
      </c>
      <c r="AB115" s="143">
        <f>Valores!$C$90</f>
        <v>2220.0100000000002</v>
      </c>
      <c r="AC115" s="145">
        <f>Valores!$C$31</f>
        <v>259.82</v>
      </c>
      <c r="AD115" s="140">
        <f t="shared" si="19"/>
        <v>0</v>
      </c>
      <c r="AE115" s="140">
        <f>Valores!$C$32</f>
        <v>259.82</v>
      </c>
      <c r="AF115" s="144">
        <v>0</v>
      </c>
      <c r="AG115" s="140">
        <f>INT(((AF115*Valores!$C$2)*100)+0.5)/100</f>
        <v>0</v>
      </c>
      <c r="AH115" s="140">
        <f>IF($H$5="NO",Valores!$C$60,Valores!$C$60/2)</f>
        <v>528.49</v>
      </c>
      <c r="AI115" s="140">
        <f>IF($H$5="NO",Valores!$C$62,Valores!$C$62/2)</f>
        <v>151</v>
      </c>
      <c r="AJ115" s="146">
        <f t="shared" si="20"/>
        <v>67881.322999999989</v>
      </c>
      <c r="AK115" s="142">
        <f>Valores!$C$37</f>
        <v>1360.88</v>
      </c>
      <c r="AL115" s="143">
        <f>Valores!$C$85</f>
        <v>2275</v>
      </c>
      <c r="AM115" s="143"/>
      <c r="AN115" s="145">
        <f>IF($H$4="NO",0,Valores!$C$53)</f>
        <v>0</v>
      </c>
      <c r="AO115" s="147">
        <f t="shared" si="18"/>
        <v>3635.88</v>
      </c>
      <c r="AP115" s="148">
        <f>AJ115*Valores!$C$69</f>
        <v>-7466.9455299999991</v>
      </c>
      <c r="AQ115" s="148">
        <f>AJ115*-Valores!$C$70</f>
        <v>0</v>
      </c>
      <c r="AR115" s="142">
        <f>AJ115*Valores!$C$71</f>
        <v>-3054.6595349999993</v>
      </c>
      <c r="AS115" s="142">
        <f>Valores!$C$95</f>
        <v>-193.38</v>
      </c>
      <c r="AT115" s="142">
        <f>IF($H$6=0,Valores!$C$96,(Valores!$C$96+$H$6*(Valores!$C$96)))</f>
        <v>-129</v>
      </c>
      <c r="AU115" s="146">
        <f t="shared" si="21"/>
        <v>60673.217934999993</v>
      </c>
      <c r="AV115" s="199">
        <f t="shared" si="14"/>
        <v>-7466.9455299999991</v>
      </c>
      <c r="AW115" s="142">
        <f>AJ115*Valores!$C$72</f>
        <v>-1832.7957209999997</v>
      </c>
      <c r="AX115" s="142">
        <f>AJ115*Valores!$C$73</f>
        <v>-203.64396899999997</v>
      </c>
      <c r="AY115" s="146">
        <f t="shared" si="22"/>
        <v>62013.817779999998</v>
      </c>
      <c r="AZ115" s="150"/>
      <c r="BA115" s="150">
        <v>30</v>
      </c>
      <c r="BB115" s="135" t="s">
        <v>4</v>
      </c>
    </row>
    <row r="116" spans="1:54" s="114" customFormat="1" ht="11.25" customHeight="1" x14ac:dyDescent="0.15">
      <c r="A116" s="134">
        <v>113</v>
      </c>
      <c r="B116" s="134"/>
      <c r="C116" s="135" t="s">
        <v>342</v>
      </c>
      <c r="D116" s="135"/>
      <c r="E116" s="135">
        <f t="shared" si="15"/>
        <v>30</v>
      </c>
      <c r="F116" s="136" t="s">
        <v>343</v>
      </c>
      <c r="G116" s="137">
        <f>77+143</f>
        <v>220</v>
      </c>
      <c r="H116" s="138">
        <f>INT((G116*Valores!$C$2*100)+0.5)/100</f>
        <v>2733.87</v>
      </c>
      <c r="I116" s="139">
        <v>1995</v>
      </c>
      <c r="J116" s="140">
        <f>INT((I116*Valores!$C$2*100)+0.5)/100</f>
        <v>24791.27</v>
      </c>
      <c r="K116" s="155">
        <v>0</v>
      </c>
      <c r="L116" s="140">
        <f>INT((K116*Valores!$C$2*100)+0.5)/100</f>
        <v>0</v>
      </c>
      <c r="M116" s="153">
        <v>0</v>
      </c>
      <c r="N116" s="140">
        <f>INT((M116*Valores!$C$2*100)+0.5)/100</f>
        <v>0</v>
      </c>
      <c r="O116" s="140">
        <f t="shared" si="16"/>
        <v>5247.6524999999992</v>
      </c>
      <c r="P116" s="140">
        <f t="shared" si="17"/>
        <v>0</v>
      </c>
      <c r="Q116" s="142">
        <f>Valores!$C$21</f>
        <v>10738.26</v>
      </c>
      <c r="R116" s="142">
        <f>Valores!$D$4</f>
        <v>6352.5280000000002</v>
      </c>
      <c r="S116" s="154">
        <f>Valores!$C$28</f>
        <v>5667.45</v>
      </c>
      <c r="T116" s="143">
        <f>IF($H$5="NO",Valores!$C$42,Valores!$C$42/2)</f>
        <v>1608.53</v>
      </c>
      <c r="U116" s="154">
        <f>Valores!$C$26</f>
        <v>5850.68</v>
      </c>
      <c r="V116" s="140">
        <f t="shared" si="23"/>
        <v>5850.68</v>
      </c>
      <c r="W116" s="140">
        <v>0</v>
      </c>
      <c r="X116" s="140">
        <v>0</v>
      </c>
      <c r="Y116" s="144">
        <v>0</v>
      </c>
      <c r="Z116" s="140">
        <f>Y116*Valores!$C$2</f>
        <v>0</v>
      </c>
      <c r="AA116" s="140">
        <v>0</v>
      </c>
      <c r="AB116" s="143">
        <f>Valores!$C$90</f>
        <v>2220.0100000000002</v>
      </c>
      <c r="AC116" s="145">
        <f>Valores!$C$31</f>
        <v>259.82</v>
      </c>
      <c r="AD116" s="140">
        <f t="shared" si="19"/>
        <v>0</v>
      </c>
      <c r="AE116" s="140">
        <f>Valores!$C$32</f>
        <v>259.82</v>
      </c>
      <c r="AF116" s="144">
        <v>0</v>
      </c>
      <c r="AG116" s="140">
        <f>INT(((AF116*Valores!$C$2)*100)+0.5)/100</f>
        <v>0</v>
      </c>
      <c r="AH116" s="140">
        <f>IF($H$5="NO",Valores!$C$60,Valores!$C$60/2)</f>
        <v>528.49</v>
      </c>
      <c r="AI116" s="140">
        <f>IF($H$5="NO",Valores!$C$62,Valores!$C$62/2)</f>
        <v>151</v>
      </c>
      <c r="AJ116" s="146">
        <f t="shared" si="20"/>
        <v>66409.380499999985</v>
      </c>
      <c r="AK116" s="142">
        <f>Valores!$C$37</f>
        <v>1360.88</v>
      </c>
      <c r="AL116" s="143">
        <f>Valores!$C$85</f>
        <v>2275</v>
      </c>
      <c r="AM116" s="143"/>
      <c r="AN116" s="145">
        <f>IF($H$4="NO",0,Valores!$C$53)</f>
        <v>0</v>
      </c>
      <c r="AO116" s="147">
        <f t="shared" si="18"/>
        <v>3635.88</v>
      </c>
      <c r="AP116" s="148">
        <f>AJ116*Valores!$C$69</f>
        <v>-7305.0318549999984</v>
      </c>
      <c r="AQ116" s="148">
        <f>AJ116*-Valores!$C$70</f>
        <v>0</v>
      </c>
      <c r="AR116" s="142">
        <f>AJ116*Valores!$C$71</f>
        <v>-2988.4221224999992</v>
      </c>
      <c r="AS116" s="142">
        <f>Valores!$C$95</f>
        <v>-193.38</v>
      </c>
      <c r="AT116" s="142">
        <f>IF($H$6=0,Valores!$C$96,(Valores!$C$96+$H$6*(Valores!$C$96)))</f>
        <v>-129</v>
      </c>
      <c r="AU116" s="146">
        <f t="shared" si="21"/>
        <v>59429.426522499984</v>
      </c>
      <c r="AV116" s="199">
        <f t="shared" si="14"/>
        <v>-7305.0318549999984</v>
      </c>
      <c r="AW116" s="142">
        <f>AJ116*Valores!$C$72</f>
        <v>-1793.0532734999995</v>
      </c>
      <c r="AX116" s="142">
        <f>AJ116*Valores!$C$73</f>
        <v>-199.22814149999996</v>
      </c>
      <c r="AY116" s="146">
        <f t="shared" si="22"/>
        <v>60747.947229999991</v>
      </c>
      <c r="AZ116" s="150"/>
      <c r="BA116" s="150">
        <v>30</v>
      </c>
      <c r="BB116" s="135" t="s">
        <v>4</v>
      </c>
    </row>
    <row r="117" spans="1:54" s="114" customFormat="1" ht="11.25" customHeight="1" x14ac:dyDescent="0.15">
      <c r="A117" s="134">
        <v>114</v>
      </c>
      <c r="B117" s="134"/>
      <c r="C117" s="135" t="s">
        <v>344</v>
      </c>
      <c r="D117" s="135"/>
      <c r="E117" s="135">
        <f t="shared" si="15"/>
        <v>30</v>
      </c>
      <c r="F117" s="136" t="s">
        <v>345</v>
      </c>
      <c r="G117" s="137">
        <f>72+115</f>
        <v>187</v>
      </c>
      <c r="H117" s="138">
        <f>INT((G117*Valores!$C$2*100)+0.5)/100</f>
        <v>2323.79</v>
      </c>
      <c r="I117" s="139">
        <v>1704</v>
      </c>
      <c r="J117" s="140">
        <f>INT((I117*Valores!$C$2*100)+0.5)/100</f>
        <v>21175.1</v>
      </c>
      <c r="K117" s="155">
        <v>0</v>
      </c>
      <c r="L117" s="140">
        <f>INT((K117*Valores!$C$2*100)+0.5)/100</f>
        <v>0</v>
      </c>
      <c r="M117" s="153">
        <v>0</v>
      </c>
      <c r="N117" s="140">
        <f>INT((M117*Valores!$C$2*100)+0.5)/100</f>
        <v>0</v>
      </c>
      <c r="O117" s="140">
        <f t="shared" si="16"/>
        <v>4643.7149999999992</v>
      </c>
      <c r="P117" s="140">
        <f t="shared" si="17"/>
        <v>0</v>
      </c>
      <c r="Q117" s="142">
        <f>Valores!$C$21</f>
        <v>10738.26</v>
      </c>
      <c r="R117" s="142">
        <f>Valores!$D$4</f>
        <v>6352.5280000000002</v>
      </c>
      <c r="S117" s="154">
        <f>Valores!$C$28</f>
        <v>5667.45</v>
      </c>
      <c r="T117" s="143">
        <f>IF($H$5="NO",Valores!$C$42,Valores!$C$42/2)</f>
        <v>1608.53</v>
      </c>
      <c r="U117" s="154">
        <f>Valores!$C$26</f>
        <v>5850.68</v>
      </c>
      <c r="V117" s="140">
        <f t="shared" si="23"/>
        <v>5850.68</v>
      </c>
      <c r="W117" s="140">
        <v>0</v>
      </c>
      <c r="X117" s="140">
        <v>0</v>
      </c>
      <c r="Y117" s="144">
        <v>0</v>
      </c>
      <c r="Z117" s="140">
        <f>Y117*Valores!$C$2</f>
        <v>0</v>
      </c>
      <c r="AA117" s="140">
        <v>0</v>
      </c>
      <c r="AB117" s="143">
        <f>Valores!$C$90</f>
        <v>2220.0100000000002</v>
      </c>
      <c r="AC117" s="145">
        <f>Valores!$C$31</f>
        <v>259.82</v>
      </c>
      <c r="AD117" s="140">
        <f t="shared" si="19"/>
        <v>0</v>
      </c>
      <c r="AE117" s="140">
        <f>Valores!$C$32</f>
        <v>259.82</v>
      </c>
      <c r="AF117" s="144">
        <v>0</v>
      </c>
      <c r="AG117" s="140">
        <f>INT(((AF117*Valores!$C$2)*100)+0.5)/100</f>
        <v>0</v>
      </c>
      <c r="AH117" s="140">
        <f>IF($H$5="NO",Valores!$C$60,Valores!$C$60/2)</f>
        <v>528.49</v>
      </c>
      <c r="AI117" s="140">
        <f>IF($H$5="NO",Valores!$C$62,Valores!$C$62/2)</f>
        <v>151</v>
      </c>
      <c r="AJ117" s="146">
        <f t="shared" si="20"/>
        <v>61779.192999999992</v>
      </c>
      <c r="AK117" s="142">
        <f>Valores!$C$37</f>
        <v>1360.88</v>
      </c>
      <c r="AL117" s="143">
        <f>Valores!$C$85</f>
        <v>2275</v>
      </c>
      <c r="AM117" s="143"/>
      <c r="AN117" s="145">
        <f>IF($H$4="NO",0,Valores!$C$53)</f>
        <v>0</v>
      </c>
      <c r="AO117" s="147">
        <f t="shared" si="18"/>
        <v>3635.88</v>
      </c>
      <c r="AP117" s="148">
        <f>AJ117*Valores!$C$69</f>
        <v>-6795.711229999999</v>
      </c>
      <c r="AQ117" s="148">
        <f>AJ117*-Valores!$C$70</f>
        <v>0</v>
      </c>
      <c r="AR117" s="142">
        <f>AJ117*Valores!$C$71</f>
        <v>-2780.0636849999996</v>
      </c>
      <c r="AS117" s="142">
        <f>Valores!$C$95</f>
        <v>-193.38</v>
      </c>
      <c r="AT117" s="142">
        <f>IF($H$6=0,Valores!$C$96,(Valores!$C$96+$H$6*(Valores!$C$96)))</f>
        <v>-129</v>
      </c>
      <c r="AU117" s="146">
        <f t="shared" si="21"/>
        <v>55516.91808499999</v>
      </c>
      <c r="AV117" s="199">
        <f t="shared" si="14"/>
        <v>-6795.711229999999</v>
      </c>
      <c r="AW117" s="142">
        <f>AJ117*Valores!$C$72</f>
        <v>-1668.0382109999998</v>
      </c>
      <c r="AX117" s="142">
        <f>AJ117*Valores!$C$73</f>
        <v>-185.33757899999998</v>
      </c>
      <c r="AY117" s="146">
        <f t="shared" si="22"/>
        <v>56765.98597999999</v>
      </c>
      <c r="AZ117" s="150"/>
      <c r="BA117" s="150">
        <v>30</v>
      </c>
      <c r="BB117" s="135" t="s">
        <v>4</v>
      </c>
    </row>
    <row r="118" spans="1:54" s="114" customFormat="1" ht="11.25" customHeight="1" x14ac:dyDescent="0.15">
      <c r="A118" s="152">
        <v>115</v>
      </c>
      <c r="B118" s="152" t="s">
        <v>139</v>
      </c>
      <c r="C118" s="135" t="s">
        <v>346</v>
      </c>
      <c r="D118" s="135"/>
      <c r="E118" s="135">
        <f t="shared" si="15"/>
        <v>30</v>
      </c>
      <c r="F118" s="136" t="s">
        <v>347</v>
      </c>
      <c r="G118" s="137">
        <f>67+94</f>
        <v>161</v>
      </c>
      <c r="H118" s="138">
        <f>INT((G118*Valores!$C$2*100)+0.5)/100</f>
        <v>2000.7</v>
      </c>
      <c r="I118" s="139">
        <v>1480</v>
      </c>
      <c r="J118" s="140">
        <f>INT((I118*Valores!$C$2*100)+0.5)/100</f>
        <v>18391.52</v>
      </c>
      <c r="K118" s="155">
        <v>0</v>
      </c>
      <c r="L118" s="140">
        <f>INT((K118*Valores!$C$2*100)+0.5)/100</f>
        <v>0</v>
      </c>
      <c r="M118" s="153">
        <v>0</v>
      </c>
      <c r="N118" s="140">
        <f>INT((M118*Valores!$C$2*100)+0.5)/100</f>
        <v>0</v>
      </c>
      <c r="O118" s="140">
        <f t="shared" si="16"/>
        <v>4177.7145</v>
      </c>
      <c r="P118" s="140">
        <f t="shared" si="17"/>
        <v>0</v>
      </c>
      <c r="Q118" s="142">
        <f>Valores!$C$21</f>
        <v>10738.26</v>
      </c>
      <c r="R118" s="142">
        <f>Valores!$D$4</f>
        <v>6352.5280000000002</v>
      </c>
      <c r="S118" s="154">
        <f>Valores!$C$28</f>
        <v>5667.45</v>
      </c>
      <c r="T118" s="143">
        <f>IF($H$5="NO",Valores!$C$42,Valores!$C$42/2)</f>
        <v>1608.53</v>
      </c>
      <c r="U118" s="154">
        <f>Valores!$C$26</f>
        <v>5850.68</v>
      </c>
      <c r="V118" s="140">
        <f t="shared" si="23"/>
        <v>5850.68</v>
      </c>
      <c r="W118" s="140">
        <v>0</v>
      </c>
      <c r="X118" s="140">
        <v>0</v>
      </c>
      <c r="Y118" s="144">
        <v>0</v>
      </c>
      <c r="Z118" s="140">
        <f>Y118*Valores!$C$2</f>
        <v>0</v>
      </c>
      <c r="AA118" s="140">
        <v>0</v>
      </c>
      <c r="AB118" s="143">
        <f>Valores!$C$90</f>
        <v>2220.0100000000002</v>
      </c>
      <c r="AC118" s="145">
        <f>Valores!$C$31</f>
        <v>259.82</v>
      </c>
      <c r="AD118" s="140">
        <f t="shared" si="19"/>
        <v>0</v>
      </c>
      <c r="AE118" s="140">
        <f>Valores!$C$32</f>
        <v>259.82</v>
      </c>
      <c r="AF118" s="144">
        <v>0</v>
      </c>
      <c r="AG118" s="140">
        <f>INT(((AF118*Valores!$C$2)*100)+0.5)/100</f>
        <v>0</v>
      </c>
      <c r="AH118" s="140">
        <f>IF($H$5="NO",Valores!$C$60,Valores!$C$60/2)</f>
        <v>528.49</v>
      </c>
      <c r="AI118" s="140">
        <f>IF($H$5="NO",Valores!$C$62,Valores!$C$62/2)</f>
        <v>151</v>
      </c>
      <c r="AJ118" s="146">
        <f t="shared" si="20"/>
        <v>58206.522499999999</v>
      </c>
      <c r="AK118" s="142">
        <f>Valores!$C$37</f>
        <v>1360.88</v>
      </c>
      <c r="AL118" s="143">
        <f>Valores!$C$85</f>
        <v>2275</v>
      </c>
      <c r="AM118" s="143"/>
      <c r="AN118" s="145">
        <f>IF($H$4="NO",0,Valores!$C$53)</f>
        <v>0</v>
      </c>
      <c r="AO118" s="147">
        <f t="shared" si="18"/>
        <v>3635.88</v>
      </c>
      <c r="AP118" s="148">
        <f>AJ118*Valores!$C$69</f>
        <v>-6402.7174750000004</v>
      </c>
      <c r="AQ118" s="148">
        <f>AJ118*-Valores!$C$70</f>
        <v>0</v>
      </c>
      <c r="AR118" s="142">
        <f>AJ118*Valores!$C$71</f>
        <v>-2619.2935124999999</v>
      </c>
      <c r="AS118" s="142">
        <f>Valores!$C$95</f>
        <v>-193.38</v>
      </c>
      <c r="AT118" s="142">
        <f>IF($H$6=0,Valores!$C$96,(Valores!$C$96+$H$6*(Valores!$C$96)))</f>
        <v>-129</v>
      </c>
      <c r="AU118" s="146">
        <f t="shared" si="21"/>
        <v>52498.011512500001</v>
      </c>
      <c r="AV118" s="199">
        <f t="shared" si="14"/>
        <v>-6402.7174750000004</v>
      </c>
      <c r="AW118" s="142">
        <f>AJ118*Valores!$C$72</f>
        <v>-1571.5761075</v>
      </c>
      <c r="AX118" s="142">
        <f>AJ118*Valores!$C$73</f>
        <v>-174.61956749999999</v>
      </c>
      <c r="AY118" s="146">
        <f t="shared" si="22"/>
        <v>53693.489349999996</v>
      </c>
      <c r="AZ118" s="150"/>
      <c r="BA118" s="150">
        <v>30</v>
      </c>
      <c r="BB118" s="135" t="s">
        <v>4</v>
      </c>
    </row>
    <row r="119" spans="1:54" s="114" customFormat="1" ht="11.25" customHeight="1" x14ac:dyDescent="0.15">
      <c r="A119" s="134">
        <v>116</v>
      </c>
      <c r="B119" s="134"/>
      <c r="C119" s="135" t="s">
        <v>348</v>
      </c>
      <c r="D119" s="135"/>
      <c r="E119" s="135">
        <f t="shared" si="15"/>
        <v>30</v>
      </c>
      <c r="F119" s="136" t="s">
        <v>349</v>
      </c>
      <c r="G119" s="137">
        <f>1184+94</f>
        <v>1278</v>
      </c>
      <c r="H119" s="138">
        <f>INT((G119*Valores!$C$2*100)+0.5)/100</f>
        <v>15881.32</v>
      </c>
      <c r="I119" s="156">
        <v>0</v>
      </c>
      <c r="J119" s="140">
        <f>INT((I119*Valores!$C$2*100)+0.5)/100</f>
        <v>0</v>
      </c>
      <c r="K119" s="155">
        <v>0</v>
      </c>
      <c r="L119" s="140">
        <f>INT((K119*Valores!$C$2*100)+0.5)/100</f>
        <v>0</v>
      </c>
      <c r="M119" s="153">
        <v>0</v>
      </c>
      <c r="N119" s="140">
        <f>INT((M119*Valores!$C$2*100)+0.5)/100</f>
        <v>0</v>
      </c>
      <c r="O119" s="140">
        <f t="shared" si="16"/>
        <v>3501.0794999999998</v>
      </c>
      <c r="P119" s="140">
        <f t="shared" si="17"/>
        <v>0</v>
      </c>
      <c r="Q119" s="142">
        <f>Valores!$C$21</f>
        <v>10738.26</v>
      </c>
      <c r="R119" s="142">
        <f>Valores!$D$4</f>
        <v>6352.5280000000002</v>
      </c>
      <c r="S119" s="140">
        <f>Valores!$C$28</f>
        <v>5667.45</v>
      </c>
      <c r="T119" s="143">
        <f>IF($H$5="NO",Valores!$C$42,Valores!$C$42/2)</f>
        <v>1608.53</v>
      </c>
      <c r="U119" s="154">
        <f>Valores!$C$26</f>
        <v>5850.68</v>
      </c>
      <c r="V119" s="140">
        <f t="shared" si="23"/>
        <v>5850.68</v>
      </c>
      <c r="W119" s="140">
        <v>0</v>
      </c>
      <c r="X119" s="140">
        <v>0</v>
      </c>
      <c r="Y119" s="144">
        <v>0</v>
      </c>
      <c r="Z119" s="140">
        <f>Y119*Valores!$C$2</f>
        <v>0</v>
      </c>
      <c r="AA119" s="140">
        <v>0</v>
      </c>
      <c r="AB119" s="143">
        <f>Valores!$C$90</f>
        <v>2220.0100000000002</v>
      </c>
      <c r="AC119" s="145">
        <f>Valores!$C$31</f>
        <v>259.82</v>
      </c>
      <c r="AD119" s="140">
        <f t="shared" si="19"/>
        <v>0</v>
      </c>
      <c r="AE119" s="140">
        <f>Valores!$C$32</f>
        <v>259.82</v>
      </c>
      <c r="AF119" s="144">
        <v>0</v>
      </c>
      <c r="AG119" s="140">
        <f>INT(((AF119*Valores!$C$2)*100)+0.5)/100</f>
        <v>0</v>
      </c>
      <c r="AH119" s="140">
        <f>IF($H$5="NO",Valores!$C$60,Valores!$C$60/2)</f>
        <v>528.49</v>
      </c>
      <c r="AI119" s="140">
        <f>IF($H$5="NO",Valores!$C$62,Valores!$C$62/2)</f>
        <v>151</v>
      </c>
      <c r="AJ119" s="146">
        <f t="shared" si="20"/>
        <v>53018.987499999996</v>
      </c>
      <c r="AK119" s="142">
        <f>Valores!$C$37</f>
        <v>1360.88</v>
      </c>
      <c r="AL119" s="143">
        <f>Valores!$C$85</f>
        <v>2275</v>
      </c>
      <c r="AM119" s="143"/>
      <c r="AN119" s="145">
        <f>IF($H$4="NO",0,Valores!$C$53)</f>
        <v>0</v>
      </c>
      <c r="AO119" s="147">
        <f t="shared" si="18"/>
        <v>3635.88</v>
      </c>
      <c r="AP119" s="148">
        <f>AJ119*Valores!$C$69</f>
        <v>-5832.0886249999994</v>
      </c>
      <c r="AQ119" s="148">
        <f>AJ119*-Valores!$C$70</f>
        <v>0</v>
      </c>
      <c r="AR119" s="142">
        <f>AJ119*Valores!$C$71</f>
        <v>-2385.8544374999997</v>
      </c>
      <c r="AS119" s="142">
        <f>Valores!$C$95</f>
        <v>-193.38</v>
      </c>
      <c r="AT119" s="142">
        <f>IF($H$6=0,Valores!$C$96,(Valores!$C$96+$H$6*(Valores!$C$96)))</f>
        <v>-129</v>
      </c>
      <c r="AU119" s="146">
        <f t="shared" si="21"/>
        <v>48114.544437499993</v>
      </c>
      <c r="AV119" s="199">
        <f t="shared" si="14"/>
        <v>-5832.0886249999994</v>
      </c>
      <c r="AW119" s="142">
        <f>AJ119*Valores!$C$72</f>
        <v>-1431.5126624999998</v>
      </c>
      <c r="AX119" s="142">
        <f>AJ119*Valores!$C$73</f>
        <v>-159.0569625</v>
      </c>
      <c r="AY119" s="146">
        <f t="shared" si="22"/>
        <v>49232.209249999993</v>
      </c>
      <c r="AZ119" s="150"/>
      <c r="BA119" s="150">
        <v>30</v>
      </c>
      <c r="BB119" s="135" t="s">
        <v>4</v>
      </c>
    </row>
    <row r="120" spans="1:54" s="114" customFormat="1" ht="11.25" customHeight="1" x14ac:dyDescent="0.15">
      <c r="A120" s="134">
        <v>117</v>
      </c>
      <c r="B120" s="134"/>
      <c r="C120" s="135" t="s">
        <v>350</v>
      </c>
      <c r="D120" s="135"/>
      <c r="E120" s="135">
        <f t="shared" si="15"/>
        <v>17</v>
      </c>
      <c r="F120" s="136" t="s">
        <v>351</v>
      </c>
      <c r="G120" s="137">
        <v>77</v>
      </c>
      <c r="H120" s="138">
        <f>INT((G120*Valores!$C$2*100)+0.5)/100</f>
        <v>956.86</v>
      </c>
      <c r="I120" s="156">
        <v>2073</v>
      </c>
      <c r="J120" s="140">
        <f>INT((I120*Valores!$C$2*100)+0.5)/100</f>
        <v>25760.55</v>
      </c>
      <c r="K120" s="155">
        <v>0</v>
      </c>
      <c r="L120" s="140">
        <f>INT((K120*Valores!$C$2*100)+0.5)/100</f>
        <v>0</v>
      </c>
      <c r="M120" s="153">
        <v>0</v>
      </c>
      <c r="N120" s="140">
        <f>INT((M120*Valores!$C$2*100)+0.5)/100</f>
        <v>0</v>
      </c>
      <c r="O120" s="140">
        <f t="shared" si="16"/>
        <v>5210.1435000000001</v>
      </c>
      <c r="P120" s="140">
        <f t="shared" si="17"/>
        <v>0</v>
      </c>
      <c r="Q120" s="142">
        <f>Valores!$C$15</f>
        <v>12990.26</v>
      </c>
      <c r="R120" s="142">
        <f>Valores!$D$4</f>
        <v>6352.5280000000002</v>
      </c>
      <c r="S120" s="154">
        <f>Valores!$C$28</f>
        <v>5667.45</v>
      </c>
      <c r="T120" s="143">
        <f>IF($H$5="NO",Valores!$C$44,Valores!$C$44/2)</f>
        <v>2105.77</v>
      </c>
      <c r="U120" s="140">
        <f>Valores!$C$25</f>
        <v>5911.11</v>
      </c>
      <c r="V120" s="140">
        <f t="shared" si="23"/>
        <v>5911.11</v>
      </c>
      <c r="W120" s="140">
        <v>0</v>
      </c>
      <c r="X120" s="140">
        <v>0</v>
      </c>
      <c r="Y120" s="144">
        <v>0</v>
      </c>
      <c r="Z120" s="140">
        <f>Y120*Valores!$C$2</f>
        <v>0</v>
      </c>
      <c r="AA120" s="140">
        <v>0</v>
      </c>
      <c r="AB120" s="143">
        <f>Valores!$C$90</f>
        <v>2220.0100000000002</v>
      </c>
      <c r="AC120" s="145">
        <f>Valores!$C$31</f>
        <v>259.82</v>
      </c>
      <c r="AD120" s="140">
        <f t="shared" si="19"/>
        <v>0</v>
      </c>
      <c r="AE120" s="140">
        <f>Valores!$C$32</f>
        <v>259.82</v>
      </c>
      <c r="AF120" s="144">
        <v>0</v>
      </c>
      <c r="AG120" s="140">
        <f>INT(((AF120*Valores!$C$2)*100)+0.5)/100</f>
        <v>0</v>
      </c>
      <c r="AH120" s="140">
        <f>IF($H$5="NO",Valores!$C$60,Valores!$C$60/2)</f>
        <v>528.49</v>
      </c>
      <c r="AI120" s="140">
        <f>IF($H$5="NO",Valores!$C$62,Valores!$C$62/2)</f>
        <v>151</v>
      </c>
      <c r="AJ120" s="146">
        <f t="shared" si="20"/>
        <v>68373.811499999996</v>
      </c>
      <c r="AK120" s="142">
        <f>Valores!$C$37</f>
        <v>1360.88</v>
      </c>
      <c r="AL120" s="143">
        <f>Valores!$C$85</f>
        <v>2275</v>
      </c>
      <c r="AM120" s="143"/>
      <c r="AN120" s="145">
        <f>IF($H$4="NO",0,Valores!$C$53)</f>
        <v>0</v>
      </c>
      <c r="AO120" s="147">
        <f t="shared" si="18"/>
        <v>3635.88</v>
      </c>
      <c r="AP120" s="148">
        <f>AJ120*Valores!$C$69</f>
        <v>-7521.1192649999994</v>
      </c>
      <c r="AQ120" s="148">
        <f>AJ120*-Valores!$C$70</f>
        <v>0</v>
      </c>
      <c r="AR120" s="142">
        <f>AJ120*Valores!$C$71</f>
        <v>-3076.8215174999996</v>
      </c>
      <c r="AS120" s="142">
        <f>Valores!$C$95</f>
        <v>-193.38</v>
      </c>
      <c r="AT120" s="142">
        <f>IF($H$6=0,Valores!$C$96,(Valores!$C$96+$H$6*(Valores!$C$96)))</f>
        <v>-129</v>
      </c>
      <c r="AU120" s="146">
        <f t="shared" si="21"/>
        <v>61089.370717499994</v>
      </c>
      <c r="AV120" s="199">
        <f t="shared" si="14"/>
        <v>-7521.1192649999994</v>
      </c>
      <c r="AW120" s="142">
        <f>AJ120*Valores!$C$72</f>
        <v>-1846.0929104999998</v>
      </c>
      <c r="AX120" s="142">
        <f>AJ120*Valores!$C$73</f>
        <v>-205.12143449999999</v>
      </c>
      <c r="AY120" s="146">
        <f t="shared" si="22"/>
        <v>62437.357889999999</v>
      </c>
      <c r="AZ120" s="150"/>
      <c r="BA120" s="150">
        <v>30</v>
      </c>
      <c r="BB120" s="135" t="s">
        <v>4</v>
      </c>
    </row>
    <row r="121" spans="1:54" s="114" customFormat="1" ht="11.25" customHeight="1" x14ac:dyDescent="0.15">
      <c r="A121" s="134">
        <v>118</v>
      </c>
      <c r="B121" s="134"/>
      <c r="C121" s="135" t="s">
        <v>352</v>
      </c>
      <c r="D121" s="135"/>
      <c r="E121" s="135">
        <f t="shared" si="15"/>
        <v>29</v>
      </c>
      <c r="F121" s="136" t="s">
        <v>353</v>
      </c>
      <c r="G121" s="137">
        <v>77</v>
      </c>
      <c r="H121" s="138">
        <f>INT((G121*Valores!$C$2*100)+0.5)/100</f>
        <v>956.86</v>
      </c>
      <c r="I121" s="156">
        <v>2043</v>
      </c>
      <c r="J121" s="140">
        <f>INT((I121*Valores!$C$2*100)+0.5)/100</f>
        <v>25387.75</v>
      </c>
      <c r="K121" s="155">
        <v>0</v>
      </c>
      <c r="L121" s="140">
        <f>INT((K121*Valores!$C$2*100)+0.5)/100</f>
        <v>0</v>
      </c>
      <c r="M121" s="153">
        <v>0</v>
      </c>
      <c r="N121" s="140">
        <f>INT((M121*Valores!$C$2*100)+0.5)/100</f>
        <v>0</v>
      </c>
      <c r="O121" s="140">
        <f t="shared" si="16"/>
        <v>5154.2234999999991</v>
      </c>
      <c r="P121" s="140">
        <f t="shared" si="17"/>
        <v>0</v>
      </c>
      <c r="Q121" s="142">
        <f>Valores!$C$16</f>
        <v>13030.51</v>
      </c>
      <c r="R121" s="142">
        <f>Valores!$D$4</f>
        <v>6352.5280000000002</v>
      </c>
      <c r="S121" s="154">
        <f>Valores!$C$28</f>
        <v>5667.45</v>
      </c>
      <c r="T121" s="143">
        <f>IF($H$5="NO",Valores!$C$44,Valores!$C$44/2)</f>
        <v>2105.77</v>
      </c>
      <c r="U121" s="140">
        <f>Valores!$C$25</f>
        <v>5911.11</v>
      </c>
      <c r="V121" s="140">
        <f t="shared" si="23"/>
        <v>5911.11</v>
      </c>
      <c r="W121" s="140">
        <v>0</v>
      </c>
      <c r="X121" s="140">
        <v>0</v>
      </c>
      <c r="Y121" s="144">
        <v>0</v>
      </c>
      <c r="Z121" s="140">
        <f>Y121*Valores!$C$2</f>
        <v>0</v>
      </c>
      <c r="AA121" s="140">
        <v>0</v>
      </c>
      <c r="AB121" s="143">
        <f>Valores!$C$90</f>
        <v>2220.0100000000002</v>
      </c>
      <c r="AC121" s="145">
        <f>Valores!$C$31</f>
        <v>259.82</v>
      </c>
      <c r="AD121" s="140">
        <f t="shared" si="19"/>
        <v>0</v>
      </c>
      <c r="AE121" s="140">
        <f>Valores!$C$32</f>
        <v>259.82</v>
      </c>
      <c r="AF121" s="144">
        <v>0</v>
      </c>
      <c r="AG121" s="140">
        <f>INT(((AF121*Valores!$C$2)*100)+0.5)/100</f>
        <v>0</v>
      </c>
      <c r="AH121" s="140">
        <f>IF($H$5="NO",Valores!$C$60,Valores!$C$60/2)</f>
        <v>528.49</v>
      </c>
      <c r="AI121" s="140">
        <f>IF($H$5="NO",Valores!$C$62,Valores!$C$62/2)</f>
        <v>151</v>
      </c>
      <c r="AJ121" s="146">
        <f t="shared" si="20"/>
        <v>67985.341499999995</v>
      </c>
      <c r="AK121" s="142">
        <f>Valores!$C$37</f>
        <v>1360.88</v>
      </c>
      <c r="AL121" s="143">
        <f>Valores!$C$85</f>
        <v>2275</v>
      </c>
      <c r="AM121" s="143"/>
      <c r="AN121" s="145">
        <f>IF($H$4="NO",0,Valores!$C$53)</f>
        <v>0</v>
      </c>
      <c r="AO121" s="147">
        <f t="shared" si="18"/>
        <v>3635.88</v>
      </c>
      <c r="AP121" s="148">
        <f>AJ121*Valores!$C$69</f>
        <v>-7478.3875649999991</v>
      </c>
      <c r="AQ121" s="148">
        <f>AJ121*-Valores!$C$70</f>
        <v>0</v>
      </c>
      <c r="AR121" s="142">
        <f>AJ121*Valores!$C$71</f>
        <v>-3059.3403674999995</v>
      </c>
      <c r="AS121" s="142">
        <f>Valores!$C$95</f>
        <v>-193.38</v>
      </c>
      <c r="AT121" s="142">
        <f>IF($H$6=0,Valores!$C$96,(Valores!$C$96+$H$6*(Valores!$C$96)))</f>
        <v>-129</v>
      </c>
      <c r="AU121" s="146">
        <f t="shared" si="21"/>
        <v>60761.113567499997</v>
      </c>
      <c r="AV121" s="199">
        <f t="shared" si="14"/>
        <v>-7478.3875649999991</v>
      </c>
      <c r="AW121" s="142">
        <f>AJ121*Valores!$C$72</f>
        <v>-1835.6042204999999</v>
      </c>
      <c r="AX121" s="142">
        <f>AJ121*Valores!$C$73</f>
        <v>-203.95602449999998</v>
      </c>
      <c r="AY121" s="146">
        <f t="shared" si="22"/>
        <v>62103.273690000002</v>
      </c>
      <c r="AZ121" s="150"/>
      <c r="BA121" s="150">
        <v>30</v>
      </c>
      <c r="BB121" s="135" t="s">
        <v>4</v>
      </c>
    </row>
    <row r="122" spans="1:54" s="114" customFormat="1" ht="11.25" customHeight="1" x14ac:dyDescent="0.15">
      <c r="A122" s="134">
        <v>119</v>
      </c>
      <c r="B122" s="134"/>
      <c r="C122" s="135" t="s">
        <v>354</v>
      </c>
      <c r="D122" s="135"/>
      <c r="E122" s="135">
        <f t="shared" si="15"/>
        <v>29</v>
      </c>
      <c r="F122" s="136" t="s">
        <v>355</v>
      </c>
      <c r="G122" s="137">
        <v>76</v>
      </c>
      <c r="H122" s="138">
        <f>INT((G122*Valores!$C$2*100)+0.5)/100</f>
        <v>944.43</v>
      </c>
      <c r="I122" s="156">
        <v>1954</v>
      </c>
      <c r="J122" s="140">
        <f>INT((I122*Valores!$C$2*100)+0.5)/100</f>
        <v>24281.77</v>
      </c>
      <c r="K122" s="155">
        <v>0</v>
      </c>
      <c r="L122" s="140">
        <f>INT((K122*Valores!$C$2*100)+0.5)/100</f>
        <v>0</v>
      </c>
      <c r="M122" s="153">
        <v>0</v>
      </c>
      <c r="N122" s="140">
        <f>INT((M122*Valores!$C$2*100)+0.5)/100</f>
        <v>0</v>
      </c>
      <c r="O122" s="140">
        <f t="shared" si="16"/>
        <v>4986.4620000000004</v>
      </c>
      <c r="P122" s="140">
        <f t="shared" si="17"/>
        <v>0</v>
      </c>
      <c r="Q122" s="142">
        <f>Valores!$C$16</f>
        <v>13030.51</v>
      </c>
      <c r="R122" s="142">
        <f>Valores!$D$4</f>
        <v>6352.5280000000002</v>
      </c>
      <c r="S122" s="154">
        <f>Valores!$C$28</f>
        <v>5667.45</v>
      </c>
      <c r="T122" s="143">
        <f>IF($H$5="NO",Valores!$C$44,Valores!$C$44/2)</f>
        <v>2105.77</v>
      </c>
      <c r="U122" s="140">
        <f>Valores!$C$25</f>
        <v>5911.11</v>
      </c>
      <c r="V122" s="140">
        <f t="shared" si="23"/>
        <v>5911.11</v>
      </c>
      <c r="W122" s="140">
        <v>0</v>
      </c>
      <c r="X122" s="140">
        <v>0</v>
      </c>
      <c r="Y122" s="144">
        <v>0</v>
      </c>
      <c r="Z122" s="140">
        <f>Y122*Valores!$C$2</f>
        <v>0</v>
      </c>
      <c r="AA122" s="140">
        <v>0</v>
      </c>
      <c r="AB122" s="143">
        <f>Valores!$C$90</f>
        <v>2220.0100000000002</v>
      </c>
      <c r="AC122" s="145">
        <f>Valores!$C$31</f>
        <v>259.82</v>
      </c>
      <c r="AD122" s="140">
        <f t="shared" si="19"/>
        <v>0</v>
      </c>
      <c r="AE122" s="140">
        <f>Valores!$C$32</f>
        <v>259.82</v>
      </c>
      <c r="AF122" s="144">
        <v>0</v>
      </c>
      <c r="AG122" s="140">
        <f>INT(((AF122*Valores!$C$2)*100)+0.5)/100</f>
        <v>0</v>
      </c>
      <c r="AH122" s="140">
        <f>IF($H$5="NO",Valores!$C$60,Valores!$C$60/2)</f>
        <v>528.49</v>
      </c>
      <c r="AI122" s="140">
        <f>IF($H$5="NO",Valores!$C$62,Valores!$C$62/2)</f>
        <v>151</v>
      </c>
      <c r="AJ122" s="146">
        <f t="shared" si="20"/>
        <v>66699.169999999984</v>
      </c>
      <c r="AK122" s="142">
        <f>Valores!$C$37</f>
        <v>1360.88</v>
      </c>
      <c r="AL122" s="143">
        <f>Valores!$C$85</f>
        <v>2275</v>
      </c>
      <c r="AM122" s="143"/>
      <c r="AN122" s="145">
        <f>IF($H$4="NO",0,Valores!$C$53)</f>
        <v>0</v>
      </c>
      <c r="AO122" s="147">
        <f t="shared" si="18"/>
        <v>3635.88</v>
      </c>
      <c r="AP122" s="148">
        <f>AJ122*Valores!$C$69</f>
        <v>-7336.9086999999981</v>
      </c>
      <c r="AQ122" s="148">
        <f>AJ122*-Valores!$C$70</f>
        <v>0</v>
      </c>
      <c r="AR122" s="142">
        <f>AJ122*Valores!$C$71</f>
        <v>-3001.462649999999</v>
      </c>
      <c r="AS122" s="142">
        <f>Valores!$C$95</f>
        <v>-193.38</v>
      </c>
      <c r="AT122" s="142">
        <f>IF($H$6=0,Valores!$C$96,(Valores!$C$96+$H$6*(Valores!$C$96)))</f>
        <v>-129</v>
      </c>
      <c r="AU122" s="146">
        <f t="shared" si="21"/>
        <v>59674.29864999999</v>
      </c>
      <c r="AV122" s="199">
        <f t="shared" si="14"/>
        <v>-7336.9086999999981</v>
      </c>
      <c r="AW122" s="142">
        <f>AJ122*Valores!$C$72</f>
        <v>-1800.8775899999996</v>
      </c>
      <c r="AX122" s="142">
        <f>AJ122*Valores!$C$73</f>
        <v>-200.09750999999994</v>
      </c>
      <c r="AY122" s="146">
        <f t="shared" si="22"/>
        <v>60997.166199999992</v>
      </c>
      <c r="AZ122" s="150"/>
      <c r="BA122" s="150">
        <v>30</v>
      </c>
      <c r="BB122" s="135" t="s">
        <v>4</v>
      </c>
    </row>
    <row r="123" spans="1:54" s="114" customFormat="1" ht="11.25" customHeight="1" x14ac:dyDescent="0.15">
      <c r="A123" s="152">
        <v>120</v>
      </c>
      <c r="B123" s="152" t="s">
        <v>139</v>
      </c>
      <c r="C123" s="135" t="s">
        <v>356</v>
      </c>
      <c r="D123" s="135"/>
      <c r="E123" s="135">
        <f t="shared" si="15"/>
        <v>29</v>
      </c>
      <c r="F123" s="136" t="s">
        <v>357</v>
      </c>
      <c r="G123" s="137">
        <v>274</v>
      </c>
      <c r="H123" s="138">
        <f>INT((G123*Valores!$C$2*100)+0.5)/100</f>
        <v>3404.92</v>
      </c>
      <c r="I123" s="156">
        <v>1163</v>
      </c>
      <c r="J123" s="140">
        <f>INT((I123*Valores!$C$2*100)+0.5)/100</f>
        <v>14452.25</v>
      </c>
      <c r="K123" s="155">
        <v>0</v>
      </c>
      <c r="L123" s="140">
        <f>INT((K123*Valores!$C$2*100)+0.5)/100</f>
        <v>0</v>
      </c>
      <c r="M123" s="153">
        <v>0</v>
      </c>
      <c r="N123" s="140">
        <f>INT((M123*Valores!$C$2*100)+0.5)/100</f>
        <v>0</v>
      </c>
      <c r="O123" s="140">
        <f t="shared" si="16"/>
        <v>3881.1074999999996</v>
      </c>
      <c r="P123" s="140">
        <f t="shared" si="17"/>
        <v>0</v>
      </c>
      <c r="Q123" s="142">
        <f>Valores!$C$16</f>
        <v>13030.51</v>
      </c>
      <c r="R123" s="142">
        <f>Valores!$D$4</f>
        <v>6352.5280000000002</v>
      </c>
      <c r="S123" s="154">
        <f>Valores!$C$28</f>
        <v>5667.45</v>
      </c>
      <c r="T123" s="143">
        <f>IF($H$5="NO",Valores!$C$44,Valores!$C$44/2)</f>
        <v>2105.77</v>
      </c>
      <c r="U123" s="140">
        <f>Valores!$C$25</f>
        <v>5911.11</v>
      </c>
      <c r="V123" s="140">
        <f t="shared" si="23"/>
        <v>5911.11</v>
      </c>
      <c r="W123" s="140">
        <v>0</v>
      </c>
      <c r="X123" s="140">
        <v>0</v>
      </c>
      <c r="Y123" s="144">
        <v>0</v>
      </c>
      <c r="Z123" s="140">
        <f>Y123*Valores!$C$2</f>
        <v>0</v>
      </c>
      <c r="AA123" s="140">
        <v>0</v>
      </c>
      <c r="AB123" s="143">
        <f>Valores!$C$90</f>
        <v>2220.0100000000002</v>
      </c>
      <c r="AC123" s="145">
        <f>Valores!$C$31</f>
        <v>259.82</v>
      </c>
      <c r="AD123" s="140">
        <f t="shared" si="19"/>
        <v>0</v>
      </c>
      <c r="AE123" s="140">
        <f>Valores!$C$32</f>
        <v>259.82</v>
      </c>
      <c r="AF123" s="144">
        <v>0</v>
      </c>
      <c r="AG123" s="140">
        <f>INT(((AF123*Valores!$C$2)*100)+0.5)/100</f>
        <v>0</v>
      </c>
      <c r="AH123" s="140">
        <f>IF($H$5="NO",Valores!$C$60,Valores!$C$60/2)</f>
        <v>528.49</v>
      </c>
      <c r="AI123" s="140">
        <f>IF($H$5="NO",Valores!$C$62,Valores!$C$62/2)</f>
        <v>151</v>
      </c>
      <c r="AJ123" s="146">
        <f t="shared" si="20"/>
        <v>58224.785499999991</v>
      </c>
      <c r="AK123" s="142">
        <f>Valores!$C$37</f>
        <v>1360.88</v>
      </c>
      <c r="AL123" s="143">
        <f>Valores!$C$85</f>
        <v>2275</v>
      </c>
      <c r="AM123" s="143"/>
      <c r="AN123" s="145">
        <f>IF($H$4="NO",0,Valores!$C$53)</f>
        <v>0</v>
      </c>
      <c r="AO123" s="147">
        <f t="shared" si="18"/>
        <v>3635.88</v>
      </c>
      <c r="AP123" s="148">
        <f>AJ123*Valores!$C$69</f>
        <v>-6404.7264049999994</v>
      </c>
      <c r="AQ123" s="148">
        <f>AJ123*-Valores!$C$70</f>
        <v>0</v>
      </c>
      <c r="AR123" s="142">
        <f>AJ123*Valores!$C$71</f>
        <v>-2620.1153474999996</v>
      </c>
      <c r="AS123" s="142">
        <f>Valores!$C$95</f>
        <v>-193.38</v>
      </c>
      <c r="AT123" s="142">
        <f>IF($H$6=0,Valores!$C$96,(Valores!$C$96+$H$6*(Valores!$C$96)))</f>
        <v>-129</v>
      </c>
      <c r="AU123" s="146">
        <f t="shared" si="21"/>
        <v>52513.443747499994</v>
      </c>
      <c r="AV123" s="199">
        <f t="shared" si="14"/>
        <v>-6404.7264049999994</v>
      </c>
      <c r="AW123" s="142">
        <f>AJ123*Valores!$C$72</f>
        <v>-1572.0692084999998</v>
      </c>
      <c r="AX123" s="142">
        <f>AJ123*Valores!$C$73</f>
        <v>-174.67435649999999</v>
      </c>
      <c r="AY123" s="146">
        <f t="shared" si="22"/>
        <v>53709.19552999999</v>
      </c>
      <c r="AZ123" s="150"/>
      <c r="BA123" s="150">
        <v>30</v>
      </c>
      <c r="BB123" s="135" t="s">
        <v>4</v>
      </c>
    </row>
    <row r="124" spans="1:54" s="114" customFormat="1" ht="11.25" customHeight="1" x14ac:dyDescent="0.15">
      <c r="A124" s="134">
        <v>121</v>
      </c>
      <c r="B124" s="134"/>
      <c r="C124" s="135" t="s">
        <v>358</v>
      </c>
      <c r="D124" s="135"/>
      <c r="E124" s="135">
        <f t="shared" si="15"/>
        <v>27</v>
      </c>
      <c r="F124" s="136" t="s">
        <v>359</v>
      </c>
      <c r="G124" s="137">
        <v>2800</v>
      </c>
      <c r="H124" s="138">
        <f>INT((G124*Valores!$C$2*100)+0.5)/100</f>
        <v>34794.76</v>
      </c>
      <c r="I124" s="156">
        <v>0</v>
      </c>
      <c r="J124" s="140">
        <f>INT((I124*Valores!$C$2*100)+0.5)/100</f>
        <v>0</v>
      </c>
      <c r="K124" s="155">
        <v>0</v>
      </c>
      <c r="L124" s="140">
        <f>INT((K124*Valores!$C$2*100)+0.5)/100</f>
        <v>0</v>
      </c>
      <c r="M124" s="153">
        <v>0</v>
      </c>
      <c r="N124" s="140">
        <f>INT((M124*Valores!$C$2*100)+0.5)/100</f>
        <v>0</v>
      </c>
      <c r="O124" s="140">
        <f t="shared" si="16"/>
        <v>6561.8310000000001</v>
      </c>
      <c r="P124" s="140">
        <f t="shared" si="17"/>
        <v>0</v>
      </c>
      <c r="Q124" s="142">
        <f>Valores!$C$21</f>
        <v>10738.26</v>
      </c>
      <c r="R124" s="142">
        <f>Valores!$D$4</f>
        <v>6352.5280000000002</v>
      </c>
      <c r="S124" s="140">
        <f>Valores!$C$28</f>
        <v>5667.45</v>
      </c>
      <c r="T124" s="143">
        <f>IF($H$5="NO",Valores!$C$45,Valores!$C$45/2)</f>
        <v>3100.1</v>
      </c>
      <c r="U124" s="154">
        <f>Valores!$C$26</f>
        <v>5850.68</v>
      </c>
      <c r="V124" s="140">
        <f t="shared" si="23"/>
        <v>5850.68</v>
      </c>
      <c r="W124" s="140">
        <v>0</v>
      </c>
      <c r="X124" s="140">
        <v>0</v>
      </c>
      <c r="Y124" s="144">
        <v>0</v>
      </c>
      <c r="Z124" s="140">
        <f>Y124*Valores!$C$2</f>
        <v>0</v>
      </c>
      <c r="AA124" s="140">
        <v>0</v>
      </c>
      <c r="AB124" s="143">
        <f>Valores!$C$90</f>
        <v>2220.0100000000002</v>
      </c>
      <c r="AC124" s="145">
        <f>Valores!$C$31</f>
        <v>259.82</v>
      </c>
      <c r="AD124" s="140">
        <f t="shared" si="19"/>
        <v>0</v>
      </c>
      <c r="AE124" s="140">
        <f>Valores!$C$32</f>
        <v>259.82</v>
      </c>
      <c r="AF124" s="144">
        <v>0</v>
      </c>
      <c r="AG124" s="140">
        <f>INT(((AF124*Valores!$C$2)*100)+0.5)/100</f>
        <v>0</v>
      </c>
      <c r="AH124" s="140">
        <f>IF($H$5="NO",Valores!$C$60,Valores!$C$60/2)</f>
        <v>528.49</v>
      </c>
      <c r="AI124" s="140">
        <f>IF($H$5="NO",Valores!$C$62,Valores!$C$62/2)</f>
        <v>151</v>
      </c>
      <c r="AJ124" s="146">
        <f t="shared" si="20"/>
        <v>76484.749000000011</v>
      </c>
      <c r="AK124" s="142">
        <f>Valores!$C$37</f>
        <v>1360.88</v>
      </c>
      <c r="AL124" s="143">
        <f>Valores!$C$85</f>
        <v>2275</v>
      </c>
      <c r="AM124" s="143"/>
      <c r="AN124" s="145">
        <f>IF($H$4="NO",0,Valores!$C$52)</f>
        <v>0</v>
      </c>
      <c r="AO124" s="147">
        <f t="shared" si="18"/>
        <v>3635.88</v>
      </c>
      <c r="AP124" s="148">
        <f>AJ124*Valores!$C$69</f>
        <v>-8413.3223900000012</v>
      </c>
      <c r="AQ124" s="148">
        <f>AJ124*-Valores!$C$70</f>
        <v>0</v>
      </c>
      <c r="AR124" s="142">
        <f>AJ124*Valores!$C$71</f>
        <v>-3441.8137050000005</v>
      </c>
      <c r="AS124" s="142">
        <f>Valores!$C$95</f>
        <v>-193.38</v>
      </c>
      <c r="AT124" s="142">
        <f>IF($H$6=0,Valores!$C$96,(Valores!$C$96+$H$6*(Valores!$C$96)))</f>
        <v>-129</v>
      </c>
      <c r="AU124" s="146">
        <f t="shared" si="21"/>
        <v>67943.112905000016</v>
      </c>
      <c r="AV124" s="199">
        <f t="shared" si="14"/>
        <v>-8413.3223900000012</v>
      </c>
      <c r="AW124" s="142">
        <f>AJ124*Valores!$C$72</f>
        <v>-2065.0882230000002</v>
      </c>
      <c r="AX124" s="142">
        <f>AJ124*Valores!$C$73</f>
        <v>-229.45424700000004</v>
      </c>
      <c r="AY124" s="146">
        <f t="shared" si="22"/>
        <v>69412.764140000014</v>
      </c>
      <c r="AZ124" s="150"/>
      <c r="BA124" s="150"/>
      <c r="BB124" s="135" t="s">
        <v>4</v>
      </c>
    </row>
    <row r="125" spans="1:54" s="114" customFormat="1" ht="11.25" customHeight="1" x14ac:dyDescent="0.15">
      <c r="A125" s="134">
        <v>122</v>
      </c>
      <c r="B125" s="134"/>
      <c r="C125" s="135" t="s">
        <v>360</v>
      </c>
      <c r="D125" s="135"/>
      <c r="E125" s="135">
        <f t="shared" si="15"/>
        <v>27</v>
      </c>
      <c r="F125" s="136" t="s">
        <v>361</v>
      </c>
      <c r="G125" s="137">
        <v>2850</v>
      </c>
      <c r="H125" s="138">
        <f>INT((G125*Valores!$C$2*100)+0.5)/100</f>
        <v>35416.1</v>
      </c>
      <c r="I125" s="156">
        <v>0</v>
      </c>
      <c r="J125" s="140">
        <f>INT((I125*Valores!$C$2*100)+0.5)/100</f>
        <v>0</v>
      </c>
      <c r="K125" s="155">
        <v>0</v>
      </c>
      <c r="L125" s="140">
        <f>INT((K125*Valores!$C$2*100)+0.5)/100</f>
        <v>0</v>
      </c>
      <c r="M125" s="153">
        <v>0</v>
      </c>
      <c r="N125" s="140">
        <f>INT((M125*Valores!$C$2*100)+0.5)/100</f>
        <v>0</v>
      </c>
      <c r="O125" s="140">
        <f t="shared" si="16"/>
        <v>6655.0319999999992</v>
      </c>
      <c r="P125" s="140">
        <f t="shared" si="17"/>
        <v>0</v>
      </c>
      <c r="Q125" s="142">
        <f>Valores!$C$16</f>
        <v>13030.51</v>
      </c>
      <c r="R125" s="142">
        <f>Valores!$D$4</f>
        <v>6352.5280000000002</v>
      </c>
      <c r="S125" s="154">
        <f>Valores!$C$28</f>
        <v>5667.45</v>
      </c>
      <c r="T125" s="143">
        <f>IF($H$5="NO",Valores!$C$45,Valores!$C$45/2)</f>
        <v>3100.1</v>
      </c>
      <c r="U125" s="154">
        <f>Valores!$C$26</f>
        <v>5850.68</v>
      </c>
      <c r="V125" s="140">
        <f t="shared" si="23"/>
        <v>5850.68</v>
      </c>
      <c r="W125" s="140">
        <v>0</v>
      </c>
      <c r="X125" s="140">
        <v>0</v>
      </c>
      <c r="Y125" s="144">
        <v>0</v>
      </c>
      <c r="Z125" s="140">
        <f>Y125*Valores!$C$2</f>
        <v>0</v>
      </c>
      <c r="AA125" s="140">
        <v>0</v>
      </c>
      <c r="AB125" s="143">
        <f>Valores!$C$92</f>
        <v>4440.01</v>
      </c>
      <c r="AC125" s="145">
        <f>Valores!$C$31</f>
        <v>259.82</v>
      </c>
      <c r="AD125" s="140">
        <f t="shared" si="19"/>
        <v>0</v>
      </c>
      <c r="AE125" s="140">
        <f>Valores!$C$32</f>
        <v>259.82</v>
      </c>
      <c r="AF125" s="144">
        <v>0</v>
      </c>
      <c r="AG125" s="140">
        <f>INT(((AF125*Valores!$C$2)*100)+0.5)/100</f>
        <v>0</v>
      </c>
      <c r="AH125" s="140">
        <f>IF($H$5="NO",Valores!$C$60,Valores!$C$60/2)</f>
        <v>528.49</v>
      </c>
      <c r="AI125" s="140">
        <f>IF($H$5="NO",Valores!$C$62,Valores!$C$62/2)</f>
        <v>151</v>
      </c>
      <c r="AJ125" s="146">
        <f t="shared" si="20"/>
        <v>81711.540000000008</v>
      </c>
      <c r="AK125" s="142">
        <f>Valores!$C$37</f>
        <v>1360.88</v>
      </c>
      <c r="AL125" s="143">
        <f>Valores!$C$87</f>
        <v>4550</v>
      </c>
      <c r="AM125" s="143"/>
      <c r="AN125" s="145">
        <f>IF($H$4="NO",0,Valores!$C$52)</f>
        <v>0</v>
      </c>
      <c r="AO125" s="147">
        <f t="shared" si="18"/>
        <v>5910.88</v>
      </c>
      <c r="AP125" s="148">
        <f>AJ125*Valores!$C$69</f>
        <v>-8988.269400000001</v>
      </c>
      <c r="AQ125" s="148">
        <f>AJ125*-Valores!$C$70</f>
        <v>0</v>
      </c>
      <c r="AR125" s="142">
        <f>AJ125*Valores!$C$71</f>
        <v>-3677.0193000000004</v>
      </c>
      <c r="AS125" s="142">
        <f>Valores!$C$95</f>
        <v>-193.38</v>
      </c>
      <c r="AT125" s="142">
        <f>IF($H$6=0,Valores!$C$96,(Valores!$C$96+$H$6*(Valores!$C$96)))</f>
        <v>-129</v>
      </c>
      <c r="AU125" s="146">
        <f t="shared" si="21"/>
        <v>74634.751300000004</v>
      </c>
      <c r="AV125" s="199">
        <f t="shared" si="14"/>
        <v>-8988.269400000001</v>
      </c>
      <c r="AW125" s="142">
        <f>AJ125*Valores!$C$72</f>
        <v>-2206.2115800000001</v>
      </c>
      <c r="AX125" s="142">
        <f>AJ125*Valores!$C$73</f>
        <v>-245.13462000000004</v>
      </c>
      <c r="AY125" s="146">
        <f t="shared" si="22"/>
        <v>76182.804400000008</v>
      </c>
      <c r="AZ125" s="150"/>
      <c r="BA125" s="150"/>
      <c r="BB125" s="135" t="s">
        <v>4</v>
      </c>
    </row>
    <row r="126" spans="1:54" s="114" customFormat="1" ht="11.25" customHeight="1" x14ac:dyDescent="0.15">
      <c r="A126" s="134">
        <v>123</v>
      </c>
      <c r="B126" s="134"/>
      <c r="C126" s="135" t="s">
        <v>362</v>
      </c>
      <c r="D126" s="135"/>
      <c r="E126" s="135">
        <f t="shared" si="15"/>
        <v>21</v>
      </c>
      <c r="F126" s="136" t="s">
        <v>363</v>
      </c>
      <c r="G126" s="137">
        <v>1735</v>
      </c>
      <c r="H126" s="138">
        <f>INT((G126*Valores!$C$2*100)+0.5)/100</f>
        <v>21560.32</v>
      </c>
      <c r="I126" s="156">
        <v>0</v>
      </c>
      <c r="J126" s="140">
        <f>INT((I126*Valores!$C$2*100)+0.5)/100</f>
        <v>0</v>
      </c>
      <c r="K126" s="155">
        <v>0</v>
      </c>
      <c r="L126" s="140">
        <f>INT((K126*Valores!$C$2*100)+0.5)/100</f>
        <v>0</v>
      </c>
      <c r="M126" s="153">
        <v>0</v>
      </c>
      <c r="N126" s="140">
        <f>INT((M126*Valores!$C$2*100)+0.5)/100</f>
        <v>0</v>
      </c>
      <c r="O126" s="140">
        <f t="shared" si="16"/>
        <v>4390.2195000000002</v>
      </c>
      <c r="P126" s="140">
        <f t="shared" si="17"/>
        <v>0</v>
      </c>
      <c r="Q126" s="142">
        <f>Valores!$C$21</f>
        <v>10738.26</v>
      </c>
      <c r="R126" s="142">
        <f>Valores!$D$4</f>
        <v>6352.5280000000002</v>
      </c>
      <c r="S126" s="140">
        <v>0</v>
      </c>
      <c r="T126" s="143">
        <f>IF($H$5="NO",Valores!$C$43,Valores!$C$43/2)</f>
        <v>1857.13</v>
      </c>
      <c r="U126" s="154">
        <f>Valores!$C$26</f>
        <v>5850.68</v>
      </c>
      <c r="V126" s="140">
        <f t="shared" si="23"/>
        <v>5850.68</v>
      </c>
      <c r="W126" s="140">
        <v>0</v>
      </c>
      <c r="X126" s="140">
        <v>0</v>
      </c>
      <c r="Y126" s="144">
        <v>0</v>
      </c>
      <c r="Z126" s="140">
        <f>Y126*Valores!$C$2</f>
        <v>0</v>
      </c>
      <c r="AA126" s="140">
        <v>0</v>
      </c>
      <c r="AB126" s="143">
        <f>Valores!$C$90</f>
        <v>2220.0100000000002</v>
      </c>
      <c r="AC126" s="145">
        <f>Valores!$C$31</f>
        <v>259.82</v>
      </c>
      <c r="AD126" s="140">
        <f t="shared" si="19"/>
        <v>0</v>
      </c>
      <c r="AE126" s="140">
        <f>Valores!$C$32</f>
        <v>259.82</v>
      </c>
      <c r="AF126" s="144">
        <v>0</v>
      </c>
      <c r="AG126" s="140">
        <f>INT(((AF126*Valores!$C$2)*100)+0.5)/100</f>
        <v>0</v>
      </c>
      <c r="AH126" s="140">
        <f>IF($H$5="NO",Valores!$C$60,Valores!$C$60/2)</f>
        <v>528.49</v>
      </c>
      <c r="AI126" s="140">
        <f>IF($H$5="NO",Valores!$C$62,Valores!$C$62/2)</f>
        <v>151</v>
      </c>
      <c r="AJ126" s="146">
        <f t="shared" si="20"/>
        <v>54168.277499999997</v>
      </c>
      <c r="AK126" s="142">
        <f>Valores!$C$37</f>
        <v>1360.88</v>
      </c>
      <c r="AL126" s="143">
        <f>Valores!$C$85</f>
        <v>2275</v>
      </c>
      <c r="AM126" s="143"/>
      <c r="AN126" s="145">
        <f>IF($H$4="NO",0,Valores!$C$53)</f>
        <v>0</v>
      </c>
      <c r="AO126" s="147">
        <f t="shared" si="18"/>
        <v>3635.88</v>
      </c>
      <c r="AP126" s="148">
        <f>AJ126*Valores!$C$69</f>
        <v>-5958.5105249999997</v>
      </c>
      <c r="AQ126" s="148">
        <f>AJ126*-Valores!$C$70</f>
        <v>0</v>
      </c>
      <c r="AR126" s="142">
        <f>AJ126*Valores!$C$71</f>
        <v>-2437.5724874999996</v>
      </c>
      <c r="AS126" s="142">
        <f>Valores!$C$95</f>
        <v>-193.38</v>
      </c>
      <c r="AT126" s="142">
        <f>IF($H$6=0,Valores!$C$96,(Valores!$C$96+$H$6*(Valores!$C$96)))</f>
        <v>-129</v>
      </c>
      <c r="AU126" s="146">
        <f t="shared" si="21"/>
        <v>49085.694487499997</v>
      </c>
      <c r="AV126" s="199">
        <f t="shared" si="14"/>
        <v>-5958.5105249999997</v>
      </c>
      <c r="AW126" s="142">
        <f>AJ126*Valores!$C$72</f>
        <v>-1462.5434925</v>
      </c>
      <c r="AX126" s="142">
        <f>AJ126*Valores!$C$73</f>
        <v>-162.50483249999999</v>
      </c>
      <c r="AY126" s="146">
        <f t="shared" si="22"/>
        <v>50220.598649999993</v>
      </c>
      <c r="AZ126" s="150"/>
      <c r="BA126" s="150"/>
      <c r="BB126" s="135" t="s">
        <v>4</v>
      </c>
    </row>
    <row r="127" spans="1:54" s="114" customFormat="1" ht="11.25" customHeight="1" x14ac:dyDescent="0.15">
      <c r="A127" s="134">
        <v>124</v>
      </c>
      <c r="B127" s="134"/>
      <c r="C127" s="135" t="s">
        <v>364</v>
      </c>
      <c r="D127" s="135"/>
      <c r="E127" s="135">
        <f t="shared" si="15"/>
        <v>35</v>
      </c>
      <c r="F127" s="136" t="s">
        <v>365</v>
      </c>
      <c r="G127" s="137">
        <v>72</v>
      </c>
      <c r="H127" s="138">
        <f>INT((G127*Valores!$C$2*100)+0.5)/100</f>
        <v>894.72</v>
      </c>
      <c r="I127" s="156">
        <v>1590</v>
      </c>
      <c r="J127" s="140">
        <f>INT((I127*Valores!$C$2*100)+0.5)/100</f>
        <v>19758.45</v>
      </c>
      <c r="K127" s="155">
        <v>0</v>
      </c>
      <c r="L127" s="140">
        <f>INT((K127*Valores!$C$2*100)+0.5)/100</f>
        <v>0</v>
      </c>
      <c r="M127" s="153">
        <v>0</v>
      </c>
      <c r="N127" s="140">
        <f>INT((M127*Valores!$C$2*100)+0.5)/100</f>
        <v>0</v>
      </c>
      <c r="O127" s="140">
        <f t="shared" si="16"/>
        <v>4254.1469999999999</v>
      </c>
      <c r="P127" s="140">
        <f t="shared" si="17"/>
        <v>0</v>
      </c>
      <c r="Q127" s="142">
        <f>Valores!$C$21</f>
        <v>10738.26</v>
      </c>
      <c r="R127" s="142">
        <f>Valores!$D$4</f>
        <v>6352.5280000000002</v>
      </c>
      <c r="S127" s="143">
        <f>Valores!$C$28</f>
        <v>5667.45</v>
      </c>
      <c r="T127" s="143">
        <f>IF($H$5="NO",Valores!$C$43,Valores!$C$43/2)</f>
        <v>1857.13</v>
      </c>
      <c r="U127" s="154">
        <f>Valores!$C$26</f>
        <v>5850.68</v>
      </c>
      <c r="V127" s="140">
        <f t="shared" si="23"/>
        <v>5850.68</v>
      </c>
      <c r="W127" s="140">
        <v>0</v>
      </c>
      <c r="X127" s="140">
        <v>0</v>
      </c>
      <c r="Y127" s="144">
        <v>0</v>
      </c>
      <c r="Z127" s="140">
        <f>Y127*Valores!$C$2</f>
        <v>0</v>
      </c>
      <c r="AA127" s="140">
        <v>0</v>
      </c>
      <c r="AB127" s="143">
        <f>Valores!$C$90</f>
        <v>2220.0100000000002</v>
      </c>
      <c r="AC127" s="145">
        <f>Valores!$C$31</f>
        <v>259.82</v>
      </c>
      <c r="AD127" s="140">
        <f t="shared" si="19"/>
        <v>0</v>
      </c>
      <c r="AE127" s="140">
        <f>Valores!$C$32</f>
        <v>259.82</v>
      </c>
      <c r="AF127" s="144">
        <v>0</v>
      </c>
      <c r="AG127" s="140">
        <f>INT(((AF127*Valores!$C$2)*100)+0.5)/100</f>
        <v>0</v>
      </c>
      <c r="AH127" s="140">
        <f>IF($H$5="NO",Valores!$C$60,Valores!$C$60/2)</f>
        <v>528.49</v>
      </c>
      <c r="AI127" s="140">
        <f>IF($H$5="NO",Valores!$C$62,Valores!$C$62/2)</f>
        <v>151</v>
      </c>
      <c r="AJ127" s="146">
        <f t="shared" si="20"/>
        <v>58792.504999999997</v>
      </c>
      <c r="AK127" s="142">
        <f>Valores!$C$37</f>
        <v>1360.88</v>
      </c>
      <c r="AL127" s="143">
        <f>Valores!$C$85</f>
        <v>2275</v>
      </c>
      <c r="AM127" s="143"/>
      <c r="AN127" s="145">
        <f>IF($H$4="NO",0,Valores!$C$53)</f>
        <v>0</v>
      </c>
      <c r="AO127" s="147">
        <f t="shared" si="18"/>
        <v>3635.88</v>
      </c>
      <c r="AP127" s="148">
        <f>AJ127*Valores!$C$69</f>
        <v>-6467.1755499999999</v>
      </c>
      <c r="AQ127" s="148">
        <f>AJ127*-Valores!$C$70</f>
        <v>0</v>
      </c>
      <c r="AR127" s="142">
        <f>AJ127*Valores!$C$71</f>
        <v>-2645.6627249999997</v>
      </c>
      <c r="AS127" s="142">
        <f>Valores!$C$95</f>
        <v>-193.38</v>
      </c>
      <c r="AT127" s="142">
        <f>IF($H$6=0,Valores!$C$96,(Valores!$C$96+$H$6*(Valores!$C$96)))</f>
        <v>-129</v>
      </c>
      <c r="AU127" s="146">
        <f t="shared" si="21"/>
        <v>52993.166724999995</v>
      </c>
      <c r="AV127" s="199">
        <f t="shared" si="14"/>
        <v>-6467.1755499999999</v>
      </c>
      <c r="AW127" s="142">
        <f>AJ127*Valores!$C$72</f>
        <v>-1587.3976349999998</v>
      </c>
      <c r="AX127" s="142">
        <f>AJ127*Valores!$C$73</f>
        <v>-176.37751499999999</v>
      </c>
      <c r="AY127" s="146">
        <f t="shared" si="22"/>
        <v>54197.434299999994</v>
      </c>
      <c r="AZ127" s="150"/>
      <c r="BA127" s="150">
        <v>25</v>
      </c>
      <c r="BB127" s="135" t="s">
        <v>4</v>
      </c>
    </row>
    <row r="128" spans="1:54" s="114" customFormat="1" ht="11.25" customHeight="1" x14ac:dyDescent="0.15">
      <c r="A128" s="152">
        <v>125</v>
      </c>
      <c r="B128" s="152" t="s">
        <v>139</v>
      </c>
      <c r="C128" s="135" t="s">
        <v>366</v>
      </c>
      <c r="D128" s="135"/>
      <c r="E128" s="135">
        <f t="shared" si="15"/>
        <v>32</v>
      </c>
      <c r="F128" s="136" t="s">
        <v>367</v>
      </c>
      <c r="G128" s="137">
        <v>72</v>
      </c>
      <c r="H128" s="138">
        <f>INT((G128*Valores!$C$2*100)+0.5)/100</f>
        <v>894.72</v>
      </c>
      <c r="I128" s="156">
        <v>1590</v>
      </c>
      <c r="J128" s="140">
        <f>INT((I128*Valores!$C$2*100)+0.5)/100</f>
        <v>19758.45</v>
      </c>
      <c r="K128" s="155">
        <v>0</v>
      </c>
      <c r="L128" s="140">
        <f>INT((K128*Valores!$C$2*100)+0.5)/100</f>
        <v>0</v>
      </c>
      <c r="M128" s="153">
        <v>0</v>
      </c>
      <c r="N128" s="140">
        <f>INT((M128*Valores!$C$2*100)+0.5)/100</f>
        <v>0</v>
      </c>
      <c r="O128" s="140">
        <f t="shared" si="16"/>
        <v>4254.1469999999999</v>
      </c>
      <c r="P128" s="140">
        <f t="shared" si="17"/>
        <v>0</v>
      </c>
      <c r="Q128" s="142">
        <f>Valores!$C$21</f>
        <v>10738.26</v>
      </c>
      <c r="R128" s="142">
        <f>Valores!$D$4</f>
        <v>6352.5280000000002</v>
      </c>
      <c r="S128" s="157">
        <f>Valores!$C$28</f>
        <v>5667.45</v>
      </c>
      <c r="T128" s="143">
        <f>IF($H$5="NO",Valores!$C$43,Valores!$C$43/2)</f>
        <v>1857.13</v>
      </c>
      <c r="U128" s="154">
        <f>Valores!$C$26</f>
        <v>5850.68</v>
      </c>
      <c r="V128" s="140">
        <f t="shared" si="23"/>
        <v>5850.68</v>
      </c>
      <c r="W128" s="140">
        <v>0</v>
      </c>
      <c r="X128" s="140">
        <v>0</v>
      </c>
      <c r="Y128" s="144">
        <v>0</v>
      </c>
      <c r="Z128" s="140">
        <f>Y128*Valores!$C$2</f>
        <v>0</v>
      </c>
      <c r="AA128" s="140">
        <v>0</v>
      </c>
      <c r="AB128" s="143">
        <f>Valores!$C$90</f>
        <v>2220.0100000000002</v>
      </c>
      <c r="AC128" s="145">
        <f>Valores!$C$31</f>
        <v>259.82</v>
      </c>
      <c r="AD128" s="140">
        <f t="shared" si="19"/>
        <v>0</v>
      </c>
      <c r="AE128" s="140">
        <f>Valores!$C$32</f>
        <v>259.82</v>
      </c>
      <c r="AF128" s="144">
        <v>94</v>
      </c>
      <c r="AG128" s="140">
        <f>INT(((AF128*Valores!$C$2)*100)+0.5)/100</f>
        <v>1168.1099999999999</v>
      </c>
      <c r="AH128" s="140">
        <f>IF($H$5="NO",Valores!$C$60,Valores!$C$60/2)</f>
        <v>528.49</v>
      </c>
      <c r="AI128" s="140">
        <f>IF($H$5="NO",Valores!$C$62,Valores!$C$62/2)</f>
        <v>151</v>
      </c>
      <c r="AJ128" s="146">
        <f t="shared" si="20"/>
        <v>59960.614999999998</v>
      </c>
      <c r="AK128" s="142">
        <f>Valores!$C$37</f>
        <v>1360.88</v>
      </c>
      <c r="AL128" s="143">
        <f>Valores!$C$85</f>
        <v>2275</v>
      </c>
      <c r="AM128" s="143"/>
      <c r="AN128" s="145">
        <f>IF($H$4="NO",0,Valores!$C$53)</f>
        <v>0</v>
      </c>
      <c r="AO128" s="147">
        <f t="shared" si="18"/>
        <v>3635.88</v>
      </c>
      <c r="AP128" s="148">
        <f>AJ128*Valores!$C$69</f>
        <v>-6595.6676499999994</v>
      </c>
      <c r="AQ128" s="148">
        <f>AJ128*-Valores!$C$70</f>
        <v>0</v>
      </c>
      <c r="AR128" s="142">
        <f>AJ128*Valores!$C$71</f>
        <v>-2698.2276749999996</v>
      </c>
      <c r="AS128" s="142">
        <f>Valores!$C$95</f>
        <v>-193.38</v>
      </c>
      <c r="AT128" s="142">
        <f>IF($H$6=0,Valores!$C$96,(Valores!$C$96+$H$6*(Valores!$C$96)))</f>
        <v>-129</v>
      </c>
      <c r="AU128" s="146">
        <f t="shared" si="21"/>
        <v>53980.219675</v>
      </c>
      <c r="AV128" s="199">
        <f t="shared" si="14"/>
        <v>-6595.6676499999994</v>
      </c>
      <c r="AW128" s="142">
        <f>AJ128*Valores!$C$72</f>
        <v>-1618.9366049999999</v>
      </c>
      <c r="AX128" s="142">
        <f>AJ128*Valores!$C$73</f>
        <v>-179.881845</v>
      </c>
      <c r="AY128" s="146">
        <f t="shared" si="22"/>
        <v>55202.008900000001</v>
      </c>
      <c r="AZ128" s="150"/>
      <c r="BA128" s="150">
        <v>20</v>
      </c>
      <c r="BB128" s="135" t="s">
        <v>4</v>
      </c>
    </row>
    <row r="129" spans="1:54" s="114" customFormat="1" ht="11.25" customHeight="1" x14ac:dyDescent="0.15">
      <c r="A129" s="134">
        <v>126</v>
      </c>
      <c r="B129" s="134"/>
      <c r="C129" s="135" t="s">
        <v>368</v>
      </c>
      <c r="D129" s="135"/>
      <c r="E129" s="135">
        <f t="shared" si="15"/>
        <v>36</v>
      </c>
      <c r="F129" s="136" t="s">
        <v>369</v>
      </c>
      <c r="G129" s="137">
        <v>77</v>
      </c>
      <c r="H129" s="138">
        <f>INT((G129*Valores!$C$2*100)+0.5)/100</f>
        <v>956.86</v>
      </c>
      <c r="I129" s="156">
        <v>2043</v>
      </c>
      <c r="J129" s="140">
        <f>INT((I129*Valores!$C$2*100)+0.5)/100</f>
        <v>25387.75</v>
      </c>
      <c r="K129" s="155">
        <v>0</v>
      </c>
      <c r="L129" s="140">
        <f>INT((K129*Valores!$C$2*100)+0.5)/100</f>
        <v>0</v>
      </c>
      <c r="M129" s="153">
        <v>0</v>
      </c>
      <c r="N129" s="140">
        <f>INT((M129*Valores!$C$2*100)+0.5)/100</f>
        <v>0</v>
      </c>
      <c r="O129" s="140">
        <f t="shared" si="16"/>
        <v>5154.2234999999991</v>
      </c>
      <c r="P129" s="140">
        <f t="shared" si="17"/>
        <v>0</v>
      </c>
      <c r="Q129" s="158">
        <f>Valores!$C$17</f>
        <v>11080.51</v>
      </c>
      <c r="R129" s="142">
        <f>Valores!$D$4</f>
        <v>6352.5280000000002</v>
      </c>
      <c r="S129" s="143">
        <f>Valores!$C$28</f>
        <v>5667.45</v>
      </c>
      <c r="T129" s="143">
        <f>IF($H$5="NO",Valores!$C$44,Valores!$C$44/2)</f>
        <v>2105.77</v>
      </c>
      <c r="U129" s="140">
        <f>Valores!$C$25</f>
        <v>5911.11</v>
      </c>
      <c r="V129" s="140">
        <f t="shared" si="23"/>
        <v>5911.11</v>
      </c>
      <c r="W129" s="140">
        <v>0</v>
      </c>
      <c r="X129" s="140">
        <v>0</v>
      </c>
      <c r="Y129" s="144">
        <v>0</v>
      </c>
      <c r="Z129" s="140">
        <f>Y129*Valores!$C$2</f>
        <v>0</v>
      </c>
      <c r="AA129" s="140">
        <v>0</v>
      </c>
      <c r="AB129" s="143">
        <f>Valores!$C$90</f>
        <v>2220.0100000000002</v>
      </c>
      <c r="AC129" s="145">
        <f>Valores!$C$31</f>
        <v>259.82</v>
      </c>
      <c r="AD129" s="140">
        <f t="shared" si="19"/>
        <v>0</v>
      </c>
      <c r="AE129" s="140">
        <f>Valores!$C$32</f>
        <v>259.82</v>
      </c>
      <c r="AF129" s="144">
        <v>0</v>
      </c>
      <c r="AG129" s="140">
        <f>INT(((AF129*Valores!$C$2)*100)+0.5)/100</f>
        <v>0</v>
      </c>
      <c r="AH129" s="140">
        <f>IF($H$5="NO",Valores!$C$60,Valores!$C$60/2)</f>
        <v>528.49</v>
      </c>
      <c r="AI129" s="140">
        <f>IF($H$5="NO",Valores!$C$62,Valores!$C$62/2)</f>
        <v>151</v>
      </c>
      <c r="AJ129" s="146">
        <f t="shared" si="20"/>
        <v>66035.341499999995</v>
      </c>
      <c r="AK129" s="142">
        <f>Valores!$C$37</f>
        <v>1360.88</v>
      </c>
      <c r="AL129" s="143">
        <f>Valores!$C$85</f>
        <v>2275</v>
      </c>
      <c r="AM129" s="143"/>
      <c r="AN129" s="145">
        <f>IF($H$4="NO",0,Valores!$C$53)</f>
        <v>0</v>
      </c>
      <c r="AO129" s="147">
        <f t="shared" si="18"/>
        <v>3635.88</v>
      </c>
      <c r="AP129" s="148">
        <f>AJ129*Valores!$C$69</f>
        <v>-7263.8875649999991</v>
      </c>
      <c r="AQ129" s="148">
        <f>AJ129*-Valores!$C$70</f>
        <v>0</v>
      </c>
      <c r="AR129" s="142">
        <f>AJ129*Valores!$C$71</f>
        <v>-2971.5903674999995</v>
      </c>
      <c r="AS129" s="142">
        <f>Valores!$C$95</f>
        <v>-193.38</v>
      </c>
      <c r="AT129" s="142">
        <f>IF($H$6=0,Valores!$C$96,(Valores!$C$96+$H$6*(Valores!$C$96)))</f>
        <v>-129</v>
      </c>
      <c r="AU129" s="146">
        <f t="shared" si="21"/>
        <v>59113.363567499997</v>
      </c>
      <c r="AV129" s="199">
        <f t="shared" si="14"/>
        <v>-7263.8875649999991</v>
      </c>
      <c r="AW129" s="142">
        <f>AJ129*Valores!$C$72</f>
        <v>-1782.9542204999998</v>
      </c>
      <c r="AX129" s="142">
        <f>AJ129*Valores!$C$73</f>
        <v>-198.10602449999999</v>
      </c>
      <c r="AY129" s="146">
        <f t="shared" si="22"/>
        <v>60426.273690000002</v>
      </c>
      <c r="AZ129" s="150"/>
      <c r="BA129" s="150"/>
      <c r="BB129" s="135" t="s">
        <v>4</v>
      </c>
    </row>
    <row r="130" spans="1:54" s="114" customFormat="1" ht="11.25" customHeight="1" x14ac:dyDescent="0.15">
      <c r="A130" s="134">
        <v>127</v>
      </c>
      <c r="B130" s="134"/>
      <c r="C130" s="135" t="s">
        <v>370</v>
      </c>
      <c r="D130" s="135"/>
      <c r="E130" s="135">
        <f t="shared" si="15"/>
        <v>35</v>
      </c>
      <c r="F130" s="136" t="s">
        <v>371</v>
      </c>
      <c r="G130" s="137">
        <v>61</v>
      </c>
      <c r="H130" s="138">
        <f>INT((G130*Valores!$C$2*100)+0.5)/100</f>
        <v>758.03</v>
      </c>
      <c r="I130" s="156">
        <v>1217</v>
      </c>
      <c r="J130" s="140">
        <f>INT((I130*Valores!$C$2*100)+0.5)/100</f>
        <v>15123.29</v>
      </c>
      <c r="K130" s="155">
        <v>0</v>
      </c>
      <c r="L130" s="140">
        <f>INT((K130*Valores!$C$2*100)+0.5)/100</f>
        <v>0</v>
      </c>
      <c r="M130" s="153">
        <v>0</v>
      </c>
      <c r="N130" s="140">
        <f>INT((M130*Valores!$C$2*100)+0.5)/100</f>
        <v>0</v>
      </c>
      <c r="O130" s="140">
        <f t="shared" si="16"/>
        <v>3547.4340000000002</v>
      </c>
      <c r="P130" s="140">
        <f t="shared" si="17"/>
        <v>0</v>
      </c>
      <c r="Q130" s="142">
        <f>Valores!$C$21</f>
        <v>10738.26</v>
      </c>
      <c r="R130" s="142">
        <f>Valores!$D$4</f>
        <v>6352.5280000000002</v>
      </c>
      <c r="S130" s="143">
        <f>Valores!$C$28</f>
        <v>5667.45</v>
      </c>
      <c r="T130" s="143">
        <f>IF($H$5="NO",Valores!$C$43,Valores!$C$43/2)</f>
        <v>1857.13</v>
      </c>
      <c r="U130" s="154">
        <f>Valores!$C$25</f>
        <v>5911.11</v>
      </c>
      <c r="V130" s="140">
        <f t="shared" si="23"/>
        <v>5911.11</v>
      </c>
      <c r="W130" s="140">
        <v>0</v>
      </c>
      <c r="X130" s="140">
        <v>0</v>
      </c>
      <c r="Y130" s="144">
        <v>0</v>
      </c>
      <c r="Z130" s="140">
        <f>Y130*Valores!$C$2</f>
        <v>0</v>
      </c>
      <c r="AA130" s="140">
        <v>0</v>
      </c>
      <c r="AB130" s="143">
        <f>Valores!$C$90</f>
        <v>2220.0100000000002</v>
      </c>
      <c r="AC130" s="145">
        <f>Valores!$C$31</f>
        <v>259.82</v>
      </c>
      <c r="AD130" s="140">
        <f t="shared" si="19"/>
        <v>0</v>
      </c>
      <c r="AE130" s="140">
        <f>Valores!$C$32</f>
        <v>259.82</v>
      </c>
      <c r="AF130" s="144">
        <v>0</v>
      </c>
      <c r="AG130" s="140">
        <f>INT(((AF130*Valores!$C$2)*100)+0.5)/100</f>
        <v>0</v>
      </c>
      <c r="AH130" s="140">
        <f>IF($H$5="NO",Valores!$C$60,Valores!$C$60/2)</f>
        <v>528.49</v>
      </c>
      <c r="AI130" s="140">
        <f>IF($H$5="NO",Valores!$C$62,Valores!$C$62/2)</f>
        <v>151</v>
      </c>
      <c r="AJ130" s="146">
        <f t="shared" si="20"/>
        <v>53374.371999999996</v>
      </c>
      <c r="AK130" s="142">
        <f>Valores!$C$37</f>
        <v>1360.88</v>
      </c>
      <c r="AL130" s="143">
        <f>Valores!$C$85</f>
        <v>2275</v>
      </c>
      <c r="AM130" s="143"/>
      <c r="AN130" s="145">
        <f>IF($H$4="NO",0,Valores!$C$53)</f>
        <v>0</v>
      </c>
      <c r="AO130" s="147">
        <f t="shared" si="18"/>
        <v>3635.88</v>
      </c>
      <c r="AP130" s="148">
        <f>AJ130*Valores!$C$69</f>
        <v>-5871.1809199999998</v>
      </c>
      <c r="AQ130" s="148">
        <f>AJ130*-Valores!$C$70</f>
        <v>0</v>
      </c>
      <c r="AR130" s="142">
        <f>AJ130*Valores!$C$71</f>
        <v>-2401.8467399999995</v>
      </c>
      <c r="AS130" s="142">
        <f>Valores!$C$95</f>
        <v>-193.38</v>
      </c>
      <c r="AT130" s="142">
        <f>IF($H$6=0,Valores!$C$96,(Valores!$C$96+$H$6*(Valores!$C$96)))</f>
        <v>-129</v>
      </c>
      <c r="AU130" s="146">
        <f t="shared" si="21"/>
        <v>48414.844339999996</v>
      </c>
      <c r="AV130" s="199">
        <f t="shared" si="14"/>
        <v>-5871.1809199999998</v>
      </c>
      <c r="AW130" s="142">
        <f>AJ130*Valores!$C$72</f>
        <v>-1441.1080439999998</v>
      </c>
      <c r="AX130" s="142">
        <f>AJ130*Valores!$C$73</f>
        <v>-160.12311599999998</v>
      </c>
      <c r="AY130" s="146">
        <f t="shared" si="22"/>
        <v>49537.839919999991</v>
      </c>
      <c r="AZ130" s="150"/>
      <c r="BA130" s="150">
        <v>25</v>
      </c>
      <c r="BB130" s="135" t="s">
        <v>4</v>
      </c>
    </row>
    <row r="131" spans="1:54" s="114" customFormat="1" ht="11.25" customHeight="1" x14ac:dyDescent="0.15">
      <c r="A131" s="134">
        <v>128</v>
      </c>
      <c r="B131" s="134"/>
      <c r="C131" s="135" t="s">
        <v>372</v>
      </c>
      <c r="D131" s="135"/>
      <c r="E131" s="135">
        <f t="shared" si="15"/>
        <v>32</v>
      </c>
      <c r="F131" s="136" t="s">
        <v>373</v>
      </c>
      <c r="G131" s="137">
        <v>72</v>
      </c>
      <c r="H131" s="138">
        <f>INT((G131*Valores!$C$2*100)+0.5)/100</f>
        <v>894.72</v>
      </c>
      <c r="I131" s="156">
        <v>1206</v>
      </c>
      <c r="J131" s="140">
        <f>INT((I131*Valores!$C$2*100)+0.5)/100</f>
        <v>14986.6</v>
      </c>
      <c r="K131" s="155">
        <v>0</v>
      </c>
      <c r="L131" s="140">
        <f>INT((K131*Valores!$C$2*100)+0.5)/100</f>
        <v>0</v>
      </c>
      <c r="M131" s="153">
        <v>0</v>
      </c>
      <c r="N131" s="140">
        <f>INT((M131*Valores!$C$2*100)+0.5)/100</f>
        <v>0</v>
      </c>
      <c r="O131" s="140">
        <f t="shared" si="16"/>
        <v>3547.4340000000002</v>
      </c>
      <c r="P131" s="140">
        <f t="shared" si="17"/>
        <v>0</v>
      </c>
      <c r="Q131" s="142">
        <f>Valores!$C$21</f>
        <v>10738.26</v>
      </c>
      <c r="R131" s="142">
        <f>Valores!$D$4</f>
        <v>6352.5280000000002</v>
      </c>
      <c r="S131" s="157">
        <f>Valores!$C$28</f>
        <v>5667.45</v>
      </c>
      <c r="T131" s="143">
        <f>IF($H$5="NO",Valores!$C$43,Valores!$C$43/2)</f>
        <v>1857.13</v>
      </c>
      <c r="U131" s="140">
        <f>Valores!$C$25</f>
        <v>5911.11</v>
      </c>
      <c r="V131" s="140">
        <f t="shared" si="23"/>
        <v>5911.11</v>
      </c>
      <c r="W131" s="140">
        <v>0</v>
      </c>
      <c r="X131" s="140">
        <v>0</v>
      </c>
      <c r="Y131" s="144">
        <v>0</v>
      </c>
      <c r="Z131" s="140">
        <f>Y131*Valores!$C$2</f>
        <v>0</v>
      </c>
      <c r="AA131" s="140">
        <v>0</v>
      </c>
      <c r="AB131" s="143">
        <f>Valores!$C$90</f>
        <v>2220.0100000000002</v>
      </c>
      <c r="AC131" s="145">
        <f>Valores!$C$31</f>
        <v>259.82</v>
      </c>
      <c r="AD131" s="140">
        <f t="shared" si="19"/>
        <v>0</v>
      </c>
      <c r="AE131" s="140">
        <f>Valores!$C$32</f>
        <v>259.82</v>
      </c>
      <c r="AF131" s="144">
        <v>94</v>
      </c>
      <c r="AG131" s="140">
        <f>INT(((AF131*Valores!$C$2)*100)+0.5)/100</f>
        <v>1168.1099999999999</v>
      </c>
      <c r="AH131" s="140">
        <f>IF($H$5="NO",Valores!$C$60,Valores!$C$60/2)</f>
        <v>528.49</v>
      </c>
      <c r="AI131" s="140">
        <f>IF($H$5="NO",Valores!$C$62,Valores!$C$62/2)</f>
        <v>151</v>
      </c>
      <c r="AJ131" s="146">
        <f t="shared" si="20"/>
        <v>54542.481999999996</v>
      </c>
      <c r="AK131" s="142">
        <f>Valores!$C$37</f>
        <v>1360.88</v>
      </c>
      <c r="AL131" s="143">
        <f>Valores!$C$85</f>
        <v>2275</v>
      </c>
      <c r="AM131" s="143"/>
      <c r="AN131" s="145">
        <f>IF($H$4="NO",0,Valores!$C$53)</f>
        <v>0</v>
      </c>
      <c r="AO131" s="147">
        <f t="shared" si="18"/>
        <v>3635.88</v>
      </c>
      <c r="AP131" s="148">
        <f>AJ131*Valores!$C$69</f>
        <v>-5999.6730199999993</v>
      </c>
      <c r="AQ131" s="148">
        <f>AJ131*-Valores!$C$70</f>
        <v>0</v>
      </c>
      <c r="AR131" s="142">
        <f>AJ131*Valores!$C$71</f>
        <v>-2454.4116899999999</v>
      </c>
      <c r="AS131" s="142">
        <f>Valores!$C$95</f>
        <v>-193.38</v>
      </c>
      <c r="AT131" s="142">
        <f>IF($H$6=0,Valores!$C$96,(Valores!$C$96+$H$6*(Valores!$C$96)))</f>
        <v>-129</v>
      </c>
      <c r="AU131" s="146">
        <f t="shared" si="21"/>
        <v>49401.897289999994</v>
      </c>
      <c r="AV131" s="199">
        <f t="shared" si="14"/>
        <v>-5999.6730199999993</v>
      </c>
      <c r="AW131" s="142">
        <f>AJ131*Valores!$C$72</f>
        <v>-1472.6470139999999</v>
      </c>
      <c r="AX131" s="142">
        <f>AJ131*Valores!$C$73</f>
        <v>-163.62744599999999</v>
      </c>
      <c r="AY131" s="146">
        <f t="shared" si="22"/>
        <v>50542.414519999991</v>
      </c>
      <c r="AZ131" s="150"/>
      <c r="BA131" s="150">
        <v>20</v>
      </c>
      <c r="BB131" s="135" t="s">
        <v>4</v>
      </c>
    </row>
    <row r="132" spans="1:54" s="114" customFormat="1" ht="11.25" customHeight="1" x14ac:dyDescent="0.15">
      <c r="A132" s="134">
        <v>129</v>
      </c>
      <c r="B132" s="134"/>
      <c r="C132" s="135" t="s">
        <v>374</v>
      </c>
      <c r="D132" s="135"/>
      <c r="E132" s="135">
        <f t="shared" si="15"/>
        <v>33</v>
      </c>
      <c r="F132" s="136" t="s">
        <v>375</v>
      </c>
      <c r="G132" s="137">
        <v>61</v>
      </c>
      <c r="H132" s="138">
        <f>INT((G132*Valores!$C$2*100)+0.5)/100</f>
        <v>758.03</v>
      </c>
      <c r="I132" s="156">
        <v>1217</v>
      </c>
      <c r="J132" s="140">
        <f>INT((I132*Valores!$C$2*100)+0.5)/100</f>
        <v>15123.29</v>
      </c>
      <c r="K132" s="155">
        <v>0</v>
      </c>
      <c r="L132" s="140">
        <f>INT((K132*Valores!$C$2*100)+0.5)/100</f>
        <v>0</v>
      </c>
      <c r="M132" s="153">
        <v>0</v>
      </c>
      <c r="N132" s="140">
        <f>INT((M132*Valores!$C$2*100)+0.5)/100</f>
        <v>0</v>
      </c>
      <c r="O132" s="140">
        <f t="shared" si="16"/>
        <v>3538.3695000000002</v>
      </c>
      <c r="P132" s="140">
        <f t="shared" si="17"/>
        <v>0</v>
      </c>
      <c r="Q132" s="142">
        <f>Valores!$C$21</f>
        <v>10738.26</v>
      </c>
      <c r="R132" s="142">
        <f>Valores!$D$4</f>
        <v>6352.5280000000002</v>
      </c>
      <c r="S132" s="140">
        <v>0</v>
      </c>
      <c r="T132" s="143">
        <f>IF($H$5="NO",Valores!$C$43,Valores!$C$43/2)</f>
        <v>1857.13</v>
      </c>
      <c r="U132" s="154">
        <f>Valores!$C$26</f>
        <v>5850.68</v>
      </c>
      <c r="V132" s="140">
        <f t="shared" si="23"/>
        <v>5850.68</v>
      </c>
      <c r="W132" s="140">
        <v>0</v>
      </c>
      <c r="X132" s="140">
        <v>0</v>
      </c>
      <c r="Y132" s="144">
        <v>0</v>
      </c>
      <c r="Z132" s="140">
        <f>Y132*Valores!$C$2</f>
        <v>0</v>
      </c>
      <c r="AA132" s="140">
        <v>0</v>
      </c>
      <c r="AB132" s="143">
        <f>Valores!$C$90</f>
        <v>2220.0100000000002</v>
      </c>
      <c r="AC132" s="145">
        <f>Valores!$C$31</f>
        <v>259.82</v>
      </c>
      <c r="AD132" s="140">
        <f t="shared" si="19"/>
        <v>0</v>
      </c>
      <c r="AE132" s="140">
        <f>Valores!$C$32</f>
        <v>259.82</v>
      </c>
      <c r="AF132" s="144">
        <v>0</v>
      </c>
      <c r="AG132" s="140">
        <f>INT(((AF132*Valores!$C$2)*100)+0.5)/100</f>
        <v>0</v>
      </c>
      <c r="AH132" s="140">
        <f>IF($H$5="NO",Valores!$C$60,Valores!$C$60/2)</f>
        <v>528.49</v>
      </c>
      <c r="AI132" s="140">
        <f>IF($H$5="NO",Valores!$C$62,Valores!$C$62/2)</f>
        <v>151</v>
      </c>
      <c r="AJ132" s="146">
        <f t="shared" si="20"/>
        <v>47637.427499999998</v>
      </c>
      <c r="AK132" s="142">
        <f>Valores!$C$37</f>
        <v>1360.88</v>
      </c>
      <c r="AL132" s="143">
        <f>Valores!$C$85</f>
        <v>2275</v>
      </c>
      <c r="AM132" s="143"/>
      <c r="AN132" s="145">
        <f>IF($H$4="NO",0,Valores!$C$53)</f>
        <v>0</v>
      </c>
      <c r="AO132" s="147">
        <f t="shared" si="18"/>
        <v>3635.88</v>
      </c>
      <c r="AP132" s="148">
        <f>AJ132*Valores!$C$69</f>
        <v>-5240.1170249999996</v>
      </c>
      <c r="AQ132" s="148">
        <f>AJ132*-Valores!$C$70</f>
        <v>0</v>
      </c>
      <c r="AR132" s="142">
        <f>AJ132*Valores!$C$71</f>
        <v>-2143.6842374999997</v>
      </c>
      <c r="AS132" s="142">
        <f>Valores!$C$95</f>
        <v>-193.38</v>
      </c>
      <c r="AT132" s="142">
        <f>IF($H$6=0,Valores!$C$96,(Valores!$C$96+$H$6*(Valores!$C$96)))</f>
        <v>-129</v>
      </c>
      <c r="AU132" s="146">
        <f t="shared" si="21"/>
        <v>43567.126237500001</v>
      </c>
      <c r="AV132" s="199">
        <f t="shared" si="14"/>
        <v>-5240.1170249999996</v>
      </c>
      <c r="AW132" s="142">
        <f>AJ132*Valores!$C$72</f>
        <v>-1286.2105425</v>
      </c>
      <c r="AX132" s="142">
        <f>AJ132*Valores!$C$73</f>
        <v>-142.9122825</v>
      </c>
      <c r="AY132" s="146">
        <f t="shared" si="22"/>
        <v>44604.067649999997</v>
      </c>
      <c r="AZ132" s="150"/>
      <c r="BA132" s="150"/>
      <c r="BB132" s="135" t="s">
        <v>8</v>
      </c>
    </row>
    <row r="133" spans="1:54" s="114" customFormat="1" ht="11.25" customHeight="1" x14ac:dyDescent="0.15">
      <c r="A133" s="152">
        <v>130</v>
      </c>
      <c r="B133" s="152" t="s">
        <v>139</v>
      </c>
      <c r="C133" s="135" t="s">
        <v>376</v>
      </c>
      <c r="D133" s="135"/>
      <c r="E133" s="135">
        <f t="shared" si="15"/>
        <v>24</v>
      </c>
      <c r="F133" s="136" t="s">
        <v>377</v>
      </c>
      <c r="G133" s="137">
        <v>1278</v>
      </c>
      <c r="H133" s="138">
        <f>INT((G133*Valores!$C$2*100)+0.5)/100</f>
        <v>15881.32</v>
      </c>
      <c r="I133" s="156">
        <v>0</v>
      </c>
      <c r="J133" s="140">
        <f>INT((I133*Valores!$C$2*100)+0.5)/100</f>
        <v>0</v>
      </c>
      <c r="K133" s="155">
        <v>0</v>
      </c>
      <c r="L133" s="140">
        <f>INT((K133*Valores!$C$2*100)+0.5)/100</f>
        <v>0</v>
      </c>
      <c r="M133" s="153">
        <v>0</v>
      </c>
      <c r="N133" s="140">
        <f>INT((M133*Valores!$C$2*100)+0.5)/100</f>
        <v>0</v>
      </c>
      <c r="O133" s="140">
        <f t="shared" si="16"/>
        <v>3575.6655000000001</v>
      </c>
      <c r="P133" s="140">
        <f t="shared" si="17"/>
        <v>0</v>
      </c>
      <c r="Q133" s="142">
        <f>Valores!$C$21</f>
        <v>10738.26</v>
      </c>
      <c r="R133" s="142">
        <f>Valores!$D$4</f>
        <v>6352.5280000000002</v>
      </c>
      <c r="S133" s="154">
        <f>Valores!$C$28</f>
        <v>5667.45</v>
      </c>
      <c r="T133" s="143">
        <f>IF($H$5="NO",Valores!$C$44,Valores!$C$44/2)</f>
        <v>2105.77</v>
      </c>
      <c r="U133" s="154">
        <f>Valores!$C$26</f>
        <v>5850.68</v>
      </c>
      <c r="V133" s="140">
        <f t="shared" si="23"/>
        <v>5850.68</v>
      </c>
      <c r="W133" s="140">
        <v>0</v>
      </c>
      <c r="X133" s="140">
        <v>0</v>
      </c>
      <c r="Y133" s="144">
        <v>0</v>
      </c>
      <c r="Z133" s="140">
        <f>Y133*Valores!$C$2</f>
        <v>0</v>
      </c>
      <c r="AA133" s="140">
        <v>0</v>
      </c>
      <c r="AB133" s="143">
        <f>Valores!$C$90</f>
        <v>2220.0100000000002</v>
      </c>
      <c r="AC133" s="145">
        <f>Valores!$C$31</f>
        <v>259.82</v>
      </c>
      <c r="AD133" s="140">
        <f t="shared" si="19"/>
        <v>0</v>
      </c>
      <c r="AE133" s="140">
        <f>Valores!$C$32</f>
        <v>259.82</v>
      </c>
      <c r="AF133" s="144">
        <v>0</v>
      </c>
      <c r="AG133" s="140">
        <f>INT(((AF133*Valores!$C$2)*100)+0.5)/100</f>
        <v>0</v>
      </c>
      <c r="AH133" s="140">
        <f>IF($H$5="NO",Valores!$C$60,Valores!$C$60/2)</f>
        <v>528.49</v>
      </c>
      <c r="AI133" s="140">
        <f>IF($H$5="NO",Valores!$C$62,Valores!$C$62/2)</f>
        <v>151</v>
      </c>
      <c r="AJ133" s="146">
        <f t="shared" si="20"/>
        <v>53590.813499999989</v>
      </c>
      <c r="AK133" s="142">
        <f>Valores!$C$37</f>
        <v>1360.88</v>
      </c>
      <c r="AL133" s="143">
        <f>Valores!$C$85</f>
        <v>2275</v>
      </c>
      <c r="AM133" s="143"/>
      <c r="AN133" s="145">
        <f>IF($H$4="NO",0,Valores!$C$53)</f>
        <v>0</v>
      </c>
      <c r="AO133" s="147">
        <f t="shared" si="18"/>
        <v>3635.88</v>
      </c>
      <c r="AP133" s="148">
        <f>AJ133*Valores!$C$69</f>
        <v>-5894.9894849999991</v>
      </c>
      <c r="AQ133" s="148">
        <f>AJ133*-Valores!$C$70</f>
        <v>0</v>
      </c>
      <c r="AR133" s="142">
        <f>AJ133*Valores!$C$71</f>
        <v>-2411.5866074999994</v>
      </c>
      <c r="AS133" s="142">
        <f>Valores!$C$95</f>
        <v>-193.38</v>
      </c>
      <c r="AT133" s="142">
        <f>IF($H$6=0,Valores!$C$96,(Valores!$C$96+$H$6*(Valores!$C$96)))</f>
        <v>-129</v>
      </c>
      <c r="AU133" s="146">
        <f t="shared" si="21"/>
        <v>48597.73740749999</v>
      </c>
      <c r="AV133" s="199">
        <f t="shared" si="14"/>
        <v>-5894.9894849999991</v>
      </c>
      <c r="AW133" s="142">
        <f>AJ133*Valores!$C$72</f>
        <v>-1446.9519644999998</v>
      </c>
      <c r="AX133" s="142">
        <f>AJ133*Valores!$C$73</f>
        <v>-160.77244049999996</v>
      </c>
      <c r="AY133" s="146">
        <f t="shared" si="22"/>
        <v>49723.979609999988</v>
      </c>
      <c r="AZ133" s="150"/>
      <c r="BA133" s="150">
        <v>22</v>
      </c>
      <c r="BB133" s="135" t="s">
        <v>4</v>
      </c>
    </row>
    <row r="134" spans="1:54" s="114" customFormat="1" ht="11.25" customHeight="1" x14ac:dyDescent="0.15">
      <c r="A134" s="134">
        <v>131</v>
      </c>
      <c r="B134" s="134"/>
      <c r="C134" s="135" t="s">
        <v>378</v>
      </c>
      <c r="D134" s="135"/>
      <c r="E134" s="135">
        <f t="shared" si="15"/>
        <v>30</v>
      </c>
      <c r="F134" s="136" t="s">
        <v>379</v>
      </c>
      <c r="G134" s="137">
        <v>1278</v>
      </c>
      <c r="H134" s="138">
        <f>INT((G134*Valores!$C$2*100)+0.5)/100</f>
        <v>15881.32</v>
      </c>
      <c r="I134" s="156">
        <v>0</v>
      </c>
      <c r="J134" s="140">
        <f>INT((I134*Valores!$C$2*100)+0.5)/100</f>
        <v>0</v>
      </c>
      <c r="K134" s="155">
        <v>0</v>
      </c>
      <c r="L134" s="140">
        <f>INT((K134*Valores!$C$2*100)+0.5)/100</f>
        <v>0</v>
      </c>
      <c r="M134" s="153">
        <v>0</v>
      </c>
      <c r="N134" s="140">
        <f>INT((M134*Valores!$C$2*100)+0.5)/100</f>
        <v>0</v>
      </c>
      <c r="O134" s="140">
        <f t="shared" si="16"/>
        <v>3584.73</v>
      </c>
      <c r="P134" s="140">
        <f t="shared" si="17"/>
        <v>0</v>
      </c>
      <c r="Q134" s="142">
        <f>Valores!$C$21</f>
        <v>10738.26</v>
      </c>
      <c r="R134" s="142">
        <f>Valores!$D$4</f>
        <v>6352.5280000000002</v>
      </c>
      <c r="S134" s="140">
        <f>Valores!$C$28</f>
        <v>5667.45</v>
      </c>
      <c r="T134" s="143">
        <f>IF($H$5="NO",Valores!$C$44,Valores!$C$44/2)</f>
        <v>2105.77</v>
      </c>
      <c r="U134" s="140">
        <f>Valores!$C$25</f>
        <v>5911.11</v>
      </c>
      <c r="V134" s="140">
        <f t="shared" si="23"/>
        <v>5911.11</v>
      </c>
      <c r="W134" s="140">
        <v>0</v>
      </c>
      <c r="X134" s="140">
        <v>0</v>
      </c>
      <c r="Y134" s="144">
        <v>0</v>
      </c>
      <c r="Z134" s="140">
        <f>Y134*Valores!$C$2</f>
        <v>0</v>
      </c>
      <c r="AA134" s="140">
        <v>0</v>
      </c>
      <c r="AB134" s="143">
        <f>Valores!$C$90</f>
        <v>2220.0100000000002</v>
      </c>
      <c r="AC134" s="145">
        <f>Valores!$C$31</f>
        <v>259.82</v>
      </c>
      <c r="AD134" s="140">
        <f t="shared" si="19"/>
        <v>0</v>
      </c>
      <c r="AE134" s="140">
        <f>Valores!$C$32</f>
        <v>259.82</v>
      </c>
      <c r="AF134" s="144">
        <v>94</v>
      </c>
      <c r="AG134" s="140">
        <f>INT(((AF134*Valores!$C$2)*100)+0.5)/100</f>
        <v>1168.1099999999999</v>
      </c>
      <c r="AH134" s="140">
        <f>IF($H$5="NO",Valores!$C$60,Valores!$C$60/2)</f>
        <v>528.49</v>
      </c>
      <c r="AI134" s="140">
        <f>IF($H$5="NO",Valores!$C$62,Valores!$C$62/2)</f>
        <v>151</v>
      </c>
      <c r="AJ134" s="146">
        <f t="shared" si="20"/>
        <v>54828.417999999991</v>
      </c>
      <c r="AK134" s="142">
        <f>Valores!$C$37</f>
        <v>1360.88</v>
      </c>
      <c r="AL134" s="143">
        <f>Valores!$C$85</f>
        <v>2275</v>
      </c>
      <c r="AM134" s="143"/>
      <c r="AN134" s="145">
        <f>IF($H$4="NO",0,Valores!$C$53)</f>
        <v>0</v>
      </c>
      <c r="AO134" s="147">
        <f t="shared" si="18"/>
        <v>3635.88</v>
      </c>
      <c r="AP134" s="148">
        <f>AJ134*Valores!$C$69</f>
        <v>-6031.1259799999989</v>
      </c>
      <c r="AQ134" s="148">
        <f>AJ134*-Valores!$C$70</f>
        <v>0</v>
      </c>
      <c r="AR134" s="142">
        <f>AJ134*Valores!$C$71</f>
        <v>-2467.2788099999993</v>
      </c>
      <c r="AS134" s="142">
        <f>Valores!$C$95</f>
        <v>-193.38</v>
      </c>
      <c r="AT134" s="142">
        <f>IF($H$6=0,Valores!$C$96,(Valores!$C$96+$H$6*(Valores!$C$96)))</f>
        <v>-129</v>
      </c>
      <c r="AU134" s="146">
        <f t="shared" si="21"/>
        <v>49643.51320999999</v>
      </c>
      <c r="AV134" s="199">
        <f t="shared" si="14"/>
        <v>-6031.1259799999989</v>
      </c>
      <c r="AW134" s="142">
        <f>AJ134*Valores!$C$72</f>
        <v>-1480.3672859999997</v>
      </c>
      <c r="AX134" s="142">
        <f>AJ134*Valores!$C$73</f>
        <v>-164.48525399999997</v>
      </c>
      <c r="AY134" s="146">
        <f t="shared" si="22"/>
        <v>50788.319479999991</v>
      </c>
      <c r="AZ134" s="150"/>
      <c r="BA134" s="150">
        <v>20</v>
      </c>
      <c r="BB134" s="135" t="s">
        <v>4</v>
      </c>
    </row>
    <row r="135" spans="1:54" s="114" customFormat="1" ht="11.25" customHeight="1" x14ac:dyDescent="0.15">
      <c r="A135" s="134">
        <v>132</v>
      </c>
      <c r="B135" s="134"/>
      <c r="C135" s="135" t="s">
        <v>380</v>
      </c>
      <c r="D135" s="135"/>
      <c r="E135" s="135">
        <f t="shared" si="15"/>
        <v>19</v>
      </c>
      <c r="F135" s="136" t="s">
        <v>381</v>
      </c>
      <c r="G135" s="137">
        <v>936</v>
      </c>
      <c r="H135" s="138">
        <f>INT((G135*Valores!$C$2*100)+0.5)/100</f>
        <v>11631.39</v>
      </c>
      <c r="I135" s="156">
        <v>0</v>
      </c>
      <c r="J135" s="140">
        <f>INT((I135*Valores!$C$2*100)+0.5)/100</f>
        <v>0</v>
      </c>
      <c r="K135" s="155">
        <v>0</v>
      </c>
      <c r="L135" s="140">
        <f>INT((K135*Valores!$C$2*100)+0.5)/100</f>
        <v>0</v>
      </c>
      <c r="M135" s="153">
        <v>0</v>
      </c>
      <c r="N135" s="140">
        <f>INT((M135*Valores!$C$2*100)+0.5)/100</f>
        <v>0</v>
      </c>
      <c r="O135" s="140">
        <f t="shared" si="16"/>
        <v>2900.88</v>
      </c>
      <c r="P135" s="140">
        <f t="shared" si="17"/>
        <v>0</v>
      </c>
      <c r="Q135" s="154">
        <f>Valores!$C$21</f>
        <v>10738.26</v>
      </c>
      <c r="R135" s="154">
        <f>Valores!$D$4</f>
        <v>6352.5280000000002</v>
      </c>
      <c r="S135" s="154">
        <f>Valores!$C$29</f>
        <v>5274.89</v>
      </c>
      <c r="T135" s="143">
        <f>IF($H$5="NO",Valores!$C$43,Valores!$C$43/2)</f>
        <v>1857.13</v>
      </c>
      <c r="U135" s="154">
        <f>Valores!$C$26</f>
        <v>5850.68</v>
      </c>
      <c r="V135" s="140">
        <f t="shared" si="23"/>
        <v>5850.68</v>
      </c>
      <c r="W135" s="140">
        <v>0</v>
      </c>
      <c r="X135" s="140">
        <v>0</v>
      </c>
      <c r="Y135" s="144">
        <v>0</v>
      </c>
      <c r="Z135" s="140">
        <f>Y135*Valores!$C$2</f>
        <v>0</v>
      </c>
      <c r="AA135" s="140">
        <v>0</v>
      </c>
      <c r="AB135" s="143">
        <f>Valores!$C$90</f>
        <v>2220.0100000000002</v>
      </c>
      <c r="AC135" s="145">
        <f>Valores!$C$31</f>
        <v>259.82</v>
      </c>
      <c r="AD135" s="140">
        <f t="shared" si="19"/>
        <v>0</v>
      </c>
      <c r="AE135" s="140">
        <f>Valores!$C$32</f>
        <v>259.82</v>
      </c>
      <c r="AF135" s="159">
        <v>94</v>
      </c>
      <c r="AG135" s="143">
        <f>INT(((AF135*Valores!$C$2)*100)+0.5)/100</f>
        <v>1168.1099999999999</v>
      </c>
      <c r="AH135" s="140">
        <f>IF($H$5="NO",Valores!$C$60,Valores!$C$60/2)</f>
        <v>528.49</v>
      </c>
      <c r="AI135" s="140">
        <f>IF($H$5="NO",Valores!$C$62,Valores!$C$62/2)</f>
        <v>151</v>
      </c>
      <c r="AJ135" s="146">
        <f t="shared" si="20"/>
        <v>49193.007999999994</v>
      </c>
      <c r="AK135" s="154">
        <f>Valores!$C$37</f>
        <v>1360.88</v>
      </c>
      <c r="AL135" s="143">
        <f>Valores!$C$85</f>
        <v>2275</v>
      </c>
      <c r="AM135" s="143"/>
      <c r="AN135" s="145">
        <f>IF($H$4="NO",0,Valores!$C$53)</f>
        <v>0</v>
      </c>
      <c r="AO135" s="147">
        <f t="shared" si="18"/>
        <v>3635.88</v>
      </c>
      <c r="AP135" s="148">
        <f>AJ135*Valores!$C$69</f>
        <v>-5411.2308799999992</v>
      </c>
      <c r="AQ135" s="149">
        <f>AJ135*-Valores!$C$70</f>
        <v>0</v>
      </c>
      <c r="AR135" s="142">
        <f>AJ135*Valores!$C$71</f>
        <v>-2213.6853599999995</v>
      </c>
      <c r="AS135" s="142">
        <f>Valores!$C$95</f>
        <v>-193.38</v>
      </c>
      <c r="AT135" s="142">
        <f>IF($H$6=0,Valores!$C$96,(Valores!$C$96+$H$6*(Valores!$C$96)))</f>
        <v>-129</v>
      </c>
      <c r="AU135" s="146">
        <f t="shared" si="21"/>
        <v>44881.591759999996</v>
      </c>
      <c r="AV135" s="199">
        <f t="shared" si="14"/>
        <v>-5411.2308799999992</v>
      </c>
      <c r="AW135" s="142">
        <f>AJ135*Valores!$C$72</f>
        <v>-1328.2112159999999</v>
      </c>
      <c r="AX135" s="142">
        <f>AJ135*Valores!$C$73</f>
        <v>-147.57902399999998</v>
      </c>
      <c r="AY135" s="146">
        <f t="shared" si="22"/>
        <v>45941.866879999994</v>
      </c>
      <c r="AZ135" s="150">
        <v>8</v>
      </c>
      <c r="BA135" s="150"/>
      <c r="BB135" s="135" t="s">
        <v>4</v>
      </c>
    </row>
    <row r="136" spans="1:54" s="114" customFormat="1" ht="11.25" customHeight="1" x14ac:dyDescent="0.15">
      <c r="A136" s="134">
        <v>133</v>
      </c>
      <c r="B136" s="134"/>
      <c r="C136" s="135" t="s">
        <v>382</v>
      </c>
      <c r="D136" s="135"/>
      <c r="E136" s="135">
        <f t="shared" si="15"/>
        <v>19</v>
      </c>
      <c r="F136" s="136" t="s">
        <v>383</v>
      </c>
      <c r="G136" s="137">
        <v>1278</v>
      </c>
      <c r="H136" s="138">
        <f>INT((G136*Valores!$C$2*100)+0.5)/100</f>
        <v>15881.32</v>
      </c>
      <c r="I136" s="156">
        <v>0</v>
      </c>
      <c r="J136" s="140">
        <f>INT((I136*Valores!$C$2*100)+0.5)/100</f>
        <v>0</v>
      </c>
      <c r="K136" s="155">
        <v>0</v>
      </c>
      <c r="L136" s="140">
        <f>INT((K136*Valores!$C$2*100)+0.5)/100</f>
        <v>0</v>
      </c>
      <c r="M136" s="153">
        <v>0</v>
      </c>
      <c r="N136" s="140">
        <f>INT((M136*Valores!$C$2*100)+0.5)/100</f>
        <v>0</v>
      </c>
      <c r="O136" s="140">
        <f t="shared" si="16"/>
        <v>3538.3695000000002</v>
      </c>
      <c r="P136" s="140">
        <f t="shared" si="17"/>
        <v>0</v>
      </c>
      <c r="Q136" s="154">
        <f>Valores!$C$15</f>
        <v>12990.26</v>
      </c>
      <c r="R136" s="154">
        <f>Valores!$D$4</f>
        <v>6352.5280000000002</v>
      </c>
      <c r="S136" s="143">
        <v>0</v>
      </c>
      <c r="T136" s="143">
        <f>IF($H$5="NO",Valores!$C$43,Valores!$C$43/2)</f>
        <v>1857.13</v>
      </c>
      <c r="U136" s="154">
        <f>Valores!$C$26</f>
        <v>5850.68</v>
      </c>
      <c r="V136" s="140">
        <f t="shared" si="23"/>
        <v>5850.68</v>
      </c>
      <c r="W136" s="140">
        <v>0</v>
      </c>
      <c r="X136" s="140">
        <v>0</v>
      </c>
      <c r="Y136" s="144">
        <v>0</v>
      </c>
      <c r="Z136" s="140">
        <f>Y136*Valores!$C$2</f>
        <v>0</v>
      </c>
      <c r="AA136" s="140">
        <v>0</v>
      </c>
      <c r="AB136" s="143">
        <f>Valores!$C$90</f>
        <v>2220.0100000000002</v>
      </c>
      <c r="AC136" s="145">
        <f>Valores!$C$31</f>
        <v>259.82</v>
      </c>
      <c r="AD136" s="140">
        <f t="shared" si="19"/>
        <v>0</v>
      </c>
      <c r="AE136" s="140">
        <f>Valores!$C$32</f>
        <v>259.82</v>
      </c>
      <c r="AF136" s="159">
        <v>94</v>
      </c>
      <c r="AG136" s="143">
        <f>INT(((AF136*Valores!$C$2)*100)+0.5)/100</f>
        <v>1168.1099999999999</v>
      </c>
      <c r="AH136" s="140">
        <f>IF($H$5="NO",Valores!$C$60,Valores!$C$60/2)</f>
        <v>528.49</v>
      </c>
      <c r="AI136" s="140">
        <f>IF($H$5="NO",Valores!$C$62,Valores!$C$62/2)</f>
        <v>151</v>
      </c>
      <c r="AJ136" s="146">
        <f t="shared" si="20"/>
        <v>51057.537499999999</v>
      </c>
      <c r="AK136" s="154">
        <f>Valores!$C$37</f>
        <v>1360.88</v>
      </c>
      <c r="AL136" s="143">
        <f>Valores!$C$85</f>
        <v>2275</v>
      </c>
      <c r="AM136" s="143"/>
      <c r="AN136" s="145">
        <f>IF($H$4="NO",0,Valores!$C$53)</f>
        <v>0</v>
      </c>
      <c r="AO136" s="147">
        <f t="shared" si="18"/>
        <v>3635.88</v>
      </c>
      <c r="AP136" s="148">
        <f>AJ136*Valores!$C$69</f>
        <v>-5616.3291250000002</v>
      </c>
      <c r="AQ136" s="149">
        <f>AJ136*-Valores!$C$70</f>
        <v>0</v>
      </c>
      <c r="AR136" s="142">
        <f>AJ136*Valores!$C$71</f>
        <v>-2297.5891874999998</v>
      </c>
      <c r="AS136" s="142">
        <f>Valores!$C$95</f>
        <v>-193.38</v>
      </c>
      <c r="AT136" s="142">
        <f>IF($H$6=0,Valores!$C$96,(Valores!$C$96+$H$6*(Valores!$C$96)))</f>
        <v>-129</v>
      </c>
      <c r="AU136" s="146">
        <f t="shared" si="21"/>
        <v>46457.1191875</v>
      </c>
      <c r="AV136" s="199">
        <f t="shared" ref="AV136:AV199" si="24">AP136</f>
        <v>-5616.3291250000002</v>
      </c>
      <c r="AW136" s="142">
        <f>AJ136*Valores!$C$72</f>
        <v>-1378.5535124999999</v>
      </c>
      <c r="AX136" s="142">
        <f>AJ136*Valores!$C$73</f>
        <v>-153.17261249999999</v>
      </c>
      <c r="AY136" s="146">
        <f t="shared" si="22"/>
        <v>47545.362249999998</v>
      </c>
      <c r="AZ136" s="150"/>
      <c r="BA136" s="150">
        <v>22</v>
      </c>
      <c r="BB136" s="135" t="s">
        <v>4</v>
      </c>
    </row>
    <row r="137" spans="1:54" s="114" customFormat="1" ht="11.25" customHeight="1" x14ac:dyDescent="0.15">
      <c r="A137" s="134">
        <v>134</v>
      </c>
      <c r="B137" s="134"/>
      <c r="C137" s="135" t="s">
        <v>384</v>
      </c>
      <c r="D137" s="135"/>
      <c r="E137" s="135">
        <f t="shared" ref="E137:E199" si="25">LEN(F137)</f>
        <v>26</v>
      </c>
      <c r="F137" s="136" t="s">
        <v>385</v>
      </c>
      <c r="G137" s="137">
        <v>1278</v>
      </c>
      <c r="H137" s="138">
        <f>INT((G137*Valores!$C$2*100)+0.5)/100</f>
        <v>15881.32</v>
      </c>
      <c r="I137" s="156">
        <v>0</v>
      </c>
      <c r="J137" s="140">
        <f>INT((I137*Valores!$C$2*100)+0.5)/100</f>
        <v>0</v>
      </c>
      <c r="K137" s="155">
        <v>0</v>
      </c>
      <c r="L137" s="140">
        <f>INT((K137*Valores!$C$2*100)+0.5)/100</f>
        <v>0</v>
      </c>
      <c r="M137" s="153">
        <v>0</v>
      </c>
      <c r="N137" s="140">
        <f>INT((M137*Valores!$C$2*100)+0.5)/100</f>
        <v>0</v>
      </c>
      <c r="O137" s="140">
        <f t="shared" ref="O137:O199" si="26">IF($J$2=0,IF(C137&lt;&gt;"13-930",(SUM(H137,J137,L137,N137,Z137,U137,T137)*$O$2),0),0)</f>
        <v>3584.73</v>
      </c>
      <c r="P137" s="140">
        <f t="shared" ref="P137:P199" si="27">SUM(H137,J137,L137,N137,Z137,T137)*$J$2</f>
        <v>0</v>
      </c>
      <c r="Q137" s="154">
        <f>Valores!$C$15</f>
        <v>12990.26</v>
      </c>
      <c r="R137" s="154">
        <f>Valores!$D$4</f>
        <v>6352.5280000000002</v>
      </c>
      <c r="S137" s="154">
        <f>Valores!$C$28</f>
        <v>5667.45</v>
      </c>
      <c r="T137" s="143">
        <f>IF($H$5="NO",Valores!$C$44,Valores!$C$44/2)</f>
        <v>2105.77</v>
      </c>
      <c r="U137" s="140">
        <f>Valores!$C$25</f>
        <v>5911.11</v>
      </c>
      <c r="V137" s="140">
        <f t="shared" si="23"/>
        <v>5911.11</v>
      </c>
      <c r="W137" s="140">
        <v>0</v>
      </c>
      <c r="X137" s="140">
        <v>0</v>
      </c>
      <c r="Y137" s="144">
        <v>0</v>
      </c>
      <c r="Z137" s="140">
        <f>Y137*Valores!$C$2</f>
        <v>0</v>
      </c>
      <c r="AA137" s="140">
        <v>0</v>
      </c>
      <c r="AB137" s="143">
        <f>Valores!$C$90</f>
        <v>2220.0100000000002</v>
      </c>
      <c r="AC137" s="145">
        <f>Valores!$C$31</f>
        <v>259.82</v>
      </c>
      <c r="AD137" s="140">
        <f t="shared" si="19"/>
        <v>0</v>
      </c>
      <c r="AE137" s="140">
        <f>Valores!$C$32</f>
        <v>259.82</v>
      </c>
      <c r="AF137" s="144">
        <v>0</v>
      </c>
      <c r="AG137" s="140">
        <f>INT(((AF137*Valores!$C$2)*100)+0.5)/100</f>
        <v>0</v>
      </c>
      <c r="AH137" s="140">
        <f>IF($H$5="NO",Valores!$C$60,Valores!$C$60/2)</f>
        <v>528.49</v>
      </c>
      <c r="AI137" s="140">
        <f>IF($H$5="NO",Valores!$C$62,Valores!$C$62/2)</f>
        <v>151</v>
      </c>
      <c r="AJ137" s="146">
        <f t="shared" si="20"/>
        <v>55912.30799999999</v>
      </c>
      <c r="AK137" s="154">
        <f>Valores!$C$37</f>
        <v>1360.88</v>
      </c>
      <c r="AL137" s="143">
        <f>Valores!$C$85</f>
        <v>2275</v>
      </c>
      <c r="AM137" s="143"/>
      <c r="AN137" s="145">
        <f>IF($H$4="NO",0,Valores!$C$53)</f>
        <v>0</v>
      </c>
      <c r="AO137" s="147">
        <f t="shared" ref="AO137:AO200" si="28">IF($H$4="SI",SUM(AK137:AN137),SUM(AK137:AL137))</f>
        <v>3635.88</v>
      </c>
      <c r="AP137" s="148">
        <f>AJ137*Valores!$C$69</f>
        <v>-6150.3538799999988</v>
      </c>
      <c r="AQ137" s="149">
        <f>AJ137*-Valores!$C$70</f>
        <v>0</v>
      </c>
      <c r="AR137" s="142">
        <f>AJ137*Valores!$C$71</f>
        <v>-2516.0538599999995</v>
      </c>
      <c r="AS137" s="142">
        <f>Valores!$C$95</f>
        <v>-193.38</v>
      </c>
      <c r="AT137" s="142">
        <f>IF($H$6=0,Valores!$C$96,(Valores!$C$96+$H$6*(Valores!$C$96)))</f>
        <v>-129</v>
      </c>
      <c r="AU137" s="146">
        <f t="shared" si="21"/>
        <v>50559.400259999995</v>
      </c>
      <c r="AV137" s="199">
        <f t="shared" si="24"/>
        <v>-6150.3538799999988</v>
      </c>
      <c r="AW137" s="142">
        <f>AJ137*Valores!$C$72</f>
        <v>-1509.6323159999997</v>
      </c>
      <c r="AX137" s="142">
        <f>AJ137*Valores!$C$73</f>
        <v>-167.73692399999996</v>
      </c>
      <c r="AY137" s="146">
        <f t="shared" si="22"/>
        <v>51720.464879999992</v>
      </c>
      <c r="AZ137" s="150"/>
      <c r="BA137" s="150"/>
      <c r="BB137" s="135" t="s">
        <v>4</v>
      </c>
    </row>
    <row r="138" spans="1:54" s="114" customFormat="1" ht="11.25" customHeight="1" x14ac:dyDescent="0.15">
      <c r="A138" s="152">
        <v>135</v>
      </c>
      <c r="B138" s="152" t="s">
        <v>139</v>
      </c>
      <c r="C138" s="135" t="s">
        <v>386</v>
      </c>
      <c r="D138" s="135"/>
      <c r="E138" s="135">
        <f t="shared" si="25"/>
        <v>19</v>
      </c>
      <c r="F138" s="136" t="s">
        <v>387</v>
      </c>
      <c r="G138" s="137">
        <v>1278</v>
      </c>
      <c r="H138" s="138">
        <f>INT((G138*Valores!$C$2*100)+0.5)/100</f>
        <v>15881.32</v>
      </c>
      <c r="I138" s="156">
        <v>0</v>
      </c>
      <c r="J138" s="140">
        <f>INT((I138*Valores!$C$2*100)+0.5)/100</f>
        <v>0</v>
      </c>
      <c r="K138" s="155">
        <v>0</v>
      </c>
      <c r="L138" s="140">
        <f>INT((K138*Valores!$C$2*100)+0.5)/100</f>
        <v>0</v>
      </c>
      <c r="M138" s="153">
        <v>0</v>
      </c>
      <c r="N138" s="140">
        <f>INT((M138*Valores!$C$2*100)+0.5)/100</f>
        <v>0</v>
      </c>
      <c r="O138" s="140">
        <f t="shared" si="26"/>
        <v>3584.73</v>
      </c>
      <c r="P138" s="140">
        <f t="shared" si="27"/>
        <v>0</v>
      </c>
      <c r="Q138" s="154">
        <f>Valores!$C$15</f>
        <v>12990.26</v>
      </c>
      <c r="R138" s="154">
        <f>Valores!$D$4</f>
        <v>6352.5280000000002</v>
      </c>
      <c r="S138" s="154">
        <f>Valores!$C$28</f>
        <v>5667.45</v>
      </c>
      <c r="T138" s="143">
        <f>IF($H$5="NO",Valores!$C$44,Valores!$C$44/2)</f>
        <v>2105.77</v>
      </c>
      <c r="U138" s="140">
        <f>Valores!$C$25</f>
        <v>5911.11</v>
      </c>
      <c r="V138" s="140">
        <f t="shared" si="23"/>
        <v>5911.11</v>
      </c>
      <c r="W138" s="140">
        <v>0</v>
      </c>
      <c r="X138" s="140">
        <v>0</v>
      </c>
      <c r="Y138" s="144">
        <v>0</v>
      </c>
      <c r="Z138" s="140">
        <f>Y138*Valores!$C$2</f>
        <v>0</v>
      </c>
      <c r="AA138" s="140">
        <v>0</v>
      </c>
      <c r="AB138" s="143">
        <f>Valores!$C$90</f>
        <v>2220.0100000000002</v>
      </c>
      <c r="AC138" s="145">
        <f>Valores!$C$31</f>
        <v>259.82</v>
      </c>
      <c r="AD138" s="140">
        <f t="shared" ref="AD138:AD200" si="29">SUM(H138,J138,L138,Z138,T138)*$H$3/100</f>
        <v>0</v>
      </c>
      <c r="AE138" s="140">
        <f>Valores!$C$32</f>
        <v>259.82</v>
      </c>
      <c r="AF138" s="144">
        <v>0</v>
      </c>
      <c r="AG138" s="140">
        <f>INT(((AF138*Valores!$C$2)*100)+0.5)/100</f>
        <v>0</v>
      </c>
      <c r="AH138" s="140">
        <f>IF($H$5="NO",Valores!$C$60,Valores!$C$60/2)</f>
        <v>528.49</v>
      </c>
      <c r="AI138" s="140">
        <f>IF($H$5="NO",Valores!$C$62,Valores!$C$62/2)</f>
        <v>151</v>
      </c>
      <c r="AJ138" s="146">
        <f t="shared" ref="AJ138:AJ200" si="30">SUM(H138,J138,L138,N138,O138,P138,Q138,R138,S138,V138,W138,X138,Z138,AA138,AC138,AD138,AE138,AG138,T138,AH138,AI138,AB138)</f>
        <v>55912.30799999999</v>
      </c>
      <c r="AK138" s="154">
        <f>Valores!$C$37</f>
        <v>1360.88</v>
      </c>
      <c r="AL138" s="143">
        <f>Valores!$C$85</f>
        <v>2275</v>
      </c>
      <c r="AM138" s="143"/>
      <c r="AN138" s="145">
        <f>IF($H$4="NO",0,Valores!$C$53)</f>
        <v>0</v>
      </c>
      <c r="AO138" s="147">
        <f t="shared" si="28"/>
        <v>3635.88</v>
      </c>
      <c r="AP138" s="148">
        <f>AJ138*Valores!$C$69</f>
        <v>-6150.3538799999988</v>
      </c>
      <c r="AQ138" s="149">
        <f>AJ138*-Valores!$C$70</f>
        <v>0</v>
      </c>
      <c r="AR138" s="142">
        <f>AJ138*Valores!$C$71</f>
        <v>-2516.0538599999995</v>
      </c>
      <c r="AS138" s="142">
        <f>Valores!$C$95</f>
        <v>-193.38</v>
      </c>
      <c r="AT138" s="142">
        <f>IF($H$6=0,Valores!$C$96,(Valores!$C$96+$H$6*(Valores!$C$96)))</f>
        <v>-129</v>
      </c>
      <c r="AU138" s="146">
        <f t="shared" ref="AU138:AU201" si="31">AJ138+SUM(AO138:AT138)</f>
        <v>50559.400259999995</v>
      </c>
      <c r="AV138" s="199">
        <f t="shared" si="24"/>
        <v>-6150.3538799999988</v>
      </c>
      <c r="AW138" s="142">
        <f>AJ138*Valores!$C$72</f>
        <v>-1509.6323159999997</v>
      </c>
      <c r="AX138" s="142">
        <f>AJ138*Valores!$C$73</f>
        <v>-167.73692399999996</v>
      </c>
      <c r="AY138" s="146">
        <f t="shared" ref="AY138:AY201" si="32">AJ138+AO138+SUM(AV138:AX138)</f>
        <v>51720.464879999992</v>
      </c>
      <c r="AZ138" s="150"/>
      <c r="BA138" s="150"/>
      <c r="BB138" s="135" t="s">
        <v>4</v>
      </c>
    </row>
    <row r="139" spans="1:54" s="114" customFormat="1" ht="11.25" customHeight="1" x14ac:dyDescent="0.15">
      <c r="A139" s="134">
        <v>136</v>
      </c>
      <c r="B139" s="134"/>
      <c r="C139" s="135" t="s">
        <v>388</v>
      </c>
      <c r="D139" s="135"/>
      <c r="E139" s="135">
        <f t="shared" si="25"/>
        <v>29</v>
      </c>
      <c r="F139" s="136" t="s">
        <v>389</v>
      </c>
      <c r="G139" s="137">
        <v>1278</v>
      </c>
      <c r="H139" s="138">
        <f>INT((G139*Valores!$C$2*100)+0.5)/100</f>
        <v>15881.32</v>
      </c>
      <c r="I139" s="156">
        <v>0</v>
      </c>
      <c r="J139" s="140">
        <f>INT((I139*Valores!$C$2*100)+0.5)/100</f>
        <v>0</v>
      </c>
      <c r="K139" s="155">
        <v>0</v>
      </c>
      <c r="L139" s="140">
        <f>INT((K139*Valores!$C$2*100)+0.5)/100</f>
        <v>0</v>
      </c>
      <c r="M139" s="153">
        <v>0</v>
      </c>
      <c r="N139" s="140">
        <f>INT((M139*Valores!$C$2*100)+0.5)/100</f>
        <v>0</v>
      </c>
      <c r="O139" s="140">
        <f t="shared" si="26"/>
        <v>3584.73</v>
      </c>
      <c r="P139" s="140">
        <f t="shared" si="27"/>
        <v>0</v>
      </c>
      <c r="Q139" s="154">
        <f>Valores!$C$21</f>
        <v>10738.26</v>
      </c>
      <c r="R139" s="154">
        <f>Valores!$D$4</f>
        <v>6352.5280000000002</v>
      </c>
      <c r="S139" s="140">
        <v>0</v>
      </c>
      <c r="T139" s="143">
        <f>IF($H$5="NO",Valores!$C$44,Valores!$C$44/2)</f>
        <v>2105.77</v>
      </c>
      <c r="U139" s="140">
        <f>Valores!$C$25</f>
        <v>5911.11</v>
      </c>
      <c r="V139" s="140">
        <f t="shared" si="23"/>
        <v>5911.11</v>
      </c>
      <c r="W139" s="140">
        <v>0</v>
      </c>
      <c r="X139" s="140">
        <v>0</v>
      </c>
      <c r="Y139" s="144">
        <v>0</v>
      </c>
      <c r="Z139" s="140">
        <f>Y139*Valores!$C$2</f>
        <v>0</v>
      </c>
      <c r="AA139" s="140">
        <v>0</v>
      </c>
      <c r="AB139" s="143">
        <f>Valores!$C$90</f>
        <v>2220.0100000000002</v>
      </c>
      <c r="AC139" s="145">
        <f>Valores!$C$31</f>
        <v>259.82</v>
      </c>
      <c r="AD139" s="140">
        <f t="shared" si="29"/>
        <v>0</v>
      </c>
      <c r="AE139" s="140">
        <f>Valores!$C$32</f>
        <v>259.82</v>
      </c>
      <c r="AF139" s="144">
        <v>0</v>
      </c>
      <c r="AG139" s="140">
        <f>INT(((AF139*Valores!$C$2)*100)+0.5)/100</f>
        <v>0</v>
      </c>
      <c r="AH139" s="140">
        <f>IF($H$5="NO",Valores!$C$60,Valores!$C$60/2)</f>
        <v>528.49</v>
      </c>
      <c r="AI139" s="140">
        <f>IF($H$5="NO",Valores!$C$62,Valores!$C$62/2)</f>
        <v>151</v>
      </c>
      <c r="AJ139" s="146">
        <f t="shared" si="30"/>
        <v>47992.857999999993</v>
      </c>
      <c r="AK139" s="154">
        <f>Valores!$C$37</f>
        <v>1360.88</v>
      </c>
      <c r="AL139" s="143">
        <f>Valores!$C$85</f>
        <v>2275</v>
      </c>
      <c r="AM139" s="143"/>
      <c r="AN139" s="145">
        <f>IF($H$4="NO",0,Valores!$C$53)</f>
        <v>0</v>
      </c>
      <c r="AO139" s="147">
        <f t="shared" si="28"/>
        <v>3635.88</v>
      </c>
      <c r="AP139" s="148">
        <f>AJ139*Valores!$C$69</f>
        <v>-5279.2143799999994</v>
      </c>
      <c r="AQ139" s="149">
        <f>AJ139*-Valores!$C$70</f>
        <v>0</v>
      </c>
      <c r="AR139" s="142">
        <f>AJ139*Valores!$C$71</f>
        <v>-2159.6786099999995</v>
      </c>
      <c r="AS139" s="142">
        <f>Valores!$C$95</f>
        <v>-193.38</v>
      </c>
      <c r="AT139" s="142">
        <f>IF($H$6=0,Valores!$C$96,(Valores!$C$96+$H$6*(Valores!$C$96)))</f>
        <v>-129</v>
      </c>
      <c r="AU139" s="146">
        <f t="shared" si="31"/>
        <v>43867.465009999993</v>
      </c>
      <c r="AV139" s="199">
        <f t="shared" si="24"/>
        <v>-5279.2143799999994</v>
      </c>
      <c r="AW139" s="142">
        <f>AJ139*Valores!$C$72</f>
        <v>-1295.8071659999998</v>
      </c>
      <c r="AX139" s="142">
        <f>AJ139*Valores!$C$73</f>
        <v>-143.97857399999998</v>
      </c>
      <c r="AY139" s="146">
        <f t="shared" si="32"/>
        <v>44909.737879999993</v>
      </c>
      <c r="AZ139" s="150">
        <v>12</v>
      </c>
      <c r="BA139" s="150">
        <v>15</v>
      </c>
      <c r="BB139" s="135" t="s">
        <v>8</v>
      </c>
    </row>
    <row r="140" spans="1:54" s="114" customFormat="1" ht="11.25" customHeight="1" x14ac:dyDescent="0.15">
      <c r="A140" s="134">
        <v>137</v>
      </c>
      <c r="B140" s="134"/>
      <c r="C140" s="135" t="s">
        <v>390</v>
      </c>
      <c r="D140" s="135"/>
      <c r="E140" s="135">
        <f t="shared" si="25"/>
        <v>26</v>
      </c>
      <c r="F140" s="136" t="s">
        <v>391</v>
      </c>
      <c r="G140" s="137">
        <v>616</v>
      </c>
      <c r="H140" s="138">
        <f>INT((G140*Valores!$C$2*100)+0.5)/100</f>
        <v>7654.85</v>
      </c>
      <c r="I140" s="156">
        <v>0</v>
      </c>
      <c r="J140" s="140">
        <f>INT((I140*Valores!$C$2*100)+0.5)/100</f>
        <v>0</v>
      </c>
      <c r="K140" s="155">
        <v>0</v>
      </c>
      <c r="L140" s="140">
        <f>INT((K140*Valores!$C$2*100)+0.5)/100</f>
        <v>0</v>
      </c>
      <c r="M140" s="153">
        <v>0</v>
      </c>
      <c r="N140" s="140">
        <f>INT((M140*Valores!$C$2*100)+0.5)/100</f>
        <v>0</v>
      </c>
      <c r="O140" s="140">
        <f t="shared" si="26"/>
        <v>2350.7594999999997</v>
      </c>
      <c r="P140" s="140">
        <f t="shared" si="27"/>
        <v>0</v>
      </c>
      <c r="Q140" s="154">
        <f>Valores!$C$15</f>
        <v>12990.26</v>
      </c>
      <c r="R140" s="154">
        <f>Valores!$D$4</f>
        <v>6352.5280000000002</v>
      </c>
      <c r="S140" s="154">
        <f>Valores!$C$28</f>
        <v>5667.45</v>
      </c>
      <c r="T140" s="143">
        <f>IF($H$5="NO",Valores!$C$44,Valores!$C$44/2)</f>
        <v>2105.77</v>
      </c>
      <c r="U140" s="140">
        <f>Valores!$C$25</f>
        <v>5911.11</v>
      </c>
      <c r="V140" s="140">
        <f t="shared" si="23"/>
        <v>5911.11</v>
      </c>
      <c r="W140" s="140">
        <v>0</v>
      </c>
      <c r="X140" s="140">
        <v>0</v>
      </c>
      <c r="Y140" s="144">
        <v>0</v>
      </c>
      <c r="Z140" s="140">
        <f>Y140*Valores!$C$2</f>
        <v>0</v>
      </c>
      <c r="AA140" s="140">
        <v>0</v>
      </c>
      <c r="AB140" s="143">
        <f>Valores!$C$90</f>
        <v>2220.0100000000002</v>
      </c>
      <c r="AC140" s="145">
        <f>Valores!$C$31</f>
        <v>259.82</v>
      </c>
      <c r="AD140" s="140">
        <f t="shared" si="29"/>
        <v>0</v>
      </c>
      <c r="AE140" s="140">
        <f>Valores!$C$32</f>
        <v>259.82</v>
      </c>
      <c r="AF140" s="144">
        <v>0</v>
      </c>
      <c r="AG140" s="140">
        <f>INT(((AF140*Valores!$C$2)*100)+0.5)/100</f>
        <v>0</v>
      </c>
      <c r="AH140" s="140">
        <f>IF($H$5="NO",Valores!$C$60,Valores!$C$60/2)</f>
        <v>528.49</v>
      </c>
      <c r="AI140" s="140">
        <f>IF($H$5="NO",Valores!$C$62,Valores!$C$62/2)</f>
        <v>151</v>
      </c>
      <c r="AJ140" s="146">
        <f t="shared" si="30"/>
        <v>46451.867499999993</v>
      </c>
      <c r="AK140" s="154">
        <f>Valores!$C$37</f>
        <v>1360.88</v>
      </c>
      <c r="AL140" s="143">
        <f>Valores!$C$85</f>
        <v>2275</v>
      </c>
      <c r="AM140" s="143"/>
      <c r="AN140" s="145">
        <f>IF($H$4="NO",0,Valores!$C$53)</f>
        <v>0</v>
      </c>
      <c r="AO140" s="147">
        <f t="shared" si="28"/>
        <v>3635.88</v>
      </c>
      <c r="AP140" s="148">
        <f>AJ140*Valores!$C$69</f>
        <v>-5109.7054249999992</v>
      </c>
      <c r="AQ140" s="149">
        <f>AJ140*-Valores!$C$70</f>
        <v>0</v>
      </c>
      <c r="AR140" s="142">
        <f>AJ140*Valores!$C$71</f>
        <v>-2090.3340374999998</v>
      </c>
      <c r="AS140" s="142">
        <f>Valores!$C$95</f>
        <v>-193.38</v>
      </c>
      <c r="AT140" s="142">
        <f>IF($H$6=0,Valores!$C$96,(Valores!$C$96+$H$6*(Valores!$C$96)))</f>
        <v>-129</v>
      </c>
      <c r="AU140" s="146">
        <f t="shared" si="31"/>
        <v>42565.328037499996</v>
      </c>
      <c r="AV140" s="199">
        <f t="shared" si="24"/>
        <v>-5109.7054249999992</v>
      </c>
      <c r="AW140" s="142">
        <f>AJ140*Valores!$C$72</f>
        <v>-1254.2004224999998</v>
      </c>
      <c r="AX140" s="142">
        <f>AJ140*Valores!$C$73</f>
        <v>-139.35560249999997</v>
      </c>
      <c r="AY140" s="146">
        <f t="shared" si="32"/>
        <v>43584.486049999992</v>
      </c>
      <c r="AZ140" s="150">
        <v>6</v>
      </c>
      <c r="BA140" s="150"/>
      <c r="BB140" s="135" t="s">
        <v>4</v>
      </c>
    </row>
    <row r="141" spans="1:54" s="114" customFormat="1" ht="11.25" customHeight="1" x14ac:dyDescent="0.15">
      <c r="A141" s="134">
        <v>138</v>
      </c>
      <c r="B141" s="134"/>
      <c r="C141" s="135" t="s">
        <v>392</v>
      </c>
      <c r="D141" s="135"/>
      <c r="E141" s="135">
        <f t="shared" si="25"/>
        <v>31</v>
      </c>
      <c r="F141" s="136" t="s">
        <v>393</v>
      </c>
      <c r="G141" s="137">
        <v>1278</v>
      </c>
      <c r="H141" s="138">
        <f>INT((G141*Valores!$C$2*100)+0.5)/100</f>
        <v>15881.32</v>
      </c>
      <c r="I141" s="156">
        <v>0</v>
      </c>
      <c r="J141" s="140">
        <f>INT((I141*Valores!$C$2*100)+0.5)/100</f>
        <v>0</v>
      </c>
      <c r="K141" s="155">
        <v>0</v>
      </c>
      <c r="L141" s="140">
        <f>INT((K141*Valores!$C$2*100)+0.5)/100</f>
        <v>0</v>
      </c>
      <c r="M141" s="153">
        <v>0</v>
      </c>
      <c r="N141" s="140">
        <f>INT((M141*Valores!$C$2*100)+0.5)/100</f>
        <v>0</v>
      </c>
      <c r="O141" s="140">
        <f t="shared" si="26"/>
        <v>3575.6655000000001</v>
      </c>
      <c r="P141" s="140">
        <f t="shared" si="27"/>
        <v>0</v>
      </c>
      <c r="Q141" s="154">
        <f>Valores!$C$21</f>
        <v>10738.26</v>
      </c>
      <c r="R141" s="154">
        <f>Valores!$D$4</f>
        <v>6352.5280000000002</v>
      </c>
      <c r="S141" s="140">
        <v>0</v>
      </c>
      <c r="T141" s="143">
        <f>IF($H$5="NO",Valores!$C$44,Valores!$C$44/2)</f>
        <v>2105.77</v>
      </c>
      <c r="U141" s="154">
        <f>Valores!$C$26</f>
        <v>5850.68</v>
      </c>
      <c r="V141" s="140">
        <f t="shared" si="23"/>
        <v>5850.68</v>
      </c>
      <c r="W141" s="140">
        <v>0</v>
      </c>
      <c r="X141" s="140">
        <v>0</v>
      </c>
      <c r="Y141" s="144">
        <v>0</v>
      </c>
      <c r="Z141" s="140">
        <f>Y141*Valores!$C$2</f>
        <v>0</v>
      </c>
      <c r="AA141" s="140">
        <v>0</v>
      </c>
      <c r="AB141" s="143">
        <f>Valores!$C$90</f>
        <v>2220.0100000000002</v>
      </c>
      <c r="AC141" s="145">
        <f>Valores!$C$31</f>
        <v>259.82</v>
      </c>
      <c r="AD141" s="140">
        <f t="shared" si="29"/>
        <v>0</v>
      </c>
      <c r="AE141" s="140">
        <f>Valores!$C$32</f>
        <v>259.82</v>
      </c>
      <c r="AF141" s="144">
        <v>0</v>
      </c>
      <c r="AG141" s="140">
        <f>INT(((AF141*Valores!$C$2)*100)+0.5)/100</f>
        <v>0</v>
      </c>
      <c r="AH141" s="140">
        <f>IF($H$5="NO",Valores!$C$60,Valores!$C$60/2)</f>
        <v>528.49</v>
      </c>
      <c r="AI141" s="140">
        <f>IF($H$5="NO",Valores!$C$62,Valores!$C$62/2)</f>
        <v>151</v>
      </c>
      <c r="AJ141" s="146">
        <f t="shared" si="30"/>
        <v>47923.363499999992</v>
      </c>
      <c r="AK141" s="154">
        <f>Valores!$C$37</f>
        <v>1360.88</v>
      </c>
      <c r="AL141" s="143">
        <f>Valores!$C$85</f>
        <v>2275</v>
      </c>
      <c r="AM141" s="143"/>
      <c r="AN141" s="145">
        <f>(IF($H$4="NO",0,Valores!$C$55))</f>
        <v>0</v>
      </c>
      <c r="AO141" s="147">
        <f t="shared" si="28"/>
        <v>3635.88</v>
      </c>
      <c r="AP141" s="148">
        <f>AJ141*Valores!$C$69</f>
        <v>-5271.5699849999992</v>
      </c>
      <c r="AQ141" s="149">
        <f>AJ141*-Valores!$C$70</f>
        <v>0</v>
      </c>
      <c r="AR141" s="142">
        <f>AJ141*Valores!$C$71</f>
        <v>-2156.5513574999995</v>
      </c>
      <c r="AS141" s="142">
        <f>Valores!$C$95</f>
        <v>-193.38</v>
      </c>
      <c r="AT141" s="142">
        <f>IF($H$6=0,Valores!$C$96,(Valores!$C$96+$H$6*(Valores!$C$96)))</f>
        <v>-129</v>
      </c>
      <c r="AU141" s="146">
        <f t="shared" si="31"/>
        <v>43808.74215749999</v>
      </c>
      <c r="AV141" s="199">
        <f t="shared" si="24"/>
        <v>-5271.5699849999992</v>
      </c>
      <c r="AW141" s="142">
        <f>AJ141*Valores!$C$72</f>
        <v>-1293.9308144999998</v>
      </c>
      <c r="AX141" s="142">
        <f>AJ141*Valores!$C$73</f>
        <v>-143.77009049999998</v>
      </c>
      <c r="AY141" s="146">
        <f t="shared" si="32"/>
        <v>44849.97260999999</v>
      </c>
      <c r="AZ141" s="150">
        <v>12</v>
      </c>
      <c r="BA141" s="150">
        <v>15</v>
      </c>
      <c r="BB141" s="135" t="s">
        <v>4</v>
      </c>
    </row>
    <row r="142" spans="1:54" s="114" customFormat="1" ht="11.25" customHeight="1" x14ac:dyDescent="0.15">
      <c r="A142" s="134">
        <v>139</v>
      </c>
      <c r="B142" s="134"/>
      <c r="C142" s="135" t="s">
        <v>394</v>
      </c>
      <c r="D142" s="135"/>
      <c r="E142" s="135">
        <f t="shared" si="25"/>
        <v>33</v>
      </c>
      <c r="F142" s="136" t="s">
        <v>395</v>
      </c>
      <c r="G142" s="137">
        <v>1983</v>
      </c>
      <c r="H142" s="138">
        <f>INT((G142*Valores!$C$2*100)+0.5)/100</f>
        <v>24642.15</v>
      </c>
      <c r="I142" s="156">
        <v>0</v>
      </c>
      <c r="J142" s="140">
        <f>INT((I142*Valores!$C$2*100)+0.5)/100</f>
        <v>0</v>
      </c>
      <c r="K142" s="155">
        <v>0</v>
      </c>
      <c r="L142" s="140">
        <f>INT((K142*Valores!$C$2*100)+0.5)/100</f>
        <v>0</v>
      </c>
      <c r="M142" s="153">
        <v>0</v>
      </c>
      <c r="N142" s="140">
        <f>INT((M142*Valores!$C$2*100)+0.5)/100</f>
        <v>0</v>
      </c>
      <c r="O142" s="140">
        <f t="shared" si="26"/>
        <v>4898.8545000000004</v>
      </c>
      <c r="P142" s="140">
        <f t="shared" si="27"/>
        <v>0</v>
      </c>
      <c r="Q142" s="154">
        <f>Valores!$C$15</f>
        <v>12990.26</v>
      </c>
      <c r="R142" s="154">
        <f>Valores!$D$4</f>
        <v>6352.5280000000002</v>
      </c>
      <c r="S142" s="154">
        <f>Valores!$C$28</f>
        <v>5667.45</v>
      </c>
      <c r="T142" s="143">
        <f>IF($H$5="NO",Valores!$C$44,Valores!$C$44/2)</f>
        <v>2105.77</v>
      </c>
      <c r="U142" s="140">
        <f>Valores!$C$25</f>
        <v>5911.11</v>
      </c>
      <c r="V142" s="140">
        <f t="shared" si="23"/>
        <v>5911.11</v>
      </c>
      <c r="W142" s="140">
        <v>0</v>
      </c>
      <c r="X142" s="140">
        <v>0</v>
      </c>
      <c r="Y142" s="144">
        <v>0</v>
      </c>
      <c r="Z142" s="140">
        <f>Y142*Valores!$C$2</f>
        <v>0</v>
      </c>
      <c r="AA142" s="140">
        <v>0</v>
      </c>
      <c r="AB142" s="143">
        <f>Valores!$C$90</f>
        <v>2220.0100000000002</v>
      </c>
      <c r="AC142" s="145">
        <f>Valores!$C$31</f>
        <v>259.82</v>
      </c>
      <c r="AD142" s="140">
        <f t="shared" si="29"/>
        <v>0</v>
      </c>
      <c r="AE142" s="140">
        <f>Valores!$C$32</f>
        <v>259.82</v>
      </c>
      <c r="AF142" s="144">
        <v>94</v>
      </c>
      <c r="AG142" s="140">
        <f>INT(((AF142*Valores!$C$2)*100)+0.5)/100</f>
        <v>1168.1099999999999</v>
      </c>
      <c r="AH142" s="140">
        <f>IF($H$5="NO",Valores!$C$60,Valores!$C$60/2)</f>
        <v>528.49</v>
      </c>
      <c r="AI142" s="140">
        <f>IF($H$5="NO",Valores!$C$62,Valores!$C$62/2)</f>
        <v>151</v>
      </c>
      <c r="AJ142" s="146">
        <f t="shared" si="30"/>
        <v>67155.372499999998</v>
      </c>
      <c r="AK142" s="154">
        <f>Valores!$C$37</f>
        <v>1360.88</v>
      </c>
      <c r="AL142" s="143">
        <f>Valores!$C$85</f>
        <v>2275</v>
      </c>
      <c r="AM142" s="143"/>
      <c r="AN142" s="145">
        <f>IF($H$4="NO",0,Valores!$C$53)</f>
        <v>0</v>
      </c>
      <c r="AO142" s="147">
        <f t="shared" si="28"/>
        <v>3635.88</v>
      </c>
      <c r="AP142" s="148">
        <f>AJ142*Valores!$C$69</f>
        <v>-7387.0909750000001</v>
      </c>
      <c r="AQ142" s="149">
        <f>AJ142*-Valores!$C$70</f>
        <v>0</v>
      </c>
      <c r="AR142" s="142">
        <f>AJ142*Valores!$C$71</f>
        <v>-3021.9917624999998</v>
      </c>
      <c r="AS142" s="142">
        <f>Valores!$C$95</f>
        <v>-193.38</v>
      </c>
      <c r="AT142" s="142">
        <f>IF($H$6=0,Valores!$C$96,(Valores!$C$96+$H$6*(Valores!$C$96)))</f>
        <v>-129</v>
      </c>
      <c r="AU142" s="146">
        <f t="shared" si="31"/>
        <v>60059.789762499997</v>
      </c>
      <c r="AV142" s="199">
        <f t="shared" si="24"/>
        <v>-7387.0909750000001</v>
      </c>
      <c r="AW142" s="142">
        <f>AJ142*Valores!$C$72</f>
        <v>-1813.1950574999998</v>
      </c>
      <c r="AX142" s="142">
        <f>AJ142*Valores!$C$73</f>
        <v>-201.4661175</v>
      </c>
      <c r="AY142" s="146">
        <f t="shared" si="32"/>
        <v>61389.500350000002</v>
      </c>
      <c r="AZ142" s="150"/>
      <c r="BA142" s="150"/>
      <c r="BB142" s="135" t="s">
        <v>8</v>
      </c>
    </row>
    <row r="143" spans="1:54" s="114" customFormat="1" ht="11.25" customHeight="1" x14ac:dyDescent="0.15">
      <c r="A143" s="152">
        <v>140</v>
      </c>
      <c r="B143" s="152" t="s">
        <v>139</v>
      </c>
      <c r="C143" s="135" t="s">
        <v>396</v>
      </c>
      <c r="D143" s="135"/>
      <c r="E143" s="135">
        <f t="shared" si="25"/>
        <v>29</v>
      </c>
      <c r="F143" s="136" t="s">
        <v>397</v>
      </c>
      <c r="G143" s="137">
        <v>1378</v>
      </c>
      <c r="H143" s="138">
        <f>INT((G143*Valores!$C$2*100)+0.5)/100</f>
        <v>17123.990000000002</v>
      </c>
      <c r="I143" s="156">
        <v>0</v>
      </c>
      <c r="J143" s="140">
        <f>INT((I143*Valores!$C$2*100)+0.5)/100</f>
        <v>0</v>
      </c>
      <c r="K143" s="155">
        <v>0</v>
      </c>
      <c r="L143" s="140">
        <f>INT((K143*Valores!$C$2*100)+0.5)/100</f>
        <v>0</v>
      </c>
      <c r="M143" s="153">
        <v>0</v>
      </c>
      <c r="N143" s="140">
        <f>INT((M143*Valores!$C$2*100)+0.5)/100</f>
        <v>0</v>
      </c>
      <c r="O143" s="140">
        <f t="shared" si="26"/>
        <v>3762.0660000000003</v>
      </c>
      <c r="P143" s="140">
        <f t="shared" si="27"/>
        <v>0</v>
      </c>
      <c r="Q143" s="154">
        <f>Valores!$C$21</f>
        <v>10738.26</v>
      </c>
      <c r="R143" s="154">
        <f>Valores!$D$4</f>
        <v>6352.5280000000002</v>
      </c>
      <c r="S143" s="154">
        <f>Valores!$C$28</f>
        <v>5667.45</v>
      </c>
      <c r="T143" s="143">
        <f>IF($H$5="NO",Valores!$C$44,Valores!$C$44/2)</f>
        <v>2105.77</v>
      </c>
      <c r="U143" s="154">
        <f>Valores!$C$26</f>
        <v>5850.68</v>
      </c>
      <c r="V143" s="140">
        <f t="shared" si="23"/>
        <v>5850.68</v>
      </c>
      <c r="W143" s="140">
        <v>0</v>
      </c>
      <c r="X143" s="140">
        <v>0</v>
      </c>
      <c r="Y143" s="144">
        <v>0</v>
      </c>
      <c r="Z143" s="140">
        <f>Y143*Valores!$C$2</f>
        <v>0</v>
      </c>
      <c r="AA143" s="140">
        <v>0</v>
      </c>
      <c r="AB143" s="143">
        <f>Valores!$C$90</f>
        <v>2220.0100000000002</v>
      </c>
      <c r="AC143" s="145">
        <f>Valores!$C$31</f>
        <v>259.82</v>
      </c>
      <c r="AD143" s="140">
        <f t="shared" si="29"/>
        <v>0</v>
      </c>
      <c r="AE143" s="140">
        <f>Valores!$C$32</f>
        <v>259.82</v>
      </c>
      <c r="AF143" s="144">
        <v>0</v>
      </c>
      <c r="AG143" s="140">
        <f>INT(((AF143*Valores!$C$2)*100)+0.5)/100</f>
        <v>0</v>
      </c>
      <c r="AH143" s="140">
        <f>IF($H$5="NO",Valores!$C$60,Valores!$C$60/2)</f>
        <v>528.49</v>
      </c>
      <c r="AI143" s="140">
        <f>IF($H$5="NO",Valores!$C$62,Valores!$C$62/2)</f>
        <v>151</v>
      </c>
      <c r="AJ143" s="146">
        <f t="shared" si="30"/>
        <v>55019.883999999991</v>
      </c>
      <c r="AK143" s="154">
        <f>Valores!$C$37</f>
        <v>1360.88</v>
      </c>
      <c r="AL143" s="143">
        <f>Valores!$C$85</f>
        <v>2275</v>
      </c>
      <c r="AM143" s="143"/>
      <c r="AN143" s="145">
        <f>IF($H$4="NO",0,Valores!$C$53)</f>
        <v>0</v>
      </c>
      <c r="AO143" s="147">
        <f t="shared" si="28"/>
        <v>3635.88</v>
      </c>
      <c r="AP143" s="148">
        <f>AJ143*Valores!$C$69</f>
        <v>-6052.1872399999993</v>
      </c>
      <c r="AQ143" s="149">
        <f>AJ143*-Valores!$C$70</f>
        <v>0</v>
      </c>
      <c r="AR143" s="142">
        <f>AJ143*Valores!$C$71</f>
        <v>-2475.8947799999996</v>
      </c>
      <c r="AS143" s="142">
        <f>Valores!$C$95</f>
        <v>-193.38</v>
      </c>
      <c r="AT143" s="142">
        <f>IF($H$6=0,Valores!$C$96,(Valores!$C$96+$H$6*(Valores!$C$96)))</f>
        <v>-129</v>
      </c>
      <c r="AU143" s="146">
        <f t="shared" si="31"/>
        <v>49805.301979999989</v>
      </c>
      <c r="AV143" s="199">
        <f t="shared" si="24"/>
        <v>-6052.1872399999993</v>
      </c>
      <c r="AW143" s="142">
        <f>AJ143*Valores!$C$72</f>
        <v>-1485.5368679999997</v>
      </c>
      <c r="AX143" s="142">
        <f>AJ143*Valores!$C$73</f>
        <v>-165.05965199999997</v>
      </c>
      <c r="AY143" s="146">
        <f t="shared" si="32"/>
        <v>50952.98023999999</v>
      </c>
      <c r="AZ143" s="150"/>
      <c r="BA143" s="150">
        <v>22</v>
      </c>
      <c r="BB143" s="135" t="s">
        <v>4</v>
      </c>
    </row>
    <row r="144" spans="1:54" s="114" customFormat="1" ht="11.25" customHeight="1" x14ac:dyDescent="0.15">
      <c r="A144" s="134">
        <v>141</v>
      </c>
      <c r="B144" s="134"/>
      <c r="C144" s="135" t="s">
        <v>398</v>
      </c>
      <c r="D144" s="135"/>
      <c r="E144" s="135">
        <f t="shared" si="25"/>
        <v>30</v>
      </c>
      <c r="F144" s="136" t="s">
        <v>399</v>
      </c>
      <c r="G144" s="137">
        <v>1278</v>
      </c>
      <c r="H144" s="138">
        <f>INT((G144*Valores!$C$2*100)+0.5)/100</f>
        <v>15881.32</v>
      </c>
      <c r="I144" s="156">
        <v>0</v>
      </c>
      <c r="J144" s="140">
        <f>INT((I144*Valores!$C$2*100)+0.5)/100</f>
        <v>0</v>
      </c>
      <c r="K144" s="155">
        <v>0</v>
      </c>
      <c r="L144" s="140">
        <f>INT((K144*Valores!$C$2*100)+0.5)/100</f>
        <v>0</v>
      </c>
      <c r="M144" s="153">
        <v>0</v>
      </c>
      <c r="N144" s="140">
        <f>INT((M144*Valores!$C$2*100)+0.5)/100</f>
        <v>0</v>
      </c>
      <c r="O144" s="140">
        <f t="shared" si="26"/>
        <v>3584.73</v>
      </c>
      <c r="P144" s="140">
        <f t="shared" si="27"/>
        <v>0</v>
      </c>
      <c r="Q144" s="154">
        <f>Valores!$C$21</f>
        <v>10738.26</v>
      </c>
      <c r="R144" s="154">
        <f>Valores!$D$4</f>
        <v>6352.5280000000002</v>
      </c>
      <c r="S144" s="140">
        <f>Valores!$C$28</f>
        <v>5667.45</v>
      </c>
      <c r="T144" s="143">
        <f>IF($H$5="NO",Valores!$C$44,Valores!$C$44/2)</f>
        <v>2105.77</v>
      </c>
      <c r="U144" s="140">
        <f>Valores!$C$25</f>
        <v>5911.11</v>
      </c>
      <c r="V144" s="140">
        <f t="shared" si="23"/>
        <v>5911.11</v>
      </c>
      <c r="W144" s="140">
        <v>0</v>
      </c>
      <c r="X144" s="140">
        <v>0</v>
      </c>
      <c r="Y144" s="144">
        <v>0</v>
      </c>
      <c r="Z144" s="140">
        <f>Y144*Valores!$C$2</f>
        <v>0</v>
      </c>
      <c r="AA144" s="140">
        <v>0</v>
      </c>
      <c r="AB144" s="143">
        <f>Valores!$C$90</f>
        <v>2220.0100000000002</v>
      </c>
      <c r="AC144" s="145">
        <f>Valores!$C$31</f>
        <v>259.82</v>
      </c>
      <c r="AD144" s="140">
        <f t="shared" si="29"/>
        <v>0</v>
      </c>
      <c r="AE144" s="140">
        <f>Valores!$C$32</f>
        <v>259.82</v>
      </c>
      <c r="AF144" s="144">
        <v>0</v>
      </c>
      <c r="AG144" s="140">
        <f>INT(((AF144*Valores!$C$2)*100)+0.5)/100</f>
        <v>0</v>
      </c>
      <c r="AH144" s="140">
        <f>IF($H$5="NO",Valores!$C$60,Valores!$C$60/2)</f>
        <v>528.49</v>
      </c>
      <c r="AI144" s="140">
        <f>IF($H$5="NO",Valores!$C$62,Valores!$C$62/2)</f>
        <v>151</v>
      </c>
      <c r="AJ144" s="146">
        <f t="shared" si="30"/>
        <v>53660.30799999999</v>
      </c>
      <c r="AK144" s="154">
        <f>Valores!$C$37</f>
        <v>1360.88</v>
      </c>
      <c r="AL144" s="143">
        <f>Valores!$C$85</f>
        <v>2275</v>
      </c>
      <c r="AM144" s="143"/>
      <c r="AN144" s="145">
        <f>IF($H$4="NO",0,Valores!$C$53)</f>
        <v>0</v>
      </c>
      <c r="AO144" s="147">
        <f t="shared" si="28"/>
        <v>3635.88</v>
      </c>
      <c r="AP144" s="148">
        <f>AJ144*Valores!$C$69</f>
        <v>-5902.6338799999985</v>
      </c>
      <c r="AQ144" s="149">
        <f>AJ144*-Valores!$C$70</f>
        <v>0</v>
      </c>
      <c r="AR144" s="142">
        <f>AJ144*Valores!$C$71</f>
        <v>-2414.7138599999994</v>
      </c>
      <c r="AS144" s="142">
        <f>Valores!$C$95</f>
        <v>-193.38</v>
      </c>
      <c r="AT144" s="142">
        <f>IF($H$6=0,Valores!$C$96,(Valores!$C$96+$H$6*(Valores!$C$96)))</f>
        <v>-129</v>
      </c>
      <c r="AU144" s="146">
        <f t="shared" si="31"/>
        <v>48656.460259999993</v>
      </c>
      <c r="AV144" s="199">
        <f t="shared" si="24"/>
        <v>-5902.6338799999985</v>
      </c>
      <c r="AW144" s="142">
        <f>AJ144*Valores!$C$72</f>
        <v>-1448.8283159999996</v>
      </c>
      <c r="AX144" s="142">
        <f>AJ144*Valores!$C$73</f>
        <v>-160.98092399999999</v>
      </c>
      <c r="AY144" s="146">
        <f t="shared" si="32"/>
        <v>49783.744879999991</v>
      </c>
      <c r="AZ144" s="150"/>
      <c r="BA144" s="150">
        <v>22</v>
      </c>
      <c r="BB144" s="135" t="s">
        <v>4</v>
      </c>
    </row>
    <row r="145" spans="1:54" s="114" customFormat="1" ht="11.25" customHeight="1" x14ac:dyDescent="0.15">
      <c r="A145" s="134">
        <v>142</v>
      </c>
      <c r="B145" s="134"/>
      <c r="C145" s="135" t="s">
        <v>400</v>
      </c>
      <c r="D145" s="135"/>
      <c r="E145" s="135">
        <f t="shared" si="25"/>
        <v>31</v>
      </c>
      <c r="F145" s="136" t="s">
        <v>401</v>
      </c>
      <c r="G145" s="137">
        <v>1278</v>
      </c>
      <c r="H145" s="138">
        <f>INT((G145*Valores!$C$2*100)+0.5)/100</f>
        <v>15881.32</v>
      </c>
      <c r="I145" s="156">
        <v>0</v>
      </c>
      <c r="J145" s="140">
        <f>INT((I145*Valores!$C$2*100)+0.5)/100</f>
        <v>0</v>
      </c>
      <c r="K145" s="155">
        <v>0</v>
      </c>
      <c r="L145" s="140">
        <f>INT((K145*Valores!$C$2*100)+0.5)/100</f>
        <v>0</v>
      </c>
      <c r="M145" s="153">
        <v>0</v>
      </c>
      <c r="N145" s="140">
        <f>INT((M145*Valores!$C$2*100)+0.5)/100</f>
        <v>0</v>
      </c>
      <c r="O145" s="140">
        <f t="shared" si="26"/>
        <v>3417.7327499999997</v>
      </c>
      <c r="P145" s="140">
        <f t="shared" si="27"/>
        <v>0</v>
      </c>
      <c r="Q145" s="154">
        <f>Valores!$C$21</f>
        <v>10738.26</v>
      </c>
      <c r="R145" s="154">
        <f>Valores!$D$4</f>
        <v>6352.5280000000002</v>
      </c>
      <c r="S145" s="154">
        <f>Valores!$C$28</f>
        <v>5667.45</v>
      </c>
      <c r="T145" s="143">
        <f>Valores!$C$44/2</f>
        <v>1052.885</v>
      </c>
      <c r="U145" s="154">
        <f>Valores!$C$26</f>
        <v>5850.68</v>
      </c>
      <c r="V145" s="140">
        <f t="shared" si="23"/>
        <v>5850.68</v>
      </c>
      <c r="W145" s="140">
        <v>0</v>
      </c>
      <c r="X145" s="140">
        <v>0</v>
      </c>
      <c r="Y145" s="144">
        <v>0</v>
      </c>
      <c r="Z145" s="140">
        <f>Y145*Valores!$C$2</f>
        <v>0</v>
      </c>
      <c r="AA145" s="140">
        <v>0</v>
      </c>
      <c r="AB145" s="143">
        <f>Valores!$C$90</f>
        <v>2220.0100000000002</v>
      </c>
      <c r="AC145" s="145">
        <f>Valores!$C$31</f>
        <v>259.82</v>
      </c>
      <c r="AD145" s="140">
        <f t="shared" si="29"/>
        <v>0</v>
      </c>
      <c r="AE145" s="140">
        <f>Valores!$C$32</f>
        <v>259.82</v>
      </c>
      <c r="AF145" s="144">
        <v>0</v>
      </c>
      <c r="AG145" s="140">
        <f>INT(((AF145*Valores!$C$2)*100)+0.5)/100</f>
        <v>0</v>
      </c>
      <c r="AH145" s="140">
        <f>Valores!$C$60/2</f>
        <v>264.245</v>
      </c>
      <c r="AI145" s="140">
        <f>Valores!$C$62/2</f>
        <v>75.5</v>
      </c>
      <c r="AJ145" s="146">
        <f t="shared" si="30"/>
        <v>52040.250749999999</v>
      </c>
      <c r="AK145" s="154">
        <f>Valores!$C$37</f>
        <v>1360.88</v>
      </c>
      <c r="AL145" s="143">
        <f>Valores!$C$85</f>
        <v>2275</v>
      </c>
      <c r="AM145" s="143"/>
      <c r="AN145" s="145">
        <f>IF($H$4="NO",0,Valores!$C$53)</f>
        <v>0</v>
      </c>
      <c r="AO145" s="147">
        <f t="shared" si="28"/>
        <v>3635.88</v>
      </c>
      <c r="AP145" s="148">
        <f>AJ145*Valores!$C$69</f>
        <v>-5724.4275824999995</v>
      </c>
      <c r="AQ145" s="149">
        <f>AJ145*-Valores!$C$70</f>
        <v>0</v>
      </c>
      <c r="AR145" s="142">
        <f>AJ145*Valores!$C$71</f>
        <v>-2341.8112837499998</v>
      </c>
      <c r="AS145" s="142">
        <f>Valores!$C$95</f>
        <v>-193.38</v>
      </c>
      <c r="AT145" s="142">
        <f>IF($H$6=0,Valores!$C$96,(Valores!$C$96+$H$6*(Valores!$C$96)))</f>
        <v>-129</v>
      </c>
      <c r="AU145" s="146">
        <f t="shared" si="31"/>
        <v>47287.511883749998</v>
      </c>
      <c r="AV145" s="199">
        <f t="shared" si="24"/>
        <v>-5724.4275824999995</v>
      </c>
      <c r="AW145" s="142">
        <f>AJ145*Valores!$C$72</f>
        <v>-1405.08677025</v>
      </c>
      <c r="AX145" s="142">
        <f>AJ145*Valores!$C$73</f>
        <v>-156.12075225000001</v>
      </c>
      <c r="AY145" s="146">
        <f t="shared" si="32"/>
        <v>48390.495644999995</v>
      </c>
      <c r="AZ145" s="150"/>
      <c r="BA145" s="150"/>
      <c r="BB145" s="135" t="s">
        <v>8</v>
      </c>
    </row>
    <row r="146" spans="1:54" s="114" customFormat="1" ht="11.25" customHeight="1" x14ac:dyDescent="0.15">
      <c r="A146" s="134">
        <v>143</v>
      </c>
      <c r="B146" s="134"/>
      <c r="C146" s="135" t="s">
        <v>402</v>
      </c>
      <c r="D146" s="135"/>
      <c r="E146" s="135">
        <f t="shared" si="25"/>
        <v>19</v>
      </c>
      <c r="F146" s="136" t="s">
        <v>403</v>
      </c>
      <c r="G146" s="137">
        <v>1278</v>
      </c>
      <c r="H146" s="138">
        <f>INT((G146*Valores!$C$2*100)+0.5)/100</f>
        <v>15881.32</v>
      </c>
      <c r="I146" s="156">
        <v>0</v>
      </c>
      <c r="J146" s="140">
        <f>INT((I146*Valores!$C$2*100)+0.5)/100</f>
        <v>0</v>
      </c>
      <c r="K146" s="155">
        <v>0</v>
      </c>
      <c r="L146" s="140">
        <f>INT((K146*Valores!$C$2*100)+0.5)/100</f>
        <v>0</v>
      </c>
      <c r="M146" s="153">
        <v>0</v>
      </c>
      <c r="N146" s="140">
        <f>INT((M146*Valores!$C$2*100)+0.5)/100</f>
        <v>0</v>
      </c>
      <c r="O146" s="140">
        <f t="shared" si="26"/>
        <v>3584.73</v>
      </c>
      <c r="P146" s="140">
        <f t="shared" si="27"/>
        <v>0</v>
      </c>
      <c r="Q146" s="154">
        <f>Valores!$C$21</f>
        <v>10738.26</v>
      </c>
      <c r="R146" s="154">
        <f>Valores!$D$4</f>
        <v>6352.5280000000002</v>
      </c>
      <c r="S146" s="154">
        <f>Valores!$C$28</f>
        <v>5667.45</v>
      </c>
      <c r="T146" s="143">
        <f>IF($H$5="NO",Valores!$C$44,Valores!$C$44/2)</f>
        <v>2105.77</v>
      </c>
      <c r="U146" s="140">
        <f>Valores!$C$25</f>
        <v>5911.11</v>
      </c>
      <c r="V146" s="140">
        <f t="shared" si="23"/>
        <v>5911.11</v>
      </c>
      <c r="W146" s="140">
        <v>0</v>
      </c>
      <c r="X146" s="140">
        <v>0</v>
      </c>
      <c r="Y146" s="144">
        <v>0</v>
      </c>
      <c r="Z146" s="140">
        <f>Y146*Valores!$C$2</f>
        <v>0</v>
      </c>
      <c r="AA146" s="140">
        <v>0</v>
      </c>
      <c r="AB146" s="143">
        <f>Valores!$C$90</f>
        <v>2220.0100000000002</v>
      </c>
      <c r="AC146" s="145">
        <f>Valores!$C$31</f>
        <v>259.82</v>
      </c>
      <c r="AD146" s="140">
        <f t="shared" si="29"/>
        <v>0</v>
      </c>
      <c r="AE146" s="140">
        <f>Valores!$C$32</f>
        <v>259.82</v>
      </c>
      <c r="AF146" s="144">
        <v>0</v>
      </c>
      <c r="AG146" s="140">
        <f>INT(((AF146*Valores!$C$2)*100)+0.5)/100</f>
        <v>0</v>
      </c>
      <c r="AH146" s="140">
        <f>IF($H$5="NO",Valores!$C$60,Valores!$C$60/2)</f>
        <v>528.49</v>
      </c>
      <c r="AI146" s="140">
        <f>IF($H$5="NO",Valores!$C$62,Valores!$C$62/2)</f>
        <v>151</v>
      </c>
      <c r="AJ146" s="146">
        <f t="shared" si="30"/>
        <v>53660.30799999999</v>
      </c>
      <c r="AK146" s="154">
        <f>Valores!$C$37</f>
        <v>1360.88</v>
      </c>
      <c r="AL146" s="143">
        <f>Valores!$C$85</f>
        <v>2275</v>
      </c>
      <c r="AM146" s="143"/>
      <c r="AN146" s="145">
        <f>IF($H$4="NO",0,Valores!$C$53)</f>
        <v>0</v>
      </c>
      <c r="AO146" s="147">
        <f t="shared" si="28"/>
        <v>3635.88</v>
      </c>
      <c r="AP146" s="148">
        <f>AJ146*Valores!$C$69</f>
        <v>-5902.6338799999985</v>
      </c>
      <c r="AQ146" s="149">
        <f>AJ146*-Valores!$C$70</f>
        <v>0</v>
      </c>
      <c r="AR146" s="142">
        <f>AJ146*Valores!$C$71</f>
        <v>-2414.7138599999994</v>
      </c>
      <c r="AS146" s="142">
        <f>Valores!$C$95</f>
        <v>-193.38</v>
      </c>
      <c r="AT146" s="142">
        <f>IF($H$6=0,Valores!$C$96,(Valores!$C$96+$H$6*(Valores!$C$96)))</f>
        <v>-129</v>
      </c>
      <c r="AU146" s="146">
        <f t="shared" si="31"/>
        <v>48656.460259999993</v>
      </c>
      <c r="AV146" s="199">
        <f t="shared" si="24"/>
        <v>-5902.6338799999985</v>
      </c>
      <c r="AW146" s="142">
        <f>AJ146*Valores!$C$72</f>
        <v>-1448.8283159999996</v>
      </c>
      <c r="AX146" s="142">
        <f>AJ146*Valores!$C$73</f>
        <v>-160.98092399999999</v>
      </c>
      <c r="AY146" s="146">
        <f t="shared" si="32"/>
        <v>49783.744879999991</v>
      </c>
      <c r="AZ146" s="150"/>
      <c r="BA146" s="150"/>
      <c r="BB146" s="135" t="s">
        <v>4</v>
      </c>
    </row>
    <row r="147" spans="1:54" s="114" customFormat="1" ht="11.25" customHeight="1" x14ac:dyDescent="0.15">
      <c r="A147" s="134">
        <v>144</v>
      </c>
      <c r="B147" s="134"/>
      <c r="C147" s="135" t="s">
        <v>404</v>
      </c>
      <c r="D147" s="135"/>
      <c r="E147" s="135">
        <f t="shared" si="25"/>
        <v>29</v>
      </c>
      <c r="F147" s="136" t="s">
        <v>405</v>
      </c>
      <c r="G147" s="137">
        <v>1278</v>
      </c>
      <c r="H147" s="138">
        <f>INT((G147*Valores!$C$2*100)+0.5)/100</f>
        <v>15881.32</v>
      </c>
      <c r="I147" s="156">
        <v>0</v>
      </c>
      <c r="J147" s="140">
        <f>INT((I147*Valores!$C$2*100)+0.5)/100</f>
        <v>0</v>
      </c>
      <c r="K147" s="155">
        <v>0</v>
      </c>
      <c r="L147" s="140">
        <f>INT((K147*Valores!$C$2*100)+0.5)/100</f>
        <v>0</v>
      </c>
      <c r="M147" s="153">
        <v>0</v>
      </c>
      <c r="N147" s="140">
        <f>INT((M147*Valores!$C$2*100)+0.5)/100</f>
        <v>0</v>
      </c>
      <c r="O147" s="140">
        <f t="shared" si="26"/>
        <v>3584.73</v>
      </c>
      <c r="P147" s="140">
        <f t="shared" si="27"/>
        <v>0</v>
      </c>
      <c r="Q147" s="154">
        <f>Valores!$C$21</f>
        <v>10738.26</v>
      </c>
      <c r="R147" s="154">
        <f>Valores!$D$4</f>
        <v>6352.5280000000002</v>
      </c>
      <c r="S147" s="154">
        <f>Valores!$C$28</f>
        <v>5667.45</v>
      </c>
      <c r="T147" s="143">
        <f>IF($H$5="NO",Valores!$C$44,Valores!$C$44/2)</f>
        <v>2105.77</v>
      </c>
      <c r="U147" s="140">
        <f>Valores!$C$25</f>
        <v>5911.11</v>
      </c>
      <c r="V147" s="140">
        <f t="shared" si="23"/>
        <v>5911.11</v>
      </c>
      <c r="W147" s="140">
        <v>0</v>
      </c>
      <c r="X147" s="140">
        <v>0</v>
      </c>
      <c r="Y147" s="144">
        <v>0</v>
      </c>
      <c r="Z147" s="140">
        <f>Y147*Valores!$C$2</f>
        <v>0</v>
      </c>
      <c r="AA147" s="140">
        <v>0</v>
      </c>
      <c r="AB147" s="143">
        <f>Valores!$C$90</f>
        <v>2220.0100000000002</v>
      </c>
      <c r="AC147" s="145">
        <f>Valores!$C$31</f>
        <v>259.82</v>
      </c>
      <c r="AD147" s="140">
        <f t="shared" si="29"/>
        <v>0</v>
      </c>
      <c r="AE147" s="140">
        <f>Valores!$C$32</f>
        <v>259.82</v>
      </c>
      <c r="AF147" s="144">
        <v>0</v>
      </c>
      <c r="AG147" s="140">
        <f>INT(((AF147*Valores!$C$2)*100)+0.5)/100</f>
        <v>0</v>
      </c>
      <c r="AH147" s="140">
        <f>IF($H$5="NO",Valores!$C$60,Valores!$C$60/2)</f>
        <v>528.49</v>
      </c>
      <c r="AI147" s="140">
        <f>IF($H$5="NO",Valores!$C$62,Valores!$C$62/2)</f>
        <v>151</v>
      </c>
      <c r="AJ147" s="146">
        <f t="shared" si="30"/>
        <v>53660.30799999999</v>
      </c>
      <c r="AK147" s="154">
        <f>Valores!$C$37</f>
        <v>1360.88</v>
      </c>
      <c r="AL147" s="143">
        <f>Valores!$C$85</f>
        <v>2275</v>
      </c>
      <c r="AM147" s="143"/>
      <c r="AN147" s="145">
        <f>IF($H$4="NO",0,Valores!$C$53)</f>
        <v>0</v>
      </c>
      <c r="AO147" s="147">
        <f t="shared" si="28"/>
        <v>3635.88</v>
      </c>
      <c r="AP147" s="148">
        <f>AJ147*Valores!$C$69</f>
        <v>-5902.6338799999985</v>
      </c>
      <c r="AQ147" s="149">
        <f>AJ147*-Valores!$C$70</f>
        <v>0</v>
      </c>
      <c r="AR147" s="142">
        <f>AJ147*Valores!$C$71</f>
        <v>-2414.7138599999994</v>
      </c>
      <c r="AS147" s="142">
        <f>Valores!$C$95</f>
        <v>-193.38</v>
      </c>
      <c r="AT147" s="142">
        <f>IF($H$6=0,Valores!$C$96,(Valores!$C$96+$H$6*(Valores!$C$96)))</f>
        <v>-129</v>
      </c>
      <c r="AU147" s="146">
        <f t="shared" si="31"/>
        <v>48656.460259999993</v>
      </c>
      <c r="AV147" s="199">
        <f t="shared" si="24"/>
        <v>-5902.6338799999985</v>
      </c>
      <c r="AW147" s="142">
        <f>AJ147*Valores!$C$72</f>
        <v>-1448.8283159999996</v>
      </c>
      <c r="AX147" s="142">
        <f>AJ147*Valores!$C$73</f>
        <v>-160.98092399999999</v>
      </c>
      <c r="AY147" s="146">
        <f t="shared" si="32"/>
        <v>49783.744879999991</v>
      </c>
      <c r="AZ147" s="150"/>
      <c r="BA147" s="150">
        <v>20</v>
      </c>
      <c r="BB147" s="135" t="s">
        <v>4</v>
      </c>
    </row>
    <row r="148" spans="1:54" s="114" customFormat="1" ht="11.25" customHeight="1" x14ac:dyDescent="0.15">
      <c r="A148" s="152">
        <v>145</v>
      </c>
      <c r="B148" s="152" t="s">
        <v>139</v>
      </c>
      <c r="C148" s="135" t="s">
        <v>406</v>
      </c>
      <c r="D148" s="135"/>
      <c r="E148" s="135">
        <f t="shared" si="25"/>
        <v>31</v>
      </c>
      <c r="F148" s="136" t="s">
        <v>407</v>
      </c>
      <c r="G148" s="137">
        <v>1278</v>
      </c>
      <c r="H148" s="138">
        <f>INT((G148*Valores!$C$2*100)+0.5)/100</f>
        <v>15881.32</v>
      </c>
      <c r="I148" s="156">
        <v>0</v>
      </c>
      <c r="J148" s="140">
        <f>INT((I148*Valores!$C$2*100)+0.5)/100</f>
        <v>0</v>
      </c>
      <c r="K148" s="155">
        <v>0</v>
      </c>
      <c r="L148" s="140">
        <f>INT((K148*Valores!$C$2*100)+0.5)/100</f>
        <v>0</v>
      </c>
      <c r="M148" s="153">
        <v>0</v>
      </c>
      <c r="N148" s="140">
        <f>INT((M148*Valores!$C$2*100)+0.5)/100</f>
        <v>0</v>
      </c>
      <c r="O148" s="140">
        <f t="shared" si="26"/>
        <v>3584.73</v>
      </c>
      <c r="P148" s="140">
        <f t="shared" si="27"/>
        <v>0</v>
      </c>
      <c r="Q148" s="154">
        <f>Valores!$C$21</f>
        <v>10738.26</v>
      </c>
      <c r="R148" s="154">
        <f>Valores!$D$4</f>
        <v>6352.5280000000002</v>
      </c>
      <c r="S148" s="154">
        <f>Valores!$C$28</f>
        <v>5667.45</v>
      </c>
      <c r="T148" s="143">
        <f>IF($H$5="NO",Valores!$C$44,Valores!$C$44/2)</f>
        <v>2105.77</v>
      </c>
      <c r="U148" s="140">
        <f>Valores!$C$25</f>
        <v>5911.11</v>
      </c>
      <c r="V148" s="140">
        <f t="shared" si="23"/>
        <v>5911.11</v>
      </c>
      <c r="W148" s="140">
        <v>0</v>
      </c>
      <c r="X148" s="140">
        <v>0</v>
      </c>
      <c r="Y148" s="144">
        <v>0</v>
      </c>
      <c r="Z148" s="140">
        <f>Y148*Valores!$C$2</f>
        <v>0</v>
      </c>
      <c r="AA148" s="140">
        <v>0</v>
      </c>
      <c r="AB148" s="143">
        <f>Valores!$C$90</f>
        <v>2220.0100000000002</v>
      </c>
      <c r="AC148" s="145">
        <f>Valores!$C$31</f>
        <v>259.82</v>
      </c>
      <c r="AD148" s="140">
        <f t="shared" si="29"/>
        <v>0</v>
      </c>
      <c r="AE148" s="140">
        <f>Valores!$C$32</f>
        <v>259.82</v>
      </c>
      <c r="AF148" s="144">
        <v>94</v>
      </c>
      <c r="AG148" s="140">
        <f>INT(((AF148*Valores!$C$2)*100)+0.5)/100</f>
        <v>1168.1099999999999</v>
      </c>
      <c r="AH148" s="140">
        <f>IF($H$5="NO",Valores!$C$60,Valores!$C$60/2)</f>
        <v>528.49</v>
      </c>
      <c r="AI148" s="140">
        <f>IF($H$5="NO",Valores!$C$62,Valores!$C$62/2)</f>
        <v>151</v>
      </c>
      <c r="AJ148" s="146">
        <f t="shared" si="30"/>
        <v>54828.417999999991</v>
      </c>
      <c r="AK148" s="154">
        <f>Valores!$C$37</f>
        <v>1360.88</v>
      </c>
      <c r="AL148" s="143">
        <f>Valores!$C$85</f>
        <v>2275</v>
      </c>
      <c r="AM148" s="143"/>
      <c r="AN148" s="145">
        <f>IF($H$4="NO",0,Valores!$C$53)</f>
        <v>0</v>
      </c>
      <c r="AO148" s="147">
        <f t="shared" si="28"/>
        <v>3635.88</v>
      </c>
      <c r="AP148" s="148">
        <f>AJ148*Valores!$C$69</f>
        <v>-6031.1259799999989</v>
      </c>
      <c r="AQ148" s="149">
        <f>AJ148*-Valores!$C$70</f>
        <v>0</v>
      </c>
      <c r="AR148" s="142">
        <f>AJ148*Valores!$C$71</f>
        <v>-2467.2788099999993</v>
      </c>
      <c r="AS148" s="142">
        <f>Valores!$C$95</f>
        <v>-193.38</v>
      </c>
      <c r="AT148" s="142">
        <f>IF($H$6=0,Valores!$C$96,(Valores!$C$96+$H$6*(Valores!$C$96)))</f>
        <v>-129</v>
      </c>
      <c r="AU148" s="146">
        <f t="shared" si="31"/>
        <v>49643.51320999999</v>
      </c>
      <c r="AV148" s="199">
        <f t="shared" si="24"/>
        <v>-6031.1259799999989</v>
      </c>
      <c r="AW148" s="142">
        <f>AJ148*Valores!$C$72</f>
        <v>-1480.3672859999997</v>
      </c>
      <c r="AX148" s="142">
        <f>AJ148*Valores!$C$73</f>
        <v>-164.48525399999997</v>
      </c>
      <c r="AY148" s="146">
        <f t="shared" si="32"/>
        <v>50788.319479999991</v>
      </c>
      <c r="AZ148" s="150"/>
      <c r="BA148" s="150">
        <v>20</v>
      </c>
      <c r="BB148" s="135" t="s">
        <v>4</v>
      </c>
    </row>
    <row r="149" spans="1:54" s="114" customFormat="1" ht="11.25" customHeight="1" x14ac:dyDescent="0.15">
      <c r="A149" s="134">
        <v>146</v>
      </c>
      <c r="B149" s="134"/>
      <c r="C149" s="135" t="s">
        <v>408</v>
      </c>
      <c r="D149" s="135"/>
      <c r="E149" s="135">
        <f t="shared" si="25"/>
        <v>26</v>
      </c>
      <c r="F149" s="136" t="s">
        <v>409</v>
      </c>
      <c r="G149" s="137">
        <v>1278</v>
      </c>
      <c r="H149" s="138">
        <f>INT((G149*Valores!$C$2*100)+0.5)/100</f>
        <v>15881.32</v>
      </c>
      <c r="I149" s="156">
        <v>0</v>
      </c>
      <c r="J149" s="140">
        <f>INT((I149*Valores!$C$2*100)+0.5)/100</f>
        <v>0</v>
      </c>
      <c r="K149" s="155">
        <v>0</v>
      </c>
      <c r="L149" s="140">
        <f>INT((K149*Valores!$C$2*100)+0.5)/100</f>
        <v>0</v>
      </c>
      <c r="M149" s="153">
        <v>0</v>
      </c>
      <c r="N149" s="140">
        <f>INT((M149*Valores!$C$2*100)+0.5)/100</f>
        <v>0</v>
      </c>
      <c r="O149" s="140">
        <f t="shared" si="26"/>
        <v>3584.73</v>
      </c>
      <c r="P149" s="140">
        <f t="shared" si="27"/>
        <v>0</v>
      </c>
      <c r="Q149" s="154">
        <f>Valores!$C$21</f>
        <v>10738.26</v>
      </c>
      <c r="R149" s="154">
        <f>Valores!$D$4</f>
        <v>6352.5280000000002</v>
      </c>
      <c r="S149" s="143">
        <f>Valores!$C$28</f>
        <v>5667.45</v>
      </c>
      <c r="T149" s="143">
        <f>IF($H$5="NO",Valores!$C$44,Valores!$C$44/2)</f>
        <v>2105.77</v>
      </c>
      <c r="U149" s="154">
        <f>Valores!$C$25</f>
        <v>5911.11</v>
      </c>
      <c r="V149" s="140">
        <f t="shared" si="23"/>
        <v>5911.11</v>
      </c>
      <c r="W149" s="140">
        <v>0</v>
      </c>
      <c r="X149" s="140">
        <v>0</v>
      </c>
      <c r="Y149" s="144">
        <v>0</v>
      </c>
      <c r="Z149" s="140">
        <f>Y149*Valores!$C$2</f>
        <v>0</v>
      </c>
      <c r="AA149" s="140">
        <v>0</v>
      </c>
      <c r="AB149" s="143">
        <f>Valores!$C$90</f>
        <v>2220.0100000000002</v>
      </c>
      <c r="AC149" s="145">
        <f>Valores!$C$31</f>
        <v>259.82</v>
      </c>
      <c r="AD149" s="140">
        <f t="shared" si="29"/>
        <v>0</v>
      </c>
      <c r="AE149" s="140">
        <f>Valores!$C$32</f>
        <v>259.82</v>
      </c>
      <c r="AF149" s="144">
        <v>0</v>
      </c>
      <c r="AG149" s="140">
        <f>INT(((AF149*Valores!$C$2)*100)+0.5)/100</f>
        <v>0</v>
      </c>
      <c r="AH149" s="140">
        <f>IF($H$5="NO",Valores!$C$60,Valores!$C$60/2)</f>
        <v>528.49</v>
      </c>
      <c r="AI149" s="140">
        <f>IF($H$5="NO",Valores!$C$62,Valores!$C$62/2)</f>
        <v>151</v>
      </c>
      <c r="AJ149" s="146">
        <f t="shared" si="30"/>
        <v>53660.30799999999</v>
      </c>
      <c r="AK149" s="154">
        <f>Valores!$C$37</f>
        <v>1360.88</v>
      </c>
      <c r="AL149" s="143">
        <f>Valores!$C$85</f>
        <v>2275</v>
      </c>
      <c r="AM149" s="143"/>
      <c r="AN149" s="145">
        <f>IF($H$4="NO",0,Valores!$C$53)</f>
        <v>0</v>
      </c>
      <c r="AO149" s="147">
        <f t="shared" si="28"/>
        <v>3635.88</v>
      </c>
      <c r="AP149" s="148">
        <f>AJ149*Valores!$C$69</f>
        <v>-5902.6338799999985</v>
      </c>
      <c r="AQ149" s="149">
        <f>AJ149*-Valores!$C$70</f>
        <v>0</v>
      </c>
      <c r="AR149" s="142">
        <f>AJ149*Valores!$C$71</f>
        <v>-2414.7138599999994</v>
      </c>
      <c r="AS149" s="142">
        <f>Valores!$C$95</f>
        <v>-193.38</v>
      </c>
      <c r="AT149" s="142">
        <f>IF($H$6=0,Valores!$C$96,(Valores!$C$96+$H$6*(Valores!$C$96)))</f>
        <v>-129</v>
      </c>
      <c r="AU149" s="146">
        <f t="shared" si="31"/>
        <v>48656.460259999993</v>
      </c>
      <c r="AV149" s="199">
        <f t="shared" si="24"/>
        <v>-5902.6338799999985</v>
      </c>
      <c r="AW149" s="142">
        <f>AJ149*Valores!$C$72</f>
        <v>-1448.8283159999996</v>
      </c>
      <c r="AX149" s="142">
        <f>AJ149*Valores!$C$73</f>
        <v>-160.98092399999999</v>
      </c>
      <c r="AY149" s="146">
        <f t="shared" si="32"/>
        <v>49783.744879999991</v>
      </c>
      <c r="AZ149" s="150"/>
      <c r="BA149" s="150">
        <v>22</v>
      </c>
      <c r="BB149" s="135" t="s">
        <v>4</v>
      </c>
    </row>
    <row r="150" spans="1:54" s="114" customFormat="1" ht="11.25" customHeight="1" x14ac:dyDescent="0.15">
      <c r="A150" s="134">
        <v>147</v>
      </c>
      <c r="B150" s="134"/>
      <c r="C150" s="135" t="s">
        <v>410</v>
      </c>
      <c r="D150" s="135"/>
      <c r="E150" s="135">
        <f t="shared" si="25"/>
        <v>26</v>
      </c>
      <c r="F150" s="136" t="s">
        <v>411</v>
      </c>
      <c r="G150" s="137">
        <v>1278</v>
      </c>
      <c r="H150" s="138">
        <f>INT((G150*Valores!$C$2*100)+0.5)/100</f>
        <v>15881.32</v>
      </c>
      <c r="I150" s="156">
        <v>0</v>
      </c>
      <c r="J150" s="140">
        <f>INT((I150*Valores!$C$2*100)+0.5)/100</f>
        <v>0</v>
      </c>
      <c r="K150" s="155">
        <v>0</v>
      </c>
      <c r="L150" s="140">
        <f>INT((K150*Valores!$C$2*100)+0.5)/100</f>
        <v>0</v>
      </c>
      <c r="M150" s="153">
        <v>0</v>
      </c>
      <c r="N150" s="140">
        <f>INT((M150*Valores!$C$2*100)+0.5)/100</f>
        <v>0</v>
      </c>
      <c r="O150" s="140">
        <f t="shared" si="26"/>
        <v>3575.6655000000001</v>
      </c>
      <c r="P150" s="140">
        <f t="shared" si="27"/>
        <v>0</v>
      </c>
      <c r="Q150" s="154">
        <f>Valores!$C$21</f>
        <v>10738.26</v>
      </c>
      <c r="R150" s="154">
        <f>Valores!$D$4</f>
        <v>6352.5280000000002</v>
      </c>
      <c r="S150" s="143">
        <v>0</v>
      </c>
      <c r="T150" s="143">
        <f>IF($H$5="NO",Valores!$C$44,Valores!$C$44/2)</f>
        <v>2105.77</v>
      </c>
      <c r="U150" s="154">
        <f>Valores!$C$26</f>
        <v>5850.68</v>
      </c>
      <c r="V150" s="140">
        <f t="shared" si="23"/>
        <v>5850.68</v>
      </c>
      <c r="W150" s="140">
        <v>0</v>
      </c>
      <c r="X150" s="140">
        <v>0</v>
      </c>
      <c r="Y150" s="144">
        <v>0</v>
      </c>
      <c r="Z150" s="140">
        <f>Y150*Valores!$C$2</f>
        <v>0</v>
      </c>
      <c r="AA150" s="140">
        <v>0</v>
      </c>
      <c r="AB150" s="143">
        <f>Valores!$C$90</f>
        <v>2220.0100000000002</v>
      </c>
      <c r="AC150" s="145">
        <f>Valores!$C$31</f>
        <v>259.82</v>
      </c>
      <c r="AD150" s="140">
        <f t="shared" si="29"/>
        <v>0</v>
      </c>
      <c r="AE150" s="140">
        <f>Valores!$C$32</f>
        <v>259.82</v>
      </c>
      <c r="AF150" s="144">
        <v>0</v>
      </c>
      <c r="AG150" s="140">
        <f>INT(((AF150*Valores!$C$2)*100)+0.5)/100</f>
        <v>0</v>
      </c>
      <c r="AH150" s="140">
        <f>IF($H$5="NO",Valores!$C$60,Valores!$C$60/2)</f>
        <v>528.49</v>
      </c>
      <c r="AI150" s="140">
        <f>IF($H$5="NO",Valores!$C$62,Valores!$C$62/2)</f>
        <v>151</v>
      </c>
      <c r="AJ150" s="146">
        <f t="shared" si="30"/>
        <v>47923.363499999992</v>
      </c>
      <c r="AK150" s="154">
        <f>Valores!$C$37</f>
        <v>1360.88</v>
      </c>
      <c r="AL150" s="143">
        <f>Valores!$C$85</f>
        <v>2275</v>
      </c>
      <c r="AM150" s="143"/>
      <c r="AN150" s="145">
        <f>IF($H$4="NO",0,Valores!$C$53)</f>
        <v>0</v>
      </c>
      <c r="AO150" s="147">
        <f t="shared" si="28"/>
        <v>3635.88</v>
      </c>
      <c r="AP150" s="148">
        <f>AJ150*Valores!$C$69</f>
        <v>-5271.5699849999992</v>
      </c>
      <c r="AQ150" s="149">
        <f>AJ150*-Valores!$C$70</f>
        <v>0</v>
      </c>
      <c r="AR150" s="142">
        <f>AJ150*Valores!$C$71</f>
        <v>-2156.5513574999995</v>
      </c>
      <c r="AS150" s="142">
        <f>Valores!$C$95</f>
        <v>-193.38</v>
      </c>
      <c r="AT150" s="142">
        <f>IF($H$6=0,Valores!$C$96,(Valores!$C$96+$H$6*(Valores!$C$96)))</f>
        <v>-129</v>
      </c>
      <c r="AU150" s="146">
        <f t="shared" si="31"/>
        <v>43808.74215749999</v>
      </c>
      <c r="AV150" s="199">
        <f t="shared" si="24"/>
        <v>-5271.5699849999992</v>
      </c>
      <c r="AW150" s="142">
        <f>AJ150*Valores!$C$72</f>
        <v>-1293.9308144999998</v>
      </c>
      <c r="AX150" s="142">
        <f>AJ150*Valores!$C$73</f>
        <v>-143.77009049999998</v>
      </c>
      <c r="AY150" s="146">
        <f t="shared" si="32"/>
        <v>44849.97260999999</v>
      </c>
      <c r="AZ150" s="150"/>
      <c r="BA150" s="150"/>
      <c r="BB150" s="135" t="s">
        <v>8</v>
      </c>
    </row>
    <row r="151" spans="1:54" s="114" customFormat="1" ht="11.25" customHeight="1" x14ac:dyDescent="0.15">
      <c r="A151" s="134">
        <v>148</v>
      </c>
      <c r="B151" s="134"/>
      <c r="C151" s="135" t="s">
        <v>412</v>
      </c>
      <c r="D151" s="135"/>
      <c r="E151" s="135">
        <f t="shared" si="25"/>
        <v>37</v>
      </c>
      <c r="F151" s="136" t="s">
        <v>413</v>
      </c>
      <c r="G151" s="137">
        <v>1278</v>
      </c>
      <c r="H151" s="138">
        <f>INT((G151*Valores!$C$2*100)+0.5)/100</f>
        <v>15881.32</v>
      </c>
      <c r="I151" s="156">
        <v>0</v>
      </c>
      <c r="J151" s="140">
        <f>INT((I151*Valores!$C$2*100)+0.5)/100</f>
        <v>0</v>
      </c>
      <c r="K151" s="155">
        <v>0</v>
      </c>
      <c r="L151" s="140">
        <f>INT((K151*Valores!$C$2*100)+0.5)/100</f>
        <v>0</v>
      </c>
      <c r="M151" s="153">
        <v>0</v>
      </c>
      <c r="N151" s="140">
        <f>INT((M151*Valores!$C$2*100)+0.5)/100</f>
        <v>0</v>
      </c>
      <c r="O151" s="140">
        <f t="shared" si="26"/>
        <v>3575.6655000000001</v>
      </c>
      <c r="P151" s="140">
        <f t="shared" si="27"/>
        <v>0</v>
      </c>
      <c r="Q151" s="154">
        <f>Valores!$C$21</f>
        <v>10738.26</v>
      </c>
      <c r="R151" s="154">
        <f>Valores!$D$4</f>
        <v>6352.5280000000002</v>
      </c>
      <c r="S151" s="143">
        <v>0</v>
      </c>
      <c r="T151" s="143">
        <f>IF($H$5="NO",Valores!$C$44,Valores!$C$44/2)</f>
        <v>2105.77</v>
      </c>
      <c r="U151" s="154">
        <f>Valores!$C$26</f>
        <v>5850.68</v>
      </c>
      <c r="V151" s="140">
        <f t="shared" si="23"/>
        <v>5850.68</v>
      </c>
      <c r="W151" s="140">
        <v>0</v>
      </c>
      <c r="X151" s="140">
        <v>0</v>
      </c>
      <c r="Y151" s="144">
        <v>0</v>
      </c>
      <c r="Z151" s="140">
        <f>Y151*Valores!$C$2</f>
        <v>0</v>
      </c>
      <c r="AA151" s="140">
        <v>0</v>
      </c>
      <c r="AB151" s="143">
        <f>Valores!$C$90</f>
        <v>2220.0100000000002</v>
      </c>
      <c r="AC151" s="145">
        <f>Valores!$C$31</f>
        <v>259.82</v>
      </c>
      <c r="AD151" s="140">
        <f t="shared" si="29"/>
        <v>0</v>
      </c>
      <c r="AE151" s="140">
        <f>Valores!$C$32</f>
        <v>259.82</v>
      </c>
      <c r="AF151" s="144">
        <v>0</v>
      </c>
      <c r="AG151" s="140">
        <f>INT(((AF151*Valores!$C$2)*100)+0.5)/100</f>
        <v>0</v>
      </c>
      <c r="AH151" s="140">
        <f>IF($H$5="NO",Valores!$C$60,Valores!$C$60/2)</f>
        <v>528.49</v>
      </c>
      <c r="AI151" s="140">
        <f>IF($H$5="NO",Valores!$C$62,Valores!$C$62/2)</f>
        <v>151</v>
      </c>
      <c r="AJ151" s="146">
        <f t="shared" si="30"/>
        <v>47923.363499999992</v>
      </c>
      <c r="AK151" s="154">
        <f>Valores!$C$37</f>
        <v>1360.88</v>
      </c>
      <c r="AL151" s="143">
        <f>Valores!$C$85</f>
        <v>2275</v>
      </c>
      <c r="AM151" s="143"/>
      <c r="AN151" s="145">
        <f>IF($H$4="NO",0,Valores!$C$53)</f>
        <v>0</v>
      </c>
      <c r="AO151" s="147">
        <f t="shared" si="28"/>
        <v>3635.88</v>
      </c>
      <c r="AP151" s="148">
        <f>AJ151*Valores!$C$69</f>
        <v>-5271.5699849999992</v>
      </c>
      <c r="AQ151" s="149">
        <f>AJ151*-Valores!$C$70</f>
        <v>0</v>
      </c>
      <c r="AR151" s="142">
        <f>AJ151*Valores!$C$71</f>
        <v>-2156.5513574999995</v>
      </c>
      <c r="AS151" s="142">
        <f>Valores!$C$95</f>
        <v>-193.38</v>
      </c>
      <c r="AT151" s="142">
        <f>IF($H$6=0,Valores!$C$96,(Valores!$C$96+$H$6*(Valores!$C$96)))</f>
        <v>-129</v>
      </c>
      <c r="AU151" s="146">
        <f t="shared" si="31"/>
        <v>43808.74215749999</v>
      </c>
      <c r="AV151" s="199">
        <f t="shared" si="24"/>
        <v>-5271.5699849999992</v>
      </c>
      <c r="AW151" s="142">
        <f>AJ151*Valores!$C$72</f>
        <v>-1293.9308144999998</v>
      </c>
      <c r="AX151" s="142">
        <f>AJ151*Valores!$C$73</f>
        <v>-143.77009049999998</v>
      </c>
      <c r="AY151" s="146">
        <f t="shared" si="32"/>
        <v>44849.97260999999</v>
      </c>
      <c r="AZ151" s="150"/>
      <c r="BA151" s="150"/>
      <c r="BB151" s="135" t="s">
        <v>8</v>
      </c>
    </row>
    <row r="152" spans="1:54" s="114" customFormat="1" ht="11.25" customHeight="1" x14ac:dyDescent="0.15">
      <c r="A152" s="134">
        <v>149</v>
      </c>
      <c r="B152" s="134"/>
      <c r="C152" s="135" t="s">
        <v>414</v>
      </c>
      <c r="D152" s="135"/>
      <c r="E152" s="135">
        <f t="shared" si="25"/>
        <v>27</v>
      </c>
      <c r="F152" s="136" t="s">
        <v>415</v>
      </c>
      <c r="G152" s="137">
        <v>1060</v>
      </c>
      <c r="H152" s="138">
        <f>INT((G152*Valores!$C$2*100)+0.5)/100</f>
        <v>13172.3</v>
      </c>
      <c r="I152" s="156">
        <v>0</v>
      </c>
      <c r="J152" s="140">
        <f>INT((I152*Valores!$C$2*100)+0.5)/100</f>
        <v>0</v>
      </c>
      <c r="K152" s="155">
        <v>0</v>
      </c>
      <c r="L152" s="140">
        <f>INT((K152*Valores!$C$2*100)+0.5)/100</f>
        <v>0</v>
      </c>
      <c r="M152" s="153">
        <v>0</v>
      </c>
      <c r="N152" s="140">
        <f>INT((M152*Valores!$C$2*100)+0.5)/100</f>
        <v>0</v>
      </c>
      <c r="O152" s="140">
        <f t="shared" si="26"/>
        <v>3178.377</v>
      </c>
      <c r="P152" s="140">
        <f t="shared" si="27"/>
        <v>0</v>
      </c>
      <c r="Q152" s="154">
        <f>Valores!$C$21</f>
        <v>10738.26</v>
      </c>
      <c r="R152" s="154">
        <f>Valores!$D$4</f>
        <v>6352.5280000000002</v>
      </c>
      <c r="S152" s="157">
        <f>Valores!$C$28</f>
        <v>5667.45</v>
      </c>
      <c r="T152" s="143">
        <f>IF($H$5="NO",Valores!$C$44,Valores!$C$44/2)</f>
        <v>2105.77</v>
      </c>
      <c r="U152" s="140">
        <f>Valores!$C$25</f>
        <v>5911.11</v>
      </c>
      <c r="V152" s="140">
        <f t="shared" si="23"/>
        <v>5911.11</v>
      </c>
      <c r="W152" s="140">
        <v>0</v>
      </c>
      <c r="X152" s="140">
        <v>0</v>
      </c>
      <c r="Y152" s="144">
        <v>0</v>
      </c>
      <c r="Z152" s="140">
        <f>Y152*Valores!$C$2</f>
        <v>0</v>
      </c>
      <c r="AA152" s="140">
        <v>0</v>
      </c>
      <c r="AB152" s="143">
        <f>Valores!$C$90</f>
        <v>2220.0100000000002</v>
      </c>
      <c r="AC152" s="145">
        <f>Valores!$C$31</f>
        <v>259.82</v>
      </c>
      <c r="AD152" s="140">
        <f t="shared" si="29"/>
        <v>0</v>
      </c>
      <c r="AE152" s="140">
        <f>Valores!$C$32</f>
        <v>259.82</v>
      </c>
      <c r="AF152" s="144">
        <v>0</v>
      </c>
      <c r="AG152" s="140">
        <f>INT(((AF152*Valores!$C$2)*100)+0.5)/100</f>
        <v>0</v>
      </c>
      <c r="AH152" s="140">
        <f>IF($H$5="NO",Valores!$C$60,Valores!$C$60/2)</f>
        <v>528.49</v>
      </c>
      <c r="AI152" s="140">
        <f>IF($H$5="NO",Valores!$C$62,Valores!$C$62/2)</f>
        <v>151</v>
      </c>
      <c r="AJ152" s="146">
        <f t="shared" si="30"/>
        <v>50544.93499999999</v>
      </c>
      <c r="AK152" s="154">
        <f>Valores!$C$37</f>
        <v>1360.88</v>
      </c>
      <c r="AL152" s="143">
        <f>Valores!$C$85</f>
        <v>2275</v>
      </c>
      <c r="AM152" s="143"/>
      <c r="AN152" s="145">
        <f>IF($H$4="NO",0,Valores!$C$53)</f>
        <v>0</v>
      </c>
      <c r="AO152" s="147">
        <f t="shared" si="28"/>
        <v>3635.88</v>
      </c>
      <c r="AP152" s="148">
        <f>AJ152*Valores!$C$69</f>
        <v>-5559.9428499999985</v>
      </c>
      <c r="AQ152" s="149">
        <f>AJ152*-Valores!$C$70</f>
        <v>0</v>
      </c>
      <c r="AR152" s="142">
        <f>AJ152*Valores!$C$71</f>
        <v>-2274.5220749999994</v>
      </c>
      <c r="AS152" s="142">
        <f>Valores!$C$95</f>
        <v>-193.38</v>
      </c>
      <c r="AT152" s="142">
        <f>IF($H$6=0,Valores!$C$96,(Valores!$C$96+$H$6*(Valores!$C$96)))</f>
        <v>-129</v>
      </c>
      <c r="AU152" s="146">
        <f t="shared" si="31"/>
        <v>46023.97007499999</v>
      </c>
      <c r="AV152" s="199">
        <f t="shared" si="24"/>
        <v>-5559.9428499999985</v>
      </c>
      <c r="AW152" s="142">
        <f>AJ152*Valores!$C$72</f>
        <v>-1364.7132449999997</v>
      </c>
      <c r="AX152" s="142">
        <f>AJ152*Valores!$C$73</f>
        <v>-151.63480499999997</v>
      </c>
      <c r="AY152" s="146">
        <f t="shared" si="32"/>
        <v>47104.524099999988</v>
      </c>
      <c r="AZ152" s="150"/>
      <c r="BA152" s="150"/>
      <c r="BB152" s="135" t="s">
        <v>4</v>
      </c>
    </row>
    <row r="153" spans="1:54" s="114" customFormat="1" ht="11.25" customHeight="1" x14ac:dyDescent="0.15">
      <c r="A153" s="152">
        <v>150</v>
      </c>
      <c r="B153" s="152" t="s">
        <v>139</v>
      </c>
      <c r="C153" s="135" t="s">
        <v>416</v>
      </c>
      <c r="D153" s="135"/>
      <c r="E153" s="135">
        <f t="shared" si="25"/>
        <v>23</v>
      </c>
      <c r="F153" s="136" t="s">
        <v>417</v>
      </c>
      <c r="G153" s="137">
        <v>1278</v>
      </c>
      <c r="H153" s="138">
        <f>INT((G153*Valores!$C$2*100)+0.5)/100</f>
        <v>15881.32</v>
      </c>
      <c r="I153" s="156">
        <v>0</v>
      </c>
      <c r="J153" s="140">
        <f>INT((I153*Valores!$C$2*100)+0.5)/100</f>
        <v>0</v>
      </c>
      <c r="K153" s="155">
        <v>0</v>
      </c>
      <c r="L153" s="140">
        <f>INT((K153*Valores!$C$2*100)+0.5)/100</f>
        <v>0</v>
      </c>
      <c r="M153" s="153">
        <v>0</v>
      </c>
      <c r="N153" s="140">
        <f>INT((M153*Valores!$C$2*100)+0.5)/100</f>
        <v>0</v>
      </c>
      <c r="O153" s="140">
        <f t="shared" si="26"/>
        <v>3575.6655000000001</v>
      </c>
      <c r="P153" s="140">
        <f t="shared" si="27"/>
        <v>0</v>
      </c>
      <c r="Q153" s="154">
        <f>Valores!$C$21</f>
        <v>10738.26</v>
      </c>
      <c r="R153" s="154">
        <f>Valores!$D$4</f>
        <v>6352.5280000000002</v>
      </c>
      <c r="S153" s="157">
        <f>Valores!$C$28</f>
        <v>5667.45</v>
      </c>
      <c r="T153" s="143">
        <f>IF($H$5="NO",Valores!$C$44,Valores!$C$44/2)</f>
        <v>2105.77</v>
      </c>
      <c r="U153" s="154">
        <f>Valores!$C$26</f>
        <v>5850.68</v>
      </c>
      <c r="V153" s="140">
        <f t="shared" si="23"/>
        <v>5850.68</v>
      </c>
      <c r="W153" s="140">
        <v>0</v>
      </c>
      <c r="X153" s="140">
        <v>0</v>
      </c>
      <c r="Y153" s="144">
        <v>0</v>
      </c>
      <c r="Z153" s="140">
        <f>Y153*Valores!$C$2</f>
        <v>0</v>
      </c>
      <c r="AA153" s="140">
        <v>0</v>
      </c>
      <c r="AB153" s="143">
        <f>Valores!$C$90</f>
        <v>2220.0100000000002</v>
      </c>
      <c r="AC153" s="145">
        <f>Valores!$C$31</f>
        <v>259.82</v>
      </c>
      <c r="AD153" s="140">
        <f t="shared" si="29"/>
        <v>0</v>
      </c>
      <c r="AE153" s="140">
        <f>Valores!$C$32</f>
        <v>259.82</v>
      </c>
      <c r="AF153" s="144">
        <v>0</v>
      </c>
      <c r="AG153" s="140">
        <f>INT(((AF153*Valores!$C$2)*100)+0.5)/100</f>
        <v>0</v>
      </c>
      <c r="AH153" s="140">
        <f>IF($H$5="NO",Valores!$C$60,Valores!$C$60/2)</f>
        <v>528.49</v>
      </c>
      <c r="AI153" s="140">
        <f>IF($H$5="NO",Valores!$C$62,Valores!$C$62/2)</f>
        <v>151</v>
      </c>
      <c r="AJ153" s="146">
        <f t="shared" si="30"/>
        <v>53590.813499999989</v>
      </c>
      <c r="AK153" s="154">
        <f>Valores!$C$37</f>
        <v>1360.88</v>
      </c>
      <c r="AL153" s="143">
        <f>Valores!$C$85</f>
        <v>2275</v>
      </c>
      <c r="AM153" s="143"/>
      <c r="AN153" s="145">
        <f>IF($H$4="NO",0,Valores!$C$53)</f>
        <v>0</v>
      </c>
      <c r="AO153" s="147">
        <f t="shared" si="28"/>
        <v>3635.88</v>
      </c>
      <c r="AP153" s="148">
        <f>AJ153*Valores!$C$69</f>
        <v>-5894.9894849999991</v>
      </c>
      <c r="AQ153" s="149">
        <f>AJ153*-Valores!$C$70</f>
        <v>0</v>
      </c>
      <c r="AR153" s="142">
        <f>AJ153*Valores!$C$71</f>
        <v>-2411.5866074999994</v>
      </c>
      <c r="AS153" s="142">
        <f>Valores!$C$95</f>
        <v>-193.38</v>
      </c>
      <c r="AT153" s="142">
        <f>IF($H$6=0,Valores!$C$96,(Valores!$C$96+$H$6*(Valores!$C$96)))</f>
        <v>-129</v>
      </c>
      <c r="AU153" s="146">
        <f t="shared" si="31"/>
        <v>48597.73740749999</v>
      </c>
      <c r="AV153" s="199">
        <f t="shared" si="24"/>
        <v>-5894.9894849999991</v>
      </c>
      <c r="AW153" s="142">
        <f>AJ153*Valores!$C$72</f>
        <v>-1446.9519644999998</v>
      </c>
      <c r="AX153" s="142">
        <f>AJ153*Valores!$C$73</f>
        <v>-160.77244049999996</v>
      </c>
      <c r="AY153" s="146">
        <f t="shared" si="32"/>
        <v>49723.979609999988</v>
      </c>
      <c r="AZ153" s="150"/>
      <c r="BA153" s="150">
        <v>22</v>
      </c>
      <c r="BB153" s="135" t="s">
        <v>4</v>
      </c>
    </row>
    <row r="154" spans="1:54" s="114" customFormat="1" ht="11.25" customHeight="1" x14ac:dyDescent="0.15">
      <c r="A154" s="134">
        <v>151</v>
      </c>
      <c r="B154" s="134"/>
      <c r="C154" s="135" t="s">
        <v>418</v>
      </c>
      <c r="D154" s="135"/>
      <c r="E154" s="135">
        <f t="shared" si="25"/>
        <v>18</v>
      </c>
      <c r="F154" s="136" t="s">
        <v>419</v>
      </c>
      <c r="G154" s="137">
        <v>1278</v>
      </c>
      <c r="H154" s="138">
        <f>INT((G154*Valores!$C$2*100)+0.5)/100</f>
        <v>15881.32</v>
      </c>
      <c r="I154" s="156">
        <v>0</v>
      </c>
      <c r="J154" s="140">
        <f>INT((I154*Valores!$C$2*100)+0.5)/100</f>
        <v>0</v>
      </c>
      <c r="K154" s="155">
        <v>0</v>
      </c>
      <c r="L154" s="140">
        <f>INT((K154*Valores!$C$2*100)+0.5)/100</f>
        <v>0</v>
      </c>
      <c r="M154" s="153">
        <v>0</v>
      </c>
      <c r="N154" s="140">
        <f>INT((M154*Valores!$C$2*100)+0.5)/100</f>
        <v>0</v>
      </c>
      <c r="O154" s="140">
        <f t="shared" si="26"/>
        <v>3584.73</v>
      </c>
      <c r="P154" s="140">
        <f t="shared" si="27"/>
        <v>0</v>
      </c>
      <c r="Q154" s="154">
        <f>Valores!$C$21</f>
        <v>10738.26</v>
      </c>
      <c r="R154" s="154">
        <f>Valores!$D$4</f>
        <v>6352.5280000000002</v>
      </c>
      <c r="S154" s="143">
        <f>Valores!$C$28</f>
        <v>5667.45</v>
      </c>
      <c r="T154" s="143">
        <f>IF($H$5="NO",Valores!$C$44,Valores!$C$44/2)</f>
        <v>2105.77</v>
      </c>
      <c r="U154" s="140">
        <f>Valores!$C$25</f>
        <v>5911.11</v>
      </c>
      <c r="V154" s="140">
        <f t="shared" si="23"/>
        <v>5911.11</v>
      </c>
      <c r="W154" s="140">
        <v>0</v>
      </c>
      <c r="X154" s="140">
        <v>0</v>
      </c>
      <c r="Y154" s="144">
        <v>0</v>
      </c>
      <c r="Z154" s="140">
        <f>Y154*Valores!$C$2</f>
        <v>0</v>
      </c>
      <c r="AA154" s="140">
        <v>0</v>
      </c>
      <c r="AB154" s="143">
        <f>Valores!$C$90</f>
        <v>2220.0100000000002</v>
      </c>
      <c r="AC154" s="145">
        <f>Valores!$C$31</f>
        <v>259.82</v>
      </c>
      <c r="AD154" s="140">
        <f t="shared" si="29"/>
        <v>0</v>
      </c>
      <c r="AE154" s="140">
        <f>Valores!$C$32</f>
        <v>259.82</v>
      </c>
      <c r="AF154" s="144">
        <v>0</v>
      </c>
      <c r="AG154" s="140">
        <f>INT(((AF154*Valores!$C$2)*100)+0.5)/100</f>
        <v>0</v>
      </c>
      <c r="AH154" s="140">
        <f>IF($H$5="NO",Valores!$C$60,Valores!$C$60/2)</f>
        <v>528.49</v>
      </c>
      <c r="AI154" s="140">
        <f>IF($H$5="NO",Valores!$C$62,Valores!$C$62/2)</f>
        <v>151</v>
      </c>
      <c r="AJ154" s="146">
        <f t="shared" si="30"/>
        <v>53660.30799999999</v>
      </c>
      <c r="AK154" s="154">
        <f>Valores!$C$37</f>
        <v>1360.88</v>
      </c>
      <c r="AL154" s="143">
        <f>Valores!$C$85</f>
        <v>2275</v>
      </c>
      <c r="AM154" s="143"/>
      <c r="AN154" s="145">
        <f>IF($H$4="NO",0,Valores!$C$53)</f>
        <v>0</v>
      </c>
      <c r="AO154" s="147">
        <f t="shared" si="28"/>
        <v>3635.88</v>
      </c>
      <c r="AP154" s="148">
        <f>AJ154*Valores!$C$69</f>
        <v>-5902.6338799999985</v>
      </c>
      <c r="AQ154" s="149">
        <f>AJ154*-Valores!$C$70</f>
        <v>0</v>
      </c>
      <c r="AR154" s="142">
        <f>AJ154*Valores!$C$71</f>
        <v>-2414.7138599999994</v>
      </c>
      <c r="AS154" s="142">
        <f>Valores!$C$95</f>
        <v>-193.38</v>
      </c>
      <c r="AT154" s="142">
        <f>IF($H$6=0,Valores!$C$96,(Valores!$C$96+$H$6*(Valores!$C$96)))</f>
        <v>-129</v>
      </c>
      <c r="AU154" s="146">
        <f t="shared" si="31"/>
        <v>48656.460259999993</v>
      </c>
      <c r="AV154" s="199">
        <f t="shared" si="24"/>
        <v>-5902.6338799999985</v>
      </c>
      <c r="AW154" s="142">
        <f>AJ154*Valores!$C$72</f>
        <v>-1448.8283159999996</v>
      </c>
      <c r="AX154" s="142">
        <f>AJ154*Valores!$C$73</f>
        <v>-160.98092399999999</v>
      </c>
      <c r="AY154" s="146">
        <f t="shared" si="32"/>
        <v>49783.744879999991</v>
      </c>
      <c r="AZ154" s="150"/>
      <c r="BA154" s="150">
        <v>25</v>
      </c>
      <c r="BB154" s="135" t="s">
        <v>4</v>
      </c>
    </row>
    <row r="155" spans="1:54" s="114" customFormat="1" ht="11.25" customHeight="1" x14ac:dyDescent="0.15">
      <c r="A155" s="134">
        <v>152</v>
      </c>
      <c r="B155" s="134"/>
      <c r="C155" s="135" t="s">
        <v>420</v>
      </c>
      <c r="D155" s="135"/>
      <c r="E155" s="135">
        <f t="shared" si="25"/>
        <v>13</v>
      </c>
      <c r="F155" s="136" t="s">
        <v>421</v>
      </c>
      <c r="G155" s="137">
        <v>1065</v>
      </c>
      <c r="H155" s="138">
        <f>INT((G155*Valores!$C$2*100)+0.5)/100</f>
        <v>13234.44</v>
      </c>
      <c r="I155" s="156">
        <v>0</v>
      </c>
      <c r="J155" s="140">
        <f>INT((I155*Valores!$C$2*100)+0.5)/100</f>
        <v>0</v>
      </c>
      <c r="K155" s="155">
        <v>0</v>
      </c>
      <c r="L155" s="140">
        <f>INT((K155*Valores!$C$2*100)+0.5)/100</f>
        <v>0</v>
      </c>
      <c r="M155" s="153">
        <v>0</v>
      </c>
      <c r="N155" s="140">
        <f>INT((M155*Valores!$C$2*100)+0.5)/100</f>
        <v>0</v>
      </c>
      <c r="O155" s="140">
        <f t="shared" si="26"/>
        <v>3150.402</v>
      </c>
      <c r="P155" s="140">
        <f t="shared" si="27"/>
        <v>0</v>
      </c>
      <c r="Q155" s="154">
        <f>Valores!$C$21</f>
        <v>10738.26</v>
      </c>
      <c r="R155" s="154">
        <f>Valores!$D$4</f>
        <v>6352.5280000000002</v>
      </c>
      <c r="S155" s="143">
        <f>Valores!$C$29</f>
        <v>5274.89</v>
      </c>
      <c r="T155" s="143">
        <f>IF($H$5="NO",Valores!$C$43,Valores!$C$43/2)</f>
        <v>1857.13</v>
      </c>
      <c r="U155" s="154">
        <f>Valores!$C$25</f>
        <v>5911.11</v>
      </c>
      <c r="V155" s="140">
        <f t="shared" si="23"/>
        <v>5911.11</v>
      </c>
      <c r="W155" s="140">
        <v>0</v>
      </c>
      <c r="X155" s="140">
        <v>0</v>
      </c>
      <c r="Y155" s="144">
        <v>0</v>
      </c>
      <c r="Z155" s="140">
        <f>Y155*Valores!$C$2</f>
        <v>0</v>
      </c>
      <c r="AA155" s="140">
        <v>0</v>
      </c>
      <c r="AB155" s="143">
        <f>Valores!$C$90</f>
        <v>2220.0100000000002</v>
      </c>
      <c r="AC155" s="145">
        <f>Valores!$C$31</f>
        <v>259.82</v>
      </c>
      <c r="AD155" s="140">
        <f t="shared" si="29"/>
        <v>0</v>
      </c>
      <c r="AE155" s="140">
        <f>Valores!$C$32</f>
        <v>259.82</v>
      </c>
      <c r="AF155" s="144">
        <v>0</v>
      </c>
      <c r="AG155" s="140">
        <f>INT(((AF155*Valores!$C$2)*100)+0.5)/100</f>
        <v>0</v>
      </c>
      <c r="AH155" s="140">
        <f>IF($H$5="NO",Valores!$C$60,Valores!$C$60/2)</f>
        <v>528.49</v>
      </c>
      <c r="AI155" s="140">
        <f>IF($H$5="NO",Valores!$C$62,Valores!$C$62/2)</f>
        <v>151</v>
      </c>
      <c r="AJ155" s="146">
        <f t="shared" si="30"/>
        <v>49937.899999999994</v>
      </c>
      <c r="AK155" s="154">
        <f>Valores!$C$37</f>
        <v>1360.88</v>
      </c>
      <c r="AL155" s="143">
        <f>Valores!$C$85</f>
        <v>2275</v>
      </c>
      <c r="AM155" s="143"/>
      <c r="AN155" s="145">
        <f>IF($H$4="NO",0,Valores!$C$53)</f>
        <v>0</v>
      </c>
      <c r="AO155" s="147">
        <f t="shared" si="28"/>
        <v>3635.88</v>
      </c>
      <c r="AP155" s="148">
        <f>AJ155*Valores!$C$69</f>
        <v>-5493.168999999999</v>
      </c>
      <c r="AQ155" s="149">
        <f>AJ155*-Valores!$C$70</f>
        <v>0</v>
      </c>
      <c r="AR155" s="142">
        <f>AJ155*Valores!$C$71</f>
        <v>-2247.2054999999996</v>
      </c>
      <c r="AS155" s="142">
        <f>Valores!$C$95</f>
        <v>-193.38</v>
      </c>
      <c r="AT155" s="142">
        <f>IF($H$6=0,Valores!$C$96,(Valores!$C$96+$H$6*(Valores!$C$96)))</f>
        <v>-129</v>
      </c>
      <c r="AU155" s="146">
        <f t="shared" si="31"/>
        <v>45511.025499999996</v>
      </c>
      <c r="AV155" s="199">
        <f t="shared" si="24"/>
        <v>-5493.168999999999</v>
      </c>
      <c r="AW155" s="142">
        <f>AJ155*Valores!$C$72</f>
        <v>-1348.3232999999998</v>
      </c>
      <c r="AX155" s="142">
        <f>AJ155*Valores!$C$73</f>
        <v>-149.81369999999998</v>
      </c>
      <c r="AY155" s="146">
        <f t="shared" si="32"/>
        <v>46582.473999999995</v>
      </c>
      <c r="AZ155" s="150"/>
      <c r="BA155" s="150">
        <v>25</v>
      </c>
      <c r="BB155" s="135" t="s">
        <v>4</v>
      </c>
    </row>
    <row r="156" spans="1:54" s="114" customFormat="1" ht="11.25" customHeight="1" x14ac:dyDescent="0.15">
      <c r="A156" s="134">
        <v>153</v>
      </c>
      <c r="B156" s="134"/>
      <c r="C156" s="135" t="s">
        <v>422</v>
      </c>
      <c r="D156" s="135"/>
      <c r="E156" s="135">
        <f t="shared" si="25"/>
        <v>16</v>
      </c>
      <c r="F156" s="136" t="s">
        <v>423</v>
      </c>
      <c r="G156" s="137">
        <v>947</v>
      </c>
      <c r="H156" s="138">
        <f>INT((G156*Valores!$C$2*100)+0.5)/100</f>
        <v>11768.08</v>
      </c>
      <c r="I156" s="156">
        <v>0</v>
      </c>
      <c r="J156" s="140">
        <f>INT((I156*Valores!$C$2*100)+0.5)/100</f>
        <v>0</v>
      </c>
      <c r="K156" s="155">
        <v>0</v>
      </c>
      <c r="L156" s="140">
        <f>INT((K156*Valores!$C$2*100)+0.5)/100</f>
        <v>0</v>
      </c>
      <c r="M156" s="153">
        <v>0</v>
      </c>
      <c r="N156" s="140">
        <f>INT((M156*Valores!$C$2*100)+0.5)/100</f>
        <v>0</v>
      </c>
      <c r="O156" s="140">
        <f t="shared" si="26"/>
        <v>2930.4479999999999</v>
      </c>
      <c r="P156" s="140">
        <f t="shared" si="27"/>
        <v>0</v>
      </c>
      <c r="Q156" s="154">
        <f>Valores!$C$21</f>
        <v>10738.26</v>
      </c>
      <c r="R156" s="154">
        <f>Valores!$D$4</f>
        <v>6352.5280000000002</v>
      </c>
      <c r="S156" s="143">
        <f>Valores!$C$29</f>
        <v>5274.89</v>
      </c>
      <c r="T156" s="143">
        <f>IF($H$5="NO",Valores!$C$43,Valores!$C$43/2)</f>
        <v>1857.13</v>
      </c>
      <c r="U156" s="154">
        <f>Valores!$C$25</f>
        <v>5911.11</v>
      </c>
      <c r="V156" s="140">
        <f t="shared" si="23"/>
        <v>5911.11</v>
      </c>
      <c r="W156" s="140">
        <v>0</v>
      </c>
      <c r="X156" s="140">
        <v>0</v>
      </c>
      <c r="Y156" s="144">
        <v>0</v>
      </c>
      <c r="Z156" s="140">
        <f>Y156*Valores!$C$2</f>
        <v>0</v>
      </c>
      <c r="AA156" s="140">
        <v>0</v>
      </c>
      <c r="AB156" s="143">
        <f>Valores!$C$90</f>
        <v>2220.0100000000002</v>
      </c>
      <c r="AC156" s="145">
        <f>Valores!$C$31</f>
        <v>259.82</v>
      </c>
      <c r="AD156" s="140">
        <f t="shared" si="29"/>
        <v>0</v>
      </c>
      <c r="AE156" s="140">
        <f>Valores!$C$32</f>
        <v>259.82</v>
      </c>
      <c r="AF156" s="144">
        <v>0</v>
      </c>
      <c r="AG156" s="140">
        <f>INT(((AF156*Valores!$C$2)*100)+0.5)/100</f>
        <v>0</v>
      </c>
      <c r="AH156" s="140">
        <f>IF($H$5="NO",Valores!$C$60,Valores!$C$60/2)</f>
        <v>528.49</v>
      </c>
      <c r="AI156" s="140">
        <f>IF($H$5="NO",Valores!$C$62,Valores!$C$62/2)</f>
        <v>151</v>
      </c>
      <c r="AJ156" s="146">
        <f t="shared" si="30"/>
        <v>48251.585999999996</v>
      </c>
      <c r="AK156" s="154">
        <f>Valores!$C$37</f>
        <v>1360.88</v>
      </c>
      <c r="AL156" s="143">
        <f>Valores!$C$85</f>
        <v>2275</v>
      </c>
      <c r="AM156" s="143"/>
      <c r="AN156" s="145">
        <f>IF($H$4="NO",0,Valores!$C$53)</f>
        <v>0</v>
      </c>
      <c r="AO156" s="147">
        <f t="shared" si="28"/>
        <v>3635.88</v>
      </c>
      <c r="AP156" s="148">
        <f>AJ156*Valores!$C$69</f>
        <v>-5307.6744599999993</v>
      </c>
      <c r="AQ156" s="149">
        <f>AJ156*-Valores!$C$70</f>
        <v>0</v>
      </c>
      <c r="AR156" s="142">
        <f>AJ156*Valores!$C$71</f>
        <v>-2171.3213699999997</v>
      </c>
      <c r="AS156" s="142">
        <f>Valores!$C$95</f>
        <v>-193.38</v>
      </c>
      <c r="AT156" s="142">
        <f>IF($H$6=0,Valores!$C$96,(Valores!$C$96+$H$6*(Valores!$C$96)))</f>
        <v>-129</v>
      </c>
      <c r="AU156" s="146">
        <f t="shared" si="31"/>
        <v>44086.090169999996</v>
      </c>
      <c r="AV156" s="199">
        <f t="shared" si="24"/>
        <v>-5307.6744599999993</v>
      </c>
      <c r="AW156" s="142">
        <f>AJ156*Valores!$C$72</f>
        <v>-1302.7928219999999</v>
      </c>
      <c r="AX156" s="142">
        <f>AJ156*Valores!$C$73</f>
        <v>-144.75475799999998</v>
      </c>
      <c r="AY156" s="146">
        <f t="shared" si="32"/>
        <v>45132.243959999993</v>
      </c>
      <c r="AZ156" s="150"/>
      <c r="BA156" s="150">
        <v>22</v>
      </c>
      <c r="BB156" s="135" t="s">
        <v>4</v>
      </c>
    </row>
    <row r="157" spans="1:54" s="114" customFormat="1" ht="11.25" customHeight="1" x14ac:dyDescent="0.15">
      <c r="A157" s="134">
        <v>154</v>
      </c>
      <c r="B157" s="134"/>
      <c r="C157" s="135" t="s">
        <v>424</v>
      </c>
      <c r="D157" s="135"/>
      <c r="E157" s="135">
        <f t="shared" si="25"/>
        <v>31</v>
      </c>
      <c r="F157" s="136" t="s">
        <v>425</v>
      </c>
      <c r="G157" s="137">
        <v>1800</v>
      </c>
      <c r="H157" s="138">
        <f>INT((G157*Valores!$C$2*100)+0.5)/100</f>
        <v>22368.06</v>
      </c>
      <c r="I157" s="156">
        <v>0</v>
      </c>
      <c r="J157" s="140">
        <f>INT((I157*Valores!$C$2*100)+0.5)/100</f>
        <v>0</v>
      </c>
      <c r="K157" s="155">
        <v>0</v>
      </c>
      <c r="L157" s="140">
        <f>INT((K157*Valores!$C$2*100)+0.5)/100</f>
        <v>0</v>
      </c>
      <c r="M157" s="153">
        <v>0</v>
      </c>
      <c r="N157" s="140">
        <f>INT((M157*Valores!$C$2*100)+0.5)/100</f>
        <v>0</v>
      </c>
      <c r="O157" s="140">
        <f t="shared" si="26"/>
        <v>4706.8904999999995</v>
      </c>
      <c r="P157" s="140">
        <f t="shared" si="27"/>
        <v>0</v>
      </c>
      <c r="Q157" s="154">
        <f>Valores!$C$15</f>
        <v>12990.26</v>
      </c>
      <c r="R157" s="154">
        <f>Valores!$D$4</f>
        <v>6352.5280000000002</v>
      </c>
      <c r="S157" s="154">
        <f>Valores!$C$28</f>
        <v>5667.45</v>
      </c>
      <c r="T157" s="143">
        <f>IF($H$5="NO",Valores!$C$45,Valores!$C$45/2)</f>
        <v>3100.1</v>
      </c>
      <c r="U157" s="140">
        <f>Valores!$C$25</f>
        <v>5911.11</v>
      </c>
      <c r="V157" s="140">
        <f t="shared" si="23"/>
        <v>5911.11</v>
      </c>
      <c r="W157" s="140">
        <v>0</v>
      </c>
      <c r="X157" s="140">
        <v>0</v>
      </c>
      <c r="Y157" s="144">
        <v>0</v>
      </c>
      <c r="Z157" s="140">
        <f>Y157*Valores!$C$2</f>
        <v>0</v>
      </c>
      <c r="AA157" s="140">
        <v>0</v>
      </c>
      <c r="AB157" s="143">
        <f>Valores!$C$92</f>
        <v>4440.01</v>
      </c>
      <c r="AC157" s="145">
        <f>Valores!$C$31</f>
        <v>259.82</v>
      </c>
      <c r="AD157" s="140">
        <f t="shared" si="29"/>
        <v>0</v>
      </c>
      <c r="AE157" s="140">
        <f>Valores!$C$32</f>
        <v>259.82</v>
      </c>
      <c r="AF157" s="144">
        <v>0</v>
      </c>
      <c r="AG157" s="140">
        <f>INT(((AF157*Valores!$C$2)*100)+0.5)/100</f>
        <v>0</v>
      </c>
      <c r="AH157" s="140">
        <f>IF($H$5="NO",Valores!$C$60,Valores!$C$60/2)</f>
        <v>528.49</v>
      </c>
      <c r="AI157" s="140">
        <f>IF($H$5="NO",Valores!$C$62,Valores!$C$62/2)</f>
        <v>151</v>
      </c>
      <c r="AJ157" s="146">
        <f t="shared" si="30"/>
        <v>66735.538499999995</v>
      </c>
      <c r="AK157" s="154">
        <f>Valores!$C$37</f>
        <v>1360.88</v>
      </c>
      <c r="AL157" s="143">
        <f>Valores!$C$87</f>
        <v>4550</v>
      </c>
      <c r="AM157" s="143"/>
      <c r="AN157" s="145">
        <f>IF($H$4="NO",0,Valores!$C$53)</f>
        <v>0</v>
      </c>
      <c r="AO157" s="147">
        <f t="shared" si="28"/>
        <v>5910.88</v>
      </c>
      <c r="AP157" s="148">
        <f>AJ157*Valores!$C$69</f>
        <v>-7340.9092349999992</v>
      </c>
      <c r="AQ157" s="149">
        <f>AJ157*-Valores!$C$70</f>
        <v>0</v>
      </c>
      <c r="AR157" s="142">
        <f>AJ157*Valores!$C$71</f>
        <v>-3003.0992324999997</v>
      </c>
      <c r="AS157" s="142">
        <f>Valores!$C$95</f>
        <v>-193.38</v>
      </c>
      <c r="AT157" s="142">
        <f>IF($H$6=0,Valores!$C$96,(Valores!$C$96+$H$6*(Valores!$C$96)))</f>
        <v>-129</v>
      </c>
      <c r="AU157" s="146">
        <f t="shared" si="31"/>
        <v>61980.030032499999</v>
      </c>
      <c r="AV157" s="199">
        <f t="shared" si="24"/>
        <v>-7340.9092349999992</v>
      </c>
      <c r="AW157" s="142">
        <f>AJ157*Valores!$C$72</f>
        <v>-1801.8595394999998</v>
      </c>
      <c r="AX157" s="142">
        <f>AJ157*Valores!$C$73</f>
        <v>-200.2066155</v>
      </c>
      <c r="AY157" s="146">
        <f t="shared" si="32"/>
        <v>63303.44311</v>
      </c>
      <c r="AZ157" s="150"/>
      <c r="BA157" s="150"/>
      <c r="BB157" s="135" t="s">
        <v>4</v>
      </c>
    </row>
    <row r="158" spans="1:54" s="114" customFormat="1" ht="11.25" customHeight="1" x14ac:dyDescent="0.15">
      <c r="A158" s="152">
        <v>155</v>
      </c>
      <c r="B158" s="152" t="s">
        <v>139</v>
      </c>
      <c r="C158" s="135" t="s">
        <v>426</v>
      </c>
      <c r="D158" s="135"/>
      <c r="E158" s="135">
        <f t="shared" si="25"/>
        <v>19</v>
      </c>
      <c r="F158" s="136" t="s">
        <v>427</v>
      </c>
      <c r="G158" s="137">
        <v>1278</v>
      </c>
      <c r="H158" s="138">
        <f>INT((G158*Valores!$C$2*100)+0.5)/100</f>
        <v>15881.32</v>
      </c>
      <c r="I158" s="156">
        <v>0</v>
      </c>
      <c r="J158" s="140">
        <f>INT((I158*Valores!$C$2*100)+0.5)/100</f>
        <v>0</v>
      </c>
      <c r="K158" s="155">
        <v>0</v>
      </c>
      <c r="L158" s="140">
        <f>INT((K158*Valores!$C$2*100)+0.5)/100</f>
        <v>0</v>
      </c>
      <c r="M158" s="153">
        <v>0</v>
      </c>
      <c r="N158" s="140">
        <f>INT((M158*Valores!$C$2*100)+0.5)/100</f>
        <v>0</v>
      </c>
      <c r="O158" s="140">
        <f t="shared" si="26"/>
        <v>3584.73</v>
      </c>
      <c r="P158" s="140">
        <f t="shared" si="27"/>
        <v>0</v>
      </c>
      <c r="Q158" s="154">
        <f>Valores!$C$15</f>
        <v>12990.26</v>
      </c>
      <c r="R158" s="154">
        <f>Valores!$D$4</f>
        <v>6352.5280000000002</v>
      </c>
      <c r="S158" s="154">
        <f>Valores!$C$28</f>
        <v>5667.45</v>
      </c>
      <c r="T158" s="143">
        <f>IF($H$5="NO",Valores!$C$44,Valores!$C$44/2)</f>
        <v>2105.77</v>
      </c>
      <c r="U158" s="140">
        <f>Valores!$C$25</f>
        <v>5911.11</v>
      </c>
      <c r="V158" s="140">
        <f t="shared" si="23"/>
        <v>5911.11</v>
      </c>
      <c r="W158" s="140">
        <v>0</v>
      </c>
      <c r="X158" s="140">
        <v>0</v>
      </c>
      <c r="Y158" s="144">
        <v>0</v>
      </c>
      <c r="Z158" s="140">
        <f>Y158*Valores!$C$2</f>
        <v>0</v>
      </c>
      <c r="AA158" s="140">
        <v>0</v>
      </c>
      <c r="AB158" s="143">
        <f>Valores!$C$90</f>
        <v>2220.0100000000002</v>
      </c>
      <c r="AC158" s="145">
        <f>Valores!$C$31</f>
        <v>259.82</v>
      </c>
      <c r="AD158" s="140">
        <f t="shared" si="29"/>
        <v>0</v>
      </c>
      <c r="AE158" s="140">
        <f>Valores!$C$32</f>
        <v>259.82</v>
      </c>
      <c r="AF158" s="144">
        <v>0</v>
      </c>
      <c r="AG158" s="140">
        <f>INT(((AF158*Valores!$C$2)*100)+0.5)/100</f>
        <v>0</v>
      </c>
      <c r="AH158" s="140">
        <f>IF($H$5="NO",Valores!$C$60,Valores!$C$60/2)</f>
        <v>528.49</v>
      </c>
      <c r="AI158" s="140">
        <f>IF($H$5="NO",Valores!$C$62,Valores!$C$62/2)</f>
        <v>151</v>
      </c>
      <c r="AJ158" s="146">
        <f t="shared" si="30"/>
        <v>55912.30799999999</v>
      </c>
      <c r="AK158" s="154">
        <f>Valores!$C$37</f>
        <v>1360.88</v>
      </c>
      <c r="AL158" s="143">
        <f>Valores!$C$85</f>
        <v>2275</v>
      </c>
      <c r="AM158" s="143"/>
      <c r="AN158" s="145">
        <f>IF($H$4="NO",0,Valores!$C$53)</f>
        <v>0</v>
      </c>
      <c r="AO158" s="147">
        <f t="shared" si="28"/>
        <v>3635.88</v>
      </c>
      <c r="AP158" s="148">
        <f>AJ158*Valores!$C$69</f>
        <v>-6150.3538799999988</v>
      </c>
      <c r="AQ158" s="149">
        <f>AJ158*-Valores!$C$70</f>
        <v>0</v>
      </c>
      <c r="AR158" s="142">
        <f>AJ158*Valores!$C$71</f>
        <v>-2516.0538599999995</v>
      </c>
      <c r="AS158" s="142">
        <f>Valores!$C$95</f>
        <v>-193.38</v>
      </c>
      <c r="AT158" s="142">
        <f>IF($H$6=0,Valores!$C$96,(Valores!$C$96+$H$6*(Valores!$C$96)))</f>
        <v>-129</v>
      </c>
      <c r="AU158" s="146">
        <f t="shared" si="31"/>
        <v>50559.400259999995</v>
      </c>
      <c r="AV158" s="199">
        <f t="shared" si="24"/>
        <v>-6150.3538799999988</v>
      </c>
      <c r="AW158" s="142">
        <f>AJ158*Valores!$C$72</f>
        <v>-1509.6323159999997</v>
      </c>
      <c r="AX158" s="142">
        <f>AJ158*Valores!$C$73</f>
        <v>-167.73692399999996</v>
      </c>
      <c r="AY158" s="146">
        <f t="shared" si="32"/>
        <v>51720.464879999992</v>
      </c>
      <c r="AZ158" s="150"/>
      <c r="BA158" s="150">
        <v>27</v>
      </c>
      <c r="BB158" s="135" t="s">
        <v>4</v>
      </c>
    </row>
    <row r="159" spans="1:54" s="114" customFormat="1" ht="11.25" customHeight="1" x14ac:dyDescent="0.15">
      <c r="A159" s="134">
        <v>156</v>
      </c>
      <c r="B159" s="134"/>
      <c r="C159" s="135" t="s">
        <v>428</v>
      </c>
      <c r="D159" s="135"/>
      <c r="E159" s="135">
        <f t="shared" si="25"/>
        <v>28</v>
      </c>
      <c r="F159" s="136" t="s">
        <v>429</v>
      </c>
      <c r="G159" s="137">
        <v>1214</v>
      </c>
      <c r="H159" s="138">
        <f>INT((G159*Valores!$C$2*100)+0.5)/100</f>
        <v>15086.01</v>
      </c>
      <c r="I159" s="156">
        <v>0</v>
      </c>
      <c r="J159" s="140">
        <f>INT((I159*Valores!$C$2*100)+0.5)/100</f>
        <v>0</v>
      </c>
      <c r="K159" s="155">
        <v>0</v>
      </c>
      <c r="L159" s="140">
        <f>INT((K159*Valores!$C$2*100)+0.5)/100</f>
        <v>0</v>
      </c>
      <c r="M159" s="153">
        <v>0</v>
      </c>
      <c r="N159" s="140">
        <f>INT((M159*Valores!$C$2*100)+0.5)/100</f>
        <v>0</v>
      </c>
      <c r="O159" s="140">
        <f t="shared" si="26"/>
        <v>3465.4334999999996</v>
      </c>
      <c r="P159" s="140">
        <f t="shared" si="27"/>
        <v>0</v>
      </c>
      <c r="Q159" s="154">
        <f>Valores!$C$21</f>
        <v>10738.26</v>
      </c>
      <c r="R159" s="154">
        <f>Valores!$D$4</f>
        <v>6352.5280000000002</v>
      </c>
      <c r="S159" s="140">
        <f>Valores!$C$28</f>
        <v>5667.45</v>
      </c>
      <c r="T159" s="143">
        <f>IF($H$5="NO",Valores!$C$44,Valores!$C$44/2)</f>
        <v>2105.77</v>
      </c>
      <c r="U159" s="140">
        <f>Valores!$C$25</f>
        <v>5911.11</v>
      </c>
      <c r="V159" s="140">
        <f t="shared" si="23"/>
        <v>5911.11</v>
      </c>
      <c r="W159" s="140">
        <v>0</v>
      </c>
      <c r="X159" s="140">
        <v>0</v>
      </c>
      <c r="Y159" s="144">
        <v>0</v>
      </c>
      <c r="Z159" s="140">
        <f>Y159*Valores!$C$2</f>
        <v>0</v>
      </c>
      <c r="AA159" s="140">
        <v>0</v>
      </c>
      <c r="AB159" s="143">
        <f>Valores!$C$90</f>
        <v>2220.0100000000002</v>
      </c>
      <c r="AC159" s="145">
        <f>Valores!$C$31</f>
        <v>259.82</v>
      </c>
      <c r="AD159" s="140">
        <f t="shared" si="29"/>
        <v>0</v>
      </c>
      <c r="AE159" s="140">
        <f>Valores!$C$32</f>
        <v>259.82</v>
      </c>
      <c r="AF159" s="144">
        <v>0</v>
      </c>
      <c r="AG159" s="140">
        <f>INT(((AF159*Valores!$C$2)*100)+0.5)/100</f>
        <v>0</v>
      </c>
      <c r="AH159" s="140">
        <f>IF($H$5="NO",Valores!$C$60,Valores!$C$60/2)</f>
        <v>528.49</v>
      </c>
      <c r="AI159" s="140">
        <f>IF($H$5="NO",Valores!$C$62,Valores!$C$62/2)</f>
        <v>151</v>
      </c>
      <c r="AJ159" s="146">
        <f t="shared" si="30"/>
        <v>52745.701499999996</v>
      </c>
      <c r="AK159" s="154">
        <f>Valores!$C$37</f>
        <v>1360.88</v>
      </c>
      <c r="AL159" s="143">
        <f>Valores!$C$85</f>
        <v>2275</v>
      </c>
      <c r="AM159" s="143"/>
      <c r="AN159" s="145">
        <f>IF($H$4="NO",0,Valores!$C$53)</f>
        <v>0</v>
      </c>
      <c r="AO159" s="147">
        <f t="shared" si="28"/>
        <v>3635.88</v>
      </c>
      <c r="AP159" s="148">
        <f>AJ159*Valores!$C$69</f>
        <v>-5802.0271649999995</v>
      </c>
      <c r="AQ159" s="149">
        <f>AJ159*-Valores!$C$70</f>
        <v>0</v>
      </c>
      <c r="AR159" s="142">
        <f>AJ159*Valores!$C$71</f>
        <v>-2373.5565674999998</v>
      </c>
      <c r="AS159" s="142">
        <f>Valores!$C$95</f>
        <v>-193.38</v>
      </c>
      <c r="AT159" s="142">
        <f>IF($H$6=0,Valores!$C$96,(Valores!$C$96+$H$6*(Valores!$C$96)))</f>
        <v>-129</v>
      </c>
      <c r="AU159" s="146">
        <f t="shared" si="31"/>
        <v>47883.617767499993</v>
      </c>
      <c r="AV159" s="199">
        <f t="shared" si="24"/>
        <v>-5802.0271649999995</v>
      </c>
      <c r="AW159" s="142">
        <f>AJ159*Valores!$C$72</f>
        <v>-1424.1339404999999</v>
      </c>
      <c r="AX159" s="142">
        <f>AJ159*Valores!$C$73</f>
        <v>-158.23710449999999</v>
      </c>
      <c r="AY159" s="146">
        <f t="shared" si="32"/>
        <v>48997.183289999994</v>
      </c>
      <c r="AZ159" s="150"/>
      <c r="BA159" s="150"/>
      <c r="BB159" s="135" t="s">
        <v>4</v>
      </c>
    </row>
    <row r="160" spans="1:54" s="114" customFormat="1" ht="11.25" customHeight="1" x14ac:dyDescent="0.15">
      <c r="A160" s="134">
        <v>157</v>
      </c>
      <c r="B160" s="134"/>
      <c r="C160" s="135" t="s">
        <v>430</v>
      </c>
      <c r="D160" s="135"/>
      <c r="E160" s="135">
        <f t="shared" si="25"/>
        <v>25</v>
      </c>
      <c r="F160" s="136" t="s">
        <v>431</v>
      </c>
      <c r="G160" s="137">
        <f>1106+78</f>
        <v>1184</v>
      </c>
      <c r="H160" s="138">
        <f>INT((G160*Valores!$C$2*100)+0.5)/100</f>
        <v>14713.21</v>
      </c>
      <c r="I160" s="156">
        <v>0</v>
      </c>
      <c r="J160" s="140">
        <f>INT((I160*Valores!$C$2*100)+0.5)/100</f>
        <v>0</v>
      </c>
      <c r="K160" s="155">
        <v>0</v>
      </c>
      <c r="L160" s="140">
        <f>INT((K160*Valores!$C$2*100)+0.5)/100</f>
        <v>0</v>
      </c>
      <c r="M160" s="153">
        <v>0</v>
      </c>
      <c r="N160" s="140">
        <f>INT((M160*Valores!$C$2*100)+0.5)/100</f>
        <v>0</v>
      </c>
      <c r="O160" s="140">
        <f t="shared" si="26"/>
        <v>3400.4490000000001</v>
      </c>
      <c r="P160" s="140">
        <f t="shared" si="27"/>
        <v>0</v>
      </c>
      <c r="Q160" s="154">
        <f>Valores!$C$21</f>
        <v>10738.26</v>
      </c>
      <c r="R160" s="154">
        <f>Valores!$D$4</f>
        <v>6352.5280000000002</v>
      </c>
      <c r="S160" s="140">
        <v>0</v>
      </c>
      <c r="T160" s="143">
        <f>IF($H$5="NO",Valores!$C$44,Valores!$C$44/2)</f>
        <v>2105.77</v>
      </c>
      <c r="U160" s="154">
        <f>Valores!$C$26</f>
        <v>5850.68</v>
      </c>
      <c r="V160" s="140">
        <f t="shared" si="23"/>
        <v>5850.68</v>
      </c>
      <c r="W160" s="140">
        <v>0</v>
      </c>
      <c r="X160" s="140">
        <v>0</v>
      </c>
      <c r="Y160" s="144">
        <v>0</v>
      </c>
      <c r="Z160" s="140">
        <f>Y160*Valores!$C$2</f>
        <v>0</v>
      </c>
      <c r="AA160" s="140">
        <v>0</v>
      </c>
      <c r="AB160" s="143">
        <f>Valores!$C$90</f>
        <v>2220.0100000000002</v>
      </c>
      <c r="AC160" s="145">
        <f>Valores!$C$31</f>
        <v>259.82</v>
      </c>
      <c r="AD160" s="140">
        <f t="shared" si="29"/>
        <v>0</v>
      </c>
      <c r="AE160" s="140">
        <f>Valores!$C$32</f>
        <v>259.82</v>
      </c>
      <c r="AF160" s="144">
        <v>0</v>
      </c>
      <c r="AG160" s="140">
        <f>INT(((AF160*Valores!$C$2)*100)+0.5)/100</f>
        <v>0</v>
      </c>
      <c r="AH160" s="140">
        <f>IF($H$5="NO",Valores!$C$60,Valores!$C$60/2)</f>
        <v>528.49</v>
      </c>
      <c r="AI160" s="140">
        <f>IF($H$5="NO",Valores!$C$62,Valores!$C$62/2)</f>
        <v>151</v>
      </c>
      <c r="AJ160" s="146">
        <f t="shared" si="30"/>
        <v>46580.036999999997</v>
      </c>
      <c r="AK160" s="154">
        <f>Valores!$C$37</f>
        <v>1360.88</v>
      </c>
      <c r="AL160" s="143">
        <f>Valores!$C$85</f>
        <v>2275</v>
      </c>
      <c r="AM160" s="143"/>
      <c r="AN160" s="145">
        <f>IF($H$4="NO",0,Valores!$C$53)</f>
        <v>0</v>
      </c>
      <c r="AO160" s="147">
        <f t="shared" si="28"/>
        <v>3635.88</v>
      </c>
      <c r="AP160" s="148">
        <f>AJ160*Valores!$C$69</f>
        <v>-5123.8040699999992</v>
      </c>
      <c r="AQ160" s="149">
        <f>AJ160*-Valores!$C$70</f>
        <v>0</v>
      </c>
      <c r="AR160" s="142">
        <f>AJ160*Valores!$C$71</f>
        <v>-2096.1016649999997</v>
      </c>
      <c r="AS160" s="142">
        <f>Valores!$C$95</f>
        <v>-193.38</v>
      </c>
      <c r="AT160" s="142">
        <f>IF($H$6=0,Valores!$C$96,(Valores!$C$96+$H$6*(Valores!$C$96)))</f>
        <v>-129</v>
      </c>
      <c r="AU160" s="146">
        <f t="shared" si="31"/>
        <v>42673.631264999996</v>
      </c>
      <c r="AV160" s="199">
        <f t="shared" si="24"/>
        <v>-5123.8040699999992</v>
      </c>
      <c r="AW160" s="142">
        <f>AJ160*Valores!$C$72</f>
        <v>-1257.6609989999999</v>
      </c>
      <c r="AX160" s="142">
        <f>AJ160*Valores!$C$73</f>
        <v>-139.74011099999998</v>
      </c>
      <c r="AY160" s="146">
        <f t="shared" si="32"/>
        <v>43694.711819999997</v>
      </c>
      <c r="AZ160" s="150"/>
      <c r="BA160" s="150"/>
      <c r="BB160" s="135" t="s">
        <v>8</v>
      </c>
    </row>
    <row r="161" spans="1:54" s="114" customFormat="1" ht="11.25" customHeight="1" x14ac:dyDescent="0.15">
      <c r="A161" s="134">
        <v>158</v>
      </c>
      <c r="B161" s="134"/>
      <c r="C161" s="135" t="s">
        <v>432</v>
      </c>
      <c r="D161" s="135"/>
      <c r="E161" s="135">
        <f t="shared" si="25"/>
        <v>24</v>
      </c>
      <c r="F161" s="136" t="s">
        <v>433</v>
      </c>
      <c r="G161" s="137">
        <v>971</v>
      </c>
      <c r="H161" s="138">
        <f>INT((G161*Valores!$C$2*100)+0.5)/100</f>
        <v>12066.33</v>
      </c>
      <c r="I161" s="156">
        <v>0</v>
      </c>
      <c r="J161" s="140">
        <f>INT((I161*Valores!$C$2*100)+0.5)/100</f>
        <v>0</v>
      </c>
      <c r="K161" s="155">
        <v>0</v>
      </c>
      <c r="L161" s="140">
        <f>INT((K161*Valores!$C$2*100)+0.5)/100</f>
        <v>0</v>
      </c>
      <c r="M161" s="153">
        <v>0</v>
      </c>
      <c r="N161" s="140">
        <f>INT((M161*Valores!$C$2*100)+0.5)/100</f>
        <v>0</v>
      </c>
      <c r="O161" s="140">
        <f t="shared" si="26"/>
        <v>2975.1855</v>
      </c>
      <c r="P161" s="140">
        <f t="shared" si="27"/>
        <v>0</v>
      </c>
      <c r="Q161" s="154">
        <f>Valores!$C$21</f>
        <v>10738.26</v>
      </c>
      <c r="R161" s="154">
        <f>Valores!$D$4</f>
        <v>6352.5280000000002</v>
      </c>
      <c r="S161" s="154">
        <f>Valores!$C$29</f>
        <v>5274.89</v>
      </c>
      <c r="T161" s="143">
        <f>IF($H$5="NO",Valores!$C$43,Valores!$C$43/2)</f>
        <v>1857.13</v>
      </c>
      <c r="U161" s="140">
        <f>Valores!$C$25</f>
        <v>5911.11</v>
      </c>
      <c r="V161" s="140">
        <f t="shared" si="23"/>
        <v>5911.11</v>
      </c>
      <c r="W161" s="140">
        <v>0</v>
      </c>
      <c r="X161" s="140">
        <v>0</v>
      </c>
      <c r="Y161" s="144">
        <v>0</v>
      </c>
      <c r="Z161" s="140">
        <f>Y161*Valores!$C$2</f>
        <v>0</v>
      </c>
      <c r="AA161" s="140">
        <v>0</v>
      </c>
      <c r="AB161" s="143">
        <f>Valores!$C$90</f>
        <v>2220.0100000000002</v>
      </c>
      <c r="AC161" s="145">
        <f>Valores!$C$31</f>
        <v>259.82</v>
      </c>
      <c r="AD161" s="140">
        <f t="shared" si="29"/>
        <v>0</v>
      </c>
      <c r="AE161" s="140">
        <f>Valores!$C$31</f>
        <v>259.82</v>
      </c>
      <c r="AF161" s="144">
        <v>0</v>
      </c>
      <c r="AG161" s="140">
        <f>INT(((AF161*Valores!$C$2)*100)+0.5)/100</f>
        <v>0</v>
      </c>
      <c r="AH161" s="140">
        <f>IF($H$5="NO",Valores!$C$60,Valores!$C$60/2)</f>
        <v>528.49</v>
      </c>
      <c r="AI161" s="140">
        <f>IF($H$5="NO",Valores!$C$62,Valores!$C$62/2)</f>
        <v>151</v>
      </c>
      <c r="AJ161" s="146">
        <f t="shared" si="30"/>
        <v>48594.573499999999</v>
      </c>
      <c r="AK161" s="154">
        <f>Valores!$C$37</f>
        <v>1360.88</v>
      </c>
      <c r="AL161" s="143">
        <f>Valores!$C$85</f>
        <v>2275</v>
      </c>
      <c r="AM161" s="143"/>
      <c r="AN161" s="145">
        <f>(IF($H$4="NO",0,Valores!$C$55))</f>
        <v>0</v>
      </c>
      <c r="AO161" s="147">
        <f t="shared" si="28"/>
        <v>3635.88</v>
      </c>
      <c r="AP161" s="148">
        <f>AJ161*Valores!$C$69</f>
        <v>-5345.4030849999999</v>
      </c>
      <c r="AQ161" s="149">
        <f>AJ161*-Valores!$C$70</f>
        <v>0</v>
      </c>
      <c r="AR161" s="142">
        <f>AJ161*Valores!$C$71</f>
        <v>-2186.7558074999997</v>
      </c>
      <c r="AS161" s="142">
        <f>Valores!$C$95</f>
        <v>-193.38</v>
      </c>
      <c r="AT161" s="142">
        <f>IF($H$6=0,Valores!$C$96,(Valores!$C$96+$H$6*(Valores!$C$96)))</f>
        <v>-129</v>
      </c>
      <c r="AU161" s="146">
        <f t="shared" si="31"/>
        <v>44375.914607500003</v>
      </c>
      <c r="AV161" s="199">
        <f t="shared" si="24"/>
        <v>-5345.4030849999999</v>
      </c>
      <c r="AW161" s="142">
        <f>AJ161*Valores!$C$72</f>
        <v>-1312.0534845</v>
      </c>
      <c r="AX161" s="142">
        <f>AJ161*Valores!$C$73</f>
        <v>-145.78372049999999</v>
      </c>
      <c r="AY161" s="146">
        <f t="shared" si="32"/>
        <v>45427.213209999994</v>
      </c>
      <c r="AZ161" s="150">
        <v>12</v>
      </c>
      <c r="BA161" s="150">
        <v>12</v>
      </c>
      <c r="BB161" s="135" t="s">
        <v>4</v>
      </c>
    </row>
    <row r="162" spans="1:54" s="114" customFormat="1" ht="11.25" customHeight="1" x14ac:dyDescent="0.15">
      <c r="A162" s="134">
        <v>159</v>
      </c>
      <c r="B162" s="134"/>
      <c r="C162" s="135" t="s">
        <v>432</v>
      </c>
      <c r="D162" s="135"/>
      <c r="E162" s="135">
        <f t="shared" si="25"/>
        <v>35</v>
      </c>
      <c r="F162" s="136" t="s">
        <v>434</v>
      </c>
      <c r="G162" s="137">
        <v>971</v>
      </c>
      <c r="H162" s="138">
        <f>INT((G162*Valores!$C$2*100)+0.5)/100</f>
        <v>12066.33</v>
      </c>
      <c r="I162" s="156">
        <v>0</v>
      </c>
      <c r="J162" s="140">
        <f>INT((I162*Valores!$C$2*100)+0.5)/100</f>
        <v>0</v>
      </c>
      <c r="K162" s="155">
        <v>0</v>
      </c>
      <c r="L162" s="140">
        <f>INT((K162*Valores!$C$2*100)+0.5)/100</f>
        <v>0</v>
      </c>
      <c r="M162" s="153">
        <v>0</v>
      </c>
      <c r="N162" s="140">
        <f>INT((M162*Valores!$C$2*100)+0.5)/100</f>
        <v>0</v>
      </c>
      <c r="O162" s="140">
        <f t="shared" si="26"/>
        <v>3907.2330000000002</v>
      </c>
      <c r="P162" s="140">
        <f t="shared" si="27"/>
        <v>0</v>
      </c>
      <c r="Q162" s="154">
        <f>Valores!$C$21</f>
        <v>10738.26</v>
      </c>
      <c r="R162" s="154">
        <f>Valores!$D$4</f>
        <v>6352.5280000000002</v>
      </c>
      <c r="S162" s="154">
        <f>Valores!$C$29</f>
        <v>5274.89</v>
      </c>
      <c r="T162" s="143">
        <f>IF($H$5="NO",Valores!$C$45,Valores!$C$45/2)</f>
        <v>3100.1</v>
      </c>
      <c r="U162" s="140">
        <f>Valores!$C$25</f>
        <v>5911.11</v>
      </c>
      <c r="V162" s="140">
        <f t="shared" si="23"/>
        <v>5911.11</v>
      </c>
      <c r="W162" s="140">
        <v>0</v>
      </c>
      <c r="X162" s="140">
        <v>0</v>
      </c>
      <c r="Y162" s="139">
        <v>400</v>
      </c>
      <c r="Z162" s="140">
        <f>Y162*Valores!$C$2</f>
        <v>4970.68</v>
      </c>
      <c r="AA162" s="154">
        <f>SUM(L162,J162,H162,T162)*Valores!$C$3</f>
        <v>2274.9645</v>
      </c>
      <c r="AB162" s="143">
        <f>Valores!$C$90</f>
        <v>2220.0100000000002</v>
      </c>
      <c r="AC162" s="145">
        <f>Valores!$C$31</f>
        <v>259.82</v>
      </c>
      <c r="AD162" s="140">
        <f t="shared" si="29"/>
        <v>0</v>
      </c>
      <c r="AE162" s="140">
        <f>Valores!$C$31</f>
        <v>259.82</v>
      </c>
      <c r="AF162" s="144">
        <v>94</v>
      </c>
      <c r="AG162" s="140">
        <f>INT(((AF162*Valores!$C$2)*100)+0.5)/100</f>
        <v>1168.1099999999999</v>
      </c>
      <c r="AH162" s="140">
        <f>IF($H$5="NO",Valores!$C$60,Valores!$C$60/2)</f>
        <v>528.49</v>
      </c>
      <c r="AI162" s="140">
        <f>IF($H$5="NO",Valores!$C$62,Valores!$C$62/2)</f>
        <v>151</v>
      </c>
      <c r="AJ162" s="146">
        <f t="shared" si="30"/>
        <v>59183.345500000003</v>
      </c>
      <c r="AK162" s="154">
        <f>Valores!$C$37</f>
        <v>1360.88</v>
      </c>
      <c r="AL162" s="143">
        <f>Valores!$C$85</f>
        <v>2275</v>
      </c>
      <c r="AM162" s="143"/>
      <c r="AN162" s="145">
        <f>(IF($H$4="NO",0,Valores!$C$55))</f>
        <v>0</v>
      </c>
      <c r="AO162" s="147">
        <f t="shared" si="28"/>
        <v>3635.88</v>
      </c>
      <c r="AP162" s="148">
        <f>AJ162*Valores!$C$69</f>
        <v>-6510.1680050000004</v>
      </c>
      <c r="AQ162" s="149">
        <f>AJ162*-Valores!$C$70</f>
        <v>0</v>
      </c>
      <c r="AR162" s="142">
        <f>AJ162*Valores!$C$71</f>
        <v>-2663.2505475000003</v>
      </c>
      <c r="AS162" s="142">
        <f>Valores!$C$95</f>
        <v>-193.38</v>
      </c>
      <c r="AT162" s="142">
        <f>IF($H$6=0,Valores!$C$96,(Valores!$C$96+$H$6*(Valores!$C$96)))</f>
        <v>-129</v>
      </c>
      <c r="AU162" s="146">
        <f t="shared" si="31"/>
        <v>53323.426947500004</v>
      </c>
      <c r="AV162" s="199">
        <f t="shared" si="24"/>
        <v>-6510.1680050000004</v>
      </c>
      <c r="AW162" s="142">
        <f>AJ162*Valores!$C$72</f>
        <v>-1597.9503285000001</v>
      </c>
      <c r="AX162" s="142">
        <f>AJ162*Valores!$C$73</f>
        <v>-177.5500365</v>
      </c>
      <c r="AY162" s="146">
        <f t="shared" si="32"/>
        <v>54533.557130000001</v>
      </c>
      <c r="AZ162" s="150">
        <v>12</v>
      </c>
      <c r="BA162" s="150">
        <v>18</v>
      </c>
      <c r="BB162" s="135" t="s">
        <v>4</v>
      </c>
    </row>
    <row r="163" spans="1:54" s="114" customFormat="1" ht="11.25" customHeight="1" x14ac:dyDescent="0.15">
      <c r="A163" s="134">
        <v>161</v>
      </c>
      <c r="B163" s="134"/>
      <c r="C163" s="135" t="s">
        <v>435</v>
      </c>
      <c r="D163" s="135"/>
      <c r="E163" s="135">
        <f t="shared" si="25"/>
        <v>21</v>
      </c>
      <c r="F163" s="136" t="s">
        <v>436</v>
      </c>
      <c r="G163" s="137">
        <v>810</v>
      </c>
      <c r="H163" s="138">
        <f>INT((G163*Valores!$C$2*100)+0.5)/100</f>
        <v>10065.629999999999</v>
      </c>
      <c r="I163" s="156">
        <v>0</v>
      </c>
      <c r="J163" s="140">
        <f>INT((I163*Valores!$C$2*100)+0.5)/100</f>
        <v>0</v>
      </c>
      <c r="K163" s="155">
        <v>0</v>
      </c>
      <c r="L163" s="140">
        <f>INT((K163*Valores!$C$2*100)+0.5)/100</f>
        <v>0</v>
      </c>
      <c r="M163" s="153">
        <v>0</v>
      </c>
      <c r="N163" s="140">
        <f>INT((M163*Valores!$C$2*100)+0.5)/100</f>
        <v>0</v>
      </c>
      <c r="O163" s="140">
        <f t="shared" si="26"/>
        <v>2666.0159999999996</v>
      </c>
      <c r="P163" s="140">
        <f t="shared" si="27"/>
        <v>0</v>
      </c>
      <c r="Q163" s="154">
        <f>Valores!$C$21</f>
        <v>10738.26</v>
      </c>
      <c r="R163" s="154">
        <f>Valores!$D$4</f>
        <v>6352.5280000000002</v>
      </c>
      <c r="S163" s="154">
        <f>Valores!$C$29</f>
        <v>5274.89</v>
      </c>
      <c r="T163" s="143">
        <f>IF($H$5="NO",Valores!$C$43,Valores!$C$43/2)</f>
        <v>1857.13</v>
      </c>
      <c r="U163" s="154">
        <f>Valores!$C$26</f>
        <v>5850.68</v>
      </c>
      <c r="V163" s="140">
        <f t="shared" si="23"/>
        <v>5850.68</v>
      </c>
      <c r="W163" s="140">
        <v>0</v>
      </c>
      <c r="X163" s="140">
        <v>0</v>
      </c>
      <c r="Y163" s="144">
        <v>0</v>
      </c>
      <c r="Z163" s="140">
        <f>Y163*Valores!$C$2</f>
        <v>0</v>
      </c>
      <c r="AA163" s="140">
        <v>0</v>
      </c>
      <c r="AB163" s="143">
        <f>Valores!$C$90</f>
        <v>2220.0100000000002</v>
      </c>
      <c r="AC163" s="145">
        <f>Valores!$C$31</f>
        <v>259.82</v>
      </c>
      <c r="AD163" s="140">
        <f t="shared" si="29"/>
        <v>0</v>
      </c>
      <c r="AE163" s="140">
        <f>Valores!$C$32</f>
        <v>259.82</v>
      </c>
      <c r="AF163" s="144">
        <v>0</v>
      </c>
      <c r="AG163" s="140">
        <f>INT(((AF163*Valores!$C$2)*100)+0.5)/100</f>
        <v>0</v>
      </c>
      <c r="AH163" s="140">
        <f>IF($H$5="NO",Valores!$C$60,Valores!$C$60/2)</f>
        <v>528.49</v>
      </c>
      <c r="AI163" s="140">
        <f>IF($H$5="NO",Valores!$C$62,Valores!$C$62/2)</f>
        <v>151</v>
      </c>
      <c r="AJ163" s="146">
        <f t="shared" si="30"/>
        <v>46224.273999999998</v>
      </c>
      <c r="AK163" s="154">
        <f>Valores!$C$37</f>
        <v>1360.88</v>
      </c>
      <c r="AL163" s="143">
        <f>Valores!$C$85</f>
        <v>2275</v>
      </c>
      <c r="AM163" s="143"/>
      <c r="AN163" s="145">
        <f>IF($H$4="NO",0,Valores!$C$53)</f>
        <v>0</v>
      </c>
      <c r="AO163" s="147">
        <f t="shared" si="28"/>
        <v>3635.88</v>
      </c>
      <c r="AP163" s="148">
        <f>AJ163*Valores!$C$69</f>
        <v>-5084.6701400000002</v>
      </c>
      <c r="AQ163" s="149">
        <f>AJ163*-Valores!$C$70</f>
        <v>0</v>
      </c>
      <c r="AR163" s="142">
        <f>AJ163*Valores!$C$71</f>
        <v>-2080.0923299999999</v>
      </c>
      <c r="AS163" s="142">
        <f>Valores!$C$95</f>
        <v>-193.38</v>
      </c>
      <c r="AT163" s="142">
        <f>IF($H$6=0,Valores!$C$96,(Valores!$C$96+$H$6*(Valores!$C$96)))</f>
        <v>-129</v>
      </c>
      <c r="AU163" s="146">
        <f t="shared" si="31"/>
        <v>42373.011529999996</v>
      </c>
      <c r="AV163" s="199">
        <f t="shared" si="24"/>
        <v>-5084.6701400000002</v>
      </c>
      <c r="AW163" s="142">
        <f>AJ163*Valores!$C$72</f>
        <v>-1248.055398</v>
      </c>
      <c r="AX163" s="142">
        <f>AJ163*Valores!$C$73</f>
        <v>-138.672822</v>
      </c>
      <c r="AY163" s="146">
        <f t="shared" si="32"/>
        <v>43388.755639999996</v>
      </c>
      <c r="AZ163" s="150"/>
      <c r="BA163" s="150"/>
      <c r="BB163" s="135" t="s">
        <v>4</v>
      </c>
    </row>
    <row r="164" spans="1:54" s="114" customFormat="1" ht="11.25" customHeight="1" x14ac:dyDescent="0.15">
      <c r="A164" s="134">
        <v>162</v>
      </c>
      <c r="B164" s="134"/>
      <c r="C164" s="135" t="s">
        <v>437</v>
      </c>
      <c r="D164" s="135"/>
      <c r="E164" s="135">
        <f t="shared" si="25"/>
        <v>9</v>
      </c>
      <c r="F164" s="136" t="s">
        <v>438</v>
      </c>
      <c r="G164" s="137">
        <v>1065</v>
      </c>
      <c r="H164" s="138">
        <f>INT((G164*Valores!$C$2*100)+0.5)/100</f>
        <v>13234.44</v>
      </c>
      <c r="I164" s="156">
        <v>0</v>
      </c>
      <c r="J164" s="140">
        <f>INT((I164*Valores!$C$2*100)+0.5)/100</f>
        <v>0</v>
      </c>
      <c r="K164" s="155">
        <v>0</v>
      </c>
      <c r="L164" s="140">
        <f>INT((K164*Valores!$C$2*100)+0.5)/100</f>
        <v>0</v>
      </c>
      <c r="M164" s="153">
        <v>0</v>
      </c>
      <c r="N164" s="140">
        <f>INT((M164*Valores!$C$2*100)+0.5)/100</f>
        <v>0</v>
      </c>
      <c r="O164" s="140">
        <f t="shared" si="26"/>
        <v>3150.402</v>
      </c>
      <c r="P164" s="140">
        <f t="shared" si="27"/>
        <v>0</v>
      </c>
      <c r="Q164" s="154">
        <f>Valores!$C$21</f>
        <v>10738.26</v>
      </c>
      <c r="R164" s="154">
        <f>Valores!$D$4</f>
        <v>6352.5280000000002</v>
      </c>
      <c r="S164" s="143">
        <f>Valores!$C$29</f>
        <v>5274.89</v>
      </c>
      <c r="T164" s="143">
        <f>IF($H$5="NO",Valores!$C$43,Valores!$C$43/2)</f>
        <v>1857.13</v>
      </c>
      <c r="U164" s="154">
        <f>Valores!$C$25</f>
        <v>5911.11</v>
      </c>
      <c r="V164" s="140">
        <f t="shared" si="23"/>
        <v>5911.11</v>
      </c>
      <c r="W164" s="140">
        <v>0</v>
      </c>
      <c r="X164" s="140">
        <v>0</v>
      </c>
      <c r="Y164" s="144">
        <v>0</v>
      </c>
      <c r="Z164" s="140">
        <f>Y164*Valores!$C$2</f>
        <v>0</v>
      </c>
      <c r="AA164" s="140">
        <v>0</v>
      </c>
      <c r="AB164" s="143">
        <f>Valores!$C$90</f>
        <v>2220.0100000000002</v>
      </c>
      <c r="AC164" s="145">
        <f>Valores!$C$31</f>
        <v>259.82</v>
      </c>
      <c r="AD164" s="140">
        <f t="shared" si="29"/>
        <v>0</v>
      </c>
      <c r="AE164" s="140">
        <f>Valores!$C$32</f>
        <v>259.82</v>
      </c>
      <c r="AF164" s="144">
        <v>0</v>
      </c>
      <c r="AG164" s="140">
        <f>INT(((AF164*Valores!$C$2)*100)+0.5)/100</f>
        <v>0</v>
      </c>
      <c r="AH164" s="140">
        <f>IF($H$5="NO",Valores!$C$60,Valores!$C$60/2)</f>
        <v>528.49</v>
      </c>
      <c r="AI164" s="140">
        <f>IF($H$5="NO",Valores!$C$62,Valores!$C$62/2)</f>
        <v>151</v>
      </c>
      <c r="AJ164" s="146">
        <f t="shared" si="30"/>
        <v>49937.899999999994</v>
      </c>
      <c r="AK164" s="154">
        <f>Valores!$C$37</f>
        <v>1360.88</v>
      </c>
      <c r="AL164" s="143">
        <f>Valores!$C$85</f>
        <v>2275</v>
      </c>
      <c r="AM164" s="143"/>
      <c r="AN164" s="145">
        <f>IF($H$4="NO",0,Valores!$C$53)</f>
        <v>0</v>
      </c>
      <c r="AO164" s="147">
        <f t="shared" si="28"/>
        <v>3635.88</v>
      </c>
      <c r="AP164" s="148">
        <f>AJ164*Valores!$C$69</f>
        <v>-5493.168999999999</v>
      </c>
      <c r="AQ164" s="149">
        <f>AJ164*-Valores!$C$70</f>
        <v>0</v>
      </c>
      <c r="AR164" s="142">
        <f>AJ164*Valores!$C$71</f>
        <v>-2247.2054999999996</v>
      </c>
      <c r="AS164" s="142">
        <f>Valores!$C$95</f>
        <v>-193.38</v>
      </c>
      <c r="AT164" s="142">
        <f>IF($H$6=0,Valores!$C$96,(Valores!$C$96+$H$6*(Valores!$C$96)))</f>
        <v>-129</v>
      </c>
      <c r="AU164" s="146">
        <f t="shared" si="31"/>
        <v>45511.025499999996</v>
      </c>
      <c r="AV164" s="199">
        <f t="shared" si="24"/>
        <v>-5493.168999999999</v>
      </c>
      <c r="AW164" s="142">
        <f>AJ164*Valores!$C$72</f>
        <v>-1348.3232999999998</v>
      </c>
      <c r="AX164" s="142">
        <f>AJ164*Valores!$C$73</f>
        <v>-149.81369999999998</v>
      </c>
      <c r="AY164" s="146">
        <f t="shared" si="32"/>
        <v>46582.473999999995</v>
      </c>
      <c r="AZ164" s="150"/>
      <c r="BA164" s="150">
        <v>27</v>
      </c>
      <c r="BB164" s="135" t="s">
        <v>4</v>
      </c>
    </row>
    <row r="165" spans="1:54" s="114" customFormat="1" ht="11.25" customHeight="1" x14ac:dyDescent="0.15">
      <c r="A165" s="134">
        <v>163</v>
      </c>
      <c r="B165" s="134"/>
      <c r="C165" s="135" t="s">
        <v>437</v>
      </c>
      <c r="D165" s="135"/>
      <c r="E165" s="135">
        <f t="shared" si="25"/>
        <v>33</v>
      </c>
      <c r="F165" s="136" t="s">
        <v>439</v>
      </c>
      <c r="G165" s="137">
        <v>1065</v>
      </c>
      <c r="H165" s="138">
        <f>INT((G165*Valores!$C$2*100)+0.5)/100</f>
        <v>13234.44</v>
      </c>
      <c r="I165" s="156">
        <v>0</v>
      </c>
      <c r="J165" s="140">
        <f>INT((I165*Valores!$C$2*100)+0.5)/100</f>
        <v>0</v>
      </c>
      <c r="K165" s="155">
        <v>0</v>
      </c>
      <c r="L165" s="140">
        <f>INT((K165*Valores!$C$2*100)+0.5)/100</f>
        <v>0</v>
      </c>
      <c r="M165" s="153">
        <v>0</v>
      </c>
      <c r="N165" s="140">
        <f>INT((M165*Valores!$C$2*100)+0.5)/100</f>
        <v>0</v>
      </c>
      <c r="O165" s="140">
        <f t="shared" si="26"/>
        <v>3150.402</v>
      </c>
      <c r="P165" s="140">
        <f t="shared" si="27"/>
        <v>0</v>
      </c>
      <c r="Q165" s="154">
        <f>Valores!$C$21</f>
        <v>10738.26</v>
      </c>
      <c r="R165" s="154">
        <f>Valores!$D$4</f>
        <v>6352.5280000000002</v>
      </c>
      <c r="S165" s="143">
        <f>Valores!$C$29</f>
        <v>5274.89</v>
      </c>
      <c r="T165" s="143">
        <f>IF($H$5="NO",Valores!$C$43,Valores!$C$43/2)</f>
        <v>1857.13</v>
      </c>
      <c r="U165" s="140">
        <f>Valores!$C$25</f>
        <v>5911.11</v>
      </c>
      <c r="V165" s="140">
        <f t="shared" si="23"/>
        <v>5911.11</v>
      </c>
      <c r="W165" s="140">
        <v>0</v>
      </c>
      <c r="X165" s="140">
        <v>0</v>
      </c>
      <c r="Y165" s="144">
        <v>0</v>
      </c>
      <c r="Z165" s="140">
        <f>Y165*Valores!$C$2</f>
        <v>0</v>
      </c>
      <c r="AA165" s="140">
        <v>0</v>
      </c>
      <c r="AB165" s="143">
        <f>Valores!$C$90</f>
        <v>2220.0100000000002</v>
      </c>
      <c r="AC165" s="145">
        <f>Valores!$C$31</f>
        <v>259.82</v>
      </c>
      <c r="AD165" s="140">
        <f t="shared" si="29"/>
        <v>0</v>
      </c>
      <c r="AE165" s="140">
        <f>Valores!$C$32</f>
        <v>259.82</v>
      </c>
      <c r="AF165" s="144">
        <v>94</v>
      </c>
      <c r="AG165" s="140">
        <f>INT(((AF165*Valores!$C$2)*100)+0.5)/100</f>
        <v>1168.1099999999999</v>
      </c>
      <c r="AH165" s="140">
        <f>IF($H$5="NO",Valores!$C$60,Valores!$C$60/2)</f>
        <v>528.49</v>
      </c>
      <c r="AI165" s="140">
        <f>IF($H$5="NO",Valores!$C$62,Valores!$C$62/2)</f>
        <v>151</v>
      </c>
      <c r="AJ165" s="146">
        <f t="shared" si="30"/>
        <v>51106.009999999995</v>
      </c>
      <c r="AK165" s="154">
        <f>Valores!$C$37</f>
        <v>1360.88</v>
      </c>
      <c r="AL165" s="143">
        <f>Valores!$C$85</f>
        <v>2275</v>
      </c>
      <c r="AM165" s="143"/>
      <c r="AN165" s="145">
        <f>IF($H$4="NO",0,Valores!$C$53)</f>
        <v>0</v>
      </c>
      <c r="AO165" s="147">
        <f t="shared" si="28"/>
        <v>3635.88</v>
      </c>
      <c r="AP165" s="148">
        <f>AJ165*Valores!$C$69</f>
        <v>-5621.6610999999994</v>
      </c>
      <c r="AQ165" s="149">
        <f>AJ165*-Valores!$C$70</f>
        <v>0</v>
      </c>
      <c r="AR165" s="142">
        <f>AJ165*Valores!$C$71</f>
        <v>-2299.7704499999995</v>
      </c>
      <c r="AS165" s="142">
        <f>Valores!$C$95</f>
        <v>-193.38</v>
      </c>
      <c r="AT165" s="142">
        <f>IF($H$6=0,Valores!$C$96,(Valores!$C$96+$H$6*(Valores!$C$96)))</f>
        <v>-129</v>
      </c>
      <c r="AU165" s="146">
        <f t="shared" si="31"/>
        <v>46498.078449999994</v>
      </c>
      <c r="AV165" s="199">
        <f t="shared" si="24"/>
        <v>-5621.6610999999994</v>
      </c>
      <c r="AW165" s="142">
        <f>AJ165*Valores!$C$72</f>
        <v>-1379.8622699999999</v>
      </c>
      <c r="AX165" s="142">
        <f>AJ165*Valores!$C$73</f>
        <v>-153.31802999999999</v>
      </c>
      <c r="AY165" s="146">
        <f t="shared" si="32"/>
        <v>47587.048599999995</v>
      </c>
      <c r="AZ165" s="150"/>
      <c r="BA165" s="150">
        <v>27</v>
      </c>
      <c r="BB165" s="135" t="s">
        <v>4</v>
      </c>
    </row>
    <row r="166" spans="1:54" s="114" customFormat="1" ht="11.25" customHeight="1" x14ac:dyDescent="0.15">
      <c r="A166" s="134">
        <v>164</v>
      </c>
      <c r="B166" s="134"/>
      <c r="C166" s="135" t="s">
        <v>440</v>
      </c>
      <c r="D166" s="135"/>
      <c r="E166" s="135">
        <f t="shared" si="25"/>
        <v>30</v>
      </c>
      <c r="F166" s="136" t="s">
        <v>441</v>
      </c>
      <c r="G166" s="137">
        <v>98</v>
      </c>
      <c r="H166" s="138">
        <f>INT((G166*Valores!$C$2*100)+0.5)/100</f>
        <v>1217.82</v>
      </c>
      <c r="I166" s="156">
        <v>2686</v>
      </c>
      <c r="J166" s="140">
        <f>INT((I166*Valores!$C$2*100)+0.5)/100</f>
        <v>33378.120000000003</v>
      </c>
      <c r="K166" s="155">
        <v>0</v>
      </c>
      <c r="L166" s="140">
        <f>INT((K166*Valores!$C$2*100)+0.5)/100</f>
        <v>0</v>
      </c>
      <c r="M166" s="153">
        <v>0</v>
      </c>
      <c r="N166" s="140">
        <f>INT((M166*Valores!$C$2*100)+0.5)/100</f>
        <v>0</v>
      </c>
      <c r="O166" s="140">
        <f t="shared" si="26"/>
        <v>7845.8760000000002</v>
      </c>
      <c r="P166" s="140">
        <f t="shared" si="27"/>
        <v>0</v>
      </c>
      <c r="Q166" s="157">
        <f>Valores!$C$15</f>
        <v>12990.26</v>
      </c>
      <c r="R166" s="154">
        <f>Valores!$D$4</f>
        <v>6352.5280000000002</v>
      </c>
      <c r="S166" s="154">
        <f>Valores!$C$28</f>
        <v>5667.45</v>
      </c>
      <c r="T166" s="143">
        <f>IF($H$5="NO",Valores!$C$45,Valores!$C$45/2)</f>
        <v>3100.1</v>
      </c>
      <c r="U166" s="140">
        <f>Valores!$C$25</f>
        <v>5911.11</v>
      </c>
      <c r="V166" s="140">
        <f t="shared" si="23"/>
        <v>5911.11</v>
      </c>
      <c r="W166" s="140">
        <v>0</v>
      </c>
      <c r="X166" s="140">
        <v>0</v>
      </c>
      <c r="Y166" s="139">
        <v>700</v>
      </c>
      <c r="Z166" s="140">
        <f>Y166*Valores!$C$2</f>
        <v>8698.69</v>
      </c>
      <c r="AA166" s="154">
        <f>SUM(L166,J166,H166,T166)*Valores!$C$3</f>
        <v>5654.4059999999999</v>
      </c>
      <c r="AB166" s="143">
        <f>Valores!$C$92</f>
        <v>4440.01</v>
      </c>
      <c r="AC166" s="145">
        <f>Valores!$C$31</f>
        <v>259.82</v>
      </c>
      <c r="AD166" s="140">
        <f t="shared" si="29"/>
        <v>0</v>
      </c>
      <c r="AE166" s="140">
        <f>Valores!$C$32</f>
        <v>259.82</v>
      </c>
      <c r="AF166" s="144">
        <v>94</v>
      </c>
      <c r="AG166" s="140">
        <f>INT(((AF166*Valores!$C$2)*100)+0.5)/100</f>
        <v>1168.1099999999999</v>
      </c>
      <c r="AH166" s="140">
        <f>IF($H$5="NO",Valores!$C$60,Valores!$C$60/2)</f>
        <v>528.49</v>
      </c>
      <c r="AI166" s="140">
        <f>IF($H$5="NO",Valores!$C$62,Valores!$C$62/2)</f>
        <v>151</v>
      </c>
      <c r="AJ166" s="146">
        <f t="shared" si="30"/>
        <v>97623.61000000003</v>
      </c>
      <c r="AK166" s="154">
        <f>Valores!$C$37</f>
        <v>1360.88</v>
      </c>
      <c r="AL166" s="143">
        <f>Valores!$C$87</f>
        <v>4550</v>
      </c>
      <c r="AM166" s="143"/>
      <c r="AN166" s="145">
        <f>IF($H$4="NO",0,224.5)</f>
        <v>0</v>
      </c>
      <c r="AO166" s="147">
        <f t="shared" si="28"/>
        <v>5910.88</v>
      </c>
      <c r="AP166" s="148">
        <f>AJ166*Valores!$C$69</f>
        <v>-10738.597100000003</v>
      </c>
      <c r="AQ166" s="149">
        <f>AJ166*-Valores!$C$70</f>
        <v>0</v>
      </c>
      <c r="AR166" s="142">
        <f>AJ166*Valores!$C$71</f>
        <v>-4393.0624500000013</v>
      </c>
      <c r="AS166" s="142">
        <f>Valores!$C$95</f>
        <v>-193.38</v>
      </c>
      <c r="AT166" s="142">
        <f>IF($H$6=0,Valores!$C$96,(Valores!$C$96+$H$6*(Valores!$C$96)))</f>
        <v>-129</v>
      </c>
      <c r="AU166" s="146">
        <f t="shared" si="31"/>
        <v>88080.450450000033</v>
      </c>
      <c r="AV166" s="199">
        <f t="shared" si="24"/>
        <v>-10738.597100000003</v>
      </c>
      <c r="AW166" s="142">
        <f>AJ166*Valores!$C$72</f>
        <v>-2635.8374700000008</v>
      </c>
      <c r="AX166" s="142">
        <f>AJ166*Valores!$C$73</f>
        <v>-292.87083000000007</v>
      </c>
      <c r="AY166" s="146">
        <f t="shared" si="32"/>
        <v>89867.184600000037</v>
      </c>
      <c r="AZ166" s="150"/>
      <c r="BA166" s="150">
        <v>45</v>
      </c>
      <c r="BB166" s="135" t="s">
        <v>4</v>
      </c>
    </row>
    <row r="167" spans="1:54" s="114" customFormat="1" ht="11.25" customHeight="1" x14ac:dyDescent="0.15">
      <c r="A167" s="152">
        <v>165</v>
      </c>
      <c r="B167" s="152" t="s">
        <v>139</v>
      </c>
      <c r="C167" s="135" t="s">
        <v>442</v>
      </c>
      <c r="D167" s="135"/>
      <c r="E167" s="135">
        <f t="shared" si="25"/>
        <v>30</v>
      </c>
      <c r="F167" s="136" t="s">
        <v>443</v>
      </c>
      <c r="G167" s="137">
        <v>93</v>
      </c>
      <c r="H167" s="138">
        <f>INT((G167*Valores!$C$2*100)+0.5)/100</f>
        <v>1155.68</v>
      </c>
      <c r="I167" s="139">
        <v>2547</v>
      </c>
      <c r="J167" s="140">
        <f>INT((I167*Valores!$C$2*100)+0.5)/100</f>
        <v>31650.799999999999</v>
      </c>
      <c r="K167" s="155">
        <v>0</v>
      </c>
      <c r="L167" s="140">
        <f>INT((K167*Valores!$C$2*100)+0.5)/100</f>
        <v>0</v>
      </c>
      <c r="M167" s="153">
        <v>0</v>
      </c>
      <c r="N167" s="140">
        <f>INT((M167*Valores!$C$2*100)+0.5)/100</f>
        <v>0</v>
      </c>
      <c r="O167" s="140">
        <f t="shared" si="26"/>
        <v>7577.4569999999994</v>
      </c>
      <c r="P167" s="140">
        <f t="shared" si="27"/>
        <v>0</v>
      </c>
      <c r="Q167" s="157">
        <f>Valores!$C$21</f>
        <v>10738.26</v>
      </c>
      <c r="R167" s="154">
        <f>Valores!$D$4</f>
        <v>6352.5280000000002</v>
      </c>
      <c r="S167" s="154">
        <f>Valores!$C$28</f>
        <v>5667.45</v>
      </c>
      <c r="T167" s="143">
        <f>IF($H$5="NO",Valores!$C$45,Valores!$C$45/2)</f>
        <v>3100.1</v>
      </c>
      <c r="U167" s="140">
        <f>Valores!$C$25</f>
        <v>5911.11</v>
      </c>
      <c r="V167" s="140">
        <f t="shared" si="23"/>
        <v>5911.11</v>
      </c>
      <c r="W167" s="140">
        <v>0</v>
      </c>
      <c r="X167" s="140">
        <v>0</v>
      </c>
      <c r="Y167" s="139">
        <v>700</v>
      </c>
      <c r="Z167" s="140">
        <f>Y167*Valores!$C$2</f>
        <v>8698.69</v>
      </c>
      <c r="AA167" s="154">
        <f>SUM(L167,J167,H167,T167)*Valores!$C$3</f>
        <v>5385.9869999999992</v>
      </c>
      <c r="AB167" s="143">
        <f>Valores!$C$92</f>
        <v>4440.01</v>
      </c>
      <c r="AC167" s="145">
        <f>Valores!$C$31</f>
        <v>259.82</v>
      </c>
      <c r="AD167" s="140">
        <f t="shared" si="29"/>
        <v>0</v>
      </c>
      <c r="AE167" s="140">
        <f>Valores!$C$32</f>
        <v>259.82</v>
      </c>
      <c r="AF167" s="144">
        <v>94</v>
      </c>
      <c r="AG167" s="140">
        <f>INT(((AF167*Valores!$C$2)*100)+0.5)/100</f>
        <v>1168.1099999999999</v>
      </c>
      <c r="AH167" s="140">
        <f>IF($H$5="NO",Valores!$C$60,Valores!$C$60/2)</f>
        <v>528.49</v>
      </c>
      <c r="AI167" s="140">
        <f>IF($H$5="NO",Valores!$C$62,Valores!$C$62/2)</f>
        <v>151</v>
      </c>
      <c r="AJ167" s="146">
        <f t="shared" si="30"/>
        <v>93045.312000000005</v>
      </c>
      <c r="AK167" s="154">
        <f>Valores!$C$37</f>
        <v>1360.88</v>
      </c>
      <c r="AL167" s="143">
        <f>Valores!$C$87</f>
        <v>4550</v>
      </c>
      <c r="AM167" s="143"/>
      <c r="AN167" s="145">
        <f>IF($H$4="NO",0,224.5)</f>
        <v>0</v>
      </c>
      <c r="AO167" s="147">
        <f t="shared" si="28"/>
        <v>5910.88</v>
      </c>
      <c r="AP167" s="148">
        <f>AJ167*Valores!$C$69</f>
        <v>-10234.984320000001</v>
      </c>
      <c r="AQ167" s="149">
        <f>AJ167*-Valores!$C$70</f>
        <v>0</v>
      </c>
      <c r="AR167" s="142">
        <f>AJ167*Valores!$C$71</f>
        <v>-4187.0390399999997</v>
      </c>
      <c r="AS167" s="142">
        <f>Valores!$C$95</f>
        <v>-193.38</v>
      </c>
      <c r="AT167" s="142">
        <f>IF($H$6=0,Valores!$C$96,(Valores!$C$96+$H$6*(Valores!$C$96)))</f>
        <v>-129</v>
      </c>
      <c r="AU167" s="146">
        <f t="shared" si="31"/>
        <v>84211.788639999999</v>
      </c>
      <c r="AV167" s="199">
        <f t="shared" si="24"/>
        <v>-10234.984320000001</v>
      </c>
      <c r="AW167" s="142">
        <f>AJ167*Valores!$C$72</f>
        <v>-2512.2234240000003</v>
      </c>
      <c r="AX167" s="142">
        <f>AJ167*Valores!$C$73</f>
        <v>-279.13593600000002</v>
      </c>
      <c r="AY167" s="146">
        <f t="shared" si="32"/>
        <v>85929.848320000005</v>
      </c>
      <c r="AZ167" s="150"/>
      <c r="BA167" s="150">
        <v>45</v>
      </c>
      <c r="BB167" s="135" t="s">
        <v>4</v>
      </c>
    </row>
    <row r="168" spans="1:54" s="114" customFormat="1" ht="11.25" customHeight="1" x14ac:dyDescent="0.15">
      <c r="A168" s="134">
        <v>166</v>
      </c>
      <c r="B168" s="134"/>
      <c r="C168" s="135" t="s">
        <v>444</v>
      </c>
      <c r="D168" s="135"/>
      <c r="E168" s="135">
        <f t="shared" si="25"/>
        <v>30</v>
      </c>
      <c r="F168" s="136" t="s">
        <v>445</v>
      </c>
      <c r="G168" s="137">
        <v>89</v>
      </c>
      <c r="H168" s="138">
        <f>INT((G168*Valores!$C$2*100)+0.5)/100</f>
        <v>1105.98</v>
      </c>
      <c r="I168" s="156">
        <v>2251</v>
      </c>
      <c r="J168" s="140">
        <f>INT((I168*Valores!$C$2*100)+0.5)/100</f>
        <v>27972.5</v>
      </c>
      <c r="K168" s="155">
        <v>0</v>
      </c>
      <c r="L168" s="140">
        <f>INT((K168*Valores!$C$2*100)+0.5)/100</f>
        <v>0</v>
      </c>
      <c r="M168" s="153">
        <v>0</v>
      </c>
      <c r="N168" s="140">
        <f>INT((M168*Valores!$C$2*100)+0.5)/100</f>
        <v>0</v>
      </c>
      <c r="O168" s="140">
        <f t="shared" si="26"/>
        <v>7018.2569999999996</v>
      </c>
      <c r="P168" s="140">
        <f t="shared" si="27"/>
        <v>0</v>
      </c>
      <c r="Q168" s="157">
        <f>Valores!$C$21</f>
        <v>10738.26</v>
      </c>
      <c r="R168" s="154">
        <f>Valores!$D$4</f>
        <v>6352.5280000000002</v>
      </c>
      <c r="S168" s="154">
        <f>Valores!$C$28</f>
        <v>5667.45</v>
      </c>
      <c r="T168" s="143">
        <f>IF($H$5="NO",Valores!$C$45,Valores!$C$45/2)</f>
        <v>3100.1</v>
      </c>
      <c r="U168" s="140">
        <f>Valores!$C$25</f>
        <v>5911.11</v>
      </c>
      <c r="V168" s="140">
        <f t="shared" si="23"/>
        <v>5911.11</v>
      </c>
      <c r="W168" s="140">
        <v>0</v>
      </c>
      <c r="X168" s="140">
        <v>0</v>
      </c>
      <c r="Y168" s="139">
        <v>700</v>
      </c>
      <c r="Z168" s="140">
        <f>Y168*Valores!$C$2</f>
        <v>8698.69</v>
      </c>
      <c r="AA168" s="154">
        <f>SUM(L168,J168,H168,T168)*Valores!$C$3</f>
        <v>4826.7869999999994</v>
      </c>
      <c r="AB168" s="143">
        <f>Valores!$C$92</f>
        <v>4440.01</v>
      </c>
      <c r="AC168" s="145">
        <f>Valores!$C$31</f>
        <v>259.82</v>
      </c>
      <c r="AD168" s="140">
        <f t="shared" si="29"/>
        <v>0</v>
      </c>
      <c r="AE168" s="140">
        <f>Valores!$C$32</f>
        <v>259.82</v>
      </c>
      <c r="AF168" s="144">
        <v>94</v>
      </c>
      <c r="AG168" s="140">
        <f>INT(((AF168*Valores!$C$2)*100)+0.5)/100</f>
        <v>1168.1099999999999</v>
      </c>
      <c r="AH168" s="140">
        <f>IF($H$5="NO",Valores!$C$60,Valores!$C$60/2)</f>
        <v>528.49</v>
      </c>
      <c r="AI168" s="140">
        <f>IF($H$5="NO",Valores!$C$62,Valores!$C$62/2)</f>
        <v>151</v>
      </c>
      <c r="AJ168" s="146">
        <f t="shared" si="30"/>
        <v>88198.912000000011</v>
      </c>
      <c r="AK168" s="154">
        <f>Valores!$C$37</f>
        <v>1360.88</v>
      </c>
      <c r="AL168" s="143">
        <f>Valores!$C$87</f>
        <v>4550</v>
      </c>
      <c r="AM168" s="143"/>
      <c r="AN168" s="145">
        <f>IF($H$4="NO",0,224.5)</f>
        <v>0</v>
      </c>
      <c r="AO168" s="147">
        <f t="shared" si="28"/>
        <v>5910.88</v>
      </c>
      <c r="AP168" s="148">
        <f>AJ168*Valores!$C$69</f>
        <v>-9701.880320000002</v>
      </c>
      <c r="AQ168" s="149">
        <f>AJ168*-Valores!$C$70</f>
        <v>0</v>
      </c>
      <c r="AR168" s="142">
        <f>AJ168*Valores!$C$71</f>
        <v>-3968.9510400000004</v>
      </c>
      <c r="AS168" s="142">
        <f>Valores!$C$95</f>
        <v>-193.38</v>
      </c>
      <c r="AT168" s="142">
        <f>IF($H$6=0,Valores!$C$96,(Valores!$C$96+$H$6*(Valores!$C$96)))</f>
        <v>-129</v>
      </c>
      <c r="AU168" s="146">
        <f t="shared" si="31"/>
        <v>80116.580640000015</v>
      </c>
      <c r="AV168" s="199">
        <f t="shared" si="24"/>
        <v>-9701.880320000002</v>
      </c>
      <c r="AW168" s="142">
        <f>AJ168*Valores!$C$72</f>
        <v>-2381.3706240000001</v>
      </c>
      <c r="AX168" s="142">
        <f>AJ168*Valores!$C$73</f>
        <v>-264.59673600000002</v>
      </c>
      <c r="AY168" s="146">
        <f t="shared" si="32"/>
        <v>81761.94432000001</v>
      </c>
      <c r="AZ168" s="150"/>
      <c r="BA168" s="150">
        <v>45</v>
      </c>
      <c r="BB168" s="135" t="s">
        <v>4</v>
      </c>
    </row>
    <row r="169" spans="1:54" s="114" customFormat="1" ht="11.25" customHeight="1" x14ac:dyDescent="0.15">
      <c r="A169" s="134">
        <v>167</v>
      </c>
      <c r="B169" s="134"/>
      <c r="C169" s="135" t="s">
        <v>446</v>
      </c>
      <c r="D169" s="135"/>
      <c r="E169" s="135">
        <f t="shared" si="25"/>
        <v>31</v>
      </c>
      <c r="F169" s="136" t="s">
        <v>447</v>
      </c>
      <c r="G169" s="137">
        <v>83</v>
      </c>
      <c r="H169" s="138">
        <f>INT((G169*Valores!$C$2*100)+0.5)/100</f>
        <v>1031.42</v>
      </c>
      <c r="I169" s="156">
        <v>2352</v>
      </c>
      <c r="J169" s="140">
        <f>INT((I169*Valores!$C$2*100)+0.5)/100</f>
        <v>29227.599999999999</v>
      </c>
      <c r="K169" s="155">
        <v>0</v>
      </c>
      <c r="L169" s="140">
        <f>INT((K169*Valores!$C$2*100)+0.5)/100</f>
        <v>0</v>
      </c>
      <c r="M169" s="153">
        <v>0</v>
      </c>
      <c r="N169" s="140">
        <f>INT((M169*Valores!$C$2*100)+0.5)/100</f>
        <v>0</v>
      </c>
      <c r="O169" s="140">
        <f t="shared" si="26"/>
        <v>7195.3379999999997</v>
      </c>
      <c r="P169" s="140">
        <f t="shared" si="27"/>
        <v>0</v>
      </c>
      <c r="Q169" s="154">
        <f>Valores!$C$21</f>
        <v>10738.26</v>
      </c>
      <c r="R169" s="154">
        <f>Valores!$D$4</f>
        <v>6352.5280000000002</v>
      </c>
      <c r="S169" s="140">
        <v>0</v>
      </c>
      <c r="T169" s="143">
        <f>IF($H$5="NO",Valores!$C$45,Valores!$C$45/2)</f>
        <v>3100.1</v>
      </c>
      <c r="U169" s="140">
        <f>Valores!$C$25</f>
        <v>5911.11</v>
      </c>
      <c r="V169" s="140">
        <f t="shared" si="23"/>
        <v>5911.11</v>
      </c>
      <c r="W169" s="140">
        <v>0</v>
      </c>
      <c r="X169" s="140">
        <v>0</v>
      </c>
      <c r="Y169" s="139">
        <v>700</v>
      </c>
      <c r="Z169" s="140">
        <f>Y169*Valores!$C$2</f>
        <v>8698.69</v>
      </c>
      <c r="AA169" s="154">
        <f>SUM(L169,J169,H169,T169)*Valores!$C$3</f>
        <v>5003.8679999999995</v>
      </c>
      <c r="AB169" s="143">
        <f>Valores!$C$92</f>
        <v>4440.01</v>
      </c>
      <c r="AC169" s="145">
        <f>Valores!$C$31</f>
        <v>259.82</v>
      </c>
      <c r="AD169" s="140">
        <f t="shared" si="29"/>
        <v>0</v>
      </c>
      <c r="AE169" s="140">
        <f>Valores!$C$32</f>
        <v>259.82</v>
      </c>
      <c r="AF169" s="144">
        <v>94</v>
      </c>
      <c r="AG169" s="140">
        <f>INT(((AF169*Valores!$C$2)*100)+0.5)/100</f>
        <v>1168.1099999999999</v>
      </c>
      <c r="AH169" s="140">
        <f>IF($H$5="NO",Valores!$C$60,Valores!$C$60/2)</f>
        <v>528.49</v>
      </c>
      <c r="AI169" s="140">
        <f>IF($H$5="NO",Valores!$C$62,Valores!$C$62/2)</f>
        <v>151</v>
      </c>
      <c r="AJ169" s="146">
        <f t="shared" si="30"/>
        <v>84066.164000000019</v>
      </c>
      <c r="AK169" s="154">
        <f>Valores!$C$37</f>
        <v>1360.88</v>
      </c>
      <c r="AL169" s="143">
        <f>Valores!$C$87</f>
        <v>4550</v>
      </c>
      <c r="AM169" s="143"/>
      <c r="AN169" s="145">
        <v>0</v>
      </c>
      <c r="AO169" s="147">
        <f t="shared" si="28"/>
        <v>5910.88</v>
      </c>
      <c r="AP169" s="148">
        <f>AJ169*Valores!$C$69</f>
        <v>-9247.2780400000029</v>
      </c>
      <c r="AQ169" s="149">
        <f>AJ169*-Valores!$C$70</f>
        <v>0</v>
      </c>
      <c r="AR169" s="142">
        <f>AJ169*Valores!$C$71</f>
        <v>-3782.9773800000007</v>
      </c>
      <c r="AS169" s="142">
        <f>Valores!$C$95</f>
        <v>-193.38</v>
      </c>
      <c r="AT169" s="142">
        <f>IF($H$6=0,Valores!$C$96,(Valores!$C$96+$H$6*(Valores!$C$96)))</f>
        <v>-129</v>
      </c>
      <c r="AU169" s="146">
        <f t="shared" si="31"/>
        <v>76624.408580000018</v>
      </c>
      <c r="AV169" s="199">
        <f t="shared" si="24"/>
        <v>-9247.2780400000029</v>
      </c>
      <c r="AW169" s="142">
        <f>AJ169*Valores!$C$72</f>
        <v>-2269.7864280000003</v>
      </c>
      <c r="AX169" s="142">
        <f>AJ169*Valores!$C$73</f>
        <v>-252.19849200000007</v>
      </c>
      <c r="AY169" s="146">
        <f t="shared" si="32"/>
        <v>78207.781040000016</v>
      </c>
      <c r="AZ169" s="150"/>
      <c r="BA169" s="150">
        <v>45</v>
      </c>
      <c r="BB169" s="135" t="s">
        <v>8</v>
      </c>
    </row>
    <row r="170" spans="1:54" s="114" customFormat="1" ht="11.25" customHeight="1" x14ac:dyDescent="0.15">
      <c r="A170" s="134">
        <v>168</v>
      </c>
      <c r="B170" s="134"/>
      <c r="C170" s="135" t="s">
        <v>448</v>
      </c>
      <c r="D170" s="135"/>
      <c r="E170" s="135">
        <f t="shared" si="25"/>
        <v>31</v>
      </c>
      <c r="F170" s="136" t="s">
        <v>449</v>
      </c>
      <c r="G170" s="137">
        <v>83</v>
      </c>
      <c r="H170" s="138">
        <f>INT((G170*Valores!$C$2*100)+0.5)/100</f>
        <v>1031.42</v>
      </c>
      <c r="I170" s="156">
        <v>2092</v>
      </c>
      <c r="J170" s="140">
        <f>INT((I170*Valores!$C$2*100)+0.5)/100</f>
        <v>25996.66</v>
      </c>
      <c r="K170" s="155">
        <v>0</v>
      </c>
      <c r="L170" s="140">
        <f>INT((K170*Valores!$C$2*100)+0.5)/100</f>
        <v>0</v>
      </c>
      <c r="M170" s="153">
        <v>0</v>
      </c>
      <c r="N170" s="140">
        <f>INT((M170*Valores!$C$2*100)+0.5)/100</f>
        <v>0</v>
      </c>
      <c r="O170" s="140">
        <f t="shared" si="26"/>
        <v>6710.6970000000001</v>
      </c>
      <c r="P170" s="140">
        <f t="shared" si="27"/>
        <v>0</v>
      </c>
      <c r="Q170" s="154">
        <f>Valores!$C$21</f>
        <v>10738.26</v>
      </c>
      <c r="R170" s="154">
        <f>Valores!$D$4</f>
        <v>6352.5280000000002</v>
      </c>
      <c r="S170" s="140">
        <v>0</v>
      </c>
      <c r="T170" s="143">
        <f>IF($H$5="NO",Valores!$C$45,Valores!$C$45/2)</f>
        <v>3100.1</v>
      </c>
      <c r="U170" s="140">
        <f>Valores!$C$25</f>
        <v>5911.11</v>
      </c>
      <c r="V170" s="140">
        <f t="shared" si="23"/>
        <v>5911.11</v>
      </c>
      <c r="W170" s="140">
        <v>0</v>
      </c>
      <c r="X170" s="140">
        <v>0</v>
      </c>
      <c r="Y170" s="139">
        <v>700</v>
      </c>
      <c r="Z170" s="140">
        <f>Y170*Valores!$C$2</f>
        <v>8698.69</v>
      </c>
      <c r="AA170" s="154">
        <f>SUM(L170,J170,H170,T170)*Valores!$C$3</f>
        <v>4519.2269999999999</v>
      </c>
      <c r="AB170" s="143">
        <f>Valores!$C$92</f>
        <v>4440.01</v>
      </c>
      <c r="AC170" s="145">
        <f>Valores!$C$31</f>
        <v>259.82</v>
      </c>
      <c r="AD170" s="140">
        <f t="shared" si="29"/>
        <v>0</v>
      </c>
      <c r="AE170" s="140">
        <f>Valores!$C$32</f>
        <v>259.82</v>
      </c>
      <c r="AF170" s="144">
        <v>94</v>
      </c>
      <c r="AG170" s="140">
        <f>INT(((AF170*Valores!$C$2)*100)+0.5)/100</f>
        <v>1168.1099999999999</v>
      </c>
      <c r="AH170" s="140">
        <f>IF($H$5="NO",Valores!$C$60,Valores!$C$60/2)</f>
        <v>528.49</v>
      </c>
      <c r="AI170" s="140">
        <f>IF($H$5="NO",Valores!$C$62,Valores!$C$62/2)</f>
        <v>151</v>
      </c>
      <c r="AJ170" s="146">
        <f t="shared" si="30"/>
        <v>79865.942000000025</v>
      </c>
      <c r="AK170" s="154">
        <f>Valores!$C$37</f>
        <v>1360.88</v>
      </c>
      <c r="AL170" s="143">
        <f>Valores!$C$87</f>
        <v>4550</v>
      </c>
      <c r="AM170" s="143"/>
      <c r="AN170" s="145">
        <v>0</v>
      </c>
      <c r="AO170" s="147">
        <f t="shared" si="28"/>
        <v>5910.88</v>
      </c>
      <c r="AP170" s="148">
        <f>AJ170*Valores!$C$69</f>
        <v>-8785.2536200000031</v>
      </c>
      <c r="AQ170" s="149">
        <f>AJ170*-Valores!$C$70</f>
        <v>0</v>
      </c>
      <c r="AR170" s="142">
        <f>AJ170*Valores!$C$71</f>
        <v>-3593.9673900000012</v>
      </c>
      <c r="AS170" s="142">
        <f>Valores!$C$95</f>
        <v>-193.38</v>
      </c>
      <c r="AT170" s="142">
        <f>IF($H$6=0,Valores!$C$96,(Valores!$C$96+$H$6*(Valores!$C$96)))</f>
        <v>-129</v>
      </c>
      <c r="AU170" s="146">
        <f t="shared" si="31"/>
        <v>73075.220990000016</v>
      </c>
      <c r="AV170" s="199">
        <f t="shared" si="24"/>
        <v>-8785.2536200000031</v>
      </c>
      <c r="AW170" s="142">
        <f>AJ170*Valores!$C$72</f>
        <v>-2156.3804340000006</v>
      </c>
      <c r="AX170" s="142">
        <f>AJ170*Valores!$C$73</f>
        <v>-239.59782600000008</v>
      </c>
      <c r="AY170" s="146">
        <f t="shared" si="32"/>
        <v>74595.590120000023</v>
      </c>
      <c r="AZ170" s="150"/>
      <c r="BA170" s="150">
        <v>45</v>
      </c>
      <c r="BB170" s="135" t="s">
        <v>8</v>
      </c>
    </row>
    <row r="171" spans="1:54" s="114" customFormat="1" ht="11.25" customHeight="1" x14ac:dyDescent="0.15">
      <c r="A171" s="134">
        <v>169</v>
      </c>
      <c r="B171" s="134"/>
      <c r="C171" s="135" t="s">
        <v>450</v>
      </c>
      <c r="D171" s="135"/>
      <c r="E171" s="135">
        <f t="shared" si="25"/>
        <v>31</v>
      </c>
      <c r="F171" s="136" t="s">
        <v>451</v>
      </c>
      <c r="G171" s="137">
        <v>82</v>
      </c>
      <c r="H171" s="138">
        <f>INT((G171*Valores!$C$2*100)+0.5)/100</f>
        <v>1018.99</v>
      </c>
      <c r="I171" s="156">
        <v>1941</v>
      </c>
      <c r="J171" s="140">
        <f>INT((I171*Valores!$C$2*100)+0.5)/100</f>
        <v>24120.22</v>
      </c>
      <c r="K171" s="155">
        <v>0</v>
      </c>
      <c r="L171" s="140">
        <f>INT((K171*Valores!$C$2*100)+0.5)/100</f>
        <v>0</v>
      </c>
      <c r="M171" s="153">
        <v>0</v>
      </c>
      <c r="N171" s="140">
        <f>INT((M171*Valores!$C$2*100)+0.5)/100</f>
        <v>0</v>
      </c>
      <c r="O171" s="140">
        <f t="shared" si="26"/>
        <v>6427.3665000000001</v>
      </c>
      <c r="P171" s="140">
        <f t="shared" si="27"/>
        <v>0</v>
      </c>
      <c r="Q171" s="154">
        <f>Valores!$C$21</f>
        <v>10738.26</v>
      </c>
      <c r="R171" s="154">
        <f>Valores!$D$4</f>
        <v>6352.5280000000002</v>
      </c>
      <c r="S171" s="140">
        <v>0</v>
      </c>
      <c r="T171" s="143">
        <f>IF($H$5="NO",Valores!$C$45,Valores!$C$45/2)</f>
        <v>3100.1</v>
      </c>
      <c r="U171" s="140">
        <f>Valores!$C$25</f>
        <v>5911.11</v>
      </c>
      <c r="V171" s="140">
        <f t="shared" si="23"/>
        <v>5911.11</v>
      </c>
      <c r="W171" s="140">
        <v>0</v>
      </c>
      <c r="X171" s="140">
        <v>0</v>
      </c>
      <c r="Y171" s="139">
        <v>700</v>
      </c>
      <c r="Z171" s="140">
        <f>Y171*Valores!$C$2</f>
        <v>8698.69</v>
      </c>
      <c r="AA171" s="154">
        <f>SUM(L171,J171,H171,T171)*Valores!$C$3</f>
        <v>4235.8964999999998</v>
      </c>
      <c r="AB171" s="143">
        <f>Valores!$C$92</f>
        <v>4440.01</v>
      </c>
      <c r="AC171" s="145">
        <f>Valores!$C$31</f>
        <v>259.82</v>
      </c>
      <c r="AD171" s="140">
        <f t="shared" si="29"/>
        <v>0</v>
      </c>
      <c r="AE171" s="140">
        <f>Valores!$C$32</f>
        <v>259.82</v>
      </c>
      <c r="AF171" s="144">
        <v>94</v>
      </c>
      <c r="AG171" s="140">
        <f>INT(((AF171*Valores!$C$2)*100)+0.5)/100</f>
        <v>1168.1099999999999</v>
      </c>
      <c r="AH171" s="140">
        <f>IF($H$5="NO",Valores!$C$60,Valores!$C$60/2)</f>
        <v>528.49</v>
      </c>
      <c r="AI171" s="140">
        <f>IF($H$5="NO",Valores!$C$62,Valores!$C$62/2)</f>
        <v>151</v>
      </c>
      <c r="AJ171" s="146">
        <f t="shared" si="30"/>
        <v>77410.411000000022</v>
      </c>
      <c r="AK171" s="154">
        <f>Valores!$C$37</f>
        <v>1360.88</v>
      </c>
      <c r="AL171" s="143">
        <f>Valores!$C$87</f>
        <v>4550</v>
      </c>
      <c r="AM171" s="143"/>
      <c r="AN171" s="145">
        <v>0</v>
      </c>
      <c r="AO171" s="147">
        <f t="shared" si="28"/>
        <v>5910.88</v>
      </c>
      <c r="AP171" s="148">
        <f>AJ171*Valores!$C$69</f>
        <v>-8515.1452100000024</v>
      </c>
      <c r="AQ171" s="149">
        <f>AJ171*-Valores!$C$70</f>
        <v>0</v>
      </c>
      <c r="AR171" s="142">
        <f>AJ171*Valores!$C$71</f>
        <v>-3483.468495000001</v>
      </c>
      <c r="AS171" s="142">
        <f>Valores!$C$95</f>
        <v>-193.38</v>
      </c>
      <c r="AT171" s="142">
        <f>IF($H$6=0,Valores!$C$96,(Valores!$C$96+$H$6*(Valores!$C$96)))</f>
        <v>-129</v>
      </c>
      <c r="AU171" s="146">
        <f t="shared" si="31"/>
        <v>71000.297295000026</v>
      </c>
      <c r="AV171" s="199">
        <f t="shared" si="24"/>
        <v>-8515.1452100000024</v>
      </c>
      <c r="AW171" s="142">
        <f>AJ171*Valores!$C$72</f>
        <v>-2090.0810970000007</v>
      </c>
      <c r="AX171" s="142">
        <f>AJ171*Valores!$C$73</f>
        <v>-232.23123300000006</v>
      </c>
      <c r="AY171" s="146">
        <f t="shared" si="32"/>
        <v>72483.833460000023</v>
      </c>
      <c r="AZ171" s="150"/>
      <c r="BA171" s="150">
        <v>45</v>
      </c>
      <c r="BB171" s="135" t="s">
        <v>8</v>
      </c>
    </row>
    <row r="172" spans="1:54" s="114" customFormat="1" ht="11.25" customHeight="1" x14ac:dyDescent="0.15">
      <c r="A172" s="152">
        <v>170</v>
      </c>
      <c r="B172" s="152" t="s">
        <v>139</v>
      </c>
      <c r="C172" s="135" t="s">
        <v>452</v>
      </c>
      <c r="D172" s="135"/>
      <c r="E172" s="135">
        <f t="shared" si="25"/>
        <v>30</v>
      </c>
      <c r="F172" s="136" t="s">
        <v>453</v>
      </c>
      <c r="G172" s="137">
        <v>79</v>
      </c>
      <c r="H172" s="138">
        <f>INT((G172*Valores!$C$2*100)+0.5)/100</f>
        <v>981.71</v>
      </c>
      <c r="I172" s="156">
        <v>2161</v>
      </c>
      <c r="J172" s="140">
        <f>INT((I172*Valores!$C$2*100)+0.5)/100</f>
        <v>26854.1</v>
      </c>
      <c r="K172" s="155">
        <v>0</v>
      </c>
      <c r="L172" s="140">
        <f>INT((K172*Valores!$C$2*100)+0.5)/100</f>
        <v>0</v>
      </c>
      <c r="M172" s="153">
        <v>0</v>
      </c>
      <c r="N172" s="140">
        <f>INT((M172*Valores!$C$2*100)+0.5)/100</f>
        <v>0</v>
      </c>
      <c r="O172" s="140">
        <f t="shared" si="26"/>
        <v>6831.8564999999999</v>
      </c>
      <c r="P172" s="140">
        <f t="shared" si="27"/>
        <v>0</v>
      </c>
      <c r="Q172" s="154">
        <f>Valores!$C$21</f>
        <v>10738.26</v>
      </c>
      <c r="R172" s="154">
        <f>Valores!$D$4</f>
        <v>6352.5280000000002</v>
      </c>
      <c r="S172" s="140">
        <v>0</v>
      </c>
      <c r="T172" s="143">
        <f>IF($H$5="NO",Valores!$C$45,Valores!$C$45/2)</f>
        <v>3100.1</v>
      </c>
      <c r="U172" s="140">
        <f>Valores!$C$25</f>
        <v>5911.11</v>
      </c>
      <c r="V172" s="140">
        <f t="shared" si="23"/>
        <v>5911.11</v>
      </c>
      <c r="W172" s="140">
        <v>0</v>
      </c>
      <c r="X172" s="140">
        <v>0</v>
      </c>
      <c r="Y172" s="139">
        <v>700</v>
      </c>
      <c r="Z172" s="140">
        <f>Y172*Valores!$C$2</f>
        <v>8698.69</v>
      </c>
      <c r="AA172" s="154">
        <f>SUM(L172,J172,H172,T172)*Valores!$C$3</f>
        <v>4640.3864999999996</v>
      </c>
      <c r="AB172" s="143">
        <f>Valores!$C$92</f>
        <v>4440.01</v>
      </c>
      <c r="AC172" s="145">
        <f>Valores!$C$31</f>
        <v>259.82</v>
      </c>
      <c r="AD172" s="140">
        <f t="shared" si="29"/>
        <v>0</v>
      </c>
      <c r="AE172" s="140">
        <f>Valores!$C$32</f>
        <v>259.82</v>
      </c>
      <c r="AF172" s="144">
        <v>94</v>
      </c>
      <c r="AG172" s="140">
        <f>INT(((AF172*Valores!$C$2)*100)+0.5)/100</f>
        <v>1168.1099999999999</v>
      </c>
      <c r="AH172" s="140">
        <f>IF($H$5="NO",Valores!$C$60,Valores!$C$60/2)</f>
        <v>528.49</v>
      </c>
      <c r="AI172" s="140">
        <f>IF($H$5="NO",Valores!$C$62,Valores!$C$62/2)</f>
        <v>151</v>
      </c>
      <c r="AJ172" s="146">
        <f t="shared" si="30"/>
        <v>80915.991000000009</v>
      </c>
      <c r="AK172" s="154">
        <f>Valores!$C$37</f>
        <v>1360.88</v>
      </c>
      <c r="AL172" s="143">
        <f>Valores!$C$87</f>
        <v>4550</v>
      </c>
      <c r="AM172" s="143"/>
      <c r="AN172" s="145">
        <v>0</v>
      </c>
      <c r="AO172" s="147">
        <f t="shared" si="28"/>
        <v>5910.88</v>
      </c>
      <c r="AP172" s="148">
        <f>AJ172*Valores!$C$69</f>
        <v>-8900.7590100000016</v>
      </c>
      <c r="AQ172" s="149">
        <f>AJ172*-Valores!$C$70</f>
        <v>0</v>
      </c>
      <c r="AR172" s="142">
        <f>AJ172*Valores!$C$71</f>
        <v>-3641.2195950000005</v>
      </c>
      <c r="AS172" s="142">
        <f>Valores!$C$95</f>
        <v>-193.38</v>
      </c>
      <c r="AT172" s="142">
        <f>IF($H$6=0,Valores!$C$96,(Valores!$C$96+$H$6*(Valores!$C$96)))</f>
        <v>-129</v>
      </c>
      <c r="AU172" s="146">
        <f t="shared" si="31"/>
        <v>73962.512395000012</v>
      </c>
      <c r="AV172" s="199">
        <f t="shared" si="24"/>
        <v>-8900.7590100000016</v>
      </c>
      <c r="AW172" s="142">
        <f>AJ172*Valores!$C$72</f>
        <v>-2184.731757</v>
      </c>
      <c r="AX172" s="142">
        <f>AJ172*Valores!$C$73</f>
        <v>-242.74797300000003</v>
      </c>
      <c r="AY172" s="146">
        <f t="shared" si="32"/>
        <v>75498.632260000013</v>
      </c>
      <c r="AZ172" s="150"/>
      <c r="BA172" s="150">
        <v>45</v>
      </c>
      <c r="BB172" s="135" t="s">
        <v>8</v>
      </c>
    </row>
    <row r="173" spans="1:54" s="114" customFormat="1" ht="11.25" customHeight="1" x14ac:dyDescent="0.15">
      <c r="A173" s="134">
        <v>171</v>
      </c>
      <c r="B173" s="134"/>
      <c r="C173" s="135" t="s">
        <v>454</v>
      </c>
      <c r="D173" s="135"/>
      <c r="E173" s="135">
        <f t="shared" si="25"/>
        <v>28</v>
      </c>
      <c r="F173" s="136" t="s">
        <v>455</v>
      </c>
      <c r="G173" s="137">
        <v>98</v>
      </c>
      <c r="H173" s="138">
        <f>INT((G173*Valores!$C$2*100)+0.5)/100</f>
        <v>1217.82</v>
      </c>
      <c r="I173" s="156">
        <v>2686</v>
      </c>
      <c r="J173" s="140">
        <f>INT((I173*Valores!$C$2*100)+0.5)/100</f>
        <v>33378.120000000003</v>
      </c>
      <c r="K173" s="155">
        <v>0</v>
      </c>
      <c r="L173" s="140">
        <f>INT((K173*Valores!$C$2*100)+0.5)/100</f>
        <v>0</v>
      </c>
      <c r="M173" s="153">
        <v>0</v>
      </c>
      <c r="N173" s="140">
        <f>INT((M173*Valores!$C$2*100)+0.5)/100</f>
        <v>0</v>
      </c>
      <c r="O173" s="140">
        <f t="shared" si="26"/>
        <v>7845.8760000000002</v>
      </c>
      <c r="P173" s="140">
        <f t="shared" si="27"/>
        <v>0</v>
      </c>
      <c r="Q173" s="140">
        <f>Valores!$C$21</f>
        <v>10738.26</v>
      </c>
      <c r="R173" s="154">
        <f>Valores!$D$4</f>
        <v>6352.5280000000002</v>
      </c>
      <c r="S173" s="140">
        <v>0</v>
      </c>
      <c r="T173" s="143">
        <f>IF($H$5="NO",Valores!$C$45,Valores!$C$45/2)</f>
        <v>3100.1</v>
      </c>
      <c r="U173" s="140">
        <f>Valores!$C$25</f>
        <v>5911.11</v>
      </c>
      <c r="V173" s="140">
        <f t="shared" si="23"/>
        <v>5911.11</v>
      </c>
      <c r="W173" s="140">
        <v>0</v>
      </c>
      <c r="X173" s="140">
        <v>0</v>
      </c>
      <c r="Y173" s="139">
        <v>700</v>
      </c>
      <c r="Z173" s="140">
        <f>Y173*Valores!$C$2</f>
        <v>8698.69</v>
      </c>
      <c r="AA173" s="154">
        <f>SUM(L173,J173,H173,T173)*Valores!$C$3</f>
        <v>5654.4059999999999</v>
      </c>
      <c r="AB173" s="143">
        <f>Valores!$C$92</f>
        <v>4440.01</v>
      </c>
      <c r="AC173" s="145">
        <f>Valores!$C$31</f>
        <v>259.82</v>
      </c>
      <c r="AD173" s="140">
        <f t="shared" si="29"/>
        <v>0</v>
      </c>
      <c r="AE173" s="140">
        <f>Valores!$C$32</f>
        <v>259.82</v>
      </c>
      <c r="AF173" s="144">
        <v>0</v>
      </c>
      <c r="AG173" s="140">
        <f>INT(((AF173*Valores!$C$2)*100)+0.5)/100</f>
        <v>0</v>
      </c>
      <c r="AH173" s="140">
        <f>IF($H$5="NO",Valores!$C$60,Valores!$C$60/2)</f>
        <v>528.49</v>
      </c>
      <c r="AI173" s="140">
        <f>IF($H$5="NO",Valores!$C$62,Valores!$C$62/2)</f>
        <v>151</v>
      </c>
      <c r="AJ173" s="146">
        <f t="shared" si="30"/>
        <v>88536.050000000032</v>
      </c>
      <c r="AK173" s="154">
        <f>Valores!$C$37</f>
        <v>1360.88</v>
      </c>
      <c r="AL173" s="143">
        <f>Valores!$C$87</f>
        <v>4550</v>
      </c>
      <c r="AM173" s="143"/>
      <c r="AN173" s="145">
        <v>0</v>
      </c>
      <c r="AO173" s="147">
        <f t="shared" si="28"/>
        <v>5910.88</v>
      </c>
      <c r="AP173" s="148">
        <f>AJ173*Valores!$C$69</f>
        <v>-9738.9655000000039</v>
      </c>
      <c r="AQ173" s="149">
        <f>AJ173*-Valores!$C$70</f>
        <v>0</v>
      </c>
      <c r="AR173" s="142">
        <f>AJ173*Valores!$C$71</f>
        <v>-3984.1222500000013</v>
      </c>
      <c r="AS173" s="142">
        <f>Valores!$C$95</f>
        <v>-193.38</v>
      </c>
      <c r="AT173" s="142">
        <f>IF($H$6=0,Valores!$C$96,(Valores!$C$96+$H$6*(Valores!$C$96)))</f>
        <v>-129</v>
      </c>
      <c r="AU173" s="146">
        <f t="shared" si="31"/>
        <v>80401.462250000026</v>
      </c>
      <c r="AV173" s="199">
        <f t="shared" si="24"/>
        <v>-9738.9655000000039</v>
      </c>
      <c r="AW173" s="142">
        <f>AJ173*Valores!$C$72</f>
        <v>-2390.4733500000007</v>
      </c>
      <c r="AX173" s="142">
        <f>AJ173*Valores!$C$73</f>
        <v>-265.60815000000008</v>
      </c>
      <c r="AY173" s="146">
        <f t="shared" si="32"/>
        <v>82051.883000000031</v>
      </c>
      <c r="AZ173" s="150"/>
      <c r="BA173" s="150"/>
      <c r="BB173" s="135" t="s">
        <v>8</v>
      </c>
    </row>
    <row r="174" spans="1:54" s="114" customFormat="1" ht="11.25" customHeight="1" x14ac:dyDescent="0.15">
      <c r="A174" s="134">
        <v>172</v>
      </c>
      <c r="B174" s="134"/>
      <c r="C174" s="135" t="s">
        <v>456</v>
      </c>
      <c r="D174" s="135"/>
      <c r="E174" s="135">
        <f t="shared" si="25"/>
        <v>28</v>
      </c>
      <c r="F174" s="136" t="s">
        <v>457</v>
      </c>
      <c r="G174" s="137">
        <v>93</v>
      </c>
      <c r="H174" s="138">
        <f>INT((G174*Valores!$C$2*100)+0.5)/100</f>
        <v>1155.68</v>
      </c>
      <c r="I174" s="156">
        <v>2547</v>
      </c>
      <c r="J174" s="140">
        <f>INT((I174*Valores!$C$2*100)+0.5)/100</f>
        <v>31650.799999999999</v>
      </c>
      <c r="K174" s="155">
        <v>0</v>
      </c>
      <c r="L174" s="140">
        <f>INT((K174*Valores!$C$2*100)+0.5)/100</f>
        <v>0</v>
      </c>
      <c r="M174" s="153">
        <v>0</v>
      </c>
      <c r="N174" s="140">
        <f>INT((M174*Valores!$C$2*100)+0.5)/100</f>
        <v>0</v>
      </c>
      <c r="O174" s="140">
        <f t="shared" si="26"/>
        <v>7577.4569999999994</v>
      </c>
      <c r="P174" s="140">
        <f t="shared" si="27"/>
        <v>0</v>
      </c>
      <c r="Q174" s="157">
        <f>Valores!$C$21</f>
        <v>10738.26</v>
      </c>
      <c r="R174" s="154">
        <f>Valores!$D$4</f>
        <v>6352.5280000000002</v>
      </c>
      <c r="S174" s="140">
        <v>0</v>
      </c>
      <c r="T174" s="143">
        <f>IF($H$5="NO",Valores!$C$45,Valores!$C$45/2)</f>
        <v>3100.1</v>
      </c>
      <c r="U174" s="140">
        <f>Valores!$C$25</f>
        <v>5911.11</v>
      </c>
      <c r="V174" s="140">
        <f t="shared" si="23"/>
        <v>5911.11</v>
      </c>
      <c r="W174" s="140">
        <v>0</v>
      </c>
      <c r="X174" s="140">
        <v>0</v>
      </c>
      <c r="Y174" s="139">
        <v>700</v>
      </c>
      <c r="Z174" s="140">
        <f>Y174*Valores!$C$2</f>
        <v>8698.69</v>
      </c>
      <c r="AA174" s="154">
        <f>SUM(L174,J174,H174,T174)*Valores!$C$3</f>
        <v>5385.9869999999992</v>
      </c>
      <c r="AB174" s="143">
        <f>Valores!$C$92</f>
        <v>4440.01</v>
      </c>
      <c r="AC174" s="145">
        <f>Valores!$C$31</f>
        <v>259.82</v>
      </c>
      <c r="AD174" s="140">
        <f t="shared" si="29"/>
        <v>0</v>
      </c>
      <c r="AE174" s="140">
        <f>Valores!$C$32</f>
        <v>259.82</v>
      </c>
      <c r="AF174" s="144">
        <v>0</v>
      </c>
      <c r="AG174" s="140">
        <f>INT(((AF174*Valores!$C$2)*100)+0.5)/100</f>
        <v>0</v>
      </c>
      <c r="AH174" s="140">
        <f>IF($H$5="NO",Valores!$C$60,Valores!$C$60/2)</f>
        <v>528.49</v>
      </c>
      <c r="AI174" s="140">
        <f>IF($H$5="NO",Valores!$C$62,Valores!$C$62/2)</f>
        <v>151</v>
      </c>
      <c r="AJ174" s="146">
        <f t="shared" si="30"/>
        <v>86209.752000000008</v>
      </c>
      <c r="AK174" s="154">
        <f>Valores!$C$37</f>
        <v>1360.88</v>
      </c>
      <c r="AL174" s="143">
        <f>Valores!$C$87</f>
        <v>4550</v>
      </c>
      <c r="AM174" s="143"/>
      <c r="AN174" s="145">
        <v>0</v>
      </c>
      <c r="AO174" s="147">
        <f t="shared" si="28"/>
        <v>5910.88</v>
      </c>
      <c r="AP174" s="148">
        <f>AJ174*Valores!$C$69</f>
        <v>-9483.0727200000001</v>
      </c>
      <c r="AQ174" s="149">
        <f>AJ174*-Valores!$C$70</f>
        <v>0</v>
      </c>
      <c r="AR174" s="142">
        <f>AJ174*Valores!$C$71</f>
        <v>-3879.4388400000003</v>
      </c>
      <c r="AS174" s="142">
        <f>Valores!$C$95</f>
        <v>-193.38</v>
      </c>
      <c r="AT174" s="142">
        <f>IF($H$6=0,Valores!$C$96,(Valores!$C$96+$H$6*(Valores!$C$96)))</f>
        <v>-129</v>
      </c>
      <c r="AU174" s="146">
        <f t="shared" si="31"/>
        <v>78435.740440000009</v>
      </c>
      <c r="AV174" s="199">
        <f t="shared" si="24"/>
        <v>-9483.0727200000001</v>
      </c>
      <c r="AW174" s="142">
        <f>AJ174*Valores!$C$72</f>
        <v>-2327.6633040000002</v>
      </c>
      <c r="AX174" s="142">
        <f>AJ174*Valores!$C$73</f>
        <v>-258.62925600000005</v>
      </c>
      <c r="AY174" s="146">
        <f t="shared" si="32"/>
        <v>80051.266720000014</v>
      </c>
      <c r="AZ174" s="150"/>
      <c r="BA174" s="150"/>
      <c r="BB174" s="135" t="s">
        <v>4</v>
      </c>
    </row>
    <row r="175" spans="1:54" s="114" customFormat="1" ht="11.25" customHeight="1" x14ac:dyDescent="0.15">
      <c r="A175" s="134">
        <v>173</v>
      </c>
      <c r="B175" s="134"/>
      <c r="C175" s="135" t="s">
        <v>458</v>
      </c>
      <c r="D175" s="135"/>
      <c r="E175" s="135">
        <f t="shared" si="25"/>
        <v>27</v>
      </c>
      <c r="F175" s="136" t="s">
        <v>459</v>
      </c>
      <c r="G175" s="137">
        <v>1278</v>
      </c>
      <c r="H175" s="138">
        <f>INT((G175*Valores!$C$2*100)+0.5)/100</f>
        <v>15881.32</v>
      </c>
      <c r="I175" s="156">
        <v>0</v>
      </c>
      <c r="J175" s="140">
        <f>INT((I175*Valores!$C$2*100)+0.5)/100</f>
        <v>0</v>
      </c>
      <c r="K175" s="155">
        <v>0</v>
      </c>
      <c r="L175" s="140">
        <f>INT((K175*Valores!$C$2*100)+0.5)/100</f>
        <v>0</v>
      </c>
      <c r="M175" s="153">
        <v>0</v>
      </c>
      <c r="N175" s="140">
        <f>INT((M175*Valores!$C$2*100)+0.5)/100</f>
        <v>0</v>
      </c>
      <c r="O175" s="140">
        <f t="shared" si="26"/>
        <v>5411.4839999999995</v>
      </c>
      <c r="P175" s="140">
        <f t="shared" si="27"/>
        <v>0</v>
      </c>
      <c r="Q175" s="154">
        <f>Valores!$C$21</f>
        <v>10738.26</v>
      </c>
      <c r="R175" s="154">
        <f>Valores!$D$4</f>
        <v>6352.5280000000002</v>
      </c>
      <c r="S175" s="140">
        <v>0</v>
      </c>
      <c r="T175" s="143">
        <f>IF($H$5="NO",Valores!$C$45,Valores!$C$45/2)</f>
        <v>3100.1</v>
      </c>
      <c r="U175" s="140">
        <f>Valores!$C$25</f>
        <v>5911.11</v>
      </c>
      <c r="V175" s="140">
        <f t="shared" ref="V175:V238" si="33">U175*(1+$J$2)</f>
        <v>5911.11</v>
      </c>
      <c r="W175" s="140">
        <v>0</v>
      </c>
      <c r="X175" s="140">
        <v>0</v>
      </c>
      <c r="Y175" s="139">
        <v>900</v>
      </c>
      <c r="Z175" s="140">
        <f>Y175*Valores!$C$2</f>
        <v>11184.03</v>
      </c>
      <c r="AA175" s="154">
        <f>SUM(L175,J175,H175,T175)*Valores!$C$3</f>
        <v>2847.2129999999997</v>
      </c>
      <c r="AB175" s="143">
        <f>Valores!$C$92</f>
        <v>4440.01</v>
      </c>
      <c r="AC175" s="145">
        <f>Valores!$C$31</f>
        <v>259.82</v>
      </c>
      <c r="AD175" s="140">
        <f t="shared" si="29"/>
        <v>0</v>
      </c>
      <c r="AE175" s="140">
        <f>Valores!$C$32</f>
        <v>259.82</v>
      </c>
      <c r="AF175" s="144">
        <v>94</v>
      </c>
      <c r="AG175" s="140">
        <f>INT(((AF175*Valores!$C$2)*100)+0.5)/100</f>
        <v>1168.1099999999999</v>
      </c>
      <c r="AH175" s="140">
        <f>IF($H$5="NO",Valores!$C$60,Valores!$C$60/2)</f>
        <v>528.49</v>
      </c>
      <c r="AI175" s="140">
        <f>IF($H$5="NO",Valores!$C$62,Valores!$C$62/2)</f>
        <v>151</v>
      </c>
      <c r="AJ175" s="146">
        <f t="shared" si="30"/>
        <v>68233.294999999984</v>
      </c>
      <c r="AK175" s="154">
        <f>Valores!$C$37</f>
        <v>1360.88</v>
      </c>
      <c r="AL175" s="143">
        <f>Valores!$C$87</f>
        <v>4550</v>
      </c>
      <c r="AM175" s="143"/>
      <c r="AN175" s="145">
        <f>IF($H$4="NO",0,Valores!$C$52)</f>
        <v>0</v>
      </c>
      <c r="AO175" s="147">
        <f t="shared" si="28"/>
        <v>5910.88</v>
      </c>
      <c r="AP175" s="148">
        <f>AJ175*Valores!$C$69</f>
        <v>-7505.662449999998</v>
      </c>
      <c r="AQ175" s="149">
        <f>AJ175*-Valores!$C$70</f>
        <v>0</v>
      </c>
      <c r="AR175" s="142">
        <f>AJ175*Valores!$C$71</f>
        <v>-3070.498274999999</v>
      </c>
      <c r="AS175" s="142">
        <f>Valores!$C$95</f>
        <v>-193.38</v>
      </c>
      <c r="AT175" s="142">
        <f>IF($H$6=0,Valores!$C$96,(Valores!$C$96+$H$6*(Valores!$C$96)))</f>
        <v>-129</v>
      </c>
      <c r="AU175" s="146">
        <f t="shared" si="31"/>
        <v>63245.634274999989</v>
      </c>
      <c r="AV175" s="199">
        <f t="shared" si="24"/>
        <v>-7505.662449999998</v>
      </c>
      <c r="AW175" s="142">
        <f>AJ175*Valores!$C$72</f>
        <v>-1842.2989649999995</v>
      </c>
      <c r="AX175" s="142">
        <f>AJ175*Valores!$C$73</f>
        <v>-204.69988499999997</v>
      </c>
      <c r="AY175" s="146">
        <f t="shared" si="32"/>
        <v>64591.513699999989</v>
      </c>
      <c r="AZ175" s="150"/>
      <c r="BA175" s="150">
        <v>36</v>
      </c>
      <c r="BB175" s="135" t="s">
        <v>4</v>
      </c>
    </row>
    <row r="176" spans="1:54" s="114" customFormat="1" ht="11.25" customHeight="1" x14ac:dyDescent="0.15">
      <c r="A176" s="134">
        <v>174</v>
      </c>
      <c r="B176" s="134"/>
      <c r="C176" s="135" t="s">
        <v>460</v>
      </c>
      <c r="D176" s="135"/>
      <c r="E176" s="135">
        <f t="shared" si="25"/>
        <v>27</v>
      </c>
      <c r="F176" s="136" t="s">
        <v>461</v>
      </c>
      <c r="G176" s="137">
        <v>217</v>
      </c>
      <c r="H176" s="138">
        <f>INT((G176*Valores!$C$2*100)+0.5)/100</f>
        <v>2696.59</v>
      </c>
      <c r="I176" s="156">
        <f>2245</f>
        <v>2245</v>
      </c>
      <c r="J176" s="140">
        <f>INT((I176*Valores!$C$2*100)+0.5)/100</f>
        <v>27897.94</v>
      </c>
      <c r="K176" s="155">
        <v>0</v>
      </c>
      <c r="L176" s="140">
        <f>INT((K176*Valores!$C$2*100)+0.5)/100</f>
        <v>0</v>
      </c>
      <c r="M176" s="153">
        <v>1300</v>
      </c>
      <c r="N176" s="140">
        <f>INT((M176*Valores!$C$2*100)+0.5)/100</f>
        <v>16154.71</v>
      </c>
      <c r="O176" s="140">
        <f t="shared" si="26"/>
        <v>8364.0674999999992</v>
      </c>
      <c r="P176" s="140">
        <f t="shared" si="27"/>
        <v>0</v>
      </c>
      <c r="Q176" s="154">
        <f>Valores!$C$16</f>
        <v>13030.51</v>
      </c>
      <c r="R176" s="154">
        <f>Valores!$D$4</f>
        <v>6352.5280000000002</v>
      </c>
      <c r="S176" s="154">
        <f>Valores!$C$28</f>
        <v>5667.45</v>
      </c>
      <c r="T176" s="143">
        <f>IF($H$5="NO",Valores!$C$45,Valores!$C$45/2)</f>
        <v>3100.1</v>
      </c>
      <c r="U176" s="140">
        <f>Valores!$C$25</f>
        <v>5911.11</v>
      </c>
      <c r="V176" s="140">
        <f t="shared" si="33"/>
        <v>5911.11</v>
      </c>
      <c r="W176" s="140">
        <v>0</v>
      </c>
      <c r="X176" s="140">
        <v>0</v>
      </c>
      <c r="Y176" s="144">
        <v>0</v>
      </c>
      <c r="Z176" s="140">
        <f>Y176*Valores!$C$2</f>
        <v>0</v>
      </c>
      <c r="AA176" s="140">
        <v>0</v>
      </c>
      <c r="AB176" s="143">
        <f>Valores!$C$92</f>
        <v>4440.01</v>
      </c>
      <c r="AC176" s="145">
        <f>Valores!$C$31</f>
        <v>259.82</v>
      </c>
      <c r="AD176" s="140">
        <f t="shared" si="29"/>
        <v>0</v>
      </c>
      <c r="AE176" s="140">
        <f>Valores!$C$32</f>
        <v>259.82</v>
      </c>
      <c r="AF176" s="144">
        <v>0</v>
      </c>
      <c r="AG176" s="140">
        <f>INT(((AF176*Valores!$C$2)*100)+0.5)/100</f>
        <v>0</v>
      </c>
      <c r="AH176" s="140">
        <f>IF($H$5="NO",Valores!$C$60,Valores!$C$60/2)</f>
        <v>528.49</v>
      </c>
      <c r="AI176" s="140">
        <f>IF($H$5="NO",Valores!$C$62,Valores!$C$62/2)</f>
        <v>151</v>
      </c>
      <c r="AJ176" s="146">
        <f t="shared" si="30"/>
        <v>94814.145500000013</v>
      </c>
      <c r="AK176" s="154">
        <f>Valores!$C$37</f>
        <v>1360.88</v>
      </c>
      <c r="AL176" s="143">
        <f>Valores!$C$87</f>
        <v>4550</v>
      </c>
      <c r="AM176" s="143"/>
      <c r="AN176" s="145">
        <f>IF($H$4="NO",0,Valores!$C$52)</f>
        <v>0</v>
      </c>
      <c r="AO176" s="147">
        <f t="shared" si="28"/>
        <v>5910.88</v>
      </c>
      <c r="AP176" s="148">
        <f>AJ176*Valores!$C$69</f>
        <v>-10429.556005000002</v>
      </c>
      <c r="AQ176" s="149">
        <f>AJ176*-Valores!$C$70</f>
        <v>0</v>
      </c>
      <c r="AR176" s="142">
        <f>AJ176*Valores!$C$71</f>
        <v>-4266.6365475000002</v>
      </c>
      <c r="AS176" s="142">
        <f>Valores!$C$95</f>
        <v>-193.38</v>
      </c>
      <c r="AT176" s="142">
        <f>IF($H$6=0,Valores!$C$96,(Valores!$C$96+$H$6*(Valores!$C$96)))</f>
        <v>-129</v>
      </c>
      <c r="AU176" s="146">
        <f t="shared" si="31"/>
        <v>85706.452947500016</v>
      </c>
      <c r="AV176" s="199">
        <f t="shared" si="24"/>
        <v>-10429.556005000002</v>
      </c>
      <c r="AW176" s="142">
        <f>AJ176*Valores!$C$72</f>
        <v>-2559.9819285000003</v>
      </c>
      <c r="AX176" s="142">
        <f>AJ176*Valores!$C$73</f>
        <v>-284.44243650000004</v>
      </c>
      <c r="AY176" s="146">
        <f t="shared" si="32"/>
        <v>87451.045130000013</v>
      </c>
      <c r="AZ176" s="150"/>
      <c r="BA176" s="150">
        <v>45</v>
      </c>
      <c r="BB176" s="135" t="s">
        <v>4</v>
      </c>
    </row>
    <row r="177" spans="1:54" s="114" customFormat="1" ht="11.25" customHeight="1" x14ac:dyDescent="0.15">
      <c r="A177" s="152">
        <v>175</v>
      </c>
      <c r="B177" s="152" t="s">
        <v>139</v>
      </c>
      <c r="C177" s="135" t="s">
        <v>462</v>
      </c>
      <c r="D177" s="135"/>
      <c r="E177" s="135">
        <f t="shared" si="25"/>
        <v>27</v>
      </c>
      <c r="F177" s="136" t="s">
        <v>463</v>
      </c>
      <c r="G177" s="137">
        <v>185</v>
      </c>
      <c r="H177" s="138">
        <f>INT((G177*Valores!$C$2*100)+0.5)/100</f>
        <v>2298.94</v>
      </c>
      <c r="I177" s="156">
        <f>1835</f>
        <v>1835</v>
      </c>
      <c r="J177" s="140">
        <f>INT((I177*Valores!$C$2*100)+0.5)/100</f>
        <v>22802.99</v>
      </c>
      <c r="K177" s="155">
        <v>0</v>
      </c>
      <c r="L177" s="140">
        <f>INT((K177*Valores!$C$2*100)+0.5)/100</f>
        <v>0</v>
      </c>
      <c r="M177" s="153">
        <v>1300</v>
      </c>
      <c r="N177" s="140">
        <f>INT((M177*Valores!$C$2*100)+0.5)/100</f>
        <v>16154.71</v>
      </c>
      <c r="O177" s="140">
        <f t="shared" si="26"/>
        <v>7540.1774999999998</v>
      </c>
      <c r="P177" s="140">
        <f t="shared" si="27"/>
        <v>0</v>
      </c>
      <c r="Q177" s="154">
        <f>Valores!$C$16</f>
        <v>13030.51</v>
      </c>
      <c r="R177" s="154">
        <f>Valores!$D$4</f>
        <v>6352.5280000000002</v>
      </c>
      <c r="S177" s="154">
        <f>Valores!$C$28</f>
        <v>5667.45</v>
      </c>
      <c r="T177" s="143">
        <f>IF($H$5="NO",Valores!$C$45,Valores!$C$45/2)</f>
        <v>3100.1</v>
      </c>
      <c r="U177" s="140">
        <f>Valores!$C$25</f>
        <v>5911.11</v>
      </c>
      <c r="V177" s="140">
        <f t="shared" si="33"/>
        <v>5911.11</v>
      </c>
      <c r="W177" s="140">
        <v>0</v>
      </c>
      <c r="X177" s="140">
        <v>0</v>
      </c>
      <c r="Y177" s="144">
        <v>0</v>
      </c>
      <c r="Z177" s="140">
        <f>Y177*Valores!$C$2</f>
        <v>0</v>
      </c>
      <c r="AA177" s="140">
        <v>0</v>
      </c>
      <c r="AB177" s="143">
        <f>Valores!$C$92</f>
        <v>4440.01</v>
      </c>
      <c r="AC177" s="145">
        <f>Valores!$C$31</f>
        <v>259.82</v>
      </c>
      <c r="AD177" s="140">
        <f t="shared" si="29"/>
        <v>0</v>
      </c>
      <c r="AE177" s="140">
        <f>Valores!$C$32</f>
        <v>259.82</v>
      </c>
      <c r="AF177" s="144">
        <v>0</v>
      </c>
      <c r="AG177" s="140">
        <f>INT(((AF177*Valores!$C$2)*100)+0.5)/100</f>
        <v>0</v>
      </c>
      <c r="AH177" s="140">
        <f>IF($H$5="NO",Valores!$C$60,Valores!$C$60/2)</f>
        <v>528.49</v>
      </c>
      <c r="AI177" s="140">
        <f>IF($H$5="NO",Valores!$C$62,Valores!$C$62/2)</f>
        <v>151</v>
      </c>
      <c r="AJ177" s="146">
        <f t="shared" si="30"/>
        <v>88497.655500000023</v>
      </c>
      <c r="AK177" s="154">
        <f>Valores!$C$37</f>
        <v>1360.88</v>
      </c>
      <c r="AL177" s="143">
        <f>Valores!$C$87</f>
        <v>4550</v>
      </c>
      <c r="AM177" s="143"/>
      <c r="AN177" s="145">
        <f>IF($H$4="NO",0,Valores!$C$52)</f>
        <v>0</v>
      </c>
      <c r="AO177" s="147">
        <f t="shared" si="28"/>
        <v>5910.88</v>
      </c>
      <c r="AP177" s="148">
        <f>AJ177*Valores!$C$69</f>
        <v>-9734.742105000003</v>
      </c>
      <c r="AQ177" s="149">
        <f>AJ177*-Valores!$C$70</f>
        <v>0</v>
      </c>
      <c r="AR177" s="142">
        <f>AJ177*Valores!$C$71</f>
        <v>-3982.3944975000009</v>
      </c>
      <c r="AS177" s="142">
        <f>Valores!$C$95</f>
        <v>-193.38</v>
      </c>
      <c r="AT177" s="142">
        <f>IF($H$6=0,Valores!$C$96,(Valores!$C$96+$H$6*(Valores!$C$96)))</f>
        <v>-129</v>
      </c>
      <c r="AU177" s="146">
        <f t="shared" si="31"/>
        <v>80369.01889750002</v>
      </c>
      <c r="AV177" s="199">
        <f t="shared" si="24"/>
        <v>-9734.742105000003</v>
      </c>
      <c r="AW177" s="142">
        <f>AJ177*Valores!$C$72</f>
        <v>-2389.4366985000006</v>
      </c>
      <c r="AX177" s="142">
        <f>AJ177*Valores!$C$73</f>
        <v>-265.49296650000008</v>
      </c>
      <c r="AY177" s="146">
        <f t="shared" si="32"/>
        <v>82018.863730000026</v>
      </c>
      <c r="AZ177" s="150"/>
      <c r="BA177" s="150">
        <v>45</v>
      </c>
      <c r="BB177" s="135" t="s">
        <v>4</v>
      </c>
    </row>
    <row r="178" spans="1:54" s="114" customFormat="1" ht="11.25" customHeight="1" x14ac:dyDescent="0.15">
      <c r="A178" s="134">
        <v>176</v>
      </c>
      <c r="B178" s="134"/>
      <c r="C178" s="135" t="s">
        <v>464</v>
      </c>
      <c r="D178" s="135"/>
      <c r="E178" s="135">
        <f t="shared" si="25"/>
        <v>27</v>
      </c>
      <c r="F178" s="136" t="s">
        <v>465</v>
      </c>
      <c r="G178" s="137">
        <v>160</v>
      </c>
      <c r="H178" s="138">
        <f>INT((G178*Valores!$C$2*100)+0.5)/100</f>
        <v>1988.27</v>
      </c>
      <c r="I178" s="156">
        <f>1484</f>
        <v>1484</v>
      </c>
      <c r="J178" s="140">
        <f>INT((I178*Valores!$C$2*100)+0.5)/100</f>
        <v>18441.22</v>
      </c>
      <c r="K178" s="155">
        <v>0</v>
      </c>
      <c r="L178" s="140">
        <f>INT((K178*Valores!$C$2*100)+0.5)/100</f>
        <v>0</v>
      </c>
      <c r="M178" s="153">
        <v>1300</v>
      </c>
      <c r="N178" s="140">
        <f>INT((M178*Valores!$C$2*100)+0.5)/100</f>
        <v>16154.71</v>
      </c>
      <c r="O178" s="140">
        <f t="shared" si="26"/>
        <v>6839.3114999999989</v>
      </c>
      <c r="P178" s="140">
        <f t="shared" si="27"/>
        <v>0</v>
      </c>
      <c r="Q178" s="154">
        <f>Valores!$C$16</f>
        <v>13030.51</v>
      </c>
      <c r="R178" s="154">
        <f>Valores!$D$4</f>
        <v>6352.5280000000002</v>
      </c>
      <c r="S178" s="154">
        <f>Valores!$C$28</f>
        <v>5667.45</v>
      </c>
      <c r="T178" s="143">
        <f>IF($H$5="NO",Valores!$C$45,Valores!$C$45/2)</f>
        <v>3100.1</v>
      </c>
      <c r="U178" s="140">
        <f>Valores!$C$25</f>
        <v>5911.11</v>
      </c>
      <c r="V178" s="140">
        <f t="shared" si="33"/>
        <v>5911.11</v>
      </c>
      <c r="W178" s="140">
        <v>0</v>
      </c>
      <c r="X178" s="140">
        <v>0</v>
      </c>
      <c r="Y178" s="144">
        <v>0</v>
      </c>
      <c r="Z178" s="140">
        <f>Y178*Valores!$C$2</f>
        <v>0</v>
      </c>
      <c r="AA178" s="140">
        <v>0</v>
      </c>
      <c r="AB178" s="143">
        <f>Valores!$C$92</f>
        <v>4440.01</v>
      </c>
      <c r="AC178" s="145">
        <f>Valores!$C$31</f>
        <v>259.82</v>
      </c>
      <c r="AD178" s="140">
        <f t="shared" si="29"/>
        <v>0</v>
      </c>
      <c r="AE178" s="140">
        <f>Valores!$C$32</f>
        <v>259.82</v>
      </c>
      <c r="AF178" s="144">
        <v>0</v>
      </c>
      <c r="AG178" s="140">
        <f>INT(((AF178*Valores!$C$2)*100)+0.5)/100</f>
        <v>0</v>
      </c>
      <c r="AH178" s="140">
        <f>IF($H$5="NO",Valores!$C$60,Valores!$C$60/2)</f>
        <v>528.49</v>
      </c>
      <c r="AI178" s="140">
        <f>IF($H$5="NO",Valores!$C$62,Valores!$C$62/2)</f>
        <v>151</v>
      </c>
      <c r="AJ178" s="146">
        <f t="shared" si="30"/>
        <v>83124.349500000011</v>
      </c>
      <c r="AK178" s="154">
        <f>Valores!$C$37</f>
        <v>1360.88</v>
      </c>
      <c r="AL178" s="143">
        <f>Valores!$C$87</f>
        <v>4550</v>
      </c>
      <c r="AM178" s="143"/>
      <c r="AN178" s="145">
        <f>IF($H$4="NO",0,Valores!$C$52)</f>
        <v>0</v>
      </c>
      <c r="AO178" s="147">
        <f t="shared" si="28"/>
        <v>5910.88</v>
      </c>
      <c r="AP178" s="148">
        <f>AJ178*Valores!$C$69</f>
        <v>-9143.6784450000014</v>
      </c>
      <c r="AQ178" s="149">
        <f>AJ178*-Valores!$C$70</f>
        <v>0</v>
      </c>
      <c r="AR178" s="142">
        <f>AJ178*Valores!$C$71</f>
        <v>-3740.5957275000005</v>
      </c>
      <c r="AS178" s="142">
        <f>Valores!$C$95</f>
        <v>-193.38</v>
      </c>
      <c r="AT178" s="142">
        <f>IF($H$6=0,Valores!$C$96,(Valores!$C$96+$H$6*(Valores!$C$96)))</f>
        <v>-129</v>
      </c>
      <c r="AU178" s="146">
        <f t="shared" si="31"/>
        <v>75828.575327500002</v>
      </c>
      <c r="AV178" s="199">
        <f t="shared" si="24"/>
        <v>-9143.6784450000014</v>
      </c>
      <c r="AW178" s="142">
        <f>AJ178*Valores!$C$72</f>
        <v>-2244.3574365000004</v>
      </c>
      <c r="AX178" s="142">
        <f>AJ178*Valores!$C$73</f>
        <v>-249.37304850000004</v>
      </c>
      <c r="AY178" s="146">
        <f t="shared" si="32"/>
        <v>77397.820570000011</v>
      </c>
      <c r="AZ178" s="150"/>
      <c r="BA178" s="150">
        <v>45</v>
      </c>
      <c r="BB178" s="135" t="s">
        <v>4</v>
      </c>
    </row>
    <row r="179" spans="1:54" s="114" customFormat="1" ht="11.25" customHeight="1" x14ac:dyDescent="0.15">
      <c r="A179" s="134">
        <v>177</v>
      </c>
      <c r="B179" s="134"/>
      <c r="C179" s="135" t="s">
        <v>466</v>
      </c>
      <c r="D179" s="135"/>
      <c r="E179" s="135">
        <f t="shared" si="25"/>
        <v>29</v>
      </c>
      <c r="F179" s="136" t="s">
        <v>467</v>
      </c>
      <c r="G179" s="137">
        <v>178</v>
      </c>
      <c r="H179" s="138">
        <f>INT((G179*Valores!$C$2*100)+0.5)/100</f>
        <v>2211.9499999999998</v>
      </c>
      <c r="I179" s="156">
        <f>1842</f>
        <v>1842</v>
      </c>
      <c r="J179" s="140">
        <f>INT((I179*Valores!$C$2*100)+0.5)/100</f>
        <v>22889.98</v>
      </c>
      <c r="K179" s="155">
        <v>0</v>
      </c>
      <c r="L179" s="140">
        <f>INT((K179*Valores!$C$2*100)+0.5)/100</f>
        <v>0</v>
      </c>
      <c r="M179" s="153">
        <v>1300</v>
      </c>
      <c r="N179" s="140">
        <f>INT((M179*Valores!$C$2*100)+0.5)/100</f>
        <v>16154.71</v>
      </c>
      <c r="O179" s="140">
        <f t="shared" si="26"/>
        <v>7540.1774999999998</v>
      </c>
      <c r="P179" s="140">
        <f t="shared" si="27"/>
        <v>0</v>
      </c>
      <c r="Q179" s="154">
        <f>Valores!$C$16</f>
        <v>13030.51</v>
      </c>
      <c r="R179" s="154">
        <f>Valores!$D$4</f>
        <v>6352.5280000000002</v>
      </c>
      <c r="S179" s="140">
        <f>Valores!$C$28</f>
        <v>5667.45</v>
      </c>
      <c r="T179" s="143">
        <f>IF($H$5="NO",Valores!$C$45,Valores!$C$45/2)</f>
        <v>3100.1</v>
      </c>
      <c r="U179" s="140">
        <f>Valores!$C$25</f>
        <v>5911.11</v>
      </c>
      <c r="V179" s="140">
        <f t="shared" si="33"/>
        <v>5911.11</v>
      </c>
      <c r="W179" s="140">
        <v>0</v>
      </c>
      <c r="X179" s="140">
        <v>0</v>
      </c>
      <c r="Y179" s="144">
        <v>0</v>
      </c>
      <c r="Z179" s="140">
        <f>Y179*Valores!$C$2</f>
        <v>0</v>
      </c>
      <c r="AA179" s="140">
        <v>0</v>
      </c>
      <c r="AB179" s="143">
        <f>Valores!$C$92</f>
        <v>4440.01</v>
      </c>
      <c r="AC179" s="145">
        <f>Valores!$C$31</f>
        <v>259.82</v>
      </c>
      <c r="AD179" s="140">
        <f t="shared" si="29"/>
        <v>0</v>
      </c>
      <c r="AE179" s="140">
        <f>Valores!$C$32</f>
        <v>259.82</v>
      </c>
      <c r="AF179" s="144">
        <v>0</v>
      </c>
      <c r="AG179" s="140">
        <f>INT(((AF179*Valores!$C$2)*100)+0.5)/100</f>
        <v>0</v>
      </c>
      <c r="AH179" s="140">
        <f>IF($H$5="NO",Valores!$C$60,Valores!$C$60/2)</f>
        <v>528.49</v>
      </c>
      <c r="AI179" s="140">
        <f>IF($H$5="NO",Valores!$C$62,Valores!$C$62/2)</f>
        <v>151</v>
      </c>
      <c r="AJ179" s="146">
        <f t="shared" si="30"/>
        <v>88497.655500000023</v>
      </c>
      <c r="AK179" s="154">
        <f>Valores!$C$37</f>
        <v>1360.88</v>
      </c>
      <c r="AL179" s="143">
        <f>Valores!$C$87</f>
        <v>4550</v>
      </c>
      <c r="AM179" s="143"/>
      <c r="AN179" s="145">
        <f>IF($H$4="NO",0,Valores!$C$52)</f>
        <v>0</v>
      </c>
      <c r="AO179" s="147">
        <f t="shared" si="28"/>
        <v>5910.88</v>
      </c>
      <c r="AP179" s="148">
        <f>AJ179*Valores!$C$69</f>
        <v>-9734.742105000003</v>
      </c>
      <c r="AQ179" s="149">
        <f>AJ179*-Valores!$C$70</f>
        <v>0</v>
      </c>
      <c r="AR179" s="142">
        <f>AJ179*Valores!$C$71</f>
        <v>-3982.3944975000009</v>
      </c>
      <c r="AS179" s="142">
        <f>Valores!$C$95</f>
        <v>-193.38</v>
      </c>
      <c r="AT179" s="142">
        <f>IF($H$6=0,Valores!$C$96,(Valores!$C$96+$H$6*(Valores!$C$96)))</f>
        <v>-129</v>
      </c>
      <c r="AU179" s="146">
        <f t="shared" si="31"/>
        <v>80369.01889750002</v>
      </c>
      <c r="AV179" s="199">
        <f t="shared" si="24"/>
        <v>-9734.742105000003</v>
      </c>
      <c r="AW179" s="142">
        <f>AJ179*Valores!$C$72</f>
        <v>-2389.4366985000006</v>
      </c>
      <c r="AX179" s="142">
        <f>AJ179*Valores!$C$73</f>
        <v>-265.49296650000008</v>
      </c>
      <c r="AY179" s="146">
        <f t="shared" si="32"/>
        <v>82018.863730000026</v>
      </c>
      <c r="AZ179" s="150"/>
      <c r="BA179" s="150">
        <v>45</v>
      </c>
      <c r="BB179" s="135" t="s">
        <v>4</v>
      </c>
    </row>
    <row r="180" spans="1:54" s="114" customFormat="1" ht="11.25" customHeight="1" x14ac:dyDescent="0.15">
      <c r="A180" s="134">
        <v>178</v>
      </c>
      <c r="B180" s="134"/>
      <c r="C180" s="135" t="s">
        <v>468</v>
      </c>
      <c r="D180" s="135"/>
      <c r="E180" s="135">
        <f t="shared" si="25"/>
        <v>28</v>
      </c>
      <c r="F180" s="136" t="s">
        <v>469</v>
      </c>
      <c r="G180" s="137">
        <v>1278</v>
      </c>
      <c r="H180" s="138">
        <f>INT((G180*Valores!$C$2*100)+0.5)/100</f>
        <v>15881.32</v>
      </c>
      <c r="I180" s="156">
        <v>0</v>
      </c>
      <c r="J180" s="140">
        <f>INT((I180*Valores!$C$2*100)+0.5)/100</f>
        <v>0</v>
      </c>
      <c r="K180" s="155">
        <v>0</v>
      </c>
      <c r="L180" s="140">
        <f>INT((K180*Valores!$C$2*100)+0.5)/100</f>
        <v>0</v>
      </c>
      <c r="M180" s="153">
        <v>1200</v>
      </c>
      <c r="N180" s="140">
        <f>INT((M180*Valores!$C$2*100)+0.5)/100</f>
        <v>14912.04</v>
      </c>
      <c r="O180" s="140">
        <f t="shared" si="26"/>
        <v>5970.6854999999996</v>
      </c>
      <c r="P180" s="140">
        <f t="shared" si="27"/>
        <v>0</v>
      </c>
      <c r="Q180" s="154">
        <f>Valores!$C$21</f>
        <v>10738.26</v>
      </c>
      <c r="R180" s="154">
        <f>Valores!$D$4</f>
        <v>6352.5280000000002</v>
      </c>
      <c r="S180" s="154">
        <f>Valores!$C$28</f>
        <v>5667.45</v>
      </c>
      <c r="T180" s="143">
        <f>IF($H$5="NO",Valores!$C$45,Valores!$C$45/2)</f>
        <v>3100.1</v>
      </c>
      <c r="U180" s="140">
        <f>Valores!$C$25</f>
        <v>5911.11</v>
      </c>
      <c r="V180" s="140">
        <f t="shared" si="33"/>
        <v>5911.11</v>
      </c>
      <c r="W180" s="140">
        <v>0</v>
      </c>
      <c r="X180" s="140">
        <v>0</v>
      </c>
      <c r="Y180" s="144">
        <v>0</v>
      </c>
      <c r="Z180" s="140">
        <f>Y180*Valores!$C$2</f>
        <v>0</v>
      </c>
      <c r="AA180" s="140">
        <v>0</v>
      </c>
      <c r="AB180" s="143">
        <f>Valores!$C$92</f>
        <v>4440.01</v>
      </c>
      <c r="AC180" s="145">
        <f>Valores!$C$31</f>
        <v>259.82</v>
      </c>
      <c r="AD180" s="140">
        <f t="shared" si="29"/>
        <v>0</v>
      </c>
      <c r="AE180" s="140">
        <f>Valores!$C$32</f>
        <v>259.82</v>
      </c>
      <c r="AF180" s="144">
        <v>0</v>
      </c>
      <c r="AG180" s="140">
        <f>INT(((AF180*Valores!$C$2)*100)+0.5)/100</f>
        <v>0</v>
      </c>
      <c r="AH180" s="140">
        <f>IF($H$5="NO",Valores!$C$60,Valores!$C$60/2)</f>
        <v>528.49</v>
      </c>
      <c r="AI180" s="140">
        <f>IF($H$5="NO",Valores!$C$62,Valores!$C$62/2)</f>
        <v>151</v>
      </c>
      <c r="AJ180" s="146">
        <f t="shared" si="30"/>
        <v>74172.633500000011</v>
      </c>
      <c r="AK180" s="154">
        <f>Valores!$C$37</f>
        <v>1360.88</v>
      </c>
      <c r="AL180" s="143">
        <f>Valores!$C$87</f>
        <v>4550</v>
      </c>
      <c r="AM180" s="143"/>
      <c r="AN180" s="145">
        <f>IF($H$4="NO",0,Valores!$C$52)</f>
        <v>0</v>
      </c>
      <c r="AO180" s="147">
        <f t="shared" si="28"/>
        <v>5910.88</v>
      </c>
      <c r="AP180" s="148">
        <f>AJ180*Valores!$C$69</f>
        <v>-8158.9896850000014</v>
      </c>
      <c r="AQ180" s="149">
        <f>AJ180*-Valores!$C$70</f>
        <v>0</v>
      </c>
      <c r="AR180" s="142">
        <f>AJ180*Valores!$C$71</f>
        <v>-3337.7685075000004</v>
      </c>
      <c r="AS180" s="142">
        <f>Valores!$C$95</f>
        <v>-193.38</v>
      </c>
      <c r="AT180" s="142">
        <f>IF($H$6=0,Valores!$C$96,(Valores!$C$96+$H$6*(Valores!$C$96)))</f>
        <v>-129</v>
      </c>
      <c r="AU180" s="146">
        <f t="shared" si="31"/>
        <v>68264.375307500013</v>
      </c>
      <c r="AV180" s="199">
        <f t="shared" si="24"/>
        <v>-8158.9896850000014</v>
      </c>
      <c r="AW180" s="142">
        <f>AJ180*Valores!$C$72</f>
        <v>-2002.6611045000002</v>
      </c>
      <c r="AX180" s="142">
        <f>AJ180*Valores!$C$73</f>
        <v>-222.51790050000002</v>
      </c>
      <c r="AY180" s="146">
        <f t="shared" si="32"/>
        <v>69699.34481000001</v>
      </c>
      <c r="AZ180" s="150"/>
      <c r="BA180" s="150"/>
      <c r="BB180" s="135" t="s">
        <v>4</v>
      </c>
    </row>
    <row r="181" spans="1:54" s="114" customFormat="1" ht="11.25" customHeight="1" x14ac:dyDescent="0.15">
      <c r="A181" s="134">
        <v>179</v>
      </c>
      <c r="B181" s="134"/>
      <c r="C181" s="135" t="s">
        <v>470</v>
      </c>
      <c r="D181" s="135"/>
      <c r="E181" s="135">
        <f t="shared" si="25"/>
        <v>29</v>
      </c>
      <c r="F181" s="136" t="s">
        <v>471</v>
      </c>
      <c r="G181" s="137">
        <v>971</v>
      </c>
      <c r="H181" s="138">
        <f>INT((G181*Valores!$C$2*100)+0.5)/100</f>
        <v>12066.33</v>
      </c>
      <c r="I181" s="156">
        <v>0</v>
      </c>
      <c r="J181" s="140">
        <f>INT((I181*Valores!$C$2*100)+0.5)/100</f>
        <v>0</v>
      </c>
      <c r="K181" s="155">
        <v>0</v>
      </c>
      <c r="L181" s="140">
        <f>INT((K181*Valores!$C$2*100)+0.5)/100</f>
        <v>0</v>
      </c>
      <c r="M181" s="153">
        <v>660</v>
      </c>
      <c r="N181" s="140">
        <f>INT((M181*Valores!$C$2*100)+0.5)/100</f>
        <v>8201.6200000000008</v>
      </c>
      <c r="O181" s="140">
        <f t="shared" si="26"/>
        <v>4391.8739999999998</v>
      </c>
      <c r="P181" s="140">
        <f t="shared" si="27"/>
        <v>0</v>
      </c>
      <c r="Q181" s="154">
        <f>Valores!$C$21</f>
        <v>10738.26</v>
      </c>
      <c r="R181" s="154">
        <f>Valores!$D$4</f>
        <v>6352.5280000000002</v>
      </c>
      <c r="S181" s="154">
        <f>Valores!$C$28</f>
        <v>5667.45</v>
      </c>
      <c r="T181" s="143">
        <f>IF($H$5="NO",Valores!$C$45,Valores!$C$45/2)</f>
        <v>3100.1</v>
      </c>
      <c r="U181" s="140">
        <f>Valores!$C$25</f>
        <v>5911.11</v>
      </c>
      <c r="V181" s="140">
        <f t="shared" si="33"/>
        <v>5911.11</v>
      </c>
      <c r="W181" s="140">
        <v>0</v>
      </c>
      <c r="X181" s="140">
        <v>0</v>
      </c>
      <c r="Y181" s="144">
        <v>0</v>
      </c>
      <c r="Z181" s="140">
        <f>Y181*Valores!$C$2</f>
        <v>0</v>
      </c>
      <c r="AA181" s="140">
        <v>0</v>
      </c>
      <c r="AB181" s="143">
        <f>Valores!$C$92</f>
        <v>4440.01</v>
      </c>
      <c r="AC181" s="145">
        <f>Valores!$C$31</f>
        <v>259.82</v>
      </c>
      <c r="AD181" s="140">
        <f t="shared" si="29"/>
        <v>0</v>
      </c>
      <c r="AE181" s="140">
        <f>Valores!$C$32</f>
        <v>259.82</v>
      </c>
      <c r="AF181" s="144">
        <v>0</v>
      </c>
      <c r="AG181" s="140">
        <f>INT(((AF181*Valores!$C$2)*100)+0.5)/100</f>
        <v>0</v>
      </c>
      <c r="AH181" s="140">
        <f>IF($H$5="NO",Valores!$C$60,Valores!$C$60/2)</f>
        <v>528.49</v>
      </c>
      <c r="AI181" s="140">
        <f>IF($H$5="NO",Valores!$C$62,Valores!$C$62/2)</f>
        <v>151</v>
      </c>
      <c r="AJ181" s="146">
        <f t="shared" si="30"/>
        <v>62068.411999999997</v>
      </c>
      <c r="AK181" s="154">
        <f>Valores!$C$37</f>
        <v>1360.88</v>
      </c>
      <c r="AL181" s="143">
        <f>Valores!$C$87</f>
        <v>4550</v>
      </c>
      <c r="AM181" s="143"/>
      <c r="AN181" s="145">
        <f>IF($H$4="NO",0,Valores!$C$52)</f>
        <v>0</v>
      </c>
      <c r="AO181" s="147">
        <f t="shared" si="28"/>
        <v>5910.88</v>
      </c>
      <c r="AP181" s="148">
        <f>AJ181*Valores!$C$69</f>
        <v>-6827.5253199999997</v>
      </c>
      <c r="AQ181" s="149">
        <f>AJ181*-Valores!$C$70</f>
        <v>0</v>
      </c>
      <c r="AR181" s="142">
        <f>AJ181*Valores!$C$71</f>
        <v>-2793.0785399999995</v>
      </c>
      <c r="AS181" s="142">
        <f>Valores!$C$95</f>
        <v>-193.38</v>
      </c>
      <c r="AT181" s="142">
        <f>IF($H$6=0,Valores!$C$96,(Valores!$C$96+$H$6*(Valores!$C$96)))</f>
        <v>-129</v>
      </c>
      <c r="AU181" s="146">
        <f t="shared" si="31"/>
        <v>58036.308139999994</v>
      </c>
      <c r="AV181" s="199">
        <f t="shared" si="24"/>
        <v>-6827.5253199999997</v>
      </c>
      <c r="AW181" s="142">
        <f>AJ181*Valores!$C$72</f>
        <v>-1675.8471239999999</v>
      </c>
      <c r="AX181" s="142">
        <f>AJ181*Valores!$C$73</f>
        <v>-186.20523599999999</v>
      </c>
      <c r="AY181" s="146">
        <f t="shared" si="32"/>
        <v>59289.714319999999</v>
      </c>
      <c r="AZ181" s="150"/>
      <c r="BA181" s="150">
        <v>18</v>
      </c>
      <c r="BB181" s="135" t="s">
        <v>4</v>
      </c>
    </row>
    <row r="182" spans="1:54" s="114" customFormat="1" ht="11.25" customHeight="1" x14ac:dyDescent="0.15">
      <c r="A182" s="152">
        <v>180</v>
      </c>
      <c r="B182" s="152" t="s">
        <v>139</v>
      </c>
      <c r="C182" s="135" t="s">
        <v>472</v>
      </c>
      <c r="D182" s="135"/>
      <c r="E182" s="135">
        <f t="shared" si="25"/>
        <v>22</v>
      </c>
      <c r="F182" s="136" t="s">
        <v>473</v>
      </c>
      <c r="G182" s="137">
        <v>213</v>
      </c>
      <c r="H182" s="138">
        <f>INT((G182*Valores!$C$2*100)+0.5)/100</f>
        <v>2646.89</v>
      </c>
      <c r="I182" s="156">
        <f>1835</f>
        <v>1835</v>
      </c>
      <c r="J182" s="140">
        <f>INT((I182*Valores!$C$2*100)+0.5)/100</f>
        <v>22802.99</v>
      </c>
      <c r="K182" s="155">
        <v>0</v>
      </c>
      <c r="L182" s="140">
        <f>INT((K182*Valores!$C$2*100)+0.5)/100</f>
        <v>0</v>
      </c>
      <c r="M182" s="153">
        <v>1300</v>
      </c>
      <c r="N182" s="140">
        <f>INT((M182*Valores!$C$2*100)+0.5)/100</f>
        <v>16154.71</v>
      </c>
      <c r="O182" s="140">
        <f t="shared" si="26"/>
        <v>7592.369999999999</v>
      </c>
      <c r="P182" s="140">
        <f t="shared" si="27"/>
        <v>0</v>
      </c>
      <c r="Q182" s="154">
        <f>Valores!$C$16</f>
        <v>13030.51</v>
      </c>
      <c r="R182" s="154">
        <f>Valores!$D$4</f>
        <v>6352.5280000000002</v>
      </c>
      <c r="S182" s="154">
        <f>Valores!$C$28</f>
        <v>5667.45</v>
      </c>
      <c r="T182" s="143">
        <f>IF($H$5="NO",Valores!$C$45,Valores!$C$45/2)</f>
        <v>3100.1</v>
      </c>
      <c r="U182" s="140">
        <f>Valores!$C$25</f>
        <v>5911.11</v>
      </c>
      <c r="V182" s="140">
        <f t="shared" si="33"/>
        <v>5911.11</v>
      </c>
      <c r="W182" s="140">
        <v>0</v>
      </c>
      <c r="X182" s="140">
        <v>0</v>
      </c>
      <c r="Y182" s="144">
        <v>0</v>
      </c>
      <c r="Z182" s="140">
        <f>Y182*Valores!$C$2</f>
        <v>0</v>
      </c>
      <c r="AA182" s="140">
        <v>0</v>
      </c>
      <c r="AB182" s="143">
        <f>Valores!$C$92</f>
        <v>4440.01</v>
      </c>
      <c r="AC182" s="145">
        <f>Valores!$C$31</f>
        <v>259.82</v>
      </c>
      <c r="AD182" s="140">
        <f t="shared" si="29"/>
        <v>0</v>
      </c>
      <c r="AE182" s="140">
        <f>Valores!$C$32</f>
        <v>259.82</v>
      </c>
      <c r="AF182" s="144">
        <v>0</v>
      </c>
      <c r="AG182" s="140">
        <f>INT(((AF182*Valores!$C$2)*100)+0.5)/100</f>
        <v>0</v>
      </c>
      <c r="AH182" s="140">
        <f>IF($H$5="NO",Valores!$C$60,Valores!$C$60/2)</f>
        <v>528.49</v>
      </c>
      <c r="AI182" s="140">
        <f>IF($H$5="NO",Valores!$C$62,Valores!$C$62/2)</f>
        <v>151</v>
      </c>
      <c r="AJ182" s="146">
        <f t="shared" si="30"/>
        <v>88897.79800000001</v>
      </c>
      <c r="AK182" s="154">
        <f>Valores!$C$37</f>
        <v>1360.88</v>
      </c>
      <c r="AL182" s="143">
        <f>Valores!$C$87</f>
        <v>4550</v>
      </c>
      <c r="AM182" s="143"/>
      <c r="AN182" s="145">
        <f>IF($H$4="NO",0,Valores!$C$52)</f>
        <v>0</v>
      </c>
      <c r="AO182" s="147">
        <f t="shared" si="28"/>
        <v>5910.88</v>
      </c>
      <c r="AP182" s="148">
        <f>AJ182*Valores!$C$69</f>
        <v>-9778.7577800000017</v>
      </c>
      <c r="AQ182" s="149">
        <f>AJ182*-Valores!$C$70</f>
        <v>0</v>
      </c>
      <c r="AR182" s="142">
        <f>AJ182*Valores!$C$71</f>
        <v>-4000.4009100000003</v>
      </c>
      <c r="AS182" s="142">
        <f>Valores!$C$95</f>
        <v>-193.38</v>
      </c>
      <c r="AT182" s="142">
        <f>IF($H$6=0,Valores!$C$96,(Valores!$C$96+$H$6*(Valores!$C$96)))</f>
        <v>-129</v>
      </c>
      <c r="AU182" s="146">
        <f t="shared" si="31"/>
        <v>80707.139310000013</v>
      </c>
      <c r="AV182" s="199">
        <f t="shared" si="24"/>
        <v>-9778.7577800000017</v>
      </c>
      <c r="AW182" s="142">
        <f>AJ182*Valores!$C$72</f>
        <v>-2400.2405460000004</v>
      </c>
      <c r="AX182" s="142">
        <f>AJ182*Valores!$C$73</f>
        <v>-266.69339400000001</v>
      </c>
      <c r="AY182" s="146">
        <f t="shared" si="32"/>
        <v>82362.986280000012</v>
      </c>
      <c r="AZ182" s="150"/>
      <c r="BA182" s="150">
        <v>45</v>
      </c>
      <c r="BB182" s="135" t="s">
        <v>4</v>
      </c>
    </row>
    <row r="183" spans="1:54" s="114" customFormat="1" ht="11.25" customHeight="1" x14ac:dyDescent="0.15">
      <c r="A183" s="134">
        <v>181</v>
      </c>
      <c r="B183" s="134"/>
      <c r="C183" s="135" t="s">
        <v>474</v>
      </c>
      <c r="D183" s="135"/>
      <c r="E183" s="135">
        <f t="shared" si="25"/>
        <v>26</v>
      </c>
      <c r="F183" s="136" t="s">
        <v>475</v>
      </c>
      <c r="G183" s="137">
        <v>185</v>
      </c>
      <c r="H183" s="138">
        <f>INT((G183*Valores!$C$2*100)+0.5)/100</f>
        <v>2298.94</v>
      </c>
      <c r="I183" s="156">
        <f>1835</f>
        <v>1835</v>
      </c>
      <c r="J183" s="140">
        <f>INT((I183*Valores!$C$2*100)+0.5)/100</f>
        <v>22802.99</v>
      </c>
      <c r="K183" s="155">
        <v>0</v>
      </c>
      <c r="L183" s="140">
        <f>INT((K183*Valores!$C$2*100)+0.5)/100</f>
        <v>0</v>
      </c>
      <c r="M183" s="153">
        <v>1300</v>
      </c>
      <c r="N183" s="140">
        <f>INT((M183*Valores!$C$2*100)+0.5)/100</f>
        <v>16154.71</v>
      </c>
      <c r="O183" s="140">
        <f t="shared" si="26"/>
        <v>7540.1774999999998</v>
      </c>
      <c r="P183" s="140">
        <f t="shared" si="27"/>
        <v>0</v>
      </c>
      <c r="Q183" s="154">
        <f>Valores!$C$16</f>
        <v>13030.51</v>
      </c>
      <c r="R183" s="154">
        <f>Valores!$D$4</f>
        <v>6352.5280000000002</v>
      </c>
      <c r="S183" s="154">
        <f>Valores!$C$28</f>
        <v>5667.45</v>
      </c>
      <c r="T183" s="143">
        <f>IF($H$5="NO",Valores!$C$45,Valores!$C$45/2)</f>
        <v>3100.1</v>
      </c>
      <c r="U183" s="140">
        <f>Valores!$C$25</f>
        <v>5911.11</v>
      </c>
      <c r="V183" s="140">
        <f t="shared" si="33"/>
        <v>5911.11</v>
      </c>
      <c r="W183" s="140">
        <v>0</v>
      </c>
      <c r="X183" s="140">
        <v>0</v>
      </c>
      <c r="Y183" s="144">
        <v>0</v>
      </c>
      <c r="Z183" s="140">
        <f>Y183*Valores!$C$2</f>
        <v>0</v>
      </c>
      <c r="AA183" s="140">
        <v>0</v>
      </c>
      <c r="AB183" s="143">
        <f>Valores!$C$92</f>
        <v>4440.01</v>
      </c>
      <c r="AC183" s="145">
        <f>Valores!$C$31</f>
        <v>259.82</v>
      </c>
      <c r="AD183" s="140">
        <f t="shared" si="29"/>
        <v>0</v>
      </c>
      <c r="AE183" s="140">
        <f>Valores!$C$32</f>
        <v>259.82</v>
      </c>
      <c r="AF183" s="144">
        <v>0</v>
      </c>
      <c r="AG183" s="140">
        <f>INT(((AF183*Valores!$C$2)*100)+0.5)/100</f>
        <v>0</v>
      </c>
      <c r="AH183" s="140">
        <f>IF($H$5="NO",Valores!$C$60,Valores!$C$60/2)</f>
        <v>528.49</v>
      </c>
      <c r="AI183" s="140">
        <f>IF($H$5="NO",Valores!$C$62,Valores!$C$62/2)</f>
        <v>151</v>
      </c>
      <c r="AJ183" s="146">
        <f t="shared" si="30"/>
        <v>88497.655500000023</v>
      </c>
      <c r="AK183" s="154">
        <f>Valores!$C$37</f>
        <v>1360.88</v>
      </c>
      <c r="AL183" s="143">
        <f>Valores!$C$87</f>
        <v>4550</v>
      </c>
      <c r="AM183" s="143"/>
      <c r="AN183" s="145">
        <f>IF($H$4="NO",0,Valores!$C$52)</f>
        <v>0</v>
      </c>
      <c r="AO183" s="147">
        <f t="shared" si="28"/>
        <v>5910.88</v>
      </c>
      <c r="AP183" s="148">
        <f>AJ183*Valores!$C$69</f>
        <v>-9734.742105000003</v>
      </c>
      <c r="AQ183" s="149">
        <f>AJ183*-Valores!$C$70</f>
        <v>0</v>
      </c>
      <c r="AR183" s="142">
        <f>AJ183*Valores!$C$71</f>
        <v>-3982.3944975000009</v>
      </c>
      <c r="AS183" s="142">
        <f>Valores!$C$95</f>
        <v>-193.38</v>
      </c>
      <c r="AT183" s="142">
        <f>IF($H$6=0,Valores!$C$96,(Valores!$C$96+$H$6*(Valores!$C$96)))</f>
        <v>-129</v>
      </c>
      <c r="AU183" s="146">
        <f t="shared" si="31"/>
        <v>80369.01889750002</v>
      </c>
      <c r="AV183" s="199">
        <f t="shared" si="24"/>
        <v>-9734.742105000003</v>
      </c>
      <c r="AW183" s="142">
        <f>AJ183*Valores!$C$72</f>
        <v>-2389.4366985000006</v>
      </c>
      <c r="AX183" s="142">
        <f>AJ183*Valores!$C$73</f>
        <v>-265.49296650000008</v>
      </c>
      <c r="AY183" s="146">
        <f t="shared" si="32"/>
        <v>82018.863730000026</v>
      </c>
      <c r="AZ183" s="150"/>
      <c r="BA183" s="150">
        <v>45</v>
      </c>
      <c r="BB183" s="135" t="s">
        <v>4</v>
      </c>
    </row>
    <row r="184" spans="1:54" s="114" customFormat="1" ht="11.25" customHeight="1" x14ac:dyDescent="0.15">
      <c r="A184" s="134">
        <v>182</v>
      </c>
      <c r="B184" s="134"/>
      <c r="C184" s="135" t="s">
        <v>476</v>
      </c>
      <c r="D184" s="135"/>
      <c r="E184" s="135">
        <f t="shared" si="25"/>
        <v>26</v>
      </c>
      <c r="F184" s="136" t="s">
        <v>477</v>
      </c>
      <c r="G184" s="137">
        <v>160</v>
      </c>
      <c r="H184" s="138">
        <f>INT((G184*Valores!$C$2*100)+0.5)/100</f>
        <v>1988.27</v>
      </c>
      <c r="I184" s="156">
        <f>1484</f>
        <v>1484</v>
      </c>
      <c r="J184" s="140">
        <f>INT((I184*Valores!$C$2*100)+0.5)/100</f>
        <v>18441.22</v>
      </c>
      <c r="K184" s="155">
        <v>0</v>
      </c>
      <c r="L184" s="140">
        <f>INT((K184*Valores!$C$2*100)+0.5)/100</f>
        <v>0</v>
      </c>
      <c r="M184" s="153">
        <v>1300</v>
      </c>
      <c r="N184" s="140">
        <f>INT((M184*Valores!$C$2*100)+0.5)/100</f>
        <v>16154.71</v>
      </c>
      <c r="O184" s="140">
        <f t="shared" si="26"/>
        <v>6839.3114999999989</v>
      </c>
      <c r="P184" s="140">
        <f t="shared" si="27"/>
        <v>0</v>
      </c>
      <c r="Q184" s="154">
        <f>Valores!$C$16</f>
        <v>13030.51</v>
      </c>
      <c r="R184" s="154">
        <f>Valores!$D$4</f>
        <v>6352.5280000000002</v>
      </c>
      <c r="S184" s="140">
        <f>Valores!$C$28</f>
        <v>5667.45</v>
      </c>
      <c r="T184" s="143">
        <f>IF($H$5="NO",Valores!$C$45,Valores!$C$45/2)</f>
        <v>3100.1</v>
      </c>
      <c r="U184" s="140">
        <f>Valores!$C$25</f>
        <v>5911.11</v>
      </c>
      <c r="V184" s="140">
        <f t="shared" si="33"/>
        <v>5911.11</v>
      </c>
      <c r="W184" s="140">
        <v>0</v>
      </c>
      <c r="X184" s="140">
        <v>0</v>
      </c>
      <c r="Y184" s="144">
        <v>0</v>
      </c>
      <c r="Z184" s="140">
        <f>Y184*Valores!$C$2</f>
        <v>0</v>
      </c>
      <c r="AA184" s="140">
        <v>0</v>
      </c>
      <c r="AB184" s="143">
        <f>Valores!$C$92</f>
        <v>4440.01</v>
      </c>
      <c r="AC184" s="145">
        <f>Valores!$C$31</f>
        <v>259.82</v>
      </c>
      <c r="AD184" s="140">
        <f t="shared" si="29"/>
        <v>0</v>
      </c>
      <c r="AE184" s="140">
        <f>Valores!$C$32</f>
        <v>259.82</v>
      </c>
      <c r="AF184" s="144">
        <v>0</v>
      </c>
      <c r="AG184" s="140">
        <f>INT(((AF184*Valores!$C$2)*100)+0.5)/100</f>
        <v>0</v>
      </c>
      <c r="AH184" s="140">
        <f>IF($H$5="NO",Valores!$C$60,Valores!$C$60/2)</f>
        <v>528.49</v>
      </c>
      <c r="AI184" s="140">
        <f>IF($H$5="NO",Valores!$C$62,Valores!$C$62/2)</f>
        <v>151</v>
      </c>
      <c r="AJ184" s="146">
        <f t="shared" si="30"/>
        <v>83124.349500000011</v>
      </c>
      <c r="AK184" s="154">
        <f>Valores!$C$37</f>
        <v>1360.88</v>
      </c>
      <c r="AL184" s="143">
        <f>Valores!$C$87</f>
        <v>4550</v>
      </c>
      <c r="AM184" s="143"/>
      <c r="AN184" s="145">
        <f>IF($H$4="NO",0,Valores!$C$52)</f>
        <v>0</v>
      </c>
      <c r="AO184" s="147">
        <f t="shared" si="28"/>
        <v>5910.88</v>
      </c>
      <c r="AP184" s="148">
        <f>AJ184*Valores!$C$69</f>
        <v>-9143.6784450000014</v>
      </c>
      <c r="AQ184" s="149">
        <f>AJ184*-Valores!$C$70</f>
        <v>0</v>
      </c>
      <c r="AR184" s="142">
        <f>AJ184*Valores!$C$71</f>
        <v>-3740.5957275000005</v>
      </c>
      <c r="AS184" s="142">
        <f>Valores!$C$95</f>
        <v>-193.38</v>
      </c>
      <c r="AT184" s="142">
        <f>IF($H$6=0,Valores!$C$96,(Valores!$C$96+$H$6*(Valores!$C$96)))</f>
        <v>-129</v>
      </c>
      <c r="AU184" s="146">
        <f t="shared" si="31"/>
        <v>75828.575327500002</v>
      </c>
      <c r="AV184" s="199">
        <f t="shared" si="24"/>
        <v>-9143.6784450000014</v>
      </c>
      <c r="AW184" s="142">
        <f>AJ184*Valores!$C$72</f>
        <v>-2244.3574365000004</v>
      </c>
      <c r="AX184" s="142">
        <f>AJ184*Valores!$C$73</f>
        <v>-249.37304850000004</v>
      </c>
      <c r="AY184" s="146">
        <f t="shared" si="32"/>
        <v>77397.820570000011</v>
      </c>
      <c r="AZ184" s="150"/>
      <c r="BA184" s="150">
        <v>45</v>
      </c>
      <c r="BB184" s="135" t="s">
        <v>4</v>
      </c>
    </row>
    <row r="185" spans="1:54" s="114" customFormat="1" ht="11.25" customHeight="1" x14ac:dyDescent="0.15">
      <c r="A185" s="134">
        <v>183</v>
      </c>
      <c r="B185" s="134"/>
      <c r="C185" s="135" t="s">
        <v>478</v>
      </c>
      <c r="D185" s="135"/>
      <c r="E185" s="135">
        <f t="shared" si="25"/>
        <v>22</v>
      </c>
      <c r="F185" s="136" t="s">
        <v>479</v>
      </c>
      <c r="G185" s="137">
        <v>1278</v>
      </c>
      <c r="H185" s="138">
        <f>INT((G185*Valores!$C$2*100)+0.5)/100</f>
        <v>15881.32</v>
      </c>
      <c r="I185" s="156">
        <v>0</v>
      </c>
      <c r="J185" s="140">
        <f>INT((I185*Valores!$C$2*100)+0.5)/100</f>
        <v>0</v>
      </c>
      <c r="K185" s="155">
        <v>0</v>
      </c>
      <c r="L185" s="140">
        <f>INT((K185*Valores!$C$2*100)+0.5)/100</f>
        <v>0</v>
      </c>
      <c r="M185" s="153">
        <v>1200</v>
      </c>
      <c r="N185" s="140">
        <f>INT((M185*Valores!$C$2*100)+0.5)/100</f>
        <v>14912.04</v>
      </c>
      <c r="O185" s="140">
        <f t="shared" si="26"/>
        <v>5970.6854999999996</v>
      </c>
      <c r="P185" s="140">
        <f t="shared" si="27"/>
        <v>0</v>
      </c>
      <c r="Q185" s="154">
        <f>Valores!$C$21</f>
        <v>10738.26</v>
      </c>
      <c r="R185" s="154">
        <f>Valores!$D$4</f>
        <v>6352.5280000000002</v>
      </c>
      <c r="S185" s="154">
        <f>Valores!$C$28</f>
        <v>5667.45</v>
      </c>
      <c r="T185" s="143">
        <f>IF($H$5="NO",Valores!$C$45,Valores!$C$45/2)</f>
        <v>3100.1</v>
      </c>
      <c r="U185" s="140">
        <f>Valores!$C$25</f>
        <v>5911.11</v>
      </c>
      <c r="V185" s="140">
        <f t="shared" si="33"/>
        <v>5911.11</v>
      </c>
      <c r="W185" s="140">
        <v>0</v>
      </c>
      <c r="X185" s="140">
        <v>0</v>
      </c>
      <c r="Y185" s="144">
        <v>0</v>
      </c>
      <c r="Z185" s="140">
        <f>Y185*Valores!$C$2</f>
        <v>0</v>
      </c>
      <c r="AA185" s="140">
        <v>0</v>
      </c>
      <c r="AB185" s="143">
        <f>Valores!$C$92</f>
        <v>4440.01</v>
      </c>
      <c r="AC185" s="145">
        <f>Valores!$C$31</f>
        <v>259.82</v>
      </c>
      <c r="AD185" s="140">
        <f t="shared" si="29"/>
        <v>0</v>
      </c>
      <c r="AE185" s="140">
        <f>Valores!$C$32</f>
        <v>259.82</v>
      </c>
      <c r="AF185" s="144">
        <v>0</v>
      </c>
      <c r="AG185" s="140">
        <f>INT(((AF185*Valores!$C$2)*100)+0.5)/100</f>
        <v>0</v>
      </c>
      <c r="AH185" s="140">
        <f>IF($H$5="NO",Valores!$C$60,Valores!$C$60/2)</f>
        <v>528.49</v>
      </c>
      <c r="AI185" s="140">
        <f>IF($H$5="NO",Valores!$C$62,Valores!$C$62/2)</f>
        <v>151</v>
      </c>
      <c r="AJ185" s="146">
        <f t="shared" si="30"/>
        <v>74172.633500000011</v>
      </c>
      <c r="AK185" s="154">
        <f>Valores!$C$37</f>
        <v>1360.88</v>
      </c>
      <c r="AL185" s="143">
        <f>Valores!$C$87</f>
        <v>4550</v>
      </c>
      <c r="AM185" s="143"/>
      <c r="AN185" s="145">
        <f>IF($H$4="NO",0,Valores!$C$52)</f>
        <v>0</v>
      </c>
      <c r="AO185" s="147">
        <f t="shared" si="28"/>
        <v>5910.88</v>
      </c>
      <c r="AP185" s="148">
        <f>AJ185*Valores!$C$69</f>
        <v>-8158.9896850000014</v>
      </c>
      <c r="AQ185" s="149">
        <f>AJ185*-Valores!$C$70</f>
        <v>0</v>
      </c>
      <c r="AR185" s="142">
        <f>AJ185*Valores!$C$71</f>
        <v>-3337.7685075000004</v>
      </c>
      <c r="AS185" s="142">
        <f>Valores!$C$95</f>
        <v>-193.38</v>
      </c>
      <c r="AT185" s="142">
        <f>IF($H$6=0,Valores!$C$96,(Valores!$C$96+$H$6*(Valores!$C$96)))</f>
        <v>-129</v>
      </c>
      <c r="AU185" s="146">
        <f t="shared" si="31"/>
        <v>68264.375307500013</v>
      </c>
      <c r="AV185" s="199">
        <f t="shared" si="24"/>
        <v>-8158.9896850000014</v>
      </c>
      <c r="AW185" s="142">
        <f>AJ185*Valores!$C$72</f>
        <v>-2002.6611045000002</v>
      </c>
      <c r="AX185" s="142">
        <f>AJ185*Valores!$C$73</f>
        <v>-222.51790050000002</v>
      </c>
      <c r="AY185" s="146">
        <f t="shared" si="32"/>
        <v>69699.34481000001</v>
      </c>
      <c r="AZ185" s="150"/>
      <c r="BA185" s="150"/>
      <c r="BB185" s="135" t="s">
        <v>4</v>
      </c>
    </row>
    <row r="186" spans="1:54" s="114" customFormat="1" ht="11.25" customHeight="1" x14ac:dyDescent="0.15">
      <c r="A186" s="134">
        <v>184</v>
      </c>
      <c r="B186" s="134"/>
      <c r="C186" s="135" t="s">
        <v>480</v>
      </c>
      <c r="D186" s="135"/>
      <c r="E186" s="135">
        <f t="shared" si="25"/>
        <v>28</v>
      </c>
      <c r="F186" s="136" t="s">
        <v>481</v>
      </c>
      <c r="G186" s="137">
        <v>971</v>
      </c>
      <c r="H186" s="138">
        <f>INT((G186*Valores!$C$2*100)+0.5)/100</f>
        <v>12066.33</v>
      </c>
      <c r="I186" s="156">
        <v>0</v>
      </c>
      <c r="J186" s="140">
        <f>INT((I186*Valores!$C$2*100)+0.5)/100</f>
        <v>0</v>
      </c>
      <c r="K186" s="155">
        <v>0</v>
      </c>
      <c r="L186" s="140">
        <f>INT((K186*Valores!$C$2*100)+0.5)/100</f>
        <v>0</v>
      </c>
      <c r="M186" s="153">
        <v>660</v>
      </c>
      <c r="N186" s="140">
        <f>INT((M186*Valores!$C$2*100)+0.5)/100</f>
        <v>8201.6200000000008</v>
      </c>
      <c r="O186" s="140">
        <f t="shared" si="26"/>
        <v>4391.8739999999998</v>
      </c>
      <c r="P186" s="140">
        <f t="shared" si="27"/>
        <v>0</v>
      </c>
      <c r="Q186" s="154">
        <f>Valores!$C$21</f>
        <v>10738.26</v>
      </c>
      <c r="R186" s="154">
        <f>Valores!$D$4</f>
        <v>6352.5280000000002</v>
      </c>
      <c r="S186" s="154">
        <f>Valores!$C$29</f>
        <v>5274.89</v>
      </c>
      <c r="T186" s="143">
        <f>IF($H$5="NO",Valores!$C$45,Valores!$C$45/2)</f>
        <v>3100.1</v>
      </c>
      <c r="U186" s="140">
        <f>Valores!$C$25</f>
        <v>5911.11</v>
      </c>
      <c r="V186" s="140">
        <f t="shared" si="33"/>
        <v>5911.11</v>
      </c>
      <c r="W186" s="140">
        <v>0</v>
      </c>
      <c r="X186" s="140">
        <v>0</v>
      </c>
      <c r="Y186" s="144">
        <v>0</v>
      </c>
      <c r="Z186" s="140">
        <f>Y186*Valores!$C$2</f>
        <v>0</v>
      </c>
      <c r="AA186" s="140">
        <v>0</v>
      </c>
      <c r="AB186" s="143">
        <f>Valores!$C$92</f>
        <v>4440.01</v>
      </c>
      <c r="AC186" s="145">
        <f>Valores!$C$31</f>
        <v>259.82</v>
      </c>
      <c r="AD186" s="140">
        <f t="shared" si="29"/>
        <v>0</v>
      </c>
      <c r="AE186" s="140">
        <f>Valores!$C$32</f>
        <v>259.82</v>
      </c>
      <c r="AF186" s="144">
        <v>0</v>
      </c>
      <c r="AG186" s="140">
        <f>INT(((AF186*Valores!$C$2)*100)+0.5)/100</f>
        <v>0</v>
      </c>
      <c r="AH186" s="140">
        <f>IF($H$5="NO",Valores!$C$60,Valores!$C$60/2)</f>
        <v>528.49</v>
      </c>
      <c r="AI186" s="140">
        <f>IF($H$5="NO",Valores!$C$62,Valores!$C$62/2)</f>
        <v>151</v>
      </c>
      <c r="AJ186" s="146">
        <f t="shared" si="30"/>
        <v>61675.851999999999</v>
      </c>
      <c r="AK186" s="154">
        <f>Valores!$C$37</f>
        <v>1360.88</v>
      </c>
      <c r="AL186" s="143">
        <f>Valores!$C$87</f>
        <v>4550</v>
      </c>
      <c r="AM186" s="143"/>
      <c r="AN186" s="145">
        <f>IF($H$4="NO",0,Valores!$C$52)</f>
        <v>0</v>
      </c>
      <c r="AO186" s="147">
        <f t="shared" si="28"/>
        <v>5910.88</v>
      </c>
      <c r="AP186" s="148">
        <f>AJ186*Valores!$C$69</f>
        <v>-6784.3437199999998</v>
      </c>
      <c r="AQ186" s="149">
        <f>AJ186*-Valores!$C$70</f>
        <v>0</v>
      </c>
      <c r="AR186" s="142">
        <f>AJ186*Valores!$C$71</f>
        <v>-2775.4133400000001</v>
      </c>
      <c r="AS186" s="142">
        <f>Valores!$C$95</f>
        <v>-193.38</v>
      </c>
      <c r="AT186" s="142">
        <f>IF($H$6=0,Valores!$C$96,(Valores!$C$96+$H$6*(Valores!$C$96)))</f>
        <v>-129</v>
      </c>
      <c r="AU186" s="146">
        <f t="shared" si="31"/>
        <v>57704.594939999995</v>
      </c>
      <c r="AV186" s="199">
        <f t="shared" si="24"/>
        <v>-6784.3437199999998</v>
      </c>
      <c r="AW186" s="142">
        <f>AJ186*Valores!$C$72</f>
        <v>-1665.248004</v>
      </c>
      <c r="AX186" s="142">
        <f>AJ186*Valores!$C$73</f>
        <v>-185.027556</v>
      </c>
      <c r="AY186" s="146">
        <f t="shared" si="32"/>
        <v>58952.112720000005</v>
      </c>
      <c r="AZ186" s="150"/>
      <c r="BA186" s="150">
        <v>18</v>
      </c>
      <c r="BB186" s="135" t="s">
        <v>4</v>
      </c>
    </row>
    <row r="187" spans="1:54" s="114" customFormat="1" ht="11.25" customHeight="1" x14ac:dyDescent="0.15">
      <c r="A187" s="152">
        <v>185</v>
      </c>
      <c r="B187" s="152" t="s">
        <v>139</v>
      </c>
      <c r="C187" s="135" t="s">
        <v>482</v>
      </c>
      <c r="D187" s="135"/>
      <c r="E187" s="135">
        <f t="shared" si="25"/>
        <v>23</v>
      </c>
      <c r="F187" s="136" t="s">
        <v>483</v>
      </c>
      <c r="G187" s="137">
        <v>179</v>
      </c>
      <c r="H187" s="138">
        <f>INT((G187*Valores!$C$2*100)+0.5)/100</f>
        <v>2224.38</v>
      </c>
      <c r="I187" s="156">
        <f>1323</f>
        <v>1323</v>
      </c>
      <c r="J187" s="140">
        <f>INT((I187*Valores!$C$2*100)+0.5)/100</f>
        <v>16440.52</v>
      </c>
      <c r="K187" s="155">
        <v>0</v>
      </c>
      <c r="L187" s="140">
        <f>INT((K187*Valores!$C$2*100)+0.5)/100</f>
        <v>0</v>
      </c>
      <c r="M187" s="153">
        <v>1300</v>
      </c>
      <c r="N187" s="140">
        <f>INT((M187*Valores!$C$2*100)+0.5)/100</f>
        <v>16154.71</v>
      </c>
      <c r="O187" s="140">
        <f t="shared" si="26"/>
        <v>6574.6229999999996</v>
      </c>
      <c r="P187" s="140">
        <f t="shared" si="27"/>
        <v>0</v>
      </c>
      <c r="Q187" s="154">
        <f>Valores!$C$16</f>
        <v>13030.51</v>
      </c>
      <c r="R187" s="154">
        <f>Valores!$D$4</f>
        <v>6352.5280000000002</v>
      </c>
      <c r="S187" s="154">
        <f>Valores!$C$28</f>
        <v>5667.45</v>
      </c>
      <c r="T187" s="143">
        <f>IF($H$5="NO",Valores!$C$45,Valores!$C$45/2)</f>
        <v>3100.1</v>
      </c>
      <c r="U187" s="140">
        <f>Valores!$C$25</f>
        <v>5911.11</v>
      </c>
      <c r="V187" s="140">
        <f t="shared" si="33"/>
        <v>5911.11</v>
      </c>
      <c r="W187" s="140">
        <v>0</v>
      </c>
      <c r="X187" s="140">
        <v>0</v>
      </c>
      <c r="Y187" s="144">
        <v>0</v>
      </c>
      <c r="Z187" s="140">
        <f>Y187*Valores!$C$2</f>
        <v>0</v>
      </c>
      <c r="AA187" s="140">
        <v>0</v>
      </c>
      <c r="AB187" s="143">
        <f>Valores!$C$92</f>
        <v>4440.01</v>
      </c>
      <c r="AC187" s="145">
        <f>Valores!$C$31</f>
        <v>259.82</v>
      </c>
      <c r="AD187" s="140">
        <f t="shared" si="29"/>
        <v>0</v>
      </c>
      <c r="AE187" s="140">
        <f>Valores!$C$32</f>
        <v>259.82</v>
      </c>
      <c r="AF187" s="144">
        <v>0</v>
      </c>
      <c r="AG187" s="140">
        <f>INT(((AF187*Valores!$C$2)*100)+0.5)/100</f>
        <v>0</v>
      </c>
      <c r="AH187" s="140">
        <f>IF($H$5="NO",Valores!$C$60,Valores!$C$60/2)</f>
        <v>528.49</v>
      </c>
      <c r="AI187" s="140">
        <f>IF($H$5="NO",Valores!$C$62,Valores!$C$62/2)</f>
        <v>151</v>
      </c>
      <c r="AJ187" s="146">
        <f t="shared" si="30"/>
        <v>81095.071000000025</v>
      </c>
      <c r="AK187" s="154">
        <f>Valores!$C$37</f>
        <v>1360.88</v>
      </c>
      <c r="AL187" s="143">
        <f>Valores!$C$87</f>
        <v>4550</v>
      </c>
      <c r="AM187" s="143"/>
      <c r="AN187" s="145">
        <v>0</v>
      </c>
      <c r="AO187" s="147">
        <f t="shared" si="28"/>
        <v>5910.88</v>
      </c>
      <c r="AP187" s="148">
        <f>AJ187*Valores!$C$69</f>
        <v>-8920.4578100000035</v>
      </c>
      <c r="AQ187" s="149">
        <f>AJ187*-Valores!$C$70</f>
        <v>0</v>
      </c>
      <c r="AR187" s="142">
        <f>AJ187*Valores!$C$71</f>
        <v>-3649.2781950000012</v>
      </c>
      <c r="AS187" s="142">
        <f>Valores!$C$95</f>
        <v>-193.38</v>
      </c>
      <c r="AT187" s="142">
        <f>IF($H$6=0,Valores!$C$96,(Valores!$C$96+$H$6*(Valores!$C$96)))</f>
        <v>-129</v>
      </c>
      <c r="AU187" s="146">
        <f t="shared" si="31"/>
        <v>74113.834995000027</v>
      </c>
      <c r="AV187" s="199">
        <f t="shared" si="24"/>
        <v>-8920.4578100000035</v>
      </c>
      <c r="AW187" s="142">
        <f>AJ187*Valores!$C$72</f>
        <v>-2189.5669170000006</v>
      </c>
      <c r="AX187" s="142">
        <f>AJ187*Valores!$C$73</f>
        <v>-243.28521300000008</v>
      </c>
      <c r="AY187" s="146">
        <f t="shared" si="32"/>
        <v>75652.641060000024</v>
      </c>
      <c r="AZ187" s="150"/>
      <c r="BA187" s="150">
        <v>45</v>
      </c>
      <c r="BB187" s="135" t="s">
        <v>4</v>
      </c>
    </row>
    <row r="188" spans="1:54" s="114" customFormat="1" ht="11.25" customHeight="1" x14ac:dyDescent="0.15">
      <c r="A188" s="134">
        <v>186</v>
      </c>
      <c r="B188" s="134"/>
      <c r="C188" s="135" t="s">
        <v>484</v>
      </c>
      <c r="D188" s="135"/>
      <c r="E188" s="135">
        <f t="shared" si="25"/>
        <v>26</v>
      </c>
      <c r="F188" s="136" t="s">
        <v>485</v>
      </c>
      <c r="G188" s="137">
        <v>64</v>
      </c>
      <c r="H188" s="138">
        <f>INT((G188*Valores!$C$2*100)+0.5)/100</f>
        <v>795.31</v>
      </c>
      <c r="I188" s="156">
        <v>1354</v>
      </c>
      <c r="J188" s="140">
        <f>INT((I188*Valores!$C$2*100)+0.5)/100</f>
        <v>16825.75</v>
      </c>
      <c r="K188" s="155">
        <v>0</v>
      </c>
      <c r="L188" s="140">
        <f>INT((K188*Valores!$C$2*100)+0.5)/100</f>
        <v>0</v>
      </c>
      <c r="M188" s="153">
        <v>1200</v>
      </c>
      <c r="N188" s="140">
        <f>INT((M188*Valores!$C$2*100)+0.5)/100</f>
        <v>14912.04</v>
      </c>
      <c r="O188" s="140">
        <f t="shared" si="26"/>
        <v>6222.5819999999994</v>
      </c>
      <c r="P188" s="140">
        <f t="shared" si="27"/>
        <v>0</v>
      </c>
      <c r="Q188" s="154">
        <f>Valores!$C$21</f>
        <v>10738.26</v>
      </c>
      <c r="R188" s="154">
        <f>Valores!$D$4</f>
        <v>6352.5280000000002</v>
      </c>
      <c r="S188" s="140">
        <v>0</v>
      </c>
      <c r="T188" s="143">
        <f>IF($H$5="NO",Valores!$C$45,Valores!$C$45/2)</f>
        <v>3100.1</v>
      </c>
      <c r="U188" s="154">
        <f>Valores!$C$26</f>
        <v>5850.68</v>
      </c>
      <c r="V188" s="140">
        <f t="shared" si="33"/>
        <v>5850.68</v>
      </c>
      <c r="W188" s="140">
        <v>0</v>
      </c>
      <c r="X188" s="140">
        <v>0</v>
      </c>
      <c r="Y188" s="144">
        <v>0</v>
      </c>
      <c r="Z188" s="140">
        <f>Y188*Valores!$C$2</f>
        <v>0</v>
      </c>
      <c r="AA188" s="140">
        <v>0</v>
      </c>
      <c r="AB188" s="143">
        <f>Valores!$C$92</f>
        <v>4440.01</v>
      </c>
      <c r="AC188" s="145">
        <f>Valores!$C$31</f>
        <v>259.82</v>
      </c>
      <c r="AD188" s="140">
        <f t="shared" si="29"/>
        <v>0</v>
      </c>
      <c r="AE188" s="140">
        <f>Valores!$C$32</f>
        <v>259.82</v>
      </c>
      <c r="AF188" s="144">
        <v>0</v>
      </c>
      <c r="AG188" s="140">
        <f>INT(((AF188*Valores!$C$2)*100)+0.5)/100</f>
        <v>0</v>
      </c>
      <c r="AH188" s="140">
        <f>IF($H$5="NO",Valores!$C$60,Valores!$C$60/2)</f>
        <v>528.49</v>
      </c>
      <c r="AI188" s="140">
        <f>IF($H$5="NO",Valores!$C$62,Valores!$C$62/2)</f>
        <v>151</v>
      </c>
      <c r="AJ188" s="146">
        <f t="shared" si="30"/>
        <v>70436.39</v>
      </c>
      <c r="AK188" s="154">
        <f>Valores!$C$37</f>
        <v>1360.88</v>
      </c>
      <c r="AL188" s="143">
        <f>Valores!$C$87</f>
        <v>4550</v>
      </c>
      <c r="AM188" s="143"/>
      <c r="AN188" s="145">
        <v>0</v>
      </c>
      <c r="AO188" s="147">
        <f t="shared" si="28"/>
        <v>5910.88</v>
      </c>
      <c r="AP188" s="148">
        <f>AJ188*Valores!$C$69</f>
        <v>-7748.0029000000004</v>
      </c>
      <c r="AQ188" s="149">
        <f>AJ188*-Valores!$C$70</f>
        <v>0</v>
      </c>
      <c r="AR188" s="142">
        <f>AJ188*Valores!$C$71</f>
        <v>-3169.6375499999999</v>
      </c>
      <c r="AS188" s="142">
        <f>Valores!$C$95</f>
        <v>-193.38</v>
      </c>
      <c r="AT188" s="142">
        <f>IF($H$6=0,Valores!$C$96,(Valores!$C$96+$H$6*(Valores!$C$96)))</f>
        <v>-129</v>
      </c>
      <c r="AU188" s="146">
        <f t="shared" si="31"/>
        <v>65107.24955</v>
      </c>
      <c r="AV188" s="199">
        <f t="shared" si="24"/>
        <v>-7748.0029000000004</v>
      </c>
      <c r="AW188" s="142">
        <f>AJ188*Valores!$C$72</f>
        <v>-1901.78253</v>
      </c>
      <c r="AX188" s="142">
        <f>AJ188*Valores!$C$73</f>
        <v>-211.30916999999999</v>
      </c>
      <c r="AY188" s="146">
        <f t="shared" si="32"/>
        <v>66486.175400000007</v>
      </c>
      <c r="AZ188" s="150"/>
      <c r="BA188" s="150">
        <v>30</v>
      </c>
      <c r="BB188" s="135" t="s">
        <v>8</v>
      </c>
    </row>
    <row r="189" spans="1:54" s="114" customFormat="1" ht="11.25" customHeight="1" x14ac:dyDescent="0.15">
      <c r="A189" s="134">
        <v>187</v>
      </c>
      <c r="B189" s="134"/>
      <c r="C189" s="135" t="s">
        <v>486</v>
      </c>
      <c r="D189" s="135"/>
      <c r="E189" s="135">
        <f t="shared" si="25"/>
        <v>26</v>
      </c>
      <c r="F189" s="136" t="s">
        <v>487</v>
      </c>
      <c r="G189" s="137">
        <v>55</v>
      </c>
      <c r="H189" s="138">
        <f>INT((G189*Valores!$C$2*100)+0.5)/100</f>
        <v>683.47</v>
      </c>
      <c r="I189" s="156">
        <v>1279</v>
      </c>
      <c r="J189" s="140">
        <f>INT((I189*Valores!$C$2*100)+0.5)/100</f>
        <v>15893.75</v>
      </c>
      <c r="K189" s="155">
        <v>0</v>
      </c>
      <c r="L189" s="140">
        <f>INT((K189*Valores!$C$2*100)+0.5)/100</f>
        <v>0</v>
      </c>
      <c r="M189" s="153">
        <v>1200</v>
      </c>
      <c r="N189" s="140">
        <f>INT((M189*Valores!$C$2*100)+0.5)/100</f>
        <v>14912.04</v>
      </c>
      <c r="O189" s="140">
        <f t="shared" si="26"/>
        <v>6075.0704999999998</v>
      </c>
      <c r="P189" s="140">
        <f t="shared" si="27"/>
        <v>0</v>
      </c>
      <c r="Q189" s="154">
        <f>Valores!$C$21</f>
        <v>10738.26</v>
      </c>
      <c r="R189" s="154">
        <f>Valores!$D$4</f>
        <v>6352.5280000000002</v>
      </c>
      <c r="S189" s="140">
        <v>0</v>
      </c>
      <c r="T189" s="143">
        <f>IF($H$5="NO",Valores!$C$45,Valores!$C$45/2)</f>
        <v>3100.1</v>
      </c>
      <c r="U189" s="140">
        <f>Valores!$C$25</f>
        <v>5911.11</v>
      </c>
      <c r="V189" s="140">
        <f t="shared" si="33"/>
        <v>5911.11</v>
      </c>
      <c r="W189" s="140">
        <v>0</v>
      </c>
      <c r="X189" s="140">
        <v>0</v>
      </c>
      <c r="Y189" s="144">
        <v>0</v>
      </c>
      <c r="Z189" s="140">
        <f>Y189*Valores!$C$2</f>
        <v>0</v>
      </c>
      <c r="AA189" s="140">
        <v>0</v>
      </c>
      <c r="AB189" s="143">
        <f>Valores!$C$92</f>
        <v>4440.01</v>
      </c>
      <c r="AC189" s="145">
        <f>Valores!$C$31</f>
        <v>259.82</v>
      </c>
      <c r="AD189" s="140">
        <f t="shared" si="29"/>
        <v>0</v>
      </c>
      <c r="AE189" s="140">
        <f>Valores!$C$32</f>
        <v>259.82</v>
      </c>
      <c r="AF189" s="144">
        <v>0</v>
      </c>
      <c r="AG189" s="140">
        <f>INT(((AF189*Valores!$C$2)*100)+0.5)/100</f>
        <v>0</v>
      </c>
      <c r="AH189" s="140">
        <f>IF($H$5="NO",Valores!$C$60,Valores!$C$60/2)</f>
        <v>528.49</v>
      </c>
      <c r="AI189" s="140">
        <f>IF($H$5="NO",Valores!$C$62,Valores!$C$62/2)</f>
        <v>151</v>
      </c>
      <c r="AJ189" s="146">
        <f t="shared" si="30"/>
        <v>69305.468500000003</v>
      </c>
      <c r="AK189" s="154">
        <f>Valores!$C$37</f>
        <v>1360.88</v>
      </c>
      <c r="AL189" s="143">
        <f>Valores!$C$87</f>
        <v>4550</v>
      </c>
      <c r="AM189" s="143"/>
      <c r="AN189" s="145">
        <v>0</v>
      </c>
      <c r="AO189" s="147">
        <f t="shared" si="28"/>
        <v>5910.88</v>
      </c>
      <c r="AP189" s="148">
        <f>AJ189*Valores!$C$69</f>
        <v>-7623.6015350000007</v>
      </c>
      <c r="AQ189" s="149">
        <f>AJ189*-Valores!$C$70</f>
        <v>0</v>
      </c>
      <c r="AR189" s="142">
        <f>AJ189*Valores!$C$71</f>
        <v>-3118.7460824999998</v>
      </c>
      <c r="AS189" s="142">
        <f>Valores!$C$95</f>
        <v>-193.38</v>
      </c>
      <c r="AT189" s="142">
        <f>IF($H$6=0,Valores!$C$96,(Valores!$C$96+$H$6*(Valores!$C$96)))</f>
        <v>-129</v>
      </c>
      <c r="AU189" s="146">
        <f t="shared" si="31"/>
        <v>64151.620882499999</v>
      </c>
      <c r="AV189" s="199">
        <f t="shared" si="24"/>
        <v>-7623.6015350000007</v>
      </c>
      <c r="AW189" s="142">
        <f>AJ189*Valores!$C$72</f>
        <v>-1871.2476495000001</v>
      </c>
      <c r="AX189" s="142">
        <f>AJ189*Valores!$C$73</f>
        <v>-207.91640550000002</v>
      </c>
      <c r="AY189" s="146">
        <f t="shared" si="32"/>
        <v>65513.582910000005</v>
      </c>
      <c r="AZ189" s="150"/>
      <c r="BA189" s="150">
        <v>30</v>
      </c>
      <c r="BB189" s="135" t="s">
        <v>8</v>
      </c>
    </row>
    <row r="190" spans="1:54" s="114" customFormat="1" ht="11.25" customHeight="1" x14ac:dyDescent="0.15">
      <c r="A190" s="134">
        <v>188</v>
      </c>
      <c r="B190" s="134"/>
      <c r="C190" s="135" t="s">
        <v>488</v>
      </c>
      <c r="D190" s="135"/>
      <c r="E190" s="135">
        <f t="shared" si="25"/>
        <v>24</v>
      </c>
      <c r="F190" s="136" t="s">
        <v>489</v>
      </c>
      <c r="G190" s="137">
        <v>1027</v>
      </c>
      <c r="H190" s="138">
        <f>INT((G190*Valores!$C$2*100)+0.5)/100</f>
        <v>12762.22</v>
      </c>
      <c r="I190" s="156">
        <v>0</v>
      </c>
      <c r="J190" s="140">
        <f>INT((I190*Valores!$C$2*100)+0.5)/100</f>
        <v>0</v>
      </c>
      <c r="K190" s="155">
        <v>0</v>
      </c>
      <c r="L190" s="140">
        <f>INT((K190*Valores!$C$2*100)+0.5)/100</f>
        <v>0</v>
      </c>
      <c r="M190" s="153">
        <v>1200</v>
      </c>
      <c r="N190" s="140">
        <f>INT((M190*Valores!$C$2*100)+0.5)/100</f>
        <v>14912.04</v>
      </c>
      <c r="O190" s="140">
        <f t="shared" si="26"/>
        <v>5493.7560000000003</v>
      </c>
      <c r="P190" s="140">
        <f t="shared" si="27"/>
        <v>0</v>
      </c>
      <c r="Q190" s="154">
        <f>Valores!$C$21</f>
        <v>10738.26</v>
      </c>
      <c r="R190" s="154">
        <f>Valores!$D$4</f>
        <v>6352.5280000000002</v>
      </c>
      <c r="S190" s="140">
        <v>0</v>
      </c>
      <c r="T190" s="143">
        <f>IF($H$5="NO",Valores!$C$45,Valores!$C$45/2)</f>
        <v>3100.1</v>
      </c>
      <c r="U190" s="154">
        <f>Valores!$C$26</f>
        <v>5850.68</v>
      </c>
      <c r="V190" s="140">
        <f t="shared" si="33"/>
        <v>5850.68</v>
      </c>
      <c r="W190" s="140">
        <v>0</v>
      </c>
      <c r="X190" s="140">
        <v>0</v>
      </c>
      <c r="Y190" s="144">
        <v>0</v>
      </c>
      <c r="Z190" s="140">
        <f>Y190*Valores!$C$2</f>
        <v>0</v>
      </c>
      <c r="AA190" s="140">
        <v>0</v>
      </c>
      <c r="AB190" s="143">
        <f>Valores!$C$92</f>
        <v>4440.01</v>
      </c>
      <c r="AC190" s="145">
        <f>Valores!$C$31</f>
        <v>259.82</v>
      </c>
      <c r="AD190" s="140">
        <f t="shared" si="29"/>
        <v>0</v>
      </c>
      <c r="AE190" s="140">
        <f>Valores!$C$32</f>
        <v>259.82</v>
      </c>
      <c r="AF190" s="144">
        <v>0</v>
      </c>
      <c r="AG190" s="140">
        <f>INT(((AF190*Valores!$C$2)*100)+0.5)/100</f>
        <v>0</v>
      </c>
      <c r="AH190" s="140">
        <f>IF($H$5="NO",Valores!$C$60,Valores!$C$60/2)</f>
        <v>528.49</v>
      </c>
      <c r="AI190" s="140">
        <f>IF($H$5="NO",Valores!$C$62,Valores!$C$62/2)</f>
        <v>151</v>
      </c>
      <c r="AJ190" s="146">
        <f t="shared" si="30"/>
        <v>64848.724000000002</v>
      </c>
      <c r="AK190" s="154">
        <f>Valores!$C$37</f>
        <v>1360.88</v>
      </c>
      <c r="AL190" s="143">
        <f>Valores!$C$87</f>
        <v>4550</v>
      </c>
      <c r="AM190" s="143"/>
      <c r="AN190" s="145">
        <v>0</v>
      </c>
      <c r="AO190" s="147">
        <f t="shared" si="28"/>
        <v>5910.88</v>
      </c>
      <c r="AP190" s="148">
        <f>AJ190*Valores!$C$69</f>
        <v>-7133.3596400000006</v>
      </c>
      <c r="AQ190" s="149">
        <f>AJ190*-Valores!$C$70</f>
        <v>0</v>
      </c>
      <c r="AR190" s="142">
        <f>AJ190*Valores!$C$71</f>
        <v>-2918.1925799999999</v>
      </c>
      <c r="AS190" s="142">
        <f>Valores!$C$95</f>
        <v>-193.38</v>
      </c>
      <c r="AT190" s="142">
        <f>IF($H$6=0,Valores!$C$96,(Valores!$C$96+$H$6*(Valores!$C$96)))</f>
        <v>-129</v>
      </c>
      <c r="AU190" s="146">
        <f t="shared" si="31"/>
        <v>60385.671780000004</v>
      </c>
      <c r="AV190" s="199">
        <f t="shared" si="24"/>
        <v>-7133.3596400000006</v>
      </c>
      <c r="AW190" s="142">
        <f>AJ190*Valores!$C$72</f>
        <v>-1750.9155479999999</v>
      </c>
      <c r="AX190" s="142">
        <f>AJ190*Valores!$C$73</f>
        <v>-194.54617200000001</v>
      </c>
      <c r="AY190" s="146">
        <f t="shared" si="32"/>
        <v>61680.782640000005</v>
      </c>
      <c r="AZ190" s="150"/>
      <c r="BA190" s="150">
        <v>30</v>
      </c>
      <c r="BB190" s="135" t="s">
        <v>8</v>
      </c>
    </row>
    <row r="191" spans="1:54" s="114" customFormat="1" ht="11.25" customHeight="1" x14ac:dyDescent="0.15">
      <c r="A191" s="134">
        <v>189</v>
      </c>
      <c r="B191" s="134"/>
      <c r="C191" s="135" t="s">
        <v>490</v>
      </c>
      <c r="D191" s="135"/>
      <c r="E191" s="135">
        <f t="shared" si="25"/>
        <v>24</v>
      </c>
      <c r="F191" s="136" t="s">
        <v>491</v>
      </c>
      <c r="G191" s="137">
        <v>1278</v>
      </c>
      <c r="H191" s="138">
        <f>INT((G191*Valores!$C$2*100)+0.5)/100</f>
        <v>15881.32</v>
      </c>
      <c r="I191" s="156">
        <v>0</v>
      </c>
      <c r="J191" s="140">
        <f>INT((I191*Valores!$C$2*100)+0.5)/100</f>
        <v>0</v>
      </c>
      <c r="K191" s="155">
        <v>0</v>
      </c>
      <c r="L191" s="140">
        <f>INT((K191*Valores!$C$2*100)+0.5)/100</f>
        <v>0</v>
      </c>
      <c r="M191" s="153">
        <v>1200</v>
      </c>
      <c r="N191" s="140">
        <f>INT((M191*Valores!$C$2*100)+0.5)/100</f>
        <v>14912.04</v>
      </c>
      <c r="O191" s="140">
        <f t="shared" si="26"/>
        <v>5970.6854999999996</v>
      </c>
      <c r="P191" s="140">
        <f t="shared" si="27"/>
        <v>0</v>
      </c>
      <c r="Q191" s="154">
        <f>Valores!$C$21</f>
        <v>10738.26</v>
      </c>
      <c r="R191" s="154">
        <f>Valores!$D$4</f>
        <v>6352.5280000000002</v>
      </c>
      <c r="S191" s="154">
        <f>Valores!$C$28</f>
        <v>5667.45</v>
      </c>
      <c r="T191" s="143">
        <f>IF($H$5="NO",Valores!$C$45,Valores!$C$45/2)</f>
        <v>3100.1</v>
      </c>
      <c r="U191" s="140">
        <f>Valores!$C$25</f>
        <v>5911.11</v>
      </c>
      <c r="V191" s="140">
        <f t="shared" si="33"/>
        <v>5911.11</v>
      </c>
      <c r="W191" s="140">
        <v>0</v>
      </c>
      <c r="X191" s="140">
        <v>0</v>
      </c>
      <c r="Y191" s="144">
        <v>0</v>
      </c>
      <c r="Z191" s="140">
        <f>Y191*Valores!$C$2</f>
        <v>0</v>
      </c>
      <c r="AA191" s="140">
        <v>0</v>
      </c>
      <c r="AB191" s="143">
        <f>Valores!$C$92</f>
        <v>4440.01</v>
      </c>
      <c r="AC191" s="145">
        <f>Valores!$C$31</f>
        <v>259.82</v>
      </c>
      <c r="AD191" s="140">
        <f t="shared" si="29"/>
        <v>0</v>
      </c>
      <c r="AE191" s="140">
        <f>Valores!$C$32</f>
        <v>259.82</v>
      </c>
      <c r="AF191" s="144">
        <v>0</v>
      </c>
      <c r="AG191" s="140">
        <f>INT(((AF191*Valores!$C$2)*100)+0.5)/100</f>
        <v>0</v>
      </c>
      <c r="AH191" s="140">
        <f>IF($H$5="NO",Valores!$C$60,Valores!$C$60/2)</f>
        <v>528.49</v>
      </c>
      <c r="AI191" s="140">
        <f>IF($H$5="NO",Valores!$C$62,Valores!$C$62/2)</f>
        <v>151</v>
      </c>
      <c r="AJ191" s="146">
        <f t="shared" si="30"/>
        <v>74172.633500000011</v>
      </c>
      <c r="AK191" s="154">
        <f>Valores!$C$37</f>
        <v>1360.88</v>
      </c>
      <c r="AL191" s="143">
        <f>Valores!$C$87</f>
        <v>4550</v>
      </c>
      <c r="AM191" s="143"/>
      <c r="AN191" s="145">
        <f>IF($H$4="NO",0,Valores!$C$52)</f>
        <v>0</v>
      </c>
      <c r="AO191" s="147">
        <f t="shared" si="28"/>
        <v>5910.88</v>
      </c>
      <c r="AP191" s="148">
        <f>AJ191*Valores!$C$69</f>
        <v>-8158.9896850000014</v>
      </c>
      <c r="AQ191" s="149">
        <f>AJ191*-Valores!$C$70</f>
        <v>0</v>
      </c>
      <c r="AR191" s="142">
        <f>AJ191*Valores!$C$71</f>
        <v>-3337.7685075000004</v>
      </c>
      <c r="AS191" s="142">
        <f>Valores!$C$95</f>
        <v>-193.38</v>
      </c>
      <c r="AT191" s="142">
        <f>IF($H$6=0,Valores!$C$96,(Valores!$C$96+$H$6*(Valores!$C$96)))</f>
        <v>-129</v>
      </c>
      <c r="AU191" s="146">
        <f t="shared" si="31"/>
        <v>68264.375307500013</v>
      </c>
      <c r="AV191" s="199">
        <f t="shared" si="24"/>
        <v>-8158.9896850000014</v>
      </c>
      <c r="AW191" s="142">
        <f>AJ191*Valores!$C$72</f>
        <v>-2002.6611045000002</v>
      </c>
      <c r="AX191" s="142">
        <f>AJ191*Valores!$C$73</f>
        <v>-222.51790050000002</v>
      </c>
      <c r="AY191" s="146">
        <f t="shared" si="32"/>
        <v>69699.34481000001</v>
      </c>
      <c r="AZ191" s="150"/>
      <c r="BA191" s="150">
        <v>36</v>
      </c>
      <c r="BB191" s="135" t="s">
        <v>4</v>
      </c>
    </row>
    <row r="192" spans="1:54" s="114" customFormat="1" ht="11.25" customHeight="1" x14ac:dyDescent="0.15">
      <c r="A192" s="152">
        <v>190</v>
      </c>
      <c r="B192" s="152" t="s">
        <v>139</v>
      </c>
      <c r="C192" s="135" t="s">
        <v>492</v>
      </c>
      <c r="D192" s="135"/>
      <c r="E192" s="135">
        <f t="shared" si="25"/>
        <v>38</v>
      </c>
      <c r="F192" s="136" t="s">
        <v>493</v>
      </c>
      <c r="G192" s="137">
        <v>1065</v>
      </c>
      <c r="H192" s="138">
        <f>INT((G192*Valores!$C$2*100)+0.5)/100</f>
        <v>13234.44</v>
      </c>
      <c r="I192" s="156">
        <v>0</v>
      </c>
      <c r="J192" s="140">
        <f>INT((I192*Valores!$C$2*100)+0.5)/100</f>
        <v>0</v>
      </c>
      <c r="K192" s="155">
        <v>0</v>
      </c>
      <c r="L192" s="140">
        <f>INT((K192*Valores!$C$2*100)+0.5)/100</f>
        <v>0</v>
      </c>
      <c r="M192" s="153">
        <v>600</v>
      </c>
      <c r="N192" s="140">
        <f>INT((M192*Valores!$C$2*100)+0.5)/100</f>
        <v>7456.02</v>
      </c>
      <c r="O192" s="140">
        <f t="shared" si="26"/>
        <v>4455.2504999999992</v>
      </c>
      <c r="P192" s="140">
        <f t="shared" si="27"/>
        <v>0</v>
      </c>
      <c r="Q192" s="154">
        <f>Valores!$C$21</f>
        <v>10738.26</v>
      </c>
      <c r="R192" s="154">
        <f>Valores!$D$4</f>
        <v>6352.5280000000002</v>
      </c>
      <c r="S192" s="140">
        <v>0</v>
      </c>
      <c r="T192" s="143">
        <f>IF($H$5="NO",Valores!$C$45,Valores!$C$45/2)</f>
        <v>3100.1</v>
      </c>
      <c r="U192" s="140">
        <f>Valores!$C$25</f>
        <v>5911.11</v>
      </c>
      <c r="V192" s="140">
        <f t="shared" si="33"/>
        <v>5911.11</v>
      </c>
      <c r="W192" s="140">
        <v>0</v>
      </c>
      <c r="X192" s="140">
        <v>0</v>
      </c>
      <c r="Y192" s="144">
        <v>0</v>
      </c>
      <c r="Z192" s="140">
        <f>Y192*Valores!$C$2</f>
        <v>0</v>
      </c>
      <c r="AA192" s="140">
        <v>0</v>
      </c>
      <c r="AB192" s="143">
        <f>Valores!$C$92</f>
        <v>4440.01</v>
      </c>
      <c r="AC192" s="145">
        <f>Valores!$C$31</f>
        <v>259.82</v>
      </c>
      <c r="AD192" s="140">
        <f t="shared" si="29"/>
        <v>0</v>
      </c>
      <c r="AE192" s="140">
        <f>Valores!$C$32</f>
        <v>259.82</v>
      </c>
      <c r="AF192" s="144">
        <v>0</v>
      </c>
      <c r="AG192" s="140">
        <f>INT(((AF192*Valores!$C$2)*100)+0.5)/100</f>
        <v>0</v>
      </c>
      <c r="AH192" s="140">
        <f>IF($H$5="NO",Valores!$C$60,Valores!$C$60/2)</f>
        <v>528.49</v>
      </c>
      <c r="AI192" s="140">
        <f>IF($H$5="NO",Valores!$C$62,Valores!$C$62/2)</f>
        <v>151</v>
      </c>
      <c r="AJ192" s="146">
        <f t="shared" si="30"/>
        <v>56886.848499999993</v>
      </c>
      <c r="AK192" s="154">
        <f>Valores!$C$37</f>
        <v>1360.88</v>
      </c>
      <c r="AL192" s="143">
        <f>Valores!$C$87</f>
        <v>4550</v>
      </c>
      <c r="AM192" s="143"/>
      <c r="AN192" s="145">
        <f>IF($H$4="NO",0,Valores!$C$52)</f>
        <v>0</v>
      </c>
      <c r="AO192" s="147">
        <f t="shared" si="28"/>
        <v>5910.88</v>
      </c>
      <c r="AP192" s="148">
        <f>AJ192*Valores!$C$69</f>
        <v>-6257.5533349999996</v>
      </c>
      <c r="AQ192" s="149">
        <f>AJ192*-Valores!$C$70</f>
        <v>0</v>
      </c>
      <c r="AR192" s="142">
        <f>AJ192*Valores!$C$71</f>
        <v>-2559.9081824999994</v>
      </c>
      <c r="AS192" s="142">
        <f>Valores!$C$95</f>
        <v>-193.38</v>
      </c>
      <c r="AT192" s="142">
        <f>IF($H$6=0,Valores!$C$96,(Valores!$C$96+$H$6*(Valores!$C$96)))</f>
        <v>-129</v>
      </c>
      <c r="AU192" s="146">
        <f t="shared" si="31"/>
        <v>53657.886982499993</v>
      </c>
      <c r="AV192" s="199">
        <f t="shared" si="24"/>
        <v>-6257.5533349999996</v>
      </c>
      <c r="AW192" s="142">
        <f>AJ192*Valores!$C$72</f>
        <v>-1535.9449094999998</v>
      </c>
      <c r="AX192" s="142">
        <f>AJ192*Valores!$C$73</f>
        <v>-170.66054549999998</v>
      </c>
      <c r="AY192" s="146">
        <f t="shared" si="32"/>
        <v>54833.569709999989</v>
      </c>
      <c r="AZ192" s="150"/>
      <c r="BA192" s="150"/>
      <c r="BB192" s="135" t="s">
        <v>4</v>
      </c>
    </row>
    <row r="193" spans="1:54" s="114" customFormat="1" ht="12" customHeight="1" x14ac:dyDescent="0.15">
      <c r="A193" s="134">
        <v>191</v>
      </c>
      <c r="B193" s="134"/>
      <c r="C193" s="135" t="s">
        <v>494</v>
      </c>
      <c r="D193" s="135"/>
      <c r="E193" s="135">
        <f t="shared" si="25"/>
        <v>26</v>
      </c>
      <c r="F193" s="136" t="s">
        <v>495</v>
      </c>
      <c r="G193" s="137">
        <v>971</v>
      </c>
      <c r="H193" s="138">
        <f>INT((G193*Valores!$C$2*100)+0.5)/100</f>
        <v>12066.33</v>
      </c>
      <c r="I193" s="156">
        <v>0</v>
      </c>
      <c r="J193" s="140">
        <f>INT((I193*Valores!$C$2*100)+0.5)/100</f>
        <v>0</v>
      </c>
      <c r="K193" s="155">
        <v>0</v>
      </c>
      <c r="L193" s="140">
        <f>INT((K193*Valores!$C$2*100)+0.5)/100</f>
        <v>0</v>
      </c>
      <c r="M193" s="153">
        <v>660</v>
      </c>
      <c r="N193" s="140">
        <f>INT((M193*Valores!$C$2*100)+0.5)/100</f>
        <v>8201.6200000000008</v>
      </c>
      <c r="O193" s="140">
        <f t="shared" si="26"/>
        <v>4242.7245000000003</v>
      </c>
      <c r="P193" s="140">
        <f t="shared" si="27"/>
        <v>0</v>
      </c>
      <c r="Q193" s="154">
        <f>Valores!$C$21</f>
        <v>10738.26</v>
      </c>
      <c r="R193" s="154">
        <f>Valores!$D$4</f>
        <v>6352.5280000000002</v>
      </c>
      <c r="S193" s="154">
        <f>Valores!$C$29</f>
        <v>5274.89</v>
      </c>
      <c r="T193" s="143">
        <f>IF($H$5="NO",Valores!$C$44,Valores!$C$44/2)</f>
        <v>2105.77</v>
      </c>
      <c r="U193" s="140">
        <f>Valores!$C$25</f>
        <v>5911.11</v>
      </c>
      <c r="V193" s="140">
        <f t="shared" si="33"/>
        <v>5911.11</v>
      </c>
      <c r="W193" s="140">
        <v>0</v>
      </c>
      <c r="X193" s="140">
        <v>0</v>
      </c>
      <c r="Y193" s="144">
        <v>0</v>
      </c>
      <c r="Z193" s="140">
        <f>Y193*Valores!$C$2</f>
        <v>0</v>
      </c>
      <c r="AA193" s="140">
        <v>0</v>
      </c>
      <c r="AB193" s="143">
        <f>Valores!$C$90</f>
        <v>2220.0100000000002</v>
      </c>
      <c r="AC193" s="145">
        <f>Valores!$C$31</f>
        <v>259.82</v>
      </c>
      <c r="AD193" s="140">
        <f t="shared" si="29"/>
        <v>0</v>
      </c>
      <c r="AE193" s="140">
        <f>Valores!$C$32</f>
        <v>259.82</v>
      </c>
      <c r="AF193" s="144">
        <v>0</v>
      </c>
      <c r="AG193" s="140">
        <f>INT(((AF193*Valores!$C$2)*100)+0.5)/100</f>
        <v>0</v>
      </c>
      <c r="AH193" s="140">
        <f>IF($H$5="NO",Valores!$C$60,Valores!$C$60/2)</f>
        <v>528.49</v>
      </c>
      <c r="AI193" s="140">
        <f>IF($H$5="NO",Valores!$C$62,Valores!$C$62/2)</f>
        <v>151</v>
      </c>
      <c r="AJ193" s="146">
        <f t="shared" si="30"/>
        <v>58312.372499999998</v>
      </c>
      <c r="AK193" s="154">
        <f>Valores!$C$37</f>
        <v>1360.88</v>
      </c>
      <c r="AL193" s="143">
        <f>Valores!$C$85</f>
        <v>2275</v>
      </c>
      <c r="AM193" s="143"/>
      <c r="AN193" s="145">
        <v>0</v>
      </c>
      <c r="AO193" s="147">
        <f t="shared" si="28"/>
        <v>3635.88</v>
      </c>
      <c r="AP193" s="148">
        <f>AJ193*Valores!$C$69</f>
        <v>-6414.3609749999996</v>
      </c>
      <c r="AQ193" s="149">
        <f>AJ193*-Valores!$C$70</f>
        <v>0</v>
      </c>
      <c r="AR193" s="142">
        <f>AJ193*Valores!$C$71</f>
        <v>-2624.0567624999999</v>
      </c>
      <c r="AS193" s="142">
        <f>Valores!$C$95</f>
        <v>-193.38</v>
      </c>
      <c r="AT193" s="142">
        <f>IF($H$6=0,Valores!$C$96,(Valores!$C$96+$H$6*(Valores!$C$96)))</f>
        <v>-129</v>
      </c>
      <c r="AU193" s="146">
        <f t="shared" si="31"/>
        <v>52587.454762499998</v>
      </c>
      <c r="AV193" s="199">
        <f t="shared" si="24"/>
        <v>-6414.3609749999996</v>
      </c>
      <c r="AW193" s="142">
        <f>AJ193*Valores!$C$72</f>
        <v>-1574.4340574999999</v>
      </c>
      <c r="AX193" s="142">
        <f>AJ193*Valores!$C$73</f>
        <v>-174.9371175</v>
      </c>
      <c r="AY193" s="146">
        <f t="shared" si="32"/>
        <v>53784.520349999999</v>
      </c>
      <c r="AZ193" s="150"/>
      <c r="BA193" s="150">
        <v>18</v>
      </c>
      <c r="BB193" s="135" t="s">
        <v>4</v>
      </c>
    </row>
    <row r="194" spans="1:54" s="114" customFormat="1" ht="11.25" customHeight="1" x14ac:dyDescent="0.15">
      <c r="A194" s="134">
        <v>192</v>
      </c>
      <c r="B194" s="134"/>
      <c r="C194" s="135" t="s">
        <v>496</v>
      </c>
      <c r="D194" s="135">
        <v>1</v>
      </c>
      <c r="E194" s="135">
        <f t="shared" si="25"/>
        <v>36</v>
      </c>
      <c r="F194" s="136" t="str">
        <f t="shared" ref="F194:F229" si="34">CONCATENATE("Hora Cátedra Enseñanza Superior ",D194," hs")</f>
        <v>Hora Cátedra Enseñanza Superior 1 hs</v>
      </c>
      <c r="G194" s="137">
        <f t="shared" ref="G194:G229" si="35">99*D194</f>
        <v>99</v>
      </c>
      <c r="H194" s="138">
        <f>INT((G194*Valores!$C$2*100)+0.5)/100</f>
        <v>1230.24</v>
      </c>
      <c r="I194" s="156">
        <v>0</v>
      </c>
      <c r="J194" s="140">
        <f>INT((I194*Valores!$C$2*100)+0.5)/100</f>
        <v>0</v>
      </c>
      <c r="K194" s="155">
        <v>0</v>
      </c>
      <c r="L194" s="140">
        <f>INT((K194*Valores!$C$2*100)+0.5)/100</f>
        <v>0</v>
      </c>
      <c r="M194" s="153">
        <v>0</v>
      </c>
      <c r="N194" s="140">
        <f>INT((M194*Valores!$C$2*100)+0.5)/100</f>
        <v>0</v>
      </c>
      <c r="O194" s="140">
        <f t="shared" si="26"/>
        <v>217.72799999999998</v>
      </c>
      <c r="P194" s="140">
        <f t="shared" si="27"/>
        <v>0</v>
      </c>
      <c r="Q194" s="154">
        <f>Valores!$C$14*D194</f>
        <v>421.42</v>
      </c>
      <c r="R194" s="154">
        <f>IF(D194&lt;15,(Valores!$E$4*D194),Valores!$D$4)</f>
        <v>423.50186666666667</v>
      </c>
      <c r="S194" s="140">
        <v>0</v>
      </c>
      <c r="T194" s="143">
        <f>IF($H$5="NO",IF(Valores!$C$47*D194&gt;Valores!$C$45,Valores!$C$45,Valores!$C$47*D194),IF(Valores!$C$47*D194&gt;Valores!$C$45,Valores!$C$45,Valores!$C$47*D194)/2)</f>
        <v>88.73</v>
      </c>
      <c r="U194" s="154">
        <f>Valores!$C$24*D194</f>
        <v>132.55000000000001</v>
      </c>
      <c r="V194" s="140">
        <f t="shared" si="33"/>
        <v>132.55000000000001</v>
      </c>
      <c r="W194" s="140">
        <v>0</v>
      </c>
      <c r="X194" s="140">
        <v>0</v>
      </c>
      <c r="Y194" s="160">
        <v>0</v>
      </c>
      <c r="Z194" s="140">
        <f>Y194*Valores!$C$2</f>
        <v>0</v>
      </c>
      <c r="AA194" s="140">
        <v>0</v>
      </c>
      <c r="AB194" s="143">
        <f>IF(Valores!$C$93*D194&gt;Valores!$C$92,Valores!$C$92,Valores!$C$93*D194)</f>
        <v>112.89</v>
      </c>
      <c r="AC194" s="145">
        <f>IF((Valores!$C$34)*D194&gt;Valores!$F$34,Valores!$F$34,(Valores!$C$34)*D194)</f>
        <v>10.41</v>
      </c>
      <c r="AD194" s="140">
        <f t="shared" si="29"/>
        <v>0</v>
      </c>
      <c r="AE194" s="140">
        <f>IF(Valores!$C$35*D194&gt;Valores!$F$35,Valores!$F$35,Valores!$C$35*D194)</f>
        <v>8.67</v>
      </c>
      <c r="AF194" s="144">
        <v>0</v>
      </c>
      <c r="AG194" s="140">
        <f>INT(((AF194*Valores!$C$2)*100)+0.5)/100</f>
        <v>0</v>
      </c>
      <c r="AH194" s="140">
        <f>IF($H$5="NO",IF(Valores!$D$60*'Escala Docente'!D194&gt;Valores!$F$60,Valores!$F$60,Valores!$D$60*'Escala Docente'!D194),IF(Valores!$D$60*'Escala Docente'!D194&gt;Valores!$F$60,Valores!$F$60,Valores!$D$60*'Escala Docente'!D194)/2)+0.01</f>
        <v>35.242666666666665</v>
      </c>
      <c r="AI194" s="140">
        <f>IF($H$5="NO",IF(Valores!$D$62*D194&gt;Valores!$F$62,Valores!$F$62,Valores!$D$62*D194),IF(Valores!$D$62*D194&gt;Valores!$F$62,Valores!$F$62,Valores!$D$62*D194)/2)</f>
        <v>10.076666666666666</v>
      </c>
      <c r="AJ194" s="146">
        <f t="shared" si="30"/>
        <v>2691.4592000000002</v>
      </c>
      <c r="AK194" s="154">
        <f>IF(Valores!$C$38*D194&gt;Valores!$F$38,Valores!$F$38,Valores!$C$38*D194)</f>
        <v>90.73</v>
      </c>
      <c r="AL194" s="143">
        <f>IF(Valores!$C$88*D194&gt;Valores!$C$87,Valores!$C$87,Valores!$C$88*D194)</f>
        <v>113.74999999999999</v>
      </c>
      <c r="AM194" s="143"/>
      <c r="AN194" s="145">
        <f>IF($H$4="NO",0,IF(Valores!$C$58*D194&gt;Valores!$F$58,Valores!$F$58,Valores!$C$58*D194))</f>
        <v>0</v>
      </c>
      <c r="AO194" s="147">
        <f t="shared" si="28"/>
        <v>204.48</v>
      </c>
      <c r="AP194" s="148">
        <f>AJ194*Valores!$C$69</f>
        <v>-296.06051200000002</v>
      </c>
      <c r="AQ194" s="149">
        <f>AJ194*-Valores!$C$70</f>
        <v>0</v>
      </c>
      <c r="AR194" s="142">
        <f>AJ194*Valores!$C$71</f>
        <v>-121.11566400000001</v>
      </c>
      <c r="AS194" s="142">
        <f>Valores!$C$95</f>
        <v>-193.38</v>
      </c>
      <c r="AT194" s="142">
        <f>IF($H$6=0,Valores!$C$96,(Valores!$C$96+$H$6*(Valores!$C$96)))</f>
        <v>-129</v>
      </c>
      <c r="AU194" s="146">
        <f t="shared" si="31"/>
        <v>2156.3830240000002</v>
      </c>
      <c r="AV194" s="199">
        <f t="shared" si="24"/>
        <v>-296.06051200000002</v>
      </c>
      <c r="AW194" s="142">
        <f>AJ194*Valores!$C$72</f>
        <v>-72.669398400000006</v>
      </c>
      <c r="AX194" s="142">
        <f>AJ194*Valores!$C$73</f>
        <v>-8.0743776</v>
      </c>
      <c r="AY194" s="146">
        <f t="shared" si="32"/>
        <v>2519.1349120000004</v>
      </c>
      <c r="AZ194" s="150"/>
      <c r="BA194" s="150">
        <f t="shared" ref="BA194:BA225" si="36">4*D194</f>
        <v>4</v>
      </c>
      <c r="BB194" s="135" t="s">
        <v>4</v>
      </c>
    </row>
    <row r="195" spans="1:54" s="114" customFormat="1" ht="11.25" customHeight="1" x14ac:dyDescent="0.15">
      <c r="A195" s="134">
        <v>193</v>
      </c>
      <c r="B195" s="134"/>
      <c r="C195" s="135" t="s">
        <v>496</v>
      </c>
      <c r="D195" s="135">
        <v>2</v>
      </c>
      <c r="E195" s="135">
        <f t="shared" si="25"/>
        <v>36</v>
      </c>
      <c r="F195" s="136" t="str">
        <f t="shared" si="34"/>
        <v>Hora Cátedra Enseñanza Superior 2 hs</v>
      </c>
      <c r="G195" s="137">
        <f t="shared" si="35"/>
        <v>198</v>
      </c>
      <c r="H195" s="138">
        <f>INT((G195*Valores!$C$2*100)+0.5)/100</f>
        <v>2460.4899999999998</v>
      </c>
      <c r="I195" s="156">
        <v>0</v>
      </c>
      <c r="J195" s="140">
        <f>INT((I195*Valores!$C$2*100)+0.5)/100</f>
        <v>0</v>
      </c>
      <c r="K195" s="155">
        <v>0</v>
      </c>
      <c r="L195" s="140">
        <f>INT((K195*Valores!$C$2*100)+0.5)/100</f>
        <v>0</v>
      </c>
      <c r="M195" s="153">
        <v>0</v>
      </c>
      <c r="N195" s="140">
        <f>INT((M195*Valores!$C$2*100)+0.5)/100</f>
        <v>0</v>
      </c>
      <c r="O195" s="140">
        <f t="shared" si="26"/>
        <v>435.45749999999992</v>
      </c>
      <c r="P195" s="140">
        <f t="shared" si="27"/>
        <v>0</v>
      </c>
      <c r="Q195" s="154">
        <f>Valores!$C$14*D195</f>
        <v>842.84</v>
      </c>
      <c r="R195" s="154">
        <f>IF(D195&lt;15,(Valores!$E$4*D195),Valores!$D$4)</f>
        <v>847.00373333333334</v>
      </c>
      <c r="S195" s="140">
        <v>0</v>
      </c>
      <c r="T195" s="143">
        <f>IF($H$5="NO",IF(Valores!$C$47*D195&gt;Valores!$C$45,Valores!$C$45,Valores!$C$47*D195),IF(Valores!$C$47*D195&gt;Valores!$C$45,Valores!$C$45,Valores!$C$47*D195)/2)</f>
        <v>177.46</v>
      </c>
      <c r="U195" s="154">
        <f>Valores!$C$24*D195</f>
        <v>265.10000000000002</v>
      </c>
      <c r="V195" s="140">
        <f t="shared" si="33"/>
        <v>265.10000000000002</v>
      </c>
      <c r="W195" s="140">
        <v>0</v>
      </c>
      <c r="X195" s="140">
        <v>0</v>
      </c>
      <c r="Y195" s="160">
        <v>0</v>
      </c>
      <c r="Z195" s="140">
        <f>Y195*Valores!$C$2</f>
        <v>0</v>
      </c>
      <c r="AA195" s="140">
        <v>0</v>
      </c>
      <c r="AB195" s="143">
        <f>IF(Valores!$C$93*D195&gt;Valores!$C$92,Valores!$C$92,Valores!$C$93*D195)</f>
        <v>225.78</v>
      </c>
      <c r="AC195" s="145">
        <f>IF((Valores!$C$34)*D195&gt;Valores!$F$34,Valores!$F$34,(Valores!$C$34)*D195)</f>
        <v>20.82</v>
      </c>
      <c r="AD195" s="140">
        <f t="shared" si="29"/>
        <v>0</v>
      </c>
      <c r="AE195" s="140">
        <f>IF(Valores!$C$35*D195&gt;Valores!$F$35,Valores!$F$35,Valores!$C$35*D195)</f>
        <v>17.34</v>
      </c>
      <c r="AF195" s="144">
        <v>0</v>
      </c>
      <c r="AG195" s="140">
        <f>INT(((AF195*Valores!$C$2)*100)+0.5)/100</f>
        <v>0</v>
      </c>
      <c r="AH195" s="140">
        <f>IF($H$5="NO",IF(Valores!$D$60*'Escala Docente'!D195&gt;Valores!$F$60,Valores!$F$60,Valores!$D$60*'Escala Docente'!D195),IF(Valores!$D$60*'Escala Docente'!D195&gt;Valores!$F$60,Valores!$F$60,Valores!$D$60*'Escala Docente'!D195)/2)</f>
        <v>70.465333333333334</v>
      </c>
      <c r="AI195" s="140">
        <f>IF($H$5="NO",IF(Valores!$D$62*D195&gt;Valores!$F$62,Valores!$F$62,Valores!$D$62*D195),IF(Valores!$D$62*D195&gt;Valores!$F$62,Valores!$F$62,Valores!$D$62*D195)/2)</f>
        <v>20.153333333333332</v>
      </c>
      <c r="AJ195" s="146">
        <f t="shared" si="30"/>
        <v>5382.9099000000006</v>
      </c>
      <c r="AK195" s="154">
        <f>IF(Valores!$C$38*D195&gt;Valores!$F$38,Valores!$F$38,Valores!$C$38*D195)</f>
        <v>181.46</v>
      </c>
      <c r="AL195" s="143">
        <f>IF(Valores!$C$88*D195&gt;Valores!$C$87,Valores!$C$87,Valores!$C$88*D195)</f>
        <v>227.49999999999997</v>
      </c>
      <c r="AM195" s="143"/>
      <c r="AN195" s="145">
        <f>IF($H$4="NO",0,IF(Valores!$C$58*D195&gt;Valores!$F$58,Valores!$F$58,Valores!$C$58*D195))</f>
        <v>0</v>
      </c>
      <c r="AO195" s="147">
        <f t="shared" si="28"/>
        <v>408.96</v>
      </c>
      <c r="AP195" s="148">
        <f>AJ195*Valores!$C$69</f>
        <v>-592.12008900000012</v>
      </c>
      <c r="AQ195" s="149">
        <f>AJ195*-Valores!$C$70</f>
        <v>0</v>
      </c>
      <c r="AR195" s="142">
        <f>AJ195*Valores!$C$71</f>
        <v>-242.23094550000002</v>
      </c>
      <c r="AS195" s="142">
        <f>Valores!$C$95</f>
        <v>-193.38</v>
      </c>
      <c r="AT195" s="142">
        <f>IF($H$6=0,Valores!$C$96,(Valores!$C$96+$H$6*(Valores!$C$96)))</f>
        <v>-129</v>
      </c>
      <c r="AU195" s="146">
        <f t="shared" si="31"/>
        <v>4635.1388655000001</v>
      </c>
      <c r="AV195" s="199">
        <f t="shared" si="24"/>
        <v>-592.12008900000012</v>
      </c>
      <c r="AW195" s="142">
        <f>AJ195*Valores!$C$72</f>
        <v>-145.33856730000002</v>
      </c>
      <c r="AX195" s="142">
        <f>AJ195*Valores!$C$73</f>
        <v>-16.148729700000001</v>
      </c>
      <c r="AY195" s="146">
        <f t="shared" si="32"/>
        <v>5038.262514</v>
      </c>
      <c r="AZ195" s="150"/>
      <c r="BA195" s="150">
        <f t="shared" si="36"/>
        <v>8</v>
      </c>
      <c r="BB195" s="135" t="s">
        <v>4</v>
      </c>
    </row>
    <row r="196" spans="1:54" s="114" customFormat="1" ht="11.25" customHeight="1" x14ac:dyDescent="0.15">
      <c r="A196" s="134">
        <v>194</v>
      </c>
      <c r="B196" s="134"/>
      <c r="C196" s="135" t="s">
        <v>496</v>
      </c>
      <c r="D196" s="135">
        <v>3</v>
      </c>
      <c r="E196" s="135">
        <f t="shared" si="25"/>
        <v>36</v>
      </c>
      <c r="F196" s="136" t="str">
        <f t="shared" si="34"/>
        <v>Hora Cátedra Enseñanza Superior 3 hs</v>
      </c>
      <c r="G196" s="137">
        <f t="shared" si="35"/>
        <v>297</v>
      </c>
      <c r="H196" s="138">
        <f>INT((G196*Valores!$C$2*100)+0.5)/100</f>
        <v>3690.73</v>
      </c>
      <c r="I196" s="156">
        <v>0</v>
      </c>
      <c r="J196" s="140">
        <f>INT((I196*Valores!$C$2*100)+0.5)/100</f>
        <v>0</v>
      </c>
      <c r="K196" s="155">
        <v>0</v>
      </c>
      <c r="L196" s="140">
        <f>INT((K196*Valores!$C$2*100)+0.5)/100</f>
        <v>0</v>
      </c>
      <c r="M196" s="153">
        <v>0</v>
      </c>
      <c r="N196" s="140">
        <f>INT((M196*Valores!$C$2*100)+0.5)/100</f>
        <v>0</v>
      </c>
      <c r="O196" s="140">
        <f t="shared" si="26"/>
        <v>653.18549999999993</v>
      </c>
      <c r="P196" s="140">
        <f t="shared" si="27"/>
        <v>0</v>
      </c>
      <c r="Q196" s="154">
        <f>Valores!$C$14*D196</f>
        <v>1264.26</v>
      </c>
      <c r="R196" s="154">
        <f>IF(D196&lt;15,(Valores!$E$4*D196),Valores!$D$4)</f>
        <v>1270.5056</v>
      </c>
      <c r="S196" s="140">
        <v>0</v>
      </c>
      <c r="T196" s="143">
        <f>IF($H$5="NO",IF(Valores!$C$47*D196&gt;Valores!$C$45,Valores!$C$45,Valores!$C$47*D196),IF(Valores!$C$47*D196&gt;Valores!$C$45,Valores!$C$45,Valores!$C$47*D196)/2)</f>
        <v>266.19</v>
      </c>
      <c r="U196" s="154">
        <f>Valores!$C$24*D196</f>
        <v>397.65000000000003</v>
      </c>
      <c r="V196" s="140">
        <f t="shared" si="33"/>
        <v>397.65000000000003</v>
      </c>
      <c r="W196" s="140">
        <v>0</v>
      </c>
      <c r="X196" s="140">
        <v>0</v>
      </c>
      <c r="Y196" s="160">
        <v>0</v>
      </c>
      <c r="Z196" s="140">
        <f>Y196*Valores!$C$2</f>
        <v>0</v>
      </c>
      <c r="AA196" s="140">
        <v>0</v>
      </c>
      <c r="AB196" s="143">
        <f>IF(Valores!$C$93*D196&gt;Valores!$C$92,Valores!$C$92,Valores!$C$93*D196)</f>
        <v>338.67</v>
      </c>
      <c r="AC196" s="145">
        <f>IF((Valores!$C$34)*D196&gt;Valores!$F$34,Valores!$F$34,(Valores!$C$34)*D196)</f>
        <v>31.23</v>
      </c>
      <c r="AD196" s="140">
        <f t="shared" si="29"/>
        <v>0</v>
      </c>
      <c r="AE196" s="140">
        <f>IF(Valores!$C$35*D196&gt;Valores!$F$35,Valores!$F$35,Valores!$C$35*D196)</f>
        <v>26.009999999999998</v>
      </c>
      <c r="AF196" s="144">
        <v>0</v>
      </c>
      <c r="AG196" s="140">
        <f>INT(((AF196*Valores!$C$2)*100)+0.5)/100</f>
        <v>0</v>
      </c>
      <c r="AH196" s="140">
        <f>IF($H$5="NO",IF(Valores!$D$60*'Escala Docente'!D196&gt;Valores!$F$60,Valores!$F$60,Valores!$D$60*'Escala Docente'!D196),IF(Valores!$D$60*'Escala Docente'!D196&gt;Valores!$F$60,Valores!$F$60,Valores!$D$60*'Escala Docente'!D196)/2)</f>
        <v>105.69800000000001</v>
      </c>
      <c r="AI196" s="140">
        <f>IF($H$5="NO",IF(Valores!$D$62*D196&gt;Valores!$F$62,Valores!$F$62,Valores!$D$62*D196),IF(Valores!$D$62*D196&gt;Valores!$F$62,Valores!$F$62,Valores!$D$62*D196)/2)</f>
        <v>30.229999999999997</v>
      </c>
      <c r="AJ196" s="146">
        <f t="shared" si="30"/>
        <v>8074.3590999999988</v>
      </c>
      <c r="AK196" s="154">
        <f>IF(Valores!$C$38*D196&gt;Valores!$F$38,Valores!$F$38,Valores!$C$38*D196)</f>
        <v>272.19</v>
      </c>
      <c r="AL196" s="143">
        <f>IF(Valores!$C$88*D196&gt;Valores!$C$87,Valores!$C$87,Valores!$C$88*D196)</f>
        <v>341.24999999999994</v>
      </c>
      <c r="AM196" s="143"/>
      <c r="AN196" s="145">
        <f>IF($H$4="NO",0,IF(Valores!$C$58*D196&gt;Valores!$F$58,Valores!$F$58,Valores!$C$58*D196))</f>
        <v>0</v>
      </c>
      <c r="AO196" s="147">
        <f t="shared" si="28"/>
        <v>613.43999999999994</v>
      </c>
      <c r="AP196" s="148">
        <f>AJ196*Valores!$C$69</f>
        <v>-888.17950099999985</v>
      </c>
      <c r="AQ196" s="149">
        <f>AJ196*-Valores!$C$70</f>
        <v>0</v>
      </c>
      <c r="AR196" s="142">
        <f>AJ196*Valores!$C$71</f>
        <v>-363.34615949999994</v>
      </c>
      <c r="AS196" s="142">
        <f>Valores!$C$95</f>
        <v>-193.38</v>
      </c>
      <c r="AT196" s="142">
        <f>IF($H$6=0,Valores!$C$96,(Valores!$C$96+$H$6*(Valores!$C$96)))</f>
        <v>-129</v>
      </c>
      <c r="AU196" s="146">
        <f t="shared" si="31"/>
        <v>7113.8934394999987</v>
      </c>
      <c r="AV196" s="199">
        <f t="shared" si="24"/>
        <v>-888.17950099999985</v>
      </c>
      <c r="AW196" s="142">
        <f>AJ196*Valores!$C$72</f>
        <v>-218.00769569999997</v>
      </c>
      <c r="AX196" s="142">
        <f>AJ196*Valores!$C$73</f>
        <v>-24.223077299999996</v>
      </c>
      <c r="AY196" s="146">
        <f t="shared" si="32"/>
        <v>7557.3888259999985</v>
      </c>
      <c r="AZ196" s="150"/>
      <c r="BA196" s="150">
        <f t="shared" si="36"/>
        <v>12</v>
      </c>
      <c r="BB196" s="135" t="s">
        <v>4</v>
      </c>
    </row>
    <row r="197" spans="1:54" s="114" customFormat="1" ht="11.25" customHeight="1" x14ac:dyDescent="0.15">
      <c r="A197" s="152">
        <v>195</v>
      </c>
      <c r="B197" s="152" t="s">
        <v>139</v>
      </c>
      <c r="C197" s="135" t="s">
        <v>496</v>
      </c>
      <c r="D197" s="135">
        <v>4</v>
      </c>
      <c r="E197" s="135">
        <f t="shared" si="25"/>
        <v>36</v>
      </c>
      <c r="F197" s="136" t="str">
        <f t="shared" si="34"/>
        <v>Hora Cátedra Enseñanza Superior 4 hs</v>
      </c>
      <c r="G197" s="137">
        <f t="shared" si="35"/>
        <v>396</v>
      </c>
      <c r="H197" s="138">
        <f>INT((G197*Valores!$C$2*100)+0.5)/100</f>
        <v>4920.97</v>
      </c>
      <c r="I197" s="156">
        <v>0</v>
      </c>
      <c r="J197" s="140">
        <f>INT((I197*Valores!$C$2*100)+0.5)/100</f>
        <v>0</v>
      </c>
      <c r="K197" s="155">
        <v>0</v>
      </c>
      <c r="L197" s="140">
        <f>INT((K197*Valores!$C$2*100)+0.5)/100</f>
        <v>0</v>
      </c>
      <c r="M197" s="153">
        <v>0</v>
      </c>
      <c r="N197" s="140">
        <f>INT((M197*Valores!$C$2*100)+0.5)/100</f>
        <v>0</v>
      </c>
      <c r="O197" s="140">
        <f t="shared" si="26"/>
        <v>870.9135</v>
      </c>
      <c r="P197" s="140">
        <f t="shared" si="27"/>
        <v>0</v>
      </c>
      <c r="Q197" s="154">
        <f>Valores!$C$14*D197</f>
        <v>1685.68</v>
      </c>
      <c r="R197" s="154">
        <f>IF(D197&lt;15,(Valores!$E$4*D197),Valores!$D$4)</f>
        <v>1694.0074666666667</v>
      </c>
      <c r="S197" s="140">
        <v>0</v>
      </c>
      <c r="T197" s="143">
        <f>IF($H$5="NO",IF(Valores!$C$47*D197&gt;Valores!$C$45,Valores!$C$45,Valores!$C$47*D197),IF(Valores!$C$47*D197&gt;Valores!$C$45,Valores!$C$45,Valores!$C$47*D197)/2)</f>
        <v>354.92</v>
      </c>
      <c r="U197" s="154">
        <f>Valores!$C$24*D197</f>
        <v>530.20000000000005</v>
      </c>
      <c r="V197" s="140">
        <f t="shared" si="33"/>
        <v>530.20000000000005</v>
      </c>
      <c r="W197" s="140">
        <v>0</v>
      </c>
      <c r="X197" s="140">
        <v>0</v>
      </c>
      <c r="Y197" s="160">
        <v>0</v>
      </c>
      <c r="Z197" s="140">
        <f>Y197*Valores!$C$2</f>
        <v>0</v>
      </c>
      <c r="AA197" s="140">
        <v>0</v>
      </c>
      <c r="AB197" s="143">
        <f>IF(Valores!$C$93*D197&gt;Valores!$C$92,Valores!$C$92,Valores!$C$93*D197)</f>
        <v>451.56</v>
      </c>
      <c r="AC197" s="145">
        <f>IF((Valores!$C$34)*D197&gt;Valores!$F$34,Valores!$F$34,(Valores!$C$34)*D197)</f>
        <v>41.64</v>
      </c>
      <c r="AD197" s="140">
        <f t="shared" si="29"/>
        <v>0</v>
      </c>
      <c r="AE197" s="140">
        <f>IF(Valores!$C$35*D197&gt;Valores!$F$35,Valores!$F$35,Valores!$C$35*D197)</f>
        <v>34.68</v>
      </c>
      <c r="AF197" s="144">
        <v>0</v>
      </c>
      <c r="AG197" s="140">
        <f>INT(((AF197*Valores!$C$2)*100)+0.5)/100</f>
        <v>0</v>
      </c>
      <c r="AH197" s="140">
        <f>IF($H$5="NO",IF(Valores!$D$60*'Escala Docente'!D197&gt;Valores!$F$60,Valores!$F$60,Valores!$D$60*'Escala Docente'!D197),IF(Valores!$D$60*'Escala Docente'!D197&gt;Valores!$F$60,Valores!$F$60,Valores!$D$60*'Escala Docente'!D197)/2)</f>
        <v>140.93066666666667</v>
      </c>
      <c r="AI197" s="140">
        <f>IF($H$5="NO",IF(Valores!$D$62*D197&gt;Valores!$F$62,Valores!$F$62,Valores!$D$62*D197),IF(Valores!$D$62*D197&gt;Valores!$F$62,Valores!$F$62,Valores!$D$62*D197)/2)</f>
        <v>40.306666666666665</v>
      </c>
      <c r="AJ197" s="146">
        <f t="shared" si="30"/>
        <v>10765.808300000001</v>
      </c>
      <c r="AK197" s="154">
        <f>IF(Valores!$C$38*D197&gt;Valores!$F$38,Valores!$F$38,Valores!$C$38*D197)</f>
        <v>362.92</v>
      </c>
      <c r="AL197" s="143">
        <f>IF(Valores!$C$88*D197&gt;Valores!$C$87,Valores!$C$87,Valores!$C$88*D197)</f>
        <v>454.99999999999994</v>
      </c>
      <c r="AM197" s="143"/>
      <c r="AN197" s="145">
        <f>IF($H$4="NO",0,IF(Valores!$C$58*D197&gt;Valores!$F$58,Valores!$F$58,Valores!$C$58*D197))</f>
        <v>0</v>
      </c>
      <c r="AO197" s="147">
        <f t="shared" si="28"/>
        <v>817.92</v>
      </c>
      <c r="AP197" s="148">
        <f>AJ197*Valores!$C$69</f>
        <v>-1184.2389130000001</v>
      </c>
      <c r="AQ197" s="149">
        <f>AJ197*-Valores!$C$70</f>
        <v>0</v>
      </c>
      <c r="AR197" s="142">
        <f>AJ197*Valores!$C$71</f>
        <v>-484.46137350000004</v>
      </c>
      <c r="AS197" s="142">
        <f>Valores!$C$95</f>
        <v>-193.38</v>
      </c>
      <c r="AT197" s="142">
        <f>IF($H$6=0,Valores!$C$96,(Valores!$C$96+$H$6*(Valores!$C$96)))</f>
        <v>-129</v>
      </c>
      <c r="AU197" s="146">
        <f t="shared" si="31"/>
        <v>9592.6480135000002</v>
      </c>
      <c r="AV197" s="199">
        <f t="shared" si="24"/>
        <v>-1184.2389130000001</v>
      </c>
      <c r="AW197" s="142">
        <f>AJ197*Valores!$C$72</f>
        <v>-290.67682410000003</v>
      </c>
      <c r="AX197" s="142">
        <f>AJ197*Valores!$C$73</f>
        <v>-32.297424900000003</v>
      </c>
      <c r="AY197" s="146">
        <f t="shared" si="32"/>
        <v>10076.515138000001</v>
      </c>
      <c r="AZ197" s="150"/>
      <c r="BA197" s="150">
        <f t="shared" si="36"/>
        <v>16</v>
      </c>
      <c r="BB197" s="135" t="s">
        <v>4</v>
      </c>
    </row>
    <row r="198" spans="1:54" s="114" customFormat="1" ht="11.25" customHeight="1" x14ac:dyDescent="0.15">
      <c r="A198" s="134">
        <v>196</v>
      </c>
      <c r="B198" s="134"/>
      <c r="C198" s="135" t="s">
        <v>496</v>
      </c>
      <c r="D198" s="135">
        <v>5</v>
      </c>
      <c r="E198" s="135">
        <f t="shared" si="25"/>
        <v>36</v>
      </c>
      <c r="F198" s="136" t="str">
        <f t="shared" si="34"/>
        <v>Hora Cátedra Enseñanza Superior 5 hs</v>
      </c>
      <c r="G198" s="137">
        <f t="shared" si="35"/>
        <v>495</v>
      </c>
      <c r="H198" s="138">
        <f>INT((G198*Valores!$C$2*100)+0.5)/100</f>
        <v>6151.22</v>
      </c>
      <c r="I198" s="156">
        <v>0</v>
      </c>
      <c r="J198" s="140">
        <f>INT((I198*Valores!$C$2*100)+0.5)/100</f>
        <v>0</v>
      </c>
      <c r="K198" s="155">
        <v>0</v>
      </c>
      <c r="L198" s="140">
        <f>INT((K198*Valores!$C$2*100)+0.5)/100</f>
        <v>0</v>
      </c>
      <c r="M198" s="153">
        <v>0</v>
      </c>
      <c r="N198" s="140">
        <f>INT((M198*Valores!$C$2*100)+0.5)/100</f>
        <v>0</v>
      </c>
      <c r="O198" s="140">
        <f t="shared" si="26"/>
        <v>1088.643</v>
      </c>
      <c r="P198" s="140">
        <f t="shared" si="27"/>
        <v>0</v>
      </c>
      <c r="Q198" s="154">
        <f>Valores!$C$14*D198</f>
        <v>2107.1</v>
      </c>
      <c r="R198" s="154">
        <f>IF(D198&lt;15,(Valores!$E$4*D198),Valores!$D$4)</f>
        <v>2117.5093333333334</v>
      </c>
      <c r="S198" s="140">
        <v>0</v>
      </c>
      <c r="T198" s="143">
        <f>IF($H$5="NO",IF(Valores!$C$47*D198&gt;Valores!$C$45,Valores!$C$45,Valores!$C$47*D198),IF(Valores!$C$47*D198&gt;Valores!$C$45,Valores!$C$45,Valores!$C$47*D198)/2)</f>
        <v>443.65000000000003</v>
      </c>
      <c r="U198" s="154">
        <f>Valores!$C$24*D198</f>
        <v>662.75</v>
      </c>
      <c r="V198" s="140">
        <f t="shared" si="33"/>
        <v>662.75</v>
      </c>
      <c r="W198" s="140">
        <v>0</v>
      </c>
      <c r="X198" s="140">
        <v>0</v>
      </c>
      <c r="Y198" s="160">
        <v>0</v>
      </c>
      <c r="Z198" s="140">
        <f>Y198*Valores!$C$2</f>
        <v>0</v>
      </c>
      <c r="AA198" s="140">
        <v>0</v>
      </c>
      <c r="AB198" s="143">
        <f>IF(Valores!$C$93*D198&gt;Valores!$C$92,Valores!$C$92,Valores!$C$93*D198)</f>
        <v>564.45000000000005</v>
      </c>
      <c r="AC198" s="145">
        <f>IF((Valores!$C$34)*D198&gt;Valores!$F$34,Valores!$F$34,(Valores!$C$34)*D198)</f>
        <v>52.05</v>
      </c>
      <c r="AD198" s="140">
        <f t="shared" si="29"/>
        <v>0</v>
      </c>
      <c r="AE198" s="140">
        <f>IF(Valores!$C$35*D198&gt;Valores!$F$35,Valores!$F$35,Valores!$C$35*D198)</f>
        <v>43.35</v>
      </c>
      <c r="AF198" s="144">
        <v>0</v>
      </c>
      <c r="AG198" s="140">
        <f>INT(((AF198*Valores!$C$2)*100)+0.5)/100</f>
        <v>0</v>
      </c>
      <c r="AH198" s="140">
        <f>IF($H$5="NO",IF(Valores!$D$60*'Escala Docente'!D198&gt;Valores!$F$60,Valores!$F$60,Valores!$D$60*'Escala Docente'!D198),IF(Valores!$D$60*'Escala Docente'!D198&gt;Valores!$F$60,Valores!$F$60,Valores!$D$60*'Escala Docente'!D198)/2)</f>
        <v>176.16333333333333</v>
      </c>
      <c r="AI198" s="140">
        <f>IF($H$5="NO",IF(Valores!$D$62*D198&gt;Valores!$F$62,Valores!$F$62,Valores!$D$62*D198),IF(Valores!$D$62*D198&gt;Valores!$F$62,Valores!$F$62,Valores!$D$62*D198)/2)</f>
        <v>50.383333333333333</v>
      </c>
      <c r="AJ198" s="146">
        <f t="shared" si="30"/>
        <v>13457.269</v>
      </c>
      <c r="AK198" s="154">
        <f>IF(Valores!$C$38*D198&gt;Valores!$F$38,Valores!$F$38,Valores!$C$38*D198)</f>
        <v>453.65000000000003</v>
      </c>
      <c r="AL198" s="143">
        <f>IF(Valores!$C$88*D198&gt;Valores!$C$87,Valores!$C$87,Valores!$C$88*D198)</f>
        <v>568.74999999999989</v>
      </c>
      <c r="AM198" s="143"/>
      <c r="AN198" s="145">
        <f>IF($H$4="NO",0,IF(Valores!$C$58*D198&gt;Valores!$F$58,Valores!$F$58,Valores!$C$58*D198))</f>
        <v>0</v>
      </c>
      <c r="AO198" s="147">
        <f t="shared" si="28"/>
        <v>1022.3999999999999</v>
      </c>
      <c r="AP198" s="148">
        <f>AJ198*Valores!$C$69</f>
        <v>-1480.2995900000001</v>
      </c>
      <c r="AQ198" s="149">
        <f>AJ198*-Valores!$C$70</f>
        <v>0</v>
      </c>
      <c r="AR198" s="142">
        <f>AJ198*Valores!$C$71</f>
        <v>-605.57710499999996</v>
      </c>
      <c r="AS198" s="142">
        <f>Valores!$C$95</f>
        <v>-193.38</v>
      </c>
      <c r="AT198" s="142">
        <f>IF($H$6=0,Valores!$C$96,(Valores!$C$96+$H$6*(Valores!$C$96)))</f>
        <v>-129</v>
      </c>
      <c r="AU198" s="146">
        <f t="shared" si="31"/>
        <v>12071.412305</v>
      </c>
      <c r="AV198" s="199">
        <f t="shared" si="24"/>
        <v>-1480.2995900000001</v>
      </c>
      <c r="AW198" s="142">
        <f>AJ198*Valores!$C$72</f>
        <v>-363.34626300000002</v>
      </c>
      <c r="AX198" s="142">
        <f>AJ198*Valores!$C$73</f>
        <v>-40.371807000000004</v>
      </c>
      <c r="AY198" s="146">
        <f t="shared" si="32"/>
        <v>12595.65134</v>
      </c>
      <c r="AZ198" s="150"/>
      <c r="BA198" s="150">
        <f t="shared" si="36"/>
        <v>20</v>
      </c>
      <c r="BB198" s="135" t="s">
        <v>4</v>
      </c>
    </row>
    <row r="199" spans="1:54" s="114" customFormat="1" ht="11.25" customHeight="1" x14ac:dyDescent="0.15">
      <c r="A199" s="134">
        <v>197</v>
      </c>
      <c r="B199" s="134"/>
      <c r="C199" s="135" t="s">
        <v>496</v>
      </c>
      <c r="D199" s="135">
        <v>6</v>
      </c>
      <c r="E199" s="135">
        <f t="shared" si="25"/>
        <v>36</v>
      </c>
      <c r="F199" s="136" t="str">
        <f t="shared" si="34"/>
        <v>Hora Cátedra Enseñanza Superior 6 hs</v>
      </c>
      <c r="G199" s="137">
        <f t="shared" si="35"/>
        <v>594</v>
      </c>
      <c r="H199" s="138">
        <f>INT((G199*Valores!$C$2*100)+0.5)/100</f>
        <v>7381.46</v>
      </c>
      <c r="I199" s="156">
        <v>0</v>
      </c>
      <c r="J199" s="140">
        <f>INT((I199*Valores!$C$2*100)+0.5)/100</f>
        <v>0</v>
      </c>
      <c r="K199" s="155">
        <v>0</v>
      </c>
      <c r="L199" s="140">
        <f>INT((K199*Valores!$C$2*100)+0.5)/100</f>
        <v>0</v>
      </c>
      <c r="M199" s="153">
        <v>0</v>
      </c>
      <c r="N199" s="140">
        <f>INT((M199*Valores!$C$2*100)+0.5)/100</f>
        <v>0</v>
      </c>
      <c r="O199" s="140">
        <f t="shared" si="26"/>
        <v>1306.3709999999999</v>
      </c>
      <c r="P199" s="140">
        <f t="shared" si="27"/>
        <v>0</v>
      </c>
      <c r="Q199" s="154">
        <f>Valores!$C$14*D199</f>
        <v>2528.52</v>
      </c>
      <c r="R199" s="154">
        <f>IF(D199&lt;15,(Valores!$E$4*D199),Valores!$D$4)</f>
        <v>2541.0111999999999</v>
      </c>
      <c r="S199" s="140">
        <v>0</v>
      </c>
      <c r="T199" s="143">
        <f>IF($H$5="NO",IF(Valores!$C$47*D199&gt;Valores!$C$45,Valores!$C$45,Valores!$C$47*D199),IF(Valores!$C$47*D199&gt;Valores!$C$45,Valores!$C$45,Valores!$C$47*D199)/2)</f>
        <v>532.38</v>
      </c>
      <c r="U199" s="154">
        <f>Valores!$C$24*D199</f>
        <v>795.30000000000007</v>
      </c>
      <c r="V199" s="140">
        <f t="shared" si="33"/>
        <v>795.30000000000007</v>
      </c>
      <c r="W199" s="140">
        <v>0</v>
      </c>
      <c r="X199" s="140">
        <v>0</v>
      </c>
      <c r="Y199" s="160">
        <v>0</v>
      </c>
      <c r="Z199" s="140">
        <f>Y199*Valores!$C$2</f>
        <v>0</v>
      </c>
      <c r="AA199" s="140">
        <v>0</v>
      </c>
      <c r="AB199" s="143">
        <f>IF(Valores!$C$93*D199&gt;Valores!$C$92,Valores!$C$92,Valores!$C$93*D199)</f>
        <v>677.34</v>
      </c>
      <c r="AC199" s="145">
        <f>IF((Valores!$C$34)*D199&gt;Valores!$F$34,Valores!$F$34,(Valores!$C$34)*D199)</f>
        <v>62.46</v>
      </c>
      <c r="AD199" s="140">
        <f t="shared" si="29"/>
        <v>0</v>
      </c>
      <c r="AE199" s="140">
        <f>IF(Valores!$C$35*D199&gt;Valores!$F$35,Valores!$F$35,Valores!$C$35*D199)</f>
        <v>52.019999999999996</v>
      </c>
      <c r="AF199" s="144">
        <v>0</v>
      </c>
      <c r="AG199" s="140">
        <f>INT(((AF199*Valores!$C$2)*100)+0.5)/100</f>
        <v>0</v>
      </c>
      <c r="AH199" s="140">
        <f>IF($H$5="NO",IF(Valores!$D$60*'Escala Docente'!D199&gt;Valores!$F$60,Valores!$F$60,Valores!$D$60*'Escala Docente'!D199),IF(Valores!$D$60*'Escala Docente'!D199&gt;Valores!$F$60,Valores!$F$60,Valores!$D$60*'Escala Docente'!D199)/2)</f>
        <v>211.39600000000002</v>
      </c>
      <c r="AI199" s="140">
        <f>IF($H$5="NO",IF(Valores!$D$62*D199&gt;Valores!$F$62,Valores!$F$62,Valores!$D$62*D199),IF(Valores!$D$62*D199&gt;Valores!$F$62,Valores!$F$62,Valores!$D$62*D199)/2)</f>
        <v>60.459999999999994</v>
      </c>
      <c r="AJ199" s="146">
        <f t="shared" si="30"/>
        <v>16148.718199999998</v>
      </c>
      <c r="AK199" s="154">
        <f>IF(Valores!$C$38*D199&gt;Valores!$F$38,Valores!$F$38,Valores!$C$38*D199)</f>
        <v>544.38</v>
      </c>
      <c r="AL199" s="143">
        <f>IF(Valores!$C$88*D199&gt;Valores!$C$87,Valores!$C$87,Valores!$C$88*D199)</f>
        <v>682.49999999999989</v>
      </c>
      <c r="AM199" s="143"/>
      <c r="AN199" s="145">
        <f>IF($H$4="NO",0,IF(Valores!$C$58*D199&gt;Valores!$F$58,Valores!$F$58,Valores!$C$58*D199))</f>
        <v>0</v>
      </c>
      <c r="AO199" s="147">
        <f t="shared" si="28"/>
        <v>1226.8799999999999</v>
      </c>
      <c r="AP199" s="148">
        <f>AJ199*Valores!$C$69</f>
        <v>-1776.3590019999997</v>
      </c>
      <c r="AQ199" s="149">
        <f>AJ199*-Valores!$C$70</f>
        <v>0</v>
      </c>
      <c r="AR199" s="142">
        <f>AJ199*Valores!$C$71</f>
        <v>-726.69231899999988</v>
      </c>
      <c r="AS199" s="142">
        <f>Valores!$C$95</f>
        <v>-193.38</v>
      </c>
      <c r="AT199" s="142">
        <f>IF($H$6=0,Valores!$C$96,(Valores!$C$96+$H$6*(Valores!$C$96)))</f>
        <v>-129</v>
      </c>
      <c r="AU199" s="146">
        <f t="shared" si="31"/>
        <v>14550.166878999997</v>
      </c>
      <c r="AV199" s="199">
        <f t="shared" si="24"/>
        <v>-1776.3590019999997</v>
      </c>
      <c r="AW199" s="142">
        <f>AJ199*Valores!$C$72</f>
        <v>-436.01539139999994</v>
      </c>
      <c r="AX199" s="142">
        <f>AJ199*Valores!$C$73</f>
        <v>-48.446154599999993</v>
      </c>
      <c r="AY199" s="146">
        <f t="shared" si="32"/>
        <v>15114.777651999997</v>
      </c>
      <c r="AZ199" s="150"/>
      <c r="BA199" s="150">
        <f t="shared" si="36"/>
        <v>24</v>
      </c>
      <c r="BB199" s="135" t="s">
        <v>4</v>
      </c>
    </row>
    <row r="200" spans="1:54" s="114" customFormat="1" ht="11.25" customHeight="1" x14ac:dyDescent="0.15">
      <c r="A200" s="134">
        <v>198</v>
      </c>
      <c r="B200" s="134"/>
      <c r="C200" s="135" t="s">
        <v>496</v>
      </c>
      <c r="D200" s="135">
        <v>7</v>
      </c>
      <c r="E200" s="135">
        <f t="shared" ref="E200:E263" si="37">LEN(F200)</f>
        <v>36</v>
      </c>
      <c r="F200" s="136" t="str">
        <f t="shared" si="34"/>
        <v>Hora Cátedra Enseñanza Superior 7 hs</v>
      </c>
      <c r="G200" s="137">
        <f t="shared" si="35"/>
        <v>693</v>
      </c>
      <c r="H200" s="138">
        <f>INT((G200*Valores!$C$2*100)+0.5)/100</f>
        <v>8611.7000000000007</v>
      </c>
      <c r="I200" s="156">
        <v>0</v>
      </c>
      <c r="J200" s="140">
        <f>INT((I200*Valores!$C$2*100)+0.5)/100</f>
        <v>0</v>
      </c>
      <c r="K200" s="155">
        <v>0</v>
      </c>
      <c r="L200" s="140">
        <f>INT((K200*Valores!$C$2*100)+0.5)/100</f>
        <v>0</v>
      </c>
      <c r="M200" s="153">
        <v>0</v>
      </c>
      <c r="N200" s="140">
        <f>INT((M200*Valores!$C$2*100)+0.5)/100</f>
        <v>0</v>
      </c>
      <c r="O200" s="140">
        <f t="shared" ref="O200:O263" si="38">IF($J$2=0,IF(C200&lt;&gt;"13-930",(SUM(H200,J200,L200,N200,Z200,U200,T200)*$O$2),0),0)</f>
        <v>1524.0990000000002</v>
      </c>
      <c r="P200" s="140">
        <f t="shared" ref="P200:P263" si="39">SUM(H200,J200,L200,N200,Z200,T200)*$J$2</f>
        <v>0</v>
      </c>
      <c r="Q200" s="154">
        <f>Valores!$C$14*D200</f>
        <v>2949.94</v>
      </c>
      <c r="R200" s="154">
        <f>IF(D200&lt;15,(Valores!$E$4*D200),Valores!$D$4)</f>
        <v>2964.5130666666669</v>
      </c>
      <c r="S200" s="140">
        <v>0</v>
      </c>
      <c r="T200" s="143">
        <f>IF($H$5="NO",IF(Valores!$C$47*D200&gt;Valores!$C$45,Valores!$C$45,Valores!$C$47*D200),IF(Valores!$C$47*D200&gt;Valores!$C$45,Valores!$C$45,Valores!$C$47*D200)/2)</f>
        <v>621.11</v>
      </c>
      <c r="U200" s="154">
        <f>Valores!$C$24*D200</f>
        <v>927.85000000000014</v>
      </c>
      <c r="V200" s="140">
        <f t="shared" si="33"/>
        <v>927.85000000000014</v>
      </c>
      <c r="W200" s="140">
        <v>0</v>
      </c>
      <c r="X200" s="140">
        <v>0</v>
      </c>
      <c r="Y200" s="160">
        <v>0</v>
      </c>
      <c r="Z200" s="140">
        <f>Y200*Valores!$C$2</f>
        <v>0</v>
      </c>
      <c r="AA200" s="140">
        <v>0</v>
      </c>
      <c r="AB200" s="143">
        <f>IF(Valores!$C$93*D200&gt;Valores!$C$92,Valores!$C$92,Valores!$C$93*D200)</f>
        <v>790.23</v>
      </c>
      <c r="AC200" s="145">
        <f>IF((Valores!$C$34)*D200&gt;Valores!$F$34,Valores!$F$34,(Valores!$C$34)*D200)</f>
        <v>72.87</v>
      </c>
      <c r="AD200" s="140">
        <f t="shared" si="29"/>
        <v>0</v>
      </c>
      <c r="AE200" s="140">
        <f>IF(Valores!$C$35*D200&gt;Valores!$F$35,Valores!$F$35,Valores!$C$35*D200)</f>
        <v>60.69</v>
      </c>
      <c r="AF200" s="144">
        <v>0</v>
      </c>
      <c r="AG200" s="140">
        <f>INT(((AF200*Valores!$C$2)*100)+0.5)/100</f>
        <v>0</v>
      </c>
      <c r="AH200" s="140">
        <f>IF($H$5="NO",IF(Valores!$D$60*'Escala Docente'!D200&gt;Valores!$F$60,Valores!$F$60,Valores!$D$60*'Escala Docente'!D200),IF(Valores!$D$60*'Escala Docente'!D200&gt;Valores!$F$60,Valores!$F$60,Valores!$D$60*'Escala Docente'!D200)/2)</f>
        <v>246.62866666666667</v>
      </c>
      <c r="AI200" s="140">
        <f>IF($H$5="NO",IF(Valores!$D$62*D200&gt;Valores!$F$62,Valores!$F$62,Valores!$D$62*D200),IF(Valores!$D$62*D200&gt;Valores!$F$62,Valores!$F$62,Valores!$D$62*D200)/2)</f>
        <v>70.536666666666662</v>
      </c>
      <c r="AJ200" s="146">
        <f t="shared" si="30"/>
        <v>18840.167399999998</v>
      </c>
      <c r="AK200" s="154">
        <f>IF(Valores!$C$38*D200&gt;Valores!$F$38,Valores!$F$38,Valores!$C$38*D200)</f>
        <v>635.11</v>
      </c>
      <c r="AL200" s="143">
        <f>IF(Valores!$C$88*D200&gt;Valores!$C$87,Valores!$C$87,Valores!$C$88*D200)</f>
        <v>796.24999999999989</v>
      </c>
      <c r="AM200" s="143"/>
      <c r="AN200" s="145">
        <f>IF($H$4="NO",0,IF(Valores!$C$58*D200&gt;Valores!$F$58,Valores!$F$58,Valores!$C$58*D200))</f>
        <v>0</v>
      </c>
      <c r="AO200" s="147">
        <f t="shared" si="28"/>
        <v>1431.36</v>
      </c>
      <c r="AP200" s="148">
        <f>AJ200*Valores!$C$69</f>
        <v>-2072.4184139999998</v>
      </c>
      <c r="AQ200" s="149">
        <f>AJ200*-Valores!$C$70</f>
        <v>0</v>
      </c>
      <c r="AR200" s="142">
        <f>AJ200*Valores!$C$71</f>
        <v>-847.80753299999992</v>
      </c>
      <c r="AS200" s="142">
        <f>Valores!$C$95</f>
        <v>-193.38</v>
      </c>
      <c r="AT200" s="142">
        <f>IF($H$6=0,Valores!$C$96,(Valores!$C$96+$H$6*(Valores!$C$96)))</f>
        <v>-129</v>
      </c>
      <c r="AU200" s="146">
        <f t="shared" si="31"/>
        <v>17028.921452999999</v>
      </c>
      <c r="AV200" s="199">
        <f t="shared" ref="AV200:AV263" si="40">AP200</f>
        <v>-2072.4184139999998</v>
      </c>
      <c r="AW200" s="142">
        <f>AJ200*Valores!$C$72</f>
        <v>-508.68451979999998</v>
      </c>
      <c r="AX200" s="142">
        <f>AJ200*Valores!$C$73</f>
        <v>-56.520502199999996</v>
      </c>
      <c r="AY200" s="146">
        <f t="shared" si="32"/>
        <v>17633.903963999997</v>
      </c>
      <c r="AZ200" s="150"/>
      <c r="BA200" s="150">
        <f t="shared" si="36"/>
        <v>28</v>
      </c>
      <c r="BB200" s="135" t="s">
        <v>4</v>
      </c>
    </row>
    <row r="201" spans="1:54" s="114" customFormat="1" ht="11.25" customHeight="1" x14ac:dyDescent="0.15">
      <c r="A201" s="134">
        <v>199</v>
      </c>
      <c r="B201" s="134"/>
      <c r="C201" s="135" t="s">
        <v>496</v>
      </c>
      <c r="D201" s="135">
        <v>8</v>
      </c>
      <c r="E201" s="135">
        <f t="shared" si="37"/>
        <v>36</v>
      </c>
      <c r="F201" s="136" t="str">
        <f t="shared" si="34"/>
        <v>Hora Cátedra Enseñanza Superior 8 hs</v>
      </c>
      <c r="G201" s="137">
        <f t="shared" si="35"/>
        <v>792</v>
      </c>
      <c r="H201" s="138">
        <f>INT((G201*Valores!$C$2*100)+0.5)/100</f>
        <v>9841.9500000000007</v>
      </c>
      <c r="I201" s="156">
        <v>0</v>
      </c>
      <c r="J201" s="140">
        <f>INT((I201*Valores!$C$2*100)+0.5)/100</f>
        <v>0</v>
      </c>
      <c r="K201" s="155">
        <v>0</v>
      </c>
      <c r="L201" s="140">
        <f>INT((K201*Valores!$C$2*100)+0.5)/100</f>
        <v>0</v>
      </c>
      <c r="M201" s="153">
        <v>0</v>
      </c>
      <c r="N201" s="140">
        <f>INT((M201*Valores!$C$2*100)+0.5)/100</f>
        <v>0</v>
      </c>
      <c r="O201" s="140">
        <f t="shared" si="38"/>
        <v>1741.8285000000001</v>
      </c>
      <c r="P201" s="140">
        <f t="shared" si="39"/>
        <v>0</v>
      </c>
      <c r="Q201" s="154">
        <f>Valores!$C$14*D201</f>
        <v>3371.36</v>
      </c>
      <c r="R201" s="154">
        <f>IF(D201&lt;15,(Valores!$E$4*D201),Valores!$D$4)</f>
        <v>3388.0149333333334</v>
      </c>
      <c r="S201" s="140">
        <v>0</v>
      </c>
      <c r="T201" s="143">
        <f>IF($H$5="NO",IF(Valores!$C$47*D201&gt;Valores!$C$45,Valores!$C$45,Valores!$C$47*D201),IF(Valores!$C$47*D201&gt;Valores!$C$45,Valores!$C$45,Valores!$C$47*D201)/2)</f>
        <v>709.84</v>
      </c>
      <c r="U201" s="154">
        <f>Valores!$C$24*D201</f>
        <v>1060.4000000000001</v>
      </c>
      <c r="V201" s="140">
        <f t="shared" si="33"/>
        <v>1060.4000000000001</v>
      </c>
      <c r="W201" s="140">
        <v>0</v>
      </c>
      <c r="X201" s="140">
        <v>0</v>
      </c>
      <c r="Y201" s="160">
        <v>0</v>
      </c>
      <c r="Z201" s="140">
        <f>Y201*Valores!$C$2</f>
        <v>0</v>
      </c>
      <c r="AA201" s="140">
        <v>0</v>
      </c>
      <c r="AB201" s="143">
        <f>IF(Valores!$C$93*D201&gt;Valores!$C$92,Valores!$C$92,Valores!$C$93*D201)</f>
        <v>903.12</v>
      </c>
      <c r="AC201" s="145">
        <f>IF((Valores!$C$34)*D201&gt;Valores!$F$34,Valores!$F$34,(Valores!$C$34)*D201)</f>
        <v>83.28</v>
      </c>
      <c r="AD201" s="140">
        <f t="shared" ref="AD201:AD264" si="41">SUM(H201,J201,L201,Z201,T201)*$H$3/100</f>
        <v>0</v>
      </c>
      <c r="AE201" s="140">
        <f>IF(Valores!$C$35*D201&gt;Valores!$F$35,Valores!$F$35,Valores!$C$35*D201)</f>
        <v>69.36</v>
      </c>
      <c r="AF201" s="144">
        <v>0</v>
      </c>
      <c r="AG201" s="140">
        <f>INT(((AF201*Valores!$C$2)*100)+0.5)/100</f>
        <v>0</v>
      </c>
      <c r="AH201" s="140">
        <f>IF($H$5="NO",IF(Valores!$D$60*'Escala Docente'!D201&gt;Valores!$F$60,Valores!$F$60,Valores!$D$60*'Escala Docente'!D201),IF(Valores!$D$60*'Escala Docente'!D201&gt;Valores!$F$60,Valores!$F$60,Valores!$D$60*'Escala Docente'!D201)/2)</f>
        <v>281.86133333333333</v>
      </c>
      <c r="AI201" s="140">
        <f>IF($H$5="NO",IF(Valores!$D$62*D201&gt;Valores!$F$62,Valores!$F$62,Valores!$D$62*D201),IF(Valores!$D$62*D201&gt;Valores!$F$62,Valores!$F$62,Valores!$D$62*D201)/2)</f>
        <v>80.61333333333333</v>
      </c>
      <c r="AJ201" s="146">
        <f t="shared" ref="AJ201:AJ264" si="42">SUM(H201,J201,L201,N201,O201,P201,Q201,R201,S201,V201,W201,X201,Z201,AA201,AC201,AD201,AE201,AG201,T201,AH201,AI201,AB201)</f>
        <v>21531.628100000002</v>
      </c>
      <c r="AK201" s="154">
        <f>IF(Valores!$C$38*D201&gt;Valores!$F$38,Valores!$F$38,Valores!$C$38*D201)</f>
        <v>725.84</v>
      </c>
      <c r="AL201" s="143">
        <f>IF(Valores!$C$88*D201&gt;Valores!$C$87,Valores!$C$87,Valores!$C$88*D201)</f>
        <v>909.99999999999989</v>
      </c>
      <c r="AM201" s="143"/>
      <c r="AN201" s="145">
        <f>IF($H$4="NO",0,IF(Valores!$C$58*D201&gt;Valores!$F$58,Valores!$F$58,Valores!$C$58*D201))</f>
        <v>0</v>
      </c>
      <c r="AO201" s="147">
        <f t="shared" ref="AO201:AO264" si="43">IF($H$4="SI",SUM(AK201:AN201),SUM(AK201:AL201))</f>
        <v>1635.84</v>
      </c>
      <c r="AP201" s="148">
        <f>AJ201*Valores!$C$69</f>
        <v>-2368.4790910000002</v>
      </c>
      <c r="AQ201" s="149">
        <f>AJ201*-Valores!$C$70</f>
        <v>0</v>
      </c>
      <c r="AR201" s="142">
        <f>AJ201*Valores!$C$71</f>
        <v>-968.92326450000007</v>
      </c>
      <c r="AS201" s="142">
        <f>Valores!$C$95</f>
        <v>-193.38</v>
      </c>
      <c r="AT201" s="142">
        <f>IF($H$6=0,Valores!$C$96,(Valores!$C$96+$H$6*(Valores!$C$96)))</f>
        <v>-129</v>
      </c>
      <c r="AU201" s="146">
        <f t="shared" si="31"/>
        <v>19507.685744500002</v>
      </c>
      <c r="AV201" s="199">
        <f t="shared" si="40"/>
        <v>-2368.4790910000002</v>
      </c>
      <c r="AW201" s="142">
        <f>AJ201*Valores!$C$72</f>
        <v>-581.35395870000002</v>
      </c>
      <c r="AX201" s="142">
        <f>AJ201*Valores!$C$73</f>
        <v>-64.594884300000004</v>
      </c>
      <c r="AY201" s="146">
        <f t="shared" si="32"/>
        <v>20153.040166000003</v>
      </c>
      <c r="AZ201" s="150"/>
      <c r="BA201" s="150">
        <f t="shared" si="36"/>
        <v>32</v>
      </c>
      <c r="BB201" s="135" t="s">
        <v>4</v>
      </c>
    </row>
    <row r="202" spans="1:54" s="114" customFormat="1" ht="11.25" customHeight="1" x14ac:dyDescent="0.15">
      <c r="A202" s="152">
        <v>200</v>
      </c>
      <c r="B202" s="152" t="s">
        <v>139</v>
      </c>
      <c r="C202" s="135" t="s">
        <v>496</v>
      </c>
      <c r="D202" s="135">
        <v>9</v>
      </c>
      <c r="E202" s="135">
        <f t="shared" si="37"/>
        <v>36</v>
      </c>
      <c r="F202" s="136" t="str">
        <f t="shared" si="34"/>
        <v>Hora Cátedra Enseñanza Superior 9 hs</v>
      </c>
      <c r="G202" s="137">
        <f t="shared" si="35"/>
        <v>891</v>
      </c>
      <c r="H202" s="138">
        <f>INT((G202*Valores!$C$2*100)+0.5)/100</f>
        <v>11072.19</v>
      </c>
      <c r="I202" s="156">
        <v>0</v>
      </c>
      <c r="J202" s="140">
        <f>INT((I202*Valores!$C$2*100)+0.5)/100</f>
        <v>0</v>
      </c>
      <c r="K202" s="155">
        <v>0</v>
      </c>
      <c r="L202" s="140">
        <f>INT((K202*Valores!$C$2*100)+0.5)/100</f>
        <v>0</v>
      </c>
      <c r="M202" s="153">
        <v>0</v>
      </c>
      <c r="N202" s="140">
        <f>INT((M202*Valores!$C$2*100)+0.5)/100</f>
        <v>0</v>
      </c>
      <c r="O202" s="140">
        <f t="shared" si="38"/>
        <v>1959.5565000000001</v>
      </c>
      <c r="P202" s="140">
        <f t="shared" si="39"/>
        <v>0</v>
      </c>
      <c r="Q202" s="154">
        <f>Valores!$C$14*D202</f>
        <v>3792.78</v>
      </c>
      <c r="R202" s="154">
        <f>IF(D202&lt;15,(Valores!$E$4*D202),Valores!$D$4)</f>
        <v>3811.5167999999999</v>
      </c>
      <c r="S202" s="140">
        <v>0</v>
      </c>
      <c r="T202" s="143">
        <f>IF($H$5="NO",IF(Valores!$C$47*D202&gt;Valores!$C$45,Valores!$C$45,Valores!$C$47*D202),IF(Valores!$C$47*D202&gt;Valores!$C$45,Valores!$C$45,Valores!$C$47*D202)/2)</f>
        <v>798.57</v>
      </c>
      <c r="U202" s="154">
        <f>Valores!$C$24*D202</f>
        <v>1192.95</v>
      </c>
      <c r="V202" s="140">
        <f t="shared" si="33"/>
        <v>1192.95</v>
      </c>
      <c r="W202" s="140">
        <v>0</v>
      </c>
      <c r="X202" s="140">
        <v>0</v>
      </c>
      <c r="Y202" s="160">
        <v>0</v>
      </c>
      <c r="Z202" s="140">
        <f>Y202*Valores!$C$2</f>
        <v>0</v>
      </c>
      <c r="AA202" s="140">
        <v>0</v>
      </c>
      <c r="AB202" s="143">
        <f>IF(Valores!$C$93*D202&gt;Valores!$C$92,Valores!$C$92,Valores!$C$93*D202)</f>
        <v>1016.01</v>
      </c>
      <c r="AC202" s="145">
        <f>IF((Valores!$C$34)*D202&gt;Valores!$F$34,Valores!$F$34,(Valores!$C$34)*D202)</f>
        <v>93.69</v>
      </c>
      <c r="AD202" s="140">
        <f t="shared" si="41"/>
        <v>0</v>
      </c>
      <c r="AE202" s="140">
        <f>IF(Valores!$C$35*D202&gt;Valores!$F$35,Valores!$F$35,Valores!$C$35*D202)</f>
        <v>78.03</v>
      </c>
      <c r="AF202" s="144">
        <v>0</v>
      </c>
      <c r="AG202" s="140">
        <f>INT(((AF202*Valores!$C$2)*100)+0.5)/100</f>
        <v>0</v>
      </c>
      <c r="AH202" s="140">
        <f>IF($H$5="NO",IF(Valores!$D$60*'Escala Docente'!D202&gt;Valores!$F$60,Valores!$F$60,Valores!$D$60*'Escala Docente'!D202),IF(Valores!$D$60*'Escala Docente'!D202&gt;Valores!$F$60,Valores!$F$60,Valores!$D$60*'Escala Docente'!D202)/2)</f>
        <v>317.09399999999999</v>
      </c>
      <c r="AI202" s="140">
        <f>IF($H$5="NO",IF(Valores!$D$62*D202&gt;Valores!$F$62,Valores!$F$62,Valores!$D$62*D202),IF(Valores!$D$62*D202&gt;Valores!$F$62,Valores!$F$62,Valores!$D$62*D202)/2)</f>
        <v>90.69</v>
      </c>
      <c r="AJ202" s="146">
        <f t="shared" si="42"/>
        <v>24223.077299999997</v>
      </c>
      <c r="AK202" s="154">
        <f>IF(Valores!$C$38*D202&gt;Valores!$F$38,Valores!$F$38,Valores!$C$38*D202)</f>
        <v>816.57</v>
      </c>
      <c r="AL202" s="143">
        <f>IF(Valores!$C$88*D202&gt;Valores!$C$87,Valores!$C$87,Valores!$C$88*D202)</f>
        <v>1023.7499999999999</v>
      </c>
      <c r="AM202" s="143"/>
      <c r="AN202" s="145">
        <f>IF($H$4="NO",0,IF(Valores!$C$58*D202&gt;Valores!$F$58,Valores!$F$58,Valores!$C$58*D202))</f>
        <v>0</v>
      </c>
      <c r="AO202" s="147">
        <f t="shared" si="43"/>
        <v>1840.32</v>
      </c>
      <c r="AP202" s="148">
        <f>AJ202*Valores!$C$69</f>
        <v>-2664.5385029999998</v>
      </c>
      <c r="AQ202" s="149">
        <f>AJ202*-Valores!$C$70</f>
        <v>0</v>
      </c>
      <c r="AR202" s="142">
        <f>AJ202*Valores!$C$71</f>
        <v>-1090.0384784999999</v>
      </c>
      <c r="AS202" s="142">
        <f>Valores!$C$95</f>
        <v>-193.38</v>
      </c>
      <c r="AT202" s="142">
        <f>IF($H$6=0,Valores!$C$96,(Valores!$C$96+$H$6*(Valores!$C$96)))</f>
        <v>-129</v>
      </c>
      <c r="AU202" s="146">
        <f t="shared" ref="AU202:AU265" si="44">AJ202+SUM(AO202:AT202)</f>
        <v>21986.440318499997</v>
      </c>
      <c r="AV202" s="199">
        <f t="shared" si="40"/>
        <v>-2664.5385029999998</v>
      </c>
      <c r="AW202" s="142">
        <f>AJ202*Valores!$C$72</f>
        <v>-654.02308709999988</v>
      </c>
      <c r="AX202" s="142">
        <f>AJ202*Valores!$C$73</f>
        <v>-72.6692319</v>
      </c>
      <c r="AY202" s="146">
        <f t="shared" ref="AY202:AY265" si="45">AJ202+AO202+SUM(AV202:AX202)</f>
        <v>22672.166477999999</v>
      </c>
      <c r="AZ202" s="150"/>
      <c r="BA202" s="150">
        <f t="shared" si="36"/>
        <v>36</v>
      </c>
      <c r="BB202" s="135" t="s">
        <v>4</v>
      </c>
    </row>
    <row r="203" spans="1:54" s="114" customFormat="1" ht="11.25" customHeight="1" x14ac:dyDescent="0.15">
      <c r="A203" s="134">
        <v>201</v>
      </c>
      <c r="B203" s="134"/>
      <c r="C203" s="135" t="s">
        <v>496</v>
      </c>
      <c r="D203" s="135">
        <v>10</v>
      </c>
      <c r="E203" s="135">
        <f t="shared" si="37"/>
        <v>37</v>
      </c>
      <c r="F203" s="136" t="str">
        <f t="shared" si="34"/>
        <v>Hora Cátedra Enseñanza Superior 10 hs</v>
      </c>
      <c r="G203" s="137">
        <f t="shared" si="35"/>
        <v>990</v>
      </c>
      <c r="H203" s="138">
        <f>INT((G203*Valores!$C$2*100)+0.5)/100</f>
        <v>12302.43</v>
      </c>
      <c r="I203" s="156">
        <v>0</v>
      </c>
      <c r="J203" s="140">
        <f>INT((I203*Valores!$C$2*100)+0.5)/100</f>
        <v>0</v>
      </c>
      <c r="K203" s="155">
        <v>0</v>
      </c>
      <c r="L203" s="140">
        <f>INT((K203*Valores!$C$2*100)+0.5)/100</f>
        <v>0</v>
      </c>
      <c r="M203" s="153">
        <v>0</v>
      </c>
      <c r="N203" s="140">
        <f>INT((M203*Valores!$C$2*100)+0.5)/100</f>
        <v>0</v>
      </c>
      <c r="O203" s="140">
        <f t="shared" si="38"/>
        <v>2177.2844999999998</v>
      </c>
      <c r="P203" s="140">
        <f t="shared" si="39"/>
        <v>0</v>
      </c>
      <c r="Q203" s="154">
        <f>Valores!$C$14*D203</f>
        <v>4214.2</v>
      </c>
      <c r="R203" s="154">
        <f>IF(D203&lt;15,(Valores!$E$4*D203),Valores!$D$4)</f>
        <v>4235.0186666666668</v>
      </c>
      <c r="S203" s="140">
        <v>0</v>
      </c>
      <c r="T203" s="143">
        <f>IF($H$5="NO",IF(Valores!$C$47*D203&gt;Valores!$C$45,Valores!$C$45,Valores!$C$47*D203),IF(Valores!$C$47*D203&gt;Valores!$C$45,Valores!$C$45,Valores!$C$47*D203)/2)</f>
        <v>887.30000000000007</v>
      </c>
      <c r="U203" s="154">
        <f>Valores!$C$24*D203</f>
        <v>1325.5</v>
      </c>
      <c r="V203" s="140">
        <f t="shared" si="33"/>
        <v>1325.5</v>
      </c>
      <c r="W203" s="140">
        <v>0</v>
      </c>
      <c r="X203" s="140">
        <v>0</v>
      </c>
      <c r="Y203" s="160">
        <v>0</v>
      </c>
      <c r="Z203" s="140">
        <f>Y203*Valores!$C$2</f>
        <v>0</v>
      </c>
      <c r="AA203" s="140">
        <v>0</v>
      </c>
      <c r="AB203" s="143">
        <f>IF(Valores!$C$93*D203&gt;Valores!$C$92,Valores!$C$92,Valores!$C$93*D203)</f>
        <v>1128.9000000000001</v>
      </c>
      <c r="AC203" s="145">
        <f>IF((Valores!$C$34)*D203&gt;Valores!$F$34,Valores!$F$34,(Valores!$C$34)*D203)</f>
        <v>104.1</v>
      </c>
      <c r="AD203" s="140">
        <f t="shared" si="41"/>
        <v>0</v>
      </c>
      <c r="AE203" s="140">
        <f>IF(Valores!$C$35*D203&gt;Valores!$F$35,Valores!$F$35,Valores!$C$35*D203)</f>
        <v>86.7</v>
      </c>
      <c r="AF203" s="144">
        <v>0</v>
      </c>
      <c r="AG203" s="140">
        <f>INT(((AF203*Valores!$C$2)*100)+0.5)/100</f>
        <v>0</v>
      </c>
      <c r="AH203" s="140">
        <f>IF($H$5="NO",IF(Valores!$D$60*'Escala Docente'!D203&gt;Valores!$F$60,Valores!$F$60,Valores!$D$60*'Escala Docente'!D203),IF(Valores!$D$60*'Escala Docente'!D203&gt;Valores!$F$60,Valores!$F$60,Valores!$D$60*'Escala Docente'!D203)/2)</f>
        <v>352.32666666666665</v>
      </c>
      <c r="AI203" s="140">
        <f>IF($H$5="NO",IF(Valores!$D$62*D203&gt;Valores!$F$62,Valores!$F$62,Valores!$D$62*D203),IF(Valores!$D$62*D203&gt;Valores!$F$62,Valores!$F$62,Valores!$D$62*D203)/2)</f>
        <v>100.76666666666667</v>
      </c>
      <c r="AJ203" s="146">
        <f t="shared" si="42"/>
        <v>26914.5265</v>
      </c>
      <c r="AK203" s="154">
        <f>IF(Valores!$C$38*D203&gt;Valores!$F$38,Valores!$F$38,Valores!$C$38*D203)</f>
        <v>907.30000000000007</v>
      </c>
      <c r="AL203" s="143">
        <f>IF(Valores!$C$88*D203&gt;Valores!$C$87,Valores!$C$87,Valores!$C$88*D203)</f>
        <v>1137.4999999999998</v>
      </c>
      <c r="AM203" s="143"/>
      <c r="AN203" s="145">
        <f>IF($H$4="NO",0,IF(Valores!$C$58*D203&gt;Valores!$F$58,Valores!$F$58,Valores!$C$58*D203))</f>
        <v>0</v>
      </c>
      <c r="AO203" s="147">
        <f t="shared" si="43"/>
        <v>2044.7999999999997</v>
      </c>
      <c r="AP203" s="148">
        <f>AJ203*Valores!$C$69</f>
        <v>-2960.5979149999998</v>
      </c>
      <c r="AQ203" s="149">
        <f>AJ203*-Valores!$C$70</f>
        <v>0</v>
      </c>
      <c r="AR203" s="142">
        <f>AJ203*Valores!$C$71</f>
        <v>-1211.1536925</v>
      </c>
      <c r="AS203" s="142">
        <f>Valores!$C$95</f>
        <v>-193.38</v>
      </c>
      <c r="AT203" s="142">
        <f>IF($H$6=0,Valores!$C$96,(Valores!$C$96+$H$6*(Valores!$C$96)))</f>
        <v>-129</v>
      </c>
      <c r="AU203" s="146">
        <f t="shared" si="44"/>
        <v>24465.1948925</v>
      </c>
      <c r="AV203" s="199">
        <f t="shared" si="40"/>
        <v>-2960.5979149999998</v>
      </c>
      <c r="AW203" s="142">
        <f>AJ203*Valores!$C$72</f>
        <v>-726.69221549999997</v>
      </c>
      <c r="AX203" s="142">
        <f>AJ203*Valores!$C$73</f>
        <v>-80.743579499999996</v>
      </c>
      <c r="AY203" s="146">
        <f t="shared" si="45"/>
        <v>25191.29279</v>
      </c>
      <c r="AZ203" s="150"/>
      <c r="BA203" s="150">
        <f t="shared" si="36"/>
        <v>40</v>
      </c>
      <c r="BB203" s="135" t="s">
        <v>4</v>
      </c>
    </row>
    <row r="204" spans="1:54" s="114" customFormat="1" ht="11.25" customHeight="1" x14ac:dyDescent="0.15">
      <c r="A204" s="134">
        <v>202</v>
      </c>
      <c r="B204" s="134"/>
      <c r="C204" s="135" t="s">
        <v>496</v>
      </c>
      <c r="D204" s="135">
        <v>11</v>
      </c>
      <c r="E204" s="135">
        <f t="shared" si="37"/>
        <v>37</v>
      </c>
      <c r="F204" s="136" t="str">
        <f t="shared" si="34"/>
        <v>Hora Cátedra Enseñanza Superior 11 hs</v>
      </c>
      <c r="G204" s="137">
        <f t="shared" si="35"/>
        <v>1089</v>
      </c>
      <c r="H204" s="138">
        <f>INT((G204*Valores!$C$2*100)+0.5)/100</f>
        <v>13532.68</v>
      </c>
      <c r="I204" s="156">
        <v>0</v>
      </c>
      <c r="J204" s="140">
        <f>INT((I204*Valores!$C$2*100)+0.5)/100</f>
        <v>0</v>
      </c>
      <c r="K204" s="155">
        <v>0</v>
      </c>
      <c r="L204" s="140">
        <f>INT((K204*Valores!$C$2*100)+0.5)/100</f>
        <v>0</v>
      </c>
      <c r="M204" s="153">
        <v>0</v>
      </c>
      <c r="N204" s="140">
        <f>INT((M204*Valores!$C$2*100)+0.5)/100</f>
        <v>0</v>
      </c>
      <c r="O204" s="140">
        <f t="shared" si="38"/>
        <v>2395.0140000000001</v>
      </c>
      <c r="P204" s="140">
        <f t="shared" si="39"/>
        <v>0</v>
      </c>
      <c r="Q204" s="154">
        <f>Valores!$C$14*D204</f>
        <v>4635.62</v>
      </c>
      <c r="R204" s="154">
        <f>IF(D204&lt;15,(Valores!$E$4*D204),Valores!$D$4)</f>
        <v>4658.5205333333333</v>
      </c>
      <c r="S204" s="140">
        <v>0</v>
      </c>
      <c r="T204" s="143">
        <f>IF($H$5="NO",IF(Valores!$C$47*D204&gt;Valores!$C$45,Valores!$C$45,Valores!$C$47*D204),IF(Valores!$C$47*D204&gt;Valores!$C$45,Valores!$C$45,Valores!$C$47*D204)/2)</f>
        <v>976.03000000000009</v>
      </c>
      <c r="U204" s="154">
        <f>Valores!$C$24*D204</f>
        <v>1458.0500000000002</v>
      </c>
      <c r="V204" s="140">
        <f t="shared" si="33"/>
        <v>1458.0500000000002</v>
      </c>
      <c r="W204" s="140">
        <v>0</v>
      </c>
      <c r="X204" s="140">
        <v>0</v>
      </c>
      <c r="Y204" s="160">
        <v>0</v>
      </c>
      <c r="Z204" s="140">
        <f>Y204*Valores!$C$2</f>
        <v>0</v>
      </c>
      <c r="AA204" s="140">
        <v>0</v>
      </c>
      <c r="AB204" s="143">
        <f>IF(Valores!$C$93*D204&gt;Valores!$C$92,Valores!$C$92,Valores!$C$93*D204)</f>
        <v>1241.79</v>
      </c>
      <c r="AC204" s="145">
        <f>IF((Valores!$C$34)*D204&gt;Valores!$F$34,Valores!$F$34,(Valores!$C$34)*D204)</f>
        <v>114.51</v>
      </c>
      <c r="AD204" s="140">
        <f t="shared" si="41"/>
        <v>0</v>
      </c>
      <c r="AE204" s="140">
        <f>IF(Valores!$C$35*D204&gt;Valores!$F$35,Valores!$F$35,Valores!$C$35*D204)</f>
        <v>95.37</v>
      </c>
      <c r="AF204" s="144">
        <v>0</v>
      </c>
      <c r="AG204" s="140">
        <f>INT(((AF204*Valores!$C$2)*100)+0.5)/100</f>
        <v>0</v>
      </c>
      <c r="AH204" s="140">
        <f>IF($H$5="NO",IF(Valores!$D$60*'Escala Docente'!D204&gt;Valores!$F$60,Valores!$F$60,Valores!$D$60*'Escala Docente'!D204),IF(Valores!$D$60*'Escala Docente'!D204&gt;Valores!$F$60,Valores!$F$60,Valores!$D$60*'Escala Docente'!D204)/2)</f>
        <v>387.55933333333331</v>
      </c>
      <c r="AI204" s="140">
        <f>IF($H$5="NO",IF(Valores!$D$62*D204&gt;Valores!$F$62,Valores!$F$62,Valores!$D$62*D204),IF(Valores!$D$62*D204&gt;Valores!$F$62,Valores!$F$62,Valores!$D$62*D204)/2)</f>
        <v>110.84333333333333</v>
      </c>
      <c r="AJ204" s="146">
        <f t="shared" si="42"/>
        <v>29605.987199999996</v>
      </c>
      <c r="AK204" s="154">
        <f>IF(Valores!$C$38*D204&gt;Valores!$F$38,Valores!$F$38,Valores!$C$38*D204)</f>
        <v>998.03000000000009</v>
      </c>
      <c r="AL204" s="143">
        <f>IF(Valores!$C$88*D204&gt;Valores!$C$87,Valores!$C$87,Valores!$C$88*D204)</f>
        <v>1251.2499999999998</v>
      </c>
      <c r="AM204" s="143"/>
      <c r="AN204" s="145">
        <f>IF($H$4="NO",0,IF(Valores!$C$58*D204&gt;Valores!$F$58,Valores!$F$58,Valores!$C$58*D204))</f>
        <v>0</v>
      </c>
      <c r="AO204" s="147">
        <f t="shared" si="43"/>
        <v>2249.2799999999997</v>
      </c>
      <c r="AP204" s="148">
        <f>AJ204*Valores!$C$69</f>
        <v>-3256.6585919999998</v>
      </c>
      <c r="AQ204" s="149">
        <f>AJ204*-Valores!$C$70</f>
        <v>0</v>
      </c>
      <c r="AR204" s="142">
        <f>AJ204*Valores!$C$71</f>
        <v>-1332.2694239999998</v>
      </c>
      <c r="AS204" s="142">
        <f>Valores!$C$95</f>
        <v>-193.38</v>
      </c>
      <c r="AT204" s="142">
        <f>IF($H$6=0,Valores!$C$96,(Valores!$C$96+$H$6*(Valores!$C$96)))</f>
        <v>-129</v>
      </c>
      <c r="AU204" s="146">
        <f t="shared" si="44"/>
        <v>26943.959183999996</v>
      </c>
      <c r="AV204" s="199">
        <f t="shared" si="40"/>
        <v>-3256.6585919999998</v>
      </c>
      <c r="AW204" s="142">
        <f>AJ204*Valores!$C$72</f>
        <v>-799.36165439999991</v>
      </c>
      <c r="AX204" s="142">
        <f>AJ204*Valores!$C$73</f>
        <v>-88.81796159999999</v>
      </c>
      <c r="AY204" s="146">
        <f t="shared" si="45"/>
        <v>27710.428991999994</v>
      </c>
      <c r="AZ204" s="150"/>
      <c r="BA204" s="150">
        <f t="shared" si="36"/>
        <v>44</v>
      </c>
      <c r="BB204" s="135" t="s">
        <v>4</v>
      </c>
    </row>
    <row r="205" spans="1:54" s="114" customFormat="1" ht="11.25" customHeight="1" x14ac:dyDescent="0.15">
      <c r="A205" s="134">
        <v>203</v>
      </c>
      <c r="B205" s="134"/>
      <c r="C205" s="135" t="s">
        <v>496</v>
      </c>
      <c r="D205" s="135">
        <v>12</v>
      </c>
      <c r="E205" s="135">
        <f t="shared" si="37"/>
        <v>37</v>
      </c>
      <c r="F205" s="136" t="str">
        <f t="shared" si="34"/>
        <v>Hora Cátedra Enseñanza Superior 12 hs</v>
      </c>
      <c r="G205" s="137">
        <f t="shared" si="35"/>
        <v>1188</v>
      </c>
      <c r="H205" s="138">
        <f>INT((G205*Valores!$C$2*100)+0.5)/100</f>
        <v>14762.92</v>
      </c>
      <c r="I205" s="156">
        <v>0</v>
      </c>
      <c r="J205" s="140">
        <f>INT((I205*Valores!$C$2*100)+0.5)/100</f>
        <v>0</v>
      </c>
      <c r="K205" s="155">
        <v>0</v>
      </c>
      <c r="L205" s="140">
        <f>INT((K205*Valores!$C$2*100)+0.5)/100</f>
        <v>0</v>
      </c>
      <c r="M205" s="153">
        <v>0</v>
      </c>
      <c r="N205" s="140">
        <f>INT((M205*Valores!$C$2*100)+0.5)/100</f>
        <v>0</v>
      </c>
      <c r="O205" s="140">
        <f t="shared" si="38"/>
        <v>2612.7419999999997</v>
      </c>
      <c r="P205" s="140">
        <f t="shared" si="39"/>
        <v>0</v>
      </c>
      <c r="Q205" s="154">
        <f>Valores!$C$14*D205</f>
        <v>5057.04</v>
      </c>
      <c r="R205" s="154">
        <f>IF(D205&lt;15,(Valores!$E$4*D205),Valores!$D$4)</f>
        <v>5082.0223999999998</v>
      </c>
      <c r="S205" s="140">
        <v>0</v>
      </c>
      <c r="T205" s="143">
        <f>IF($H$5="NO",IF(Valores!$C$47*D205&gt;Valores!$C$45,Valores!$C$45,Valores!$C$47*D205),IF(Valores!$C$47*D205&gt;Valores!$C$45,Valores!$C$45,Valores!$C$47*D205)/2)</f>
        <v>1064.76</v>
      </c>
      <c r="U205" s="154">
        <f>Valores!$C$24*D205</f>
        <v>1590.6000000000001</v>
      </c>
      <c r="V205" s="140">
        <f t="shared" si="33"/>
        <v>1590.6000000000001</v>
      </c>
      <c r="W205" s="140">
        <v>0</v>
      </c>
      <c r="X205" s="140">
        <v>0</v>
      </c>
      <c r="Y205" s="160">
        <v>0</v>
      </c>
      <c r="Z205" s="140">
        <f>Y205*Valores!$C$2</f>
        <v>0</v>
      </c>
      <c r="AA205" s="140">
        <v>0</v>
      </c>
      <c r="AB205" s="143">
        <f>IF(Valores!$C$93*D205&gt;Valores!$C$92,Valores!$C$92,Valores!$C$93*D205)</f>
        <v>1354.68</v>
      </c>
      <c r="AC205" s="145">
        <f>IF((Valores!$C$34)*D205&gt;Valores!$F$34,Valores!$F$34,(Valores!$C$34)*D205)</f>
        <v>124.92</v>
      </c>
      <c r="AD205" s="140">
        <f t="shared" si="41"/>
        <v>0</v>
      </c>
      <c r="AE205" s="140">
        <f>IF(Valores!$C$35*D205&gt;Valores!$F$35,Valores!$F$35,Valores!$C$35*D205)</f>
        <v>104.03999999999999</v>
      </c>
      <c r="AF205" s="144">
        <v>0</v>
      </c>
      <c r="AG205" s="140">
        <f>INT(((AF205*Valores!$C$2)*100)+0.5)/100</f>
        <v>0</v>
      </c>
      <c r="AH205" s="140">
        <f>IF($H$5="NO",IF(Valores!$D$60*'Escala Docente'!D205&gt;Valores!$F$60,Valores!$F$60,Valores!$D$60*'Escala Docente'!D205),IF(Valores!$D$60*'Escala Docente'!D205&gt;Valores!$F$60,Valores!$F$60,Valores!$D$60*'Escala Docente'!D205)/2)</f>
        <v>422.79200000000003</v>
      </c>
      <c r="AI205" s="140">
        <f>IF($H$5="NO",IF(Valores!$D$62*D205&gt;Valores!$F$62,Valores!$F$62,Valores!$D$62*D205),IF(Valores!$D$62*D205&gt;Valores!$F$62,Valores!$F$62,Valores!$D$62*D205)/2)</f>
        <v>120.91999999999999</v>
      </c>
      <c r="AJ205" s="146">
        <f t="shared" si="42"/>
        <v>32297.436399999995</v>
      </c>
      <c r="AK205" s="154">
        <f>IF(Valores!$C$38*D205&gt;Valores!$F$38,Valores!$F$38,Valores!$C$38*D205)</f>
        <v>1088.76</v>
      </c>
      <c r="AL205" s="143">
        <f>IF(Valores!$C$88*D205&gt;Valores!$C$87,Valores!$C$87,Valores!$C$88*D205)</f>
        <v>1364.9999999999998</v>
      </c>
      <c r="AM205" s="143"/>
      <c r="AN205" s="145">
        <f>IF($H$4="NO",0,IF(Valores!$C$58*D205&gt;Valores!$F$58,Valores!$F$58,Valores!$C$58*D205))</f>
        <v>0</v>
      </c>
      <c r="AO205" s="147">
        <f t="shared" si="43"/>
        <v>2453.7599999999998</v>
      </c>
      <c r="AP205" s="148">
        <f>AJ205*Valores!$C$69</f>
        <v>-3552.7180039999994</v>
      </c>
      <c r="AQ205" s="149">
        <f>AJ205*-Valores!$C$70</f>
        <v>0</v>
      </c>
      <c r="AR205" s="142">
        <f>AJ205*Valores!$C$71</f>
        <v>-1453.3846379999998</v>
      </c>
      <c r="AS205" s="142">
        <f>Valores!$C$95</f>
        <v>-193.38</v>
      </c>
      <c r="AT205" s="142">
        <f>IF($H$6=0,Valores!$C$96,(Valores!$C$96+$H$6*(Valores!$C$96)))</f>
        <v>-129</v>
      </c>
      <c r="AU205" s="146">
        <f t="shared" si="44"/>
        <v>29422.713757999994</v>
      </c>
      <c r="AV205" s="199">
        <f t="shared" si="40"/>
        <v>-3552.7180039999994</v>
      </c>
      <c r="AW205" s="142">
        <f>AJ205*Valores!$C$72</f>
        <v>-872.03078279999988</v>
      </c>
      <c r="AX205" s="142">
        <f>AJ205*Valores!$C$73</f>
        <v>-96.892309199999985</v>
      </c>
      <c r="AY205" s="146">
        <f t="shared" si="45"/>
        <v>30229.555303999994</v>
      </c>
      <c r="AZ205" s="150"/>
      <c r="BA205" s="150">
        <f t="shared" si="36"/>
        <v>48</v>
      </c>
      <c r="BB205" s="135" t="s">
        <v>4</v>
      </c>
    </row>
    <row r="206" spans="1:54" s="114" customFormat="1" ht="11.25" customHeight="1" x14ac:dyDescent="0.15">
      <c r="A206" s="134">
        <v>204</v>
      </c>
      <c r="B206" s="134"/>
      <c r="C206" s="135" t="s">
        <v>496</v>
      </c>
      <c r="D206" s="135">
        <v>13</v>
      </c>
      <c r="E206" s="135">
        <f t="shared" si="37"/>
        <v>37</v>
      </c>
      <c r="F206" s="136" t="str">
        <f t="shared" si="34"/>
        <v>Hora Cátedra Enseñanza Superior 13 hs</v>
      </c>
      <c r="G206" s="137">
        <f t="shared" si="35"/>
        <v>1287</v>
      </c>
      <c r="H206" s="138">
        <f>INT((G206*Valores!$C$2*100)+0.5)/100</f>
        <v>15993.16</v>
      </c>
      <c r="I206" s="156">
        <v>0</v>
      </c>
      <c r="J206" s="140">
        <f>INT((I206*Valores!$C$2*100)+0.5)/100</f>
        <v>0</v>
      </c>
      <c r="K206" s="155">
        <v>0</v>
      </c>
      <c r="L206" s="140">
        <f>INT((K206*Valores!$C$2*100)+0.5)/100</f>
        <v>0</v>
      </c>
      <c r="M206" s="153">
        <v>0</v>
      </c>
      <c r="N206" s="140">
        <f>INT((M206*Valores!$C$2*100)+0.5)/100</f>
        <v>0</v>
      </c>
      <c r="O206" s="140">
        <f t="shared" si="38"/>
        <v>2830.4700000000003</v>
      </c>
      <c r="P206" s="140">
        <f t="shared" si="39"/>
        <v>0</v>
      </c>
      <c r="Q206" s="154">
        <f>Valores!$C$14*D206</f>
        <v>5478.46</v>
      </c>
      <c r="R206" s="154">
        <f>IF(D206&lt;15,(Valores!$E$4*D206),Valores!$D$4)</f>
        <v>5505.5242666666663</v>
      </c>
      <c r="S206" s="140">
        <v>0</v>
      </c>
      <c r="T206" s="143">
        <f>IF($H$5="NO",IF(Valores!$C$47*D206&gt;Valores!$C$45,Valores!$C$45,Valores!$C$47*D206),IF(Valores!$C$47*D206&gt;Valores!$C$45,Valores!$C$45,Valores!$C$47*D206)/2)</f>
        <v>1153.49</v>
      </c>
      <c r="U206" s="154">
        <f>Valores!$C$24*D206</f>
        <v>1723.15</v>
      </c>
      <c r="V206" s="140">
        <f t="shared" si="33"/>
        <v>1723.15</v>
      </c>
      <c r="W206" s="140">
        <v>0</v>
      </c>
      <c r="X206" s="140">
        <v>0</v>
      </c>
      <c r="Y206" s="160">
        <v>0</v>
      </c>
      <c r="Z206" s="140">
        <f>Y206*Valores!$C$2</f>
        <v>0</v>
      </c>
      <c r="AA206" s="140">
        <v>0</v>
      </c>
      <c r="AB206" s="143">
        <f>IF(Valores!$C$93*D206&gt;Valores!$C$92,Valores!$C$92,Valores!$C$93*D206)</f>
        <v>1467.57</v>
      </c>
      <c r="AC206" s="145">
        <f>IF((Valores!$C$34)*D206&gt;Valores!$F$34,Valores!$F$34,(Valores!$C$34)*D206)</f>
        <v>135.33000000000001</v>
      </c>
      <c r="AD206" s="140">
        <f t="shared" si="41"/>
        <v>0</v>
      </c>
      <c r="AE206" s="140">
        <f>IF(Valores!$C$35*D206&gt;Valores!$F$35,Valores!$F$35,Valores!$C$35*D206)</f>
        <v>112.71</v>
      </c>
      <c r="AF206" s="144">
        <v>0</v>
      </c>
      <c r="AG206" s="140">
        <f>INT(((AF206*Valores!$C$2)*100)+0.5)/100</f>
        <v>0</v>
      </c>
      <c r="AH206" s="140">
        <f>IF($H$5="NO",IF(Valores!$D$60*'Escala Docente'!D206&gt;Valores!$F$60,Valores!$F$60,Valores!$D$60*'Escala Docente'!D206),IF(Valores!$D$60*'Escala Docente'!D206&gt;Valores!$F$60,Valores!$F$60,Valores!$D$60*'Escala Docente'!D206)/2)</f>
        <v>458.02466666666669</v>
      </c>
      <c r="AI206" s="140">
        <f>IF($H$5="NO",IF(Valores!$D$62*D206&gt;Valores!$F$62,Valores!$F$62,Valores!$D$62*D206),IF(Valores!$D$62*D206&gt;Valores!$F$62,Valores!$F$62,Valores!$D$62*D206)/2)</f>
        <v>130.99666666666667</v>
      </c>
      <c r="AJ206" s="146">
        <f t="shared" si="42"/>
        <v>34988.885600000001</v>
      </c>
      <c r="AK206" s="154">
        <f>IF(Valores!$C$38*D206&gt;Valores!$F$38,Valores!$F$38,Valores!$C$38*D206)</f>
        <v>1179.49</v>
      </c>
      <c r="AL206" s="143">
        <f>IF(Valores!$C$88*D206&gt;Valores!$C$87,Valores!$C$87,Valores!$C$88*D206)</f>
        <v>1478.7499999999998</v>
      </c>
      <c r="AM206" s="143"/>
      <c r="AN206" s="145">
        <f>IF($H$4="NO",0,IF(Valores!$C$58*D206&gt;Valores!$F$58,Valores!$F$58,Valores!$C$58*D206))</f>
        <v>0</v>
      </c>
      <c r="AO206" s="147">
        <f t="shared" si="43"/>
        <v>2658.24</v>
      </c>
      <c r="AP206" s="148">
        <f>AJ206*Valores!$C$69</f>
        <v>-3848.7774160000004</v>
      </c>
      <c r="AQ206" s="149">
        <f>AJ206*-Valores!$C$70</f>
        <v>0</v>
      </c>
      <c r="AR206" s="142">
        <f>AJ206*Valores!$C$71</f>
        <v>-1574.4998519999999</v>
      </c>
      <c r="AS206" s="142">
        <f>Valores!$C$95</f>
        <v>-193.38</v>
      </c>
      <c r="AT206" s="142">
        <f>IF($H$6=0,Valores!$C$96,(Valores!$C$96+$H$6*(Valores!$C$96)))</f>
        <v>-129</v>
      </c>
      <c r="AU206" s="146">
        <f t="shared" si="44"/>
        <v>31901.468332</v>
      </c>
      <c r="AV206" s="199">
        <f t="shared" si="40"/>
        <v>-3848.7774160000004</v>
      </c>
      <c r="AW206" s="142">
        <f>AJ206*Valores!$C$72</f>
        <v>-944.69991119999997</v>
      </c>
      <c r="AX206" s="142">
        <f>AJ206*Valores!$C$73</f>
        <v>-104.96665680000001</v>
      </c>
      <c r="AY206" s="146">
        <f t="shared" si="45"/>
        <v>32748.681615999998</v>
      </c>
      <c r="AZ206" s="150"/>
      <c r="BA206" s="150">
        <f t="shared" si="36"/>
        <v>52</v>
      </c>
      <c r="BB206" s="135" t="s">
        <v>4</v>
      </c>
    </row>
    <row r="207" spans="1:54" s="114" customFormat="1" ht="11.25" customHeight="1" x14ac:dyDescent="0.15">
      <c r="A207" s="152">
        <v>205</v>
      </c>
      <c r="B207" s="152" t="s">
        <v>139</v>
      </c>
      <c r="C207" s="135" t="s">
        <v>496</v>
      </c>
      <c r="D207" s="135">
        <v>14</v>
      </c>
      <c r="E207" s="135">
        <f t="shared" si="37"/>
        <v>37</v>
      </c>
      <c r="F207" s="136" t="str">
        <f t="shared" si="34"/>
        <v>Hora Cátedra Enseñanza Superior 14 hs</v>
      </c>
      <c r="G207" s="137">
        <f t="shared" si="35"/>
        <v>1386</v>
      </c>
      <c r="H207" s="138">
        <f>INT((G207*Valores!$C$2*100)+0.5)/100</f>
        <v>17223.41</v>
      </c>
      <c r="I207" s="156">
        <v>0</v>
      </c>
      <c r="J207" s="140">
        <f>INT((I207*Valores!$C$2*100)+0.5)/100</f>
        <v>0</v>
      </c>
      <c r="K207" s="155">
        <v>0</v>
      </c>
      <c r="L207" s="140">
        <f>INT((K207*Valores!$C$2*100)+0.5)/100</f>
        <v>0</v>
      </c>
      <c r="M207" s="153">
        <v>0</v>
      </c>
      <c r="N207" s="140">
        <f>INT((M207*Valores!$C$2*100)+0.5)/100</f>
        <v>0</v>
      </c>
      <c r="O207" s="140">
        <f t="shared" si="38"/>
        <v>3048.1995000000002</v>
      </c>
      <c r="P207" s="140">
        <f t="shared" si="39"/>
        <v>0</v>
      </c>
      <c r="Q207" s="154">
        <f>Valores!$C$14*D207</f>
        <v>5899.88</v>
      </c>
      <c r="R207" s="154">
        <f>IF(D207&lt;15,(Valores!$E$4*D207),Valores!$D$4)</f>
        <v>5929.0261333333337</v>
      </c>
      <c r="S207" s="140">
        <v>0</v>
      </c>
      <c r="T207" s="143">
        <f>IF($H$5="NO",IF(Valores!$C$47*D207&gt;Valores!$C$45,Valores!$C$45,Valores!$C$47*D207),IF(Valores!$C$47*D207&gt;Valores!$C$45,Valores!$C$45,Valores!$C$47*D207)/2)</f>
        <v>1242.22</v>
      </c>
      <c r="U207" s="154">
        <f>Valores!$C$24*D207</f>
        <v>1855.7000000000003</v>
      </c>
      <c r="V207" s="140">
        <f t="shared" si="33"/>
        <v>1855.7000000000003</v>
      </c>
      <c r="W207" s="140">
        <v>0</v>
      </c>
      <c r="X207" s="140">
        <v>0</v>
      </c>
      <c r="Y207" s="160">
        <v>0</v>
      </c>
      <c r="Z207" s="140">
        <f>Y207*Valores!$C$2</f>
        <v>0</v>
      </c>
      <c r="AA207" s="140">
        <v>0</v>
      </c>
      <c r="AB207" s="143">
        <f>IF(Valores!$C$93*D207&gt;Valores!$C$92,Valores!$C$92,Valores!$C$93*D207)</f>
        <v>1580.46</v>
      </c>
      <c r="AC207" s="145">
        <f>IF((Valores!$C$34)*D207&gt;Valores!$F$34,Valores!$F$34,(Valores!$C$34)*D207)</f>
        <v>145.74</v>
      </c>
      <c r="AD207" s="140">
        <f t="shared" si="41"/>
        <v>0</v>
      </c>
      <c r="AE207" s="140">
        <f>IF(Valores!$C$35*D207&gt;Valores!$F$35,Valores!$F$35,Valores!$C$35*D207)</f>
        <v>121.38</v>
      </c>
      <c r="AF207" s="144">
        <v>0</v>
      </c>
      <c r="AG207" s="140">
        <f>INT(((AF207*Valores!$C$2)*100)+0.5)/100</f>
        <v>0</v>
      </c>
      <c r="AH207" s="140">
        <f>IF($H$5="NO",IF(Valores!$D$60*'Escala Docente'!D207&gt;Valores!$F$60,Valores!$F$60,Valores!$D$60*'Escala Docente'!D207),IF(Valores!$D$60*'Escala Docente'!D207&gt;Valores!$F$60,Valores!$F$60,Valores!$D$60*'Escala Docente'!D207)/2)</f>
        <v>493.25733333333335</v>
      </c>
      <c r="AI207" s="140">
        <f>IF($H$5="NO",IF(Valores!$D$62*D207&gt;Valores!$F$62,Valores!$F$62,Valores!$D$62*D207),IF(Valores!$D$62*D207&gt;Valores!$F$62,Valores!$F$62,Valores!$D$62*D207)/2)</f>
        <v>141.07333333333332</v>
      </c>
      <c r="AJ207" s="146">
        <f t="shared" si="42"/>
        <v>37680.346299999997</v>
      </c>
      <c r="AK207" s="154">
        <f>IF(Valores!$C$38*D207&gt;Valores!$F$38,Valores!$F$38,Valores!$C$38*D207)</f>
        <v>1270.22</v>
      </c>
      <c r="AL207" s="143">
        <f>IF(Valores!$C$88*D207&gt;Valores!$C$87,Valores!$C$87,Valores!$C$88*D207)</f>
        <v>1592.4999999999998</v>
      </c>
      <c r="AM207" s="143"/>
      <c r="AN207" s="145">
        <f>IF($H$4="NO",0,IF(Valores!$C$58*D207&gt;Valores!$F$58,Valores!$F$58,Valores!$C$58*D207))</f>
        <v>0</v>
      </c>
      <c r="AO207" s="147">
        <f t="shared" si="43"/>
        <v>2862.72</v>
      </c>
      <c r="AP207" s="148">
        <f>AJ207*Valores!$C$69</f>
        <v>-4144.8380929999994</v>
      </c>
      <c r="AQ207" s="149">
        <f>AJ207*-Valores!$C$70</f>
        <v>0</v>
      </c>
      <c r="AR207" s="142">
        <f>AJ207*Valores!$C$71</f>
        <v>-1695.6155834999997</v>
      </c>
      <c r="AS207" s="142">
        <f>Valores!$C$95</f>
        <v>-193.38</v>
      </c>
      <c r="AT207" s="142">
        <f>IF($H$6=0,Valores!$C$96,(Valores!$C$96+$H$6*(Valores!$C$96)))</f>
        <v>-129</v>
      </c>
      <c r="AU207" s="146">
        <f t="shared" si="44"/>
        <v>34380.2326235</v>
      </c>
      <c r="AV207" s="199">
        <f t="shared" si="40"/>
        <v>-4144.8380929999994</v>
      </c>
      <c r="AW207" s="142">
        <f>AJ207*Valores!$C$72</f>
        <v>-1017.3693500999999</v>
      </c>
      <c r="AX207" s="142">
        <f>AJ207*Valores!$C$73</f>
        <v>-113.04103889999999</v>
      </c>
      <c r="AY207" s="146">
        <f t="shared" si="45"/>
        <v>35267.817817999996</v>
      </c>
      <c r="AZ207" s="150"/>
      <c r="BA207" s="150">
        <f t="shared" si="36"/>
        <v>56</v>
      </c>
      <c r="BB207" s="135" t="s">
        <v>4</v>
      </c>
    </row>
    <row r="208" spans="1:54" s="114" customFormat="1" ht="11.25" customHeight="1" x14ac:dyDescent="0.15">
      <c r="A208" s="134">
        <v>206</v>
      </c>
      <c r="B208" s="134"/>
      <c r="C208" s="135" t="s">
        <v>496</v>
      </c>
      <c r="D208" s="135">
        <v>15</v>
      </c>
      <c r="E208" s="135">
        <f t="shared" si="37"/>
        <v>37</v>
      </c>
      <c r="F208" s="136" t="str">
        <f t="shared" si="34"/>
        <v>Hora Cátedra Enseñanza Superior 15 hs</v>
      </c>
      <c r="G208" s="137">
        <f t="shared" si="35"/>
        <v>1485</v>
      </c>
      <c r="H208" s="138">
        <f>INT((G208*Valores!$C$2*100)+0.5)/100</f>
        <v>18453.650000000001</v>
      </c>
      <c r="I208" s="156">
        <v>0</v>
      </c>
      <c r="J208" s="140">
        <f>INT((I208*Valores!$C$2*100)+0.5)/100</f>
        <v>0</v>
      </c>
      <c r="K208" s="155">
        <v>0</v>
      </c>
      <c r="L208" s="140">
        <f>INT((K208*Valores!$C$2*100)+0.5)/100</f>
        <v>0</v>
      </c>
      <c r="M208" s="153">
        <v>0</v>
      </c>
      <c r="N208" s="140">
        <f>INT((M208*Valores!$C$2*100)+0.5)/100</f>
        <v>0</v>
      </c>
      <c r="O208" s="140">
        <f t="shared" si="38"/>
        <v>3265.9275000000002</v>
      </c>
      <c r="P208" s="140">
        <f t="shared" si="39"/>
        <v>0</v>
      </c>
      <c r="Q208" s="154">
        <f>Valores!$C$14*D208</f>
        <v>6321.3</v>
      </c>
      <c r="R208" s="154">
        <f>IF(D208&lt;15,(Valores!$E$4*D208),Valores!$D$4)</f>
        <v>6352.5280000000002</v>
      </c>
      <c r="S208" s="140">
        <v>0</v>
      </c>
      <c r="T208" s="143">
        <f>IF($H$5="NO",IF(Valores!$C$47*D208&gt;Valores!$C$45,Valores!$C$45,Valores!$C$47*D208),IF(Valores!$C$47*D208&gt;Valores!$C$45,Valores!$C$45,Valores!$C$47*D208)/2)</f>
        <v>1330.95</v>
      </c>
      <c r="U208" s="154">
        <f>Valores!$C$24*D208</f>
        <v>1988.2500000000002</v>
      </c>
      <c r="V208" s="140">
        <f t="shared" si="33"/>
        <v>1988.2500000000002</v>
      </c>
      <c r="W208" s="140">
        <v>0</v>
      </c>
      <c r="X208" s="140">
        <v>0</v>
      </c>
      <c r="Y208" s="160">
        <v>0</v>
      </c>
      <c r="Z208" s="140">
        <f>Y208*Valores!$C$2</f>
        <v>0</v>
      </c>
      <c r="AA208" s="140">
        <v>0</v>
      </c>
      <c r="AB208" s="143">
        <f>IF(Valores!$C$93*D208&gt;Valores!$C$92,Valores!$C$92,Valores!$C$93*D208)</f>
        <v>1693.35</v>
      </c>
      <c r="AC208" s="145">
        <f>IF((Valores!$C$34)*D208&gt;Valores!$F$34,Valores!$F$34,(Valores!$C$34)*D208)</f>
        <v>156.15</v>
      </c>
      <c r="AD208" s="140">
        <f t="shared" si="41"/>
        <v>0</v>
      </c>
      <c r="AE208" s="140">
        <f>IF(Valores!$C$35*D208&gt;Valores!$F$35,Valores!$F$35,Valores!$C$35*D208)</f>
        <v>130.05000000000001</v>
      </c>
      <c r="AF208" s="144">
        <v>0</v>
      </c>
      <c r="AG208" s="140">
        <f>INT(((AF208*Valores!$C$2)*100)+0.5)/100</f>
        <v>0</v>
      </c>
      <c r="AH208" s="140">
        <f>IF($H$5="NO",IF(Valores!$D$60*'Escala Docente'!D208&gt;Valores!$F$60,Valores!$F$60,Valores!$D$60*'Escala Docente'!D208),IF(Valores!$D$60*'Escala Docente'!D208&gt;Valores!$F$60,Valores!$F$60,Valores!$D$60*'Escala Docente'!D208)/2)</f>
        <v>528.49</v>
      </c>
      <c r="AI208" s="140">
        <f>IF($H$5="NO",IF(Valores!$D$62*D208&gt;Valores!$F$62,Valores!$F$62,Valores!$D$62*D208),IF(Valores!$D$62*D208&gt;Valores!$F$62,Valores!$F$62,Valores!$D$62*D208)/2)</f>
        <v>151.15</v>
      </c>
      <c r="AJ208" s="146">
        <f t="shared" si="42"/>
        <v>40371.7955</v>
      </c>
      <c r="AK208" s="154">
        <f>IF(Valores!$C$38*D208&gt;Valores!$F$38,Valores!$F$38,Valores!$C$38*D208)</f>
        <v>1360.95</v>
      </c>
      <c r="AL208" s="143">
        <f>IF(Valores!$C$88*D208&gt;Valores!$C$87,Valores!$C$87,Valores!$C$88*D208)</f>
        <v>1706.2499999999998</v>
      </c>
      <c r="AM208" s="143"/>
      <c r="AN208" s="145">
        <f>IF($H$4="NO",0,IF(Valores!$C$58*D208&gt;Valores!$F$58,Valores!$F$58,Valores!$C$58*D208))</f>
        <v>0</v>
      </c>
      <c r="AO208" s="147">
        <f t="shared" si="43"/>
        <v>3067.2</v>
      </c>
      <c r="AP208" s="148">
        <f>AJ208*Valores!$C$69</f>
        <v>-4440.8975049999999</v>
      </c>
      <c r="AQ208" s="149">
        <f>AJ208*-Valores!$C$70</f>
        <v>0</v>
      </c>
      <c r="AR208" s="142">
        <f>AJ208*Valores!$C$71</f>
        <v>-1816.7307974999999</v>
      </c>
      <c r="AS208" s="142">
        <f>Valores!$C$95</f>
        <v>-193.38</v>
      </c>
      <c r="AT208" s="142">
        <f>IF($H$6=0,Valores!$C$96,(Valores!$C$96+$H$6*(Valores!$C$96)))</f>
        <v>-129</v>
      </c>
      <c r="AU208" s="146">
        <f t="shared" si="44"/>
        <v>36858.987197499999</v>
      </c>
      <c r="AV208" s="199">
        <f t="shared" si="40"/>
        <v>-4440.8975049999999</v>
      </c>
      <c r="AW208" s="142">
        <f>AJ208*Valores!$C$72</f>
        <v>-1090.0384784999999</v>
      </c>
      <c r="AX208" s="142">
        <f>AJ208*Valores!$C$73</f>
        <v>-121.1153865</v>
      </c>
      <c r="AY208" s="146">
        <f t="shared" si="45"/>
        <v>37786.944129999996</v>
      </c>
      <c r="AZ208" s="150"/>
      <c r="BA208" s="150">
        <f t="shared" si="36"/>
        <v>60</v>
      </c>
      <c r="BB208" s="135" t="s">
        <v>4</v>
      </c>
    </row>
    <row r="209" spans="1:54" s="114" customFormat="1" ht="11.25" customHeight="1" x14ac:dyDescent="0.15">
      <c r="A209" s="134">
        <v>207</v>
      </c>
      <c r="B209" s="134"/>
      <c r="C209" s="135" t="s">
        <v>496</v>
      </c>
      <c r="D209" s="135">
        <v>16</v>
      </c>
      <c r="E209" s="135">
        <f t="shared" si="37"/>
        <v>37</v>
      </c>
      <c r="F209" s="136" t="str">
        <f t="shared" si="34"/>
        <v>Hora Cátedra Enseñanza Superior 16 hs</v>
      </c>
      <c r="G209" s="137">
        <f t="shared" si="35"/>
        <v>1584</v>
      </c>
      <c r="H209" s="138">
        <f>INT((G209*Valores!$C$2*100)+0.5)/100</f>
        <v>19683.89</v>
      </c>
      <c r="I209" s="156">
        <v>0</v>
      </c>
      <c r="J209" s="140">
        <f>INT((I209*Valores!$C$2*100)+0.5)/100</f>
        <v>0</v>
      </c>
      <c r="K209" s="155">
        <v>0</v>
      </c>
      <c r="L209" s="140">
        <f>INT((K209*Valores!$C$2*100)+0.5)/100</f>
        <v>0</v>
      </c>
      <c r="M209" s="153">
        <v>0</v>
      </c>
      <c r="N209" s="140">
        <f>INT((M209*Valores!$C$2*100)+0.5)/100</f>
        <v>0</v>
      </c>
      <c r="O209" s="140">
        <f t="shared" si="38"/>
        <v>3483.6554999999998</v>
      </c>
      <c r="P209" s="140">
        <f t="shared" si="39"/>
        <v>0</v>
      </c>
      <c r="Q209" s="154">
        <f>Valores!$C$14*D209</f>
        <v>6742.72</v>
      </c>
      <c r="R209" s="154">
        <f>IF(D209&lt;15,(Valores!$E$4*D209),Valores!$D$4)</f>
        <v>6352.5280000000002</v>
      </c>
      <c r="S209" s="140">
        <v>0</v>
      </c>
      <c r="T209" s="143">
        <f>IF($H$5="NO",IF(Valores!$C$47*D209&gt;Valores!$C$45,Valores!$C$45,Valores!$C$47*D209),IF(Valores!$C$47*D209&gt;Valores!$C$45,Valores!$C$45,Valores!$C$47*D209)/2)</f>
        <v>1419.68</v>
      </c>
      <c r="U209" s="154">
        <f>Valores!$C$24*D209</f>
        <v>2120.8000000000002</v>
      </c>
      <c r="V209" s="140">
        <f t="shared" si="33"/>
        <v>2120.8000000000002</v>
      </c>
      <c r="W209" s="140">
        <v>0</v>
      </c>
      <c r="X209" s="140">
        <v>0</v>
      </c>
      <c r="Y209" s="160">
        <v>0</v>
      </c>
      <c r="Z209" s="140">
        <f>Y209*Valores!$C$2</f>
        <v>0</v>
      </c>
      <c r="AA209" s="140">
        <v>0</v>
      </c>
      <c r="AB209" s="143">
        <f>IF(Valores!$C$93*D209&gt;Valores!$C$92,Valores!$C$92,Valores!$C$93*D209)</f>
        <v>1806.24</v>
      </c>
      <c r="AC209" s="145">
        <f>IF((Valores!$C$34)*D209&gt;Valores!$F$34,Valores!$F$34,(Valores!$C$34)*D209)</f>
        <v>166.56</v>
      </c>
      <c r="AD209" s="140">
        <f t="shared" si="41"/>
        <v>0</v>
      </c>
      <c r="AE209" s="140">
        <f>IF(Valores!$C$35*D209&gt;Valores!$F$35,Valores!$F$35,Valores!$C$35*D209)</f>
        <v>138.72</v>
      </c>
      <c r="AF209" s="144">
        <v>0</v>
      </c>
      <c r="AG209" s="140">
        <f>INT(((AF209*Valores!$C$2)*100)+0.5)/100</f>
        <v>0</v>
      </c>
      <c r="AH209" s="140">
        <f>IF($H$5="NO",IF(Valores!$D$60*'Escala Docente'!D209&gt;Valores!$F$60,Valores!$F$60,Valores!$D$60*'Escala Docente'!D209),IF(Valores!$D$60*'Escala Docente'!D209&gt;Valores!$F$60,Valores!$F$60,Valores!$D$60*'Escala Docente'!D209)/2)</f>
        <v>563.72266666666667</v>
      </c>
      <c r="AI209" s="140">
        <f>IF($H$5="NO",IF(Valores!$D$62*D209&gt;Valores!$F$62,Valores!$F$62,Valores!$D$62*D209),IF(Valores!$D$62*D209&gt;Valores!$F$62,Valores!$F$62,Valores!$D$62*D209)/2)</f>
        <v>161.22666666666666</v>
      </c>
      <c r="AJ209" s="146">
        <f t="shared" si="42"/>
        <v>42639.742833333337</v>
      </c>
      <c r="AK209" s="154">
        <f>IF(Valores!$C$38*D209&gt;Valores!$F$38,Valores!$F$38,Valores!$C$38*D209)</f>
        <v>1451.68</v>
      </c>
      <c r="AL209" s="143">
        <f>IF(Valores!$C$88*D209&gt;Valores!$C$87,Valores!$C$87,Valores!$C$88*D209)</f>
        <v>1819.9999999999998</v>
      </c>
      <c r="AM209" s="143"/>
      <c r="AN209" s="145">
        <f>IF($H$4="NO",0,IF(Valores!$C$58*D209&gt;Valores!$F$58,Valores!$F$58,Valores!$C$58*D209))</f>
        <v>0</v>
      </c>
      <c r="AO209" s="147">
        <f t="shared" si="43"/>
        <v>3271.68</v>
      </c>
      <c r="AP209" s="148">
        <f>AJ209*Valores!$C$69</f>
        <v>-4690.3717116666676</v>
      </c>
      <c r="AQ209" s="149">
        <f>AJ209*-Valores!$C$70</f>
        <v>0</v>
      </c>
      <c r="AR209" s="142">
        <f>AJ209*Valores!$C$71</f>
        <v>-1918.7884275000001</v>
      </c>
      <c r="AS209" s="142">
        <f>Valores!$C$95</f>
        <v>-193.38</v>
      </c>
      <c r="AT209" s="142">
        <f>IF($H$6=0,Valores!$C$96,(Valores!$C$96+$H$6*(Valores!$C$96)))</f>
        <v>-129</v>
      </c>
      <c r="AU209" s="146">
        <f t="shared" si="44"/>
        <v>38979.88269416667</v>
      </c>
      <c r="AV209" s="199">
        <f t="shared" si="40"/>
        <v>-4690.3717116666676</v>
      </c>
      <c r="AW209" s="142">
        <f>AJ209*Valores!$C$72</f>
        <v>-1151.2730565000002</v>
      </c>
      <c r="AX209" s="142">
        <f>AJ209*Valores!$C$73</f>
        <v>-127.91922850000002</v>
      </c>
      <c r="AY209" s="146">
        <f t="shared" si="45"/>
        <v>39941.858836666666</v>
      </c>
      <c r="AZ209" s="150"/>
      <c r="BA209" s="150">
        <f t="shared" si="36"/>
        <v>64</v>
      </c>
      <c r="BB209" s="135" t="s">
        <v>4</v>
      </c>
    </row>
    <row r="210" spans="1:54" s="114" customFormat="1" ht="11.25" customHeight="1" x14ac:dyDescent="0.15">
      <c r="A210" s="134">
        <v>208</v>
      </c>
      <c r="B210" s="134"/>
      <c r="C210" s="135" t="s">
        <v>496</v>
      </c>
      <c r="D210" s="135">
        <v>17</v>
      </c>
      <c r="E210" s="135">
        <f t="shared" si="37"/>
        <v>37</v>
      </c>
      <c r="F210" s="136" t="str">
        <f t="shared" si="34"/>
        <v>Hora Cátedra Enseñanza Superior 17 hs</v>
      </c>
      <c r="G210" s="137">
        <f t="shared" si="35"/>
        <v>1683</v>
      </c>
      <c r="H210" s="138">
        <f>INT((G210*Valores!$C$2*100)+0.5)/100</f>
        <v>20914.14</v>
      </c>
      <c r="I210" s="156">
        <v>0</v>
      </c>
      <c r="J210" s="140">
        <f>INT((I210*Valores!$C$2*100)+0.5)/100</f>
        <v>0</v>
      </c>
      <c r="K210" s="155">
        <v>0</v>
      </c>
      <c r="L210" s="140">
        <f>INT((K210*Valores!$C$2*100)+0.5)/100</f>
        <v>0</v>
      </c>
      <c r="M210" s="153">
        <v>0</v>
      </c>
      <c r="N210" s="140">
        <f>INT((M210*Valores!$C$2*100)+0.5)/100</f>
        <v>0</v>
      </c>
      <c r="O210" s="140">
        <f t="shared" si="38"/>
        <v>3701.3849999999993</v>
      </c>
      <c r="P210" s="140">
        <f t="shared" si="39"/>
        <v>0</v>
      </c>
      <c r="Q210" s="154">
        <f>Valores!$C$14*D210</f>
        <v>7164.14</v>
      </c>
      <c r="R210" s="154">
        <f>IF(D210&lt;15,(Valores!$E$4*D210),Valores!$D$4)</f>
        <v>6352.5280000000002</v>
      </c>
      <c r="S210" s="140">
        <v>0</v>
      </c>
      <c r="T210" s="143">
        <f>IF($H$5="NO",IF(Valores!$C$47*D210&gt;Valores!$C$45,Valores!$C$45,Valores!$C$47*D210),IF(Valores!$C$47*D210&gt;Valores!$C$45,Valores!$C$45,Valores!$C$47*D210)/2)</f>
        <v>1508.41</v>
      </c>
      <c r="U210" s="154">
        <f>Valores!$C$24*D210</f>
        <v>2253.3500000000004</v>
      </c>
      <c r="V210" s="140">
        <f t="shared" si="33"/>
        <v>2253.3500000000004</v>
      </c>
      <c r="W210" s="140">
        <v>0</v>
      </c>
      <c r="X210" s="140">
        <v>0</v>
      </c>
      <c r="Y210" s="160">
        <v>0</v>
      </c>
      <c r="Z210" s="140">
        <f>Y210*Valores!$C$2</f>
        <v>0</v>
      </c>
      <c r="AA210" s="140">
        <v>0</v>
      </c>
      <c r="AB210" s="143">
        <f>IF(Valores!$C$93*D210&gt;Valores!$C$92,Valores!$C$92,Valores!$C$93*D210)</f>
        <v>1919.13</v>
      </c>
      <c r="AC210" s="145">
        <f>IF((Valores!$C$34)*D210&gt;Valores!$F$34,Valores!$F$34,(Valores!$C$34)*D210)</f>
        <v>176.97</v>
      </c>
      <c r="AD210" s="140">
        <f t="shared" si="41"/>
        <v>0</v>
      </c>
      <c r="AE210" s="140">
        <f>IF(Valores!$C$35*D210&gt;Valores!$F$35,Valores!$F$35,Valores!$C$35*D210)</f>
        <v>147.38999999999999</v>
      </c>
      <c r="AF210" s="144">
        <v>0</v>
      </c>
      <c r="AG210" s="140">
        <f>INT(((AF210*Valores!$C$2)*100)+0.5)/100</f>
        <v>0</v>
      </c>
      <c r="AH210" s="140">
        <f>IF($H$5="NO",IF(Valores!$D$60*'Escala Docente'!D210&gt;Valores!$F$60,Valores!$F$60,Valores!$D$60*'Escala Docente'!D210),IF(Valores!$D$60*'Escala Docente'!D210&gt;Valores!$F$60,Valores!$F$60,Valores!$D$60*'Escala Docente'!D210)/2)</f>
        <v>598.95533333333333</v>
      </c>
      <c r="AI210" s="140">
        <f>IF($H$5="NO",IF(Valores!$D$62*D210&gt;Valores!$F$62,Valores!$F$62,Valores!$D$62*D210),IF(Valores!$D$62*D210&gt;Valores!$F$62,Valores!$F$62,Valores!$D$62*D210)/2)</f>
        <v>171.30333333333331</v>
      </c>
      <c r="AJ210" s="146">
        <f t="shared" si="42"/>
        <v>44907.701666666668</v>
      </c>
      <c r="AK210" s="154">
        <f>IF(Valores!$C$38*D210&gt;Valores!$F$38,Valores!$F$38,Valores!$C$38*D210)</f>
        <v>1542.41</v>
      </c>
      <c r="AL210" s="143">
        <f>IF(Valores!$C$88*D210&gt;Valores!$C$87,Valores!$C$87,Valores!$C$88*D210)</f>
        <v>1933.7499999999998</v>
      </c>
      <c r="AM210" s="143"/>
      <c r="AN210" s="145">
        <f>IF($H$4="NO",0,IF(Valores!$C$58*D210&gt;Valores!$F$58,Valores!$F$58,Valores!$C$58*D210))</f>
        <v>0</v>
      </c>
      <c r="AO210" s="147">
        <f t="shared" si="43"/>
        <v>3476.16</v>
      </c>
      <c r="AP210" s="148">
        <f>AJ210*Valores!$C$69</f>
        <v>-4939.8471833333333</v>
      </c>
      <c r="AQ210" s="149">
        <f>AJ210*-Valores!$C$70</f>
        <v>0</v>
      </c>
      <c r="AR210" s="142">
        <f>AJ210*Valores!$C$71</f>
        <v>-2020.846575</v>
      </c>
      <c r="AS210" s="142">
        <f>Valores!$C$95</f>
        <v>-193.38</v>
      </c>
      <c r="AT210" s="142">
        <f>IF($H$6=0,Valores!$C$96,(Valores!$C$96+$H$6*(Valores!$C$96)))</f>
        <v>-129</v>
      </c>
      <c r="AU210" s="146">
        <f t="shared" si="44"/>
        <v>41100.787908333332</v>
      </c>
      <c r="AV210" s="199">
        <f t="shared" si="40"/>
        <v>-4939.8471833333333</v>
      </c>
      <c r="AW210" s="142">
        <f>AJ210*Valores!$C$72</f>
        <v>-1212.5079450000001</v>
      </c>
      <c r="AX210" s="142">
        <f>AJ210*Valores!$C$73</f>
        <v>-134.723105</v>
      </c>
      <c r="AY210" s="146">
        <f t="shared" si="45"/>
        <v>42096.78343333333</v>
      </c>
      <c r="AZ210" s="150"/>
      <c r="BA210" s="150">
        <f t="shared" si="36"/>
        <v>68</v>
      </c>
      <c r="BB210" s="135" t="s">
        <v>4</v>
      </c>
    </row>
    <row r="211" spans="1:54" s="114" customFormat="1" ht="11.25" customHeight="1" x14ac:dyDescent="0.15">
      <c r="A211" s="134">
        <v>209</v>
      </c>
      <c r="B211" s="134"/>
      <c r="C211" s="135" t="s">
        <v>496</v>
      </c>
      <c r="D211" s="135">
        <v>18</v>
      </c>
      <c r="E211" s="135">
        <f t="shared" si="37"/>
        <v>37</v>
      </c>
      <c r="F211" s="136" t="str">
        <f t="shared" si="34"/>
        <v>Hora Cátedra Enseñanza Superior 18 hs</v>
      </c>
      <c r="G211" s="137">
        <f t="shared" si="35"/>
        <v>1782</v>
      </c>
      <c r="H211" s="138">
        <f>INT((G211*Valores!$C$2*100)+0.5)/100</f>
        <v>22144.38</v>
      </c>
      <c r="I211" s="156">
        <v>0</v>
      </c>
      <c r="J211" s="140">
        <f>INT((I211*Valores!$C$2*100)+0.5)/100</f>
        <v>0</v>
      </c>
      <c r="K211" s="155">
        <v>0</v>
      </c>
      <c r="L211" s="140">
        <f>INT((K211*Valores!$C$2*100)+0.5)/100</f>
        <v>0</v>
      </c>
      <c r="M211" s="153">
        <v>0</v>
      </c>
      <c r="N211" s="140">
        <f>INT((M211*Valores!$C$2*100)+0.5)/100</f>
        <v>0</v>
      </c>
      <c r="O211" s="140">
        <f t="shared" si="38"/>
        <v>3919.1130000000003</v>
      </c>
      <c r="P211" s="140">
        <f t="shared" si="39"/>
        <v>0</v>
      </c>
      <c r="Q211" s="154">
        <f>Valores!$C$14*D211</f>
        <v>7585.56</v>
      </c>
      <c r="R211" s="154">
        <f>IF(D211&lt;15,(Valores!$E$4*D211),Valores!$D$4)</f>
        <v>6352.5280000000002</v>
      </c>
      <c r="S211" s="140">
        <v>0</v>
      </c>
      <c r="T211" s="143">
        <f>IF($H$5="NO",IF(Valores!$C$47*D211&gt;Valores!$C$45,Valores!$C$45,Valores!$C$47*D211),IF(Valores!$C$47*D211&gt;Valores!$C$45,Valores!$C$45,Valores!$C$47*D211)/2)</f>
        <v>1597.14</v>
      </c>
      <c r="U211" s="154">
        <f>Valores!$C$24*D211</f>
        <v>2385.9</v>
      </c>
      <c r="V211" s="140">
        <f t="shared" si="33"/>
        <v>2385.9</v>
      </c>
      <c r="W211" s="140">
        <v>0</v>
      </c>
      <c r="X211" s="140">
        <v>0</v>
      </c>
      <c r="Y211" s="160">
        <v>0</v>
      </c>
      <c r="Z211" s="140">
        <f>Y211*Valores!$C$2</f>
        <v>0</v>
      </c>
      <c r="AA211" s="140">
        <v>0</v>
      </c>
      <c r="AB211" s="143">
        <f>IF(Valores!$C$93*D211&gt;Valores!$C$92,Valores!$C$92,Valores!$C$93*D211)</f>
        <v>2032.02</v>
      </c>
      <c r="AC211" s="145">
        <f>IF((Valores!$C$34)*D211&gt;Valores!$F$34,Valores!$F$34,(Valores!$C$34)*D211)</f>
        <v>187.38</v>
      </c>
      <c r="AD211" s="140">
        <f t="shared" si="41"/>
        <v>0</v>
      </c>
      <c r="AE211" s="140">
        <f>IF(Valores!$C$35*D211&gt;Valores!$F$35,Valores!$F$35,Valores!$C$35*D211)</f>
        <v>156.06</v>
      </c>
      <c r="AF211" s="144">
        <v>0</v>
      </c>
      <c r="AG211" s="140">
        <f>INT(((AF211*Valores!$C$2)*100)+0.5)/100</f>
        <v>0</v>
      </c>
      <c r="AH211" s="140">
        <f>IF($H$5="NO",IF(Valores!$D$60*'Escala Docente'!D211&gt;Valores!$F$60,Valores!$F$60,Valores!$D$60*'Escala Docente'!D211),IF(Valores!$D$60*'Escala Docente'!D211&gt;Valores!$F$60,Valores!$F$60,Valores!$D$60*'Escala Docente'!D211)/2)</f>
        <v>634.18799999999999</v>
      </c>
      <c r="AI211" s="140">
        <f>IF($H$5="NO",IF(Valores!$D$62*D211&gt;Valores!$F$62,Valores!$F$62,Valores!$D$62*D211),IF(Valores!$D$62*D211&gt;Valores!$F$62,Valores!$F$62,Valores!$D$62*D211)/2)</f>
        <v>181.38</v>
      </c>
      <c r="AJ211" s="146">
        <f t="shared" si="42"/>
        <v>47175.64899999999</v>
      </c>
      <c r="AK211" s="154">
        <f>IF(Valores!$C$38*D211&gt;Valores!$F$38,Valores!$F$38,Valores!$C$38*D211)</f>
        <v>1633.14</v>
      </c>
      <c r="AL211" s="143">
        <f>IF(Valores!$C$88*D211&gt;Valores!$C$87,Valores!$C$87,Valores!$C$88*D211)</f>
        <v>2047.4999999999998</v>
      </c>
      <c r="AM211" s="143"/>
      <c r="AN211" s="145">
        <f>IF($H$4="NO",0,IF(Valores!$C$58*D211&gt;Valores!$F$58,Valores!$F$58,Valores!$C$58*D211))</f>
        <v>0</v>
      </c>
      <c r="AO211" s="147">
        <f t="shared" si="43"/>
        <v>3680.64</v>
      </c>
      <c r="AP211" s="148">
        <f>AJ211*Valores!$C$69</f>
        <v>-5189.3213899999992</v>
      </c>
      <c r="AQ211" s="149">
        <f>AJ211*-Valores!$C$70</f>
        <v>0</v>
      </c>
      <c r="AR211" s="142">
        <f>AJ211*Valores!$C$71</f>
        <v>-2122.9042049999994</v>
      </c>
      <c r="AS211" s="142">
        <f>Valores!$C$95</f>
        <v>-193.38</v>
      </c>
      <c r="AT211" s="142">
        <f>IF($H$6=0,Valores!$C$96,(Valores!$C$96+$H$6*(Valores!$C$96)))</f>
        <v>-129</v>
      </c>
      <c r="AU211" s="146">
        <f t="shared" si="44"/>
        <v>43221.683404999989</v>
      </c>
      <c r="AV211" s="199">
        <f t="shared" si="40"/>
        <v>-5189.3213899999992</v>
      </c>
      <c r="AW211" s="142">
        <f>AJ211*Valores!$C$72</f>
        <v>-1273.7425229999997</v>
      </c>
      <c r="AX211" s="142">
        <f>AJ211*Valores!$C$73</f>
        <v>-141.52694699999998</v>
      </c>
      <c r="AY211" s="146">
        <f t="shared" si="45"/>
        <v>44251.698139999993</v>
      </c>
      <c r="AZ211" s="150"/>
      <c r="BA211" s="150">
        <f t="shared" si="36"/>
        <v>72</v>
      </c>
      <c r="BB211" s="135" t="s">
        <v>4</v>
      </c>
    </row>
    <row r="212" spans="1:54" s="114" customFormat="1" ht="11.25" customHeight="1" x14ac:dyDescent="0.15">
      <c r="A212" s="152">
        <v>210</v>
      </c>
      <c r="B212" s="152" t="s">
        <v>139</v>
      </c>
      <c r="C212" s="135" t="s">
        <v>496</v>
      </c>
      <c r="D212" s="135">
        <v>19</v>
      </c>
      <c r="E212" s="135">
        <f t="shared" si="37"/>
        <v>37</v>
      </c>
      <c r="F212" s="136" t="str">
        <f t="shared" si="34"/>
        <v>Hora Cátedra Enseñanza Superior 19 hs</v>
      </c>
      <c r="G212" s="137">
        <f t="shared" si="35"/>
        <v>1881</v>
      </c>
      <c r="H212" s="138">
        <f>INT((G212*Valores!$C$2*100)+0.5)/100</f>
        <v>23374.62</v>
      </c>
      <c r="I212" s="156">
        <v>0</v>
      </c>
      <c r="J212" s="140">
        <f>INT((I212*Valores!$C$2*100)+0.5)/100</f>
        <v>0</v>
      </c>
      <c r="K212" s="155">
        <v>0</v>
      </c>
      <c r="L212" s="140">
        <f>INT((K212*Valores!$C$2*100)+0.5)/100</f>
        <v>0</v>
      </c>
      <c r="M212" s="153">
        <v>0</v>
      </c>
      <c r="N212" s="140">
        <f>INT((M212*Valores!$C$2*100)+0.5)/100</f>
        <v>0</v>
      </c>
      <c r="O212" s="140">
        <f t="shared" si="38"/>
        <v>4136.8409999999994</v>
      </c>
      <c r="P212" s="140">
        <f t="shared" si="39"/>
        <v>0</v>
      </c>
      <c r="Q212" s="154">
        <f>Valores!$C$14*D212</f>
        <v>8006.9800000000005</v>
      </c>
      <c r="R212" s="154">
        <f>IF(D212&lt;15,(Valores!$E$4*D212),Valores!$D$4)</f>
        <v>6352.5280000000002</v>
      </c>
      <c r="S212" s="140">
        <v>0</v>
      </c>
      <c r="T212" s="143">
        <f>IF($H$5="NO",IF(Valores!$C$47*D212&gt;Valores!$C$45,Valores!$C$45,Valores!$C$47*D212),IF(Valores!$C$47*D212&gt;Valores!$C$45,Valores!$C$45,Valores!$C$47*D212)/2)</f>
        <v>1685.8700000000001</v>
      </c>
      <c r="U212" s="154">
        <f>Valores!$C$24*D212</f>
        <v>2518.4500000000003</v>
      </c>
      <c r="V212" s="140">
        <f t="shared" si="33"/>
        <v>2518.4500000000003</v>
      </c>
      <c r="W212" s="140">
        <v>0</v>
      </c>
      <c r="X212" s="140">
        <v>0</v>
      </c>
      <c r="Y212" s="160">
        <v>0</v>
      </c>
      <c r="Z212" s="140">
        <f>Y212*Valores!$C$2</f>
        <v>0</v>
      </c>
      <c r="AA212" s="140">
        <v>0</v>
      </c>
      <c r="AB212" s="143">
        <f>IF(Valores!$C$93*D212&gt;Valores!$C$92,Valores!$C$92,Valores!$C$93*D212)</f>
        <v>2144.91</v>
      </c>
      <c r="AC212" s="145">
        <f>IF((Valores!$C$34)*D212&gt;Valores!$F$34,Valores!$F$34,(Valores!$C$34)*D212)</f>
        <v>197.79</v>
      </c>
      <c r="AD212" s="140">
        <f t="shared" si="41"/>
        <v>0</v>
      </c>
      <c r="AE212" s="140">
        <f>IF(Valores!$C$35*D212&gt;Valores!$F$35,Valores!$F$35,Valores!$C$35*D212)</f>
        <v>164.73</v>
      </c>
      <c r="AF212" s="144">
        <v>0</v>
      </c>
      <c r="AG212" s="140">
        <f>INT(((AF212*Valores!$C$2)*100)+0.5)/100</f>
        <v>0</v>
      </c>
      <c r="AH212" s="140">
        <f>IF($H$5="NO",IF(Valores!$D$60*'Escala Docente'!D212&gt;Valores!$F$60,Valores!$F$60,Valores!$D$60*'Escala Docente'!D212),IF(Valores!$D$60*'Escala Docente'!D212&gt;Valores!$F$60,Valores!$F$60,Valores!$D$60*'Escala Docente'!D212)/2)</f>
        <v>669.42066666666665</v>
      </c>
      <c r="AI212" s="140">
        <f>IF($H$5="NO",IF(Valores!$D$62*D212&gt;Valores!$F$62,Valores!$F$62,Valores!$D$62*D212),IF(Valores!$D$62*D212&gt;Valores!$F$62,Valores!$F$62,Valores!$D$62*D212)/2)</f>
        <v>191.45666666666665</v>
      </c>
      <c r="AJ212" s="146">
        <f t="shared" si="42"/>
        <v>49443.596333333335</v>
      </c>
      <c r="AK212" s="154">
        <f>IF(Valores!$C$38*D212&gt;Valores!$F$38,Valores!$F$38,Valores!$C$38*D212)</f>
        <v>1723.8700000000001</v>
      </c>
      <c r="AL212" s="143">
        <f>IF(Valores!$C$88*D212&gt;Valores!$C$87,Valores!$C$87,Valores!$C$88*D212)</f>
        <v>2161.2499999999995</v>
      </c>
      <c r="AM212" s="143"/>
      <c r="AN212" s="145">
        <f>IF($H$4="NO",0,IF(Valores!$C$58*D212&gt;Valores!$F$58,Valores!$F$58,Valores!$C$58*D212))</f>
        <v>0</v>
      </c>
      <c r="AO212" s="147">
        <f t="shared" si="43"/>
        <v>3885.12</v>
      </c>
      <c r="AP212" s="148">
        <f>AJ212*Valores!$C$69</f>
        <v>-5438.7955966666668</v>
      </c>
      <c r="AQ212" s="149">
        <f>AJ212*-Valores!$C$70</f>
        <v>0</v>
      </c>
      <c r="AR212" s="142">
        <f>AJ212*Valores!$C$71</f>
        <v>-2224.9618350000001</v>
      </c>
      <c r="AS212" s="142">
        <f>Valores!$C$95</f>
        <v>-193.38</v>
      </c>
      <c r="AT212" s="142">
        <f>IF($H$6=0,Valores!$C$96,(Valores!$C$96+$H$6*(Valores!$C$96)))</f>
        <v>-129</v>
      </c>
      <c r="AU212" s="146">
        <f t="shared" si="44"/>
        <v>45342.578901666668</v>
      </c>
      <c r="AV212" s="199">
        <f t="shared" si="40"/>
        <v>-5438.7955966666668</v>
      </c>
      <c r="AW212" s="142">
        <f>AJ212*Valores!$C$72</f>
        <v>-1334.9771009999999</v>
      </c>
      <c r="AX212" s="142">
        <f>AJ212*Valores!$C$73</f>
        <v>-148.33078900000001</v>
      </c>
      <c r="AY212" s="146">
        <f t="shared" si="45"/>
        <v>46406.612846666671</v>
      </c>
      <c r="AZ212" s="150"/>
      <c r="BA212" s="150">
        <f t="shared" si="36"/>
        <v>76</v>
      </c>
      <c r="BB212" s="135" t="s">
        <v>4</v>
      </c>
    </row>
    <row r="213" spans="1:54" s="114" customFormat="1" ht="11.25" customHeight="1" x14ac:dyDescent="0.15">
      <c r="A213" s="134">
        <v>211</v>
      </c>
      <c r="B213" s="134"/>
      <c r="C213" s="135" t="s">
        <v>496</v>
      </c>
      <c r="D213" s="135">
        <v>20</v>
      </c>
      <c r="E213" s="135">
        <f t="shared" si="37"/>
        <v>37</v>
      </c>
      <c r="F213" s="136" t="str">
        <f t="shared" si="34"/>
        <v>Hora Cátedra Enseñanza Superior 20 hs</v>
      </c>
      <c r="G213" s="137">
        <f t="shared" si="35"/>
        <v>1980</v>
      </c>
      <c r="H213" s="138">
        <f>INT((G213*Valores!$C$2*100)+0.5)/100</f>
        <v>24604.87</v>
      </c>
      <c r="I213" s="156">
        <v>0</v>
      </c>
      <c r="J213" s="140">
        <f>INT((I213*Valores!$C$2*100)+0.5)/100</f>
        <v>0</v>
      </c>
      <c r="K213" s="155">
        <v>0</v>
      </c>
      <c r="L213" s="140">
        <f>INT((K213*Valores!$C$2*100)+0.5)/100</f>
        <v>0</v>
      </c>
      <c r="M213" s="153">
        <v>0</v>
      </c>
      <c r="N213" s="140">
        <f>INT((M213*Valores!$C$2*100)+0.5)/100</f>
        <v>0</v>
      </c>
      <c r="O213" s="140">
        <f t="shared" si="38"/>
        <v>4354.5704999999998</v>
      </c>
      <c r="P213" s="140">
        <f t="shared" si="39"/>
        <v>0</v>
      </c>
      <c r="Q213" s="154">
        <f>Valores!$C$14*D213</f>
        <v>8428.4</v>
      </c>
      <c r="R213" s="154">
        <f>IF(D213&lt;15,(Valores!$E$4*D213),Valores!$D$4)</f>
        <v>6352.5280000000002</v>
      </c>
      <c r="S213" s="140">
        <v>0</v>
      </c>
      <c r="T213" s="143">
        <f>IF($H$5="NO",IF(Valores!$C$47*D213&gt;Valores!$C$45,Valores!$C$45,Valores!$C$47*D213),IF(Valores!$C$47*D213&gt;Valores!$C$45,Valores!$C$45,Valores!$C$47*D213)/2)</f>
        <v>1774.6000000000001</v>
      </c>
      <c r="U213" s="154">
        <f>Valores!$C$24*D213</f>
        <v>2651</v>
      </c>
      <c r="V213" s="140">
        <f t="shared" si="33"/>
        <v>2651</v>
      </c>
      <c r="W213" s="140">
        <v>0</v>
      </c>
      <c r="X213" s="140">
        <v>0</v>
      </c>
      <c r="Y213" s="160">
        <v>0</v>
      </c>
      <c r="Z213" s="140">
        <f>Y213*Valores!$C$2</f>
        <v>0</v>
      </c>
      <c r="AA213" s="140">
        <v>0</v>
      </c>
      <c r="AB213" s="143">
        <f>IF(Valores!$C$93*D213&gt;Valores!$C$92,Valores!$C$92,Valores!$C$93*D213)</f>
        <v>2257.8000000000002</v>
      </c>
      <c r="AC213" s="145">
        <f>IF((Valores!$C$34)*D213&gt;Valores!$F$34,Valores!$F$34,(Valores!$C$34)*D213)</f>
        <v>208.2</v>
      </c>
      <c r="AD213" s="140">
        <f t="shared" si="41"/>
        <v>0</v>
      </c>
      <c r="AE213" s="140">
        <f>IF(Valores!$C$35*D213&gt;Valores!$F$35,Valores!$F$35,Valores!$C$35*D213)</f>
        <v>173.4</v>
      </c>
      <c r="AF213" s="144">
        <v>0</v>
      </c>
      <c r="AG213" s="140">
        <f>INT(((AF213*Valores!$C$2)*100)+0.5)/100</f>
        <v>0</v>
      </c>
      <c r="AH213" s="140">
        <f>IF($H$5="NO",IF(Valores!$D$60*'Escala Docente'!D213&gt;Valores!$F$60,Valores!$F$60,Valores!$D$60*'Escala Docente'!D213),IF(Valores!$D$60*'Escala Docente'!D213&gt;Valores!$F$60,Valores!$F$60,Valores!$D$60*'Escala Docente'!D213)/2)</f>
        <v>704.65333333333331</v>
      </c>
      <c r="AI213" s="140">
        <f>IF($H$5="NO",IF(Valores!$D$62*D213&gt;Valores!$F$62,Valores!$F$62,Valores!$D$62*D213),IF(Valores!$D$62*D213&gt;Valores!$F$62,Valores!$F$62,Valores!$D$62*D213)/2)</f>
        <v>201.53333333333333</v>
      </c>
      <c r="AJ213" s="146">
        <f t="shared" si="42"/>
        <v>51711.555166666665</v>
      </c>
      <c r="AK213" s="154">
        <f>IF(Valores!$C$38*D213&gt;Valores!$F$38,Valores!$F$38,Valores!$C$38*D213)</f>
        <v>1814.6000000000001</v>
      </c>
      <c r="AL213" s="143">
        <f>IF(Valores!$C$88*D213&gt;Valores!$C$87,Valores!$C$87,Valores!$C$88*D213)</f>
        <v>2274.9999999999995</v>
      </c>
      <c r="AM213" s="143"/>
      <c r="AN213" s="145">
        <f>IF($H$4="NO",0,IF(Valores!$C$58*D213&gt;Valores!$F$58,Valores!$F$58,Valores!$C$58*D213))</f>
        <v>0</v>
      </c>
      <c r="AO213" s="147">
        <f t="shared" si="43"/>
        <v>4089.5999999999995</v>
      </c>
      <c r="AP213" s="148">
        <f>AJ213*Valores!$C$69</f>
        <v>-5688.2710683333335</v>
      </c>
      <c r="AQ213" s="149">
        <f>AJ213*-Valores!$C$70</f>
        <v>0</v>
      </c>
      <c r="AR213" s="142">
        <f>AJ213*Valores!$C$71</f>
        <v>-2327.0199825</v>
      </c>
      <c r="AS213" s="142">
        <f>Valores!$C$95</f>
        <v>-193.38</v>
      </c>
      <c r="AT213" s="142">
        <f>IF($H$6=0,Valores!$C$96,(Valores!$C$96+$H$6*(Valores!$C$96)))</f>
        <v>-129</v>
      </c>
      <c r="AU213" s="146">
        <f t="shared" si="44"/>
        <v>47463.484115833329</v>
      </c>
      <c r="AV213" s="199">
        <f t="shared" si="40"/>
        <v>-5688.2710683333335</v>
      </c>
      <c r="AW213" s="142">
        <f>AJ213*Valores!$C$72</f>
        <v>-1396.2119894999998</v>
      </c>
      <c r="AX213" s="142">
        <f>AJ213*Valores!$C$73</f>
        <v>-155.13466550000001</v>
      </c>
      <c r="AY213" s="146">
        <f t="shared" si="45"/>
        <v>48561.537443333335</v>
      </c>
      <c r="AZ213" s="150"/>
      <c r="BA213" s="150">
        <f t="shared" si="36"/>
        <v>80</v>
      </c>
      <c r="BB213" s="135" t="s">
        <v>4</v>
      </c>
    </row>
    <row r="214" spans="1:54" s="114" customFormat="1" ht="11.25" customHeight="1" x14ac:dyDescent="0.15">
      <c r="A214" s="134">
        <v>212</v>
      </c>
      <c r="B214" s="134"/>
      <c r="C214" s="135" t="s">
        <v>496</v>
      </c>
      <c r="D214" s="135">
        <v>21</v>
      </c>
      <c r="E214" s="135">
        <f t="shared" si="37"/>
        <v>37</v>
      </c>
      <c r="F214" s="136" t="str">
        <f t="shared" si="34"/>
        <v>Hora Cátedra Enseñanza Superior 21 hs</v>
      </c>
      <c r="G214" s="137">
        <f t="shared" si="35"/>
        <v>2079</v>
      </c>
      <c r="H214" s="138">
        <f>INT((G214*Valores!$C$2*100)+0.5)/100</f>
        <v>25835.11</v>
      </c>
      <c r="I214" s="156">
        <v>0</v>
      </c>
      <c r="J214" s="140">
        <f>INT((I214*Valores!$C$2*100)+0.5)/100</f>
        <v>0</v>
      </c>
      <c r="K214" s="155">
        <v>0</v>
      </c>
      <c r="L214" s="140">
        <f>INT((K214*Valores!$C$2*100)+0.5)/100</f>
        <v>0</v>
      </c>
      <c r="M214" s="153">
        <v>0</v>
      </c>
      <c r="N214" s="140">
        <f>INT((M214*Valores!$C$2*100)+0.5)/100</f>
        <v>0</v>
      </c>
      <c r="O214" s="140">
        <f t="shared" si="38"/>
        <v>4572.2984999999999</v>
      </c>
      <c r="P214" s="140">
        <f t="shared" si="39"/>
        <v>0</v>
      </c>
      <c r="Q214" s="154">
        <f>Valores!$C$14*D214</f>
        <v>8849.82</v>
      </c>
      <c r="R214" s="154">
        <f>IF(D214&lt;15,(Valores!$E$4*D214),Valores!$D$4)</f>
        <v>6352.5280000000002</v>
      </c>
      <c r="S214" s="140">
        <v>0</v>
      </c>
      <c r="T214" s="143">
        <f>IF($H$5="NO",IF(Valores!$C$47*D214&gt;Valores!$C$45,Valores!$C$45,Valores!$C$47*D214),IF(Valores!$C$47*D214&gt;Valores!$C$45,Valores!$C$45,Valores!$C$47*D214)/2)</f>
        <v>1863.3300000000002</v>
      </c>
      <c r="U214" s="154">
        <f>Valores!$C$24*D214</f>
        <v>2783.55</v>
      </c>
      <c r="V214" s="140">
        <f t="shared" si="33"/>
        <v>2783.55</v>
      </c>
      <c r="W214" s="140">
        <v>0</v>
      </c>
      <c r="X214" s="140">
        <v>0</v>
      </c>
      <c r="Y214" s="160">
        <v>0</v>
      </c>
      <c r="Z214" s="140">
        <f>Y214*Valores!$C$2</f>
        <v>0</v>
      </c>
      <c r="AA214" s="140">
        <v>0</v>
      </c>
      <c r="AB214" s="143">
        <f>IF(Valores!$C$93*D214&gt;Valores!$C$92,Valores!$C$92,Valores!$C$93*D214)</f>
        <v>2370.69</v>
      </c>
      <c r="AC214" s="145">
        <f>IF((Valores!$C$34)*D214&gt;Valores!$F$34,Valores!$F$34,(Valores!$C$34)*D214)</f>
        <v>218.61</v>
      </c>
      <c r="AD214" s="140">
        <f t="shared" si="41"/>
        <v>0</v>
      </c>
      <c r="AE214" s="140">
        <f>IF(Valores!$C$35*D214&gt;Valores!$F$35,Valores!$F$35,Valores!$C$35*D214)</f>
        <v>182.07</v>
      </c>
      <c r="AF214" s="144">
        <v>0</v>
      </c>
      <c r="AG214" s="140">
        <f>INT(((AF214*Valores!$C$2)*100)+0.5)/100</f>
        <v>0</v>
      </c>
      <c r="AH214" s="140">
        <f>IF($H$5="NO",IF(Valores!$D$60*'Escala Docente'!D214&gt;Valores!$F$60,Valores!$F$60,Valores!$D$60*'Escala Docente'!D214),IF(Valores!$D$60*'Escala Docente'!D214&gt;Valores!$F$60,Valores!$F$60,Valores!$D$60*'Escala Docente'!D214)/2)</f>
        <v>739.88599999999997</v>
      </c>
      <c r="AI214" s="140">
        <f>IF($H$5="NO",IF(Valores!$D$62*D214&gt;Valores!$F$62,Valores!$F$62,Valores!$D$62*D214),IF(Valores!$D$62*D214&gt;Valores!$F$62,Valores!$F$62,Valores!$D$62*D214)/2)</f>
        <v>211.60999999999999</v>
      </c>
      <c r="AJ214" s="146">
        <f t="shared" si="42"/>
        <v>53979.502500000002</v>
      </c>
      <c r="AK214" s="154">
        <f>IF(Valores!$C$38*D214&gt;Valores!$F$38,Valores!$F$38,Valores!$C$38*D214)</f>
        <v>1905.3300000000002</v>
      </c>
      <c r="AL214" s="143">
        <f>IF(Valores!$C$88*D214&gt;Valores!$C$87,Valores!$C$87,Valores!$C$88*D214)</f>
        <v>2388.7499999999995</v>
      </c>
      <c r="AM214" s="143"/>
      <c r="AN214" s="145">
        <f>IF($H$4="NO",0,IF(Valores!$C$58*D214&gt;Valores!$F$58,Valores!$F$58,Valores!$C$58*D214))</f>
        <v>0</v>
      </c>
      <c r="AO214" s="147">
        <f t="shared" si="43"/>
        <v>4294.08</v>
      </c>
      <c r="AP214" s="148">
        <f>AJ214*Valores!$C$69</f>
        <v>-5937.7452750000002</v>
      </c>
      <c r="AQ214" s="149">
        <f>AJ214*-Valores!$C$70</f>
        <v>0</v>
      </c>
      <c r="AR214" s="142">
        <f>AJ214*Valores!$C$71</f>
        <v>-2429.0776125000002</v>
      </c>
      <c r="AS214" s="142">
        <f>Valores!$C$95</f>
        <v>-193.38</v>
      </c>
      <c r="AT214" s="142">
        <f>IF($H$6=0,Valores!$C$96,(Valores!$C$96+$H$6*(Valores!$C$96)))</f>
        <v>-129</v>
      </c>
      <c r="AU214" s="146">
        <f t="shared" si="44"/>
        <v>49584.379612500001</v>
      </c>
      <c r="AV214" s="199">
        <f t="shared" si="40"/>
        <v>-5937.7452750000002</v>
      </c>
      <c r="AW214" s="142">
        <f>AJ214*Valores!$C$72</f>
        <v>-1457.4465675000001</v>
      </c>
      <c r="AX214" s="142">
        <f>AJ214*Valores!$C$73</f>
        <v>-161.93850750000001</v>
      </c>
      <c r="AY214" s="146">
        <f t="shared" si="45"/>
        <v>50716.452150000005</v>
      </c>
      <c r="AZ214" s="150"/>
      <c r="BA214" s="150">
        <f t="shared" si="36"/>
        <v>84</v>
      </c>
      <c r="BB214" s="135" t="s">
        <v>8</v>
      </c>
    </row>
    <row r="215" spans="1:54" s="114" customFormat="1" ht="11.25" customHeight="1" x14ac:dyDescent="0.15">
      <c r="A215" s="134">
        <v>213</v>
      </c>
      <c r="B215" s="134"/>
      <c r="C215" s="135" t="s">
        <v>496</v>
      </c>
      <c r="D215" s="135">
        <v>22</v>
      </c>
      <c r="E215" s="135">
        <f t="shared" si="37"/>
        <v>37</v>
      </c>
      <c r="F215" s="136" t="str">
        <f t="shared" si="34"/>
        <v>Hora Cátedra Enseñanza Superior 22 hs</v>
      </c>
      <c r="G215" s="137">
        <f t="shared" si="35"/>
        <v>2178</v>
      </c>
      <c r="H215" s="138">
        <f>INT((G215*Valores!$C$2*100)+0.5)/100</f>
        <v>27065.35</v>
      </c>
      <c r="I215" s="156">
        <v>0</v>
      </c>
      <c r="J215" s="140">
        <f>INT((I215*Valores!$C$2*100)+0.5)/100</f>
        <v>0</v>
      </c>
      <c r="K215" s="155">
        <v>0</v>
      </c>
      <c r="L215" s="140">
        <f>INT((K215*Valores!$C$2*100)+0.5)/100</f>
        <v>0</v>
      </c>
      <c r="M215" s="153">
        <v>0</v>
      </c>
      <c r="N215" s="140">
        <f>INT((M215*Valores!$C$2*100)+0.5)/100</f>
        <v>0</v>
      </c>
      <c r="O215" s="140">
        <f t="shared" si="38"/>
        <v>4790.0264999999999</v>
      </c>
      <c r="P215" s="140">
        <f t="shared" si="39"/>
        <v>0</v>
      </c>
      <c r="Q215" s="154">
        <f>Valores!$C$14*D215</f>
        <v>9271.24</v>
      </c>
      <c r="R215" s="154">
        <f>IF(D215&lt;15,(Valores!$E$4*D215),Valores!$D$4)</f>
        <v>6352.5280000000002</v>
      </c>
      <c r="S215" s="140">
        <v>0</v>
      </c>
      <c r="T215" s="143">
        <f>IF($H$5="NO",IF(Valores!$C$47*D215&gt;Valores!$C$45,Valores!$C$45,Valores!$C$47*D215),IF(Valores!$C$47*D215&gt;Valores!$C$45,Valores!$C$45,Valores!$C$47*D215)/2)</f>
        <v>1952.0600000000002</v>
      </c>
      <c r="U215" s="154">
        <f>Valores!$C$24*D215</f>
        <v>2916.1000000000004</v>
      </c>
      <c r="V215" s="140">
        <f t="shared" si="33"/>
        <v>2916.1000000000004</v>
      </c>
      <c r="W215" s="140">
        <v>0</v>
      </c>
      <c r="X215" s="140">
        <v>0</v>
      </c>
      <c r="Y215" s="160">
        <v>0</v>
      </c>
      <c r="Z215" s="140">
        <f>Y215*Valores!$C$2</f>
        <v>0</v>
      </c>
      <c r="AA215" s="140">
        <v>0</v>
      </c>
      <c r="AB215" s="143">
        <f>IF(Valores!$C$93*D215&gt;Valores!$C$92,Valores!$C$92,Valores!$C$93*D215)</f>
        <v>2483.58</v>
      </c>
      <c r="AC215" s="145">
        <f>IF((Valores!$C$34)*D215&gt;Valores!$F$34,Valores!$F$34,(Valores!$C$34)*D215)</f>
        <v>229.02</v>
      </c>
      <c r="AD215" s="140">
        <f t="shared" si="41"/>
        <v>0</v>
      </c>
      <c r="AE215" s="140">
        <f>IF(Valores!$C$35*D215&gt;Valores!$F$35,Valores!$F$35,Valores!$C$35*D215)</f>
        <v>190.74</v>
      </c>
      <c r="AF215" s="144">
        <v>0</v>
      </c>
      <c r="AG215" s="140">
        <f>INT(((AF215*Valores!$C$2)*100)+0.5)/100</f>
        <v>0</v>
      </c>
      <c r="AH215" s="140">
        <f>IF($H$5="NO",IF(Valores!$D$60*'Escala Docente'!D215&gt;Valores!$F$60,Valores!$F$60,Valores!$D$60*'Escala Docente'!D215),IF(Valores!$D$60*'Escala Docente'!D215&gt;Valores!$F$60,Valores!$F$60,Valores!$D$60*'Escala Docente'!D215)/2)</f>
        <v>775.11866666666663</v>
      </c>
      <c r="AI215" s="140">
        <f>IF($H$5="NO",IF(Valores!$D$62*D215&gt;Valores!$F$62,Valores!$F$62,Valores!$D$62*D215),IF(Valores!$D$62*D215&gt;Valores!$F$62,Valores!$F$62,Valores!$D$62*D215)/2)</f>
        <v>221.68666666666667</v>
      </c>
      <c r="AJ215" s="146">
        <f t="shared" si="42"/>
        <v>56247.449833333325</v>
      </c>
      <c r="AK215" s="154">
        <f>IF(Valores!$C$38*D215&gt;Valores!$F$38,Valores!$F$38,Valores!$C$38*D215)</f>
        <v>1996.0600000000002</v>
      </c>
      <c r="AL215" s="143">
        <f>IF(Valores!$C$88*D215&gt;Valores!$C$87,Valores!$C$87,Valores!$C$88*D215)</f>
        <v>2502.4999999999995</v>
      </c>
      <c r="AM215" s="143"/>
      <c r="AN215" s="145">
        <f>IF($H$4="NO",0,IF(Valores!$C$58*D215&gt;Valores!$F$58,Valores!$F$58,Valores!$C$58*D215))</f>
        <v>0</v>
      </c>
      <c r="AO215" s="147">
        <f t="shared" si="43"/>
        <v>4498.5599999999995</v>
      </c>
      <c r="AP215" s="148">
        <f>AJ215*Valores!$C$69</f>
        <v>-6187.2194816666661</v>
      </c>
      <c r="AQ215" s="149">
        <f>AJ215*-Valores!$C$70</f>
        <v>0</v>
      </c>
      <c r="AR215" s="142">
        <f>AJ215*Valores!$C$71</f>
        <v>-2531.1352424999995</v>
      </c>
      <c r="AS215" s="142">
        <f>Valores!$C$95</f>
        <v>-193.38</v>
      </c>
      <c r="AT215" s="142">
        <f>IF($H$6=0,Valores!$C$96,(Valores!$C$96+$H$6*(Valores!$C$96)))</f>
        <v>-129</v>
      </c>
      <c r="AU215" s="146">
        <f t="shared" si="44"/>
        <v>51705.275109166658</v>
      </c>
      <c r="AV215" s="199">
        <f t="shared" si="40"/>
        <v>-6187.2194816666661</v>
      </c>
      <c r="AW215" s="142">
        <f>AJ215*Valores!$C$72</f>
        <v>-1518.6811454999997</v>
      </c>
      <c r="AX215" s="142">
        <f>AJ215*Valores!$C$73</f>
        <v>-168.74234949999999</v>
      </c>
      <c r="AY215" s="146">
        <f t="shared" si="45"/>
        <v>52871.36685666666</v>
      </c>
      <c r="AZ215" s="150"/>
      <c r="BA215" s="150">
        <f t="shared" si="36"/>
        <v>88</v>
      </c>
      <c r="BB215" s="135" t="s">
        <v>4</v>
      </c>
    </row>
    <row r="216" spans="1:54" s="114" customFormat="1" ht="11.25" customHeight="1" x14ac:dyDescent="0.15">
      <c r="A216" s="134">
        <v>214</v>
      </c>
      <c r="B216" s="134"/>
      <c r="C216" s="135" t="s">
        <v>496</v>
      </c>
      <c r="D216" s="135">
        <v>23</v>
      </c>
      <c r="E216" s="135">
        <f t="shared" si="37"/>
        <v>37</v>
      </c>
      <c r="F216" s="136" t="str">
        <f t="shared" si="34"/>
        <v>Hora Cátedra Enseñanza Superior 23 hs</v>
      </c>
      <c r="G216" s="137">
        <f t="shared" si="35"/>
        <v>2277</v>
      </c>
      <c r="H216" s="138">
        <f>INT((G216*Valores!$C$2*100)+0.5)/100</f>
        <v>28295.599999999999</v>
      </c>
      <c r="I216" s="156">
        <v>0</v>
      </c>
      <c r="J216" s="140">
        <f>INT((I216*Valores!$C$2*100)+0.5)/100</f>
        <v>0</v>
      </c>
      <c r="K216" s="155">
        <v>0</v>
      </c>
      <c r="L216" s="140">
        <f>INT((K216*Valores!$C$2*100)+0.5)/100</f>
        <v>0</v>
      </c>
      <c r="M216" s="153">
        <v>0</v>
      </c>
      <c r="N216" s="140">
        <f>INT((M216*Valores!$C$2*100)+0.5)/100</f>
        <v>0</v>
      </c>
      <c r="O216" s="140">
        <f t="shared" si="38"/>
        <v>5007.7560000000003</v>
      </c>
      <c r="P216" s="140">
        <f t="shared" si="39"/>
        <v>0</v>
      </c>
      <c r="Q216" s="154">
        <f>Valores!$C$14*D216</f>
        <v>9692.66</v>
      </c>
      <c r="R216" s="154">
        <f>IF(D216&lt;15,(Valores!$E$4*D216),Valores!$D$4)</f>
        <v>6352.5280000000002</v>
      </c>
      <c r="S216" s="140">
        <v>0</v>
      </c>
      <c r="T216" s="143">
        <f>IF($H$5="NO",IF(Valores!$C$47*D216&gt;Valores!$C$45,Valores!$C$45,Valores!$C$47*D216),IF(Valores!$C$47*D216&gt;Valores!$C$45,Valores!$C$45,Valores!$C$47*D216)/2)</f>
        <v>2040.7900000000002</v>
      </c>
      <c r="U216" s="154">
        <f>Valores!$C$24*D216</f>
        <v>3048.65</v>
      </c>
      <c r="V216" s="140">
        <f t="shared" si="33"/>
        <v>3048.65</v>
      </c>
      <c r="W216" s="140">
        <v>0</v>
      </c>
      <c r="X216" s="140">
        <v>0</v>
      </c>
      <c r="Y216" s="160">
        <v>0</v>
      </c>
      <c r="Z216" s="140">
        <f>Y216*Valores!$C$2</f>
        <v>0</v>
      </c>
      <c r="AA216" s="140">
        <v>0</v>
      </c>
      <c r="AB216" s="143">
        <f>IF(Valores!$C$93*D216&gt;Valores!$C$92,Valores!$C$92,Valores!$C$93*D216)</f>
        <v>2596.4699999999998</v>
      </c>
      <c r="AC216" s="145">
        <f>IF((Valores!$C$34)*D216&gt;Valores!$F$34,Valores!$F$34,(Valores!$C$34)*D216)</f>
        <v>239.43</v>
      </c>
      <c r="AD216" s="140">
        <f t="shared" si="41"/>
        <v>0</v>
      </c>
      <c r="AE216" s="140">
        <f>IF(Valores!$C$35*D216&gt;Valores!$F$35,Valores!$F$35,Valores!$C$35*D216)</f>
        <v>199.41</v>
      </c>
      <c r="AF216" s="144">
        <v>0</v>
      </c>
      <c r="AG216" s="140">
        <f>INT(((AF216*Valores!$C$2)*100)+0.5)/100</f>
        <v>0</v>
      </c>
      <c r="AH216" s="140">
        <f>IF($H$5="NO",IF(Valores!$D$60*'Escala Docente'!D216&gt;Valores!$F$60,Valores!$F$60,Valores!$D$60*'Escala Docente'!D216),IF(Valores!$D$60*'Escala Docente'!D216&gt;Valores!$F$60,Valores!$F$60,Valores!$D$60*'Escala Docente'!D216)/2)</f>
        <v>810.35133333333329</v>
      </c>
      <c r="AI216" s="140">
        <f>IF($H$5="NO",IF(Valores!$D$62*D216&gt;Valores!$F$62,Valores!$F$62,Valores!$D$62*D216),IF(Valores!$D$62*D216&gt;Valores!$F$62,Valores!$F$62,Valores!$D$62*D216)/2)</f>
        <v>231.76333333333332</v>
      </c>
      <c r="AJ216" s="146">
        <f t="shared" si="42"/>
        <v>58515.408666666677</v>
      </c>
      <c r="AK216" s="154">
        <f>IF(Valores!$C$38*D216&gt;Valores!$F$38,Valores!$F$38,Valores!$C$38*D216)</f>
        <v>2086.79</v>
      </c>
      <c r="AL216" s="143">
        <f>IF(Valores!$C$88*D216&gt;Valores!$C$87,Valores!$C$87,Valores!$C$88*D216)</f>
        <v>2616.2499999999995</v>
      </c>
      <c r="AM216" s="143"/>
      <c r="AN216" s="145">
        <f>IF($H$4="NO",0,IF(Valores!$C$58*D216&gt;Valores!$F$58,Valores!$F$58,Valores!$C$58*D216))</f>
        <v>0</v>
      </c>
      <c r="AO216" s="147">
        <f t="shared" si="43"/>
        <v>4703.0399999999991</v>
      </c>
      <c r="AP216" s="148">
        <f>AJ216*Valores!$C$69</f>
        <v>-6436.6949533333345</v>
      </c>
      <c r="AQ216" s="149">
        <f>AJ216*-Valores!$C$70</f>
        <v>0</v>
      </c>
      <c r="AR216" s="142">
        <f>AJ216*Valores!$C$71</f>
        <v>-2633.1933900000004</v>
      </c>
      <c r="AS216" s="142">
        <f>Valores!$C$95</f>
        <v>-193.38</v>
      </c>
      <c r="AT216" s="142">
        <f>IF($H$6=0,Valores!$C$96,(Valores!$C$96+$H$6*(Valores!$C$96)))</f>
        <v>-129</v>
      </c>
      <c r="AU216" s="146">
        <f t="shared" si="44"/>
        <v>53826.180323333341</v>
      </c>
      <c r="AV216" s="199">
        <f t="shared" si="40"/>
        <v>-6436.6949533333345</v>
      </c>
      <c r="AW216" s="142">
        <f>AJ216*Valores!$C$72</f>
        <v>-1579.9160340000003</v>
      </c>
      <c r="AX216" s="142">
        <f>AJ216*Valores!$C$73</f>
        <v>-175.54622600000005</v>
      </c>
      <c r="AY216" s="146">
        <f t="shared" si="45"/>
        <v>55026.291453333339</v>
      </c>
      <c r="AZ216" s="150"/>
      <c r="BA216" s="150">
        <f t="shared" si="36"/>
        <v>92</v>
      </c>
      <c r="BB216" s="135" t="s">
        <v>8</v>
      </c>
    </row>
    <row r="217" spans="1:54" s="114" customFormat="1" ht="11.25" customHeight="1" x14ac:dyDescent="0.15">
      <c r="A217" s="152">
        <v>215</v>
      </c>
      <c r="B217" s="152" t="s">
        <v>139</v>
      </c>
      <c r="C217" s="135" t="s">
        <v>496</v>
      </c>
      <c r="D217" s="135">
        <v>24</v>
      </c>
      <c r="E217" s="135">
        <f t="shared" si="37"/>
        <v>37</v>
      </c>
      <c r="F217" s="136" t="str">
        <f t="shared" si="34"/>
        <v>Hora Cátedra Enseñanza Superior 24 hs</v>
      </c>
      <c r="G217" s="137">
        <f t="shared" si="35"/>
        <v>2376</v>
      </c>
      <c r="H217" s="138">
        <f>INT((G217*Valores!$C$2*100)+0.5)/100</f>
        <v>29525.84</v>
      </c>
      <c r="I217" s="156">
        <v>0</v>
      </c>
      <c r="J217" s="140">
        <f>INT((I217*Valores!$C$2*100)+0.5)/100</f>
        <v>0</v>
      </c>
      <c r="K217" s="155">
        <v>0</v>
      </c>
      <c r="L217" s="140">
        <f>INT((K217*Valores!$C$2*100)+0.5)/100</f>
        <v>0</v>
      </c>
      <c r="M217" s="153">
        <v>0</v>
      </c>
      <c r="N217" s="140">
        <f>INT((M217*Valores!$C$2*100)+0.5)/100</f>
        <v>0</v>
      </c>
      <c r="O217" s="140">
        <f t="shared" si="38"/>
        <v>5225.4839999999995</v>
      </c>
      <c r="P217" s="140">
        <f t="shared" si="39"/>
        <v>0</v>
      </c>
      <c r="Q217" s="154">
        <f>Valores!$C$14*D217</f>
        <v>10114.08</v>
      </c>
      <c r="R217" s="154">
        <f>IF(D217&lt;15,(Valores!$E$4*D217),Valores!$D$4)</f>
        <v>6352.5280000000002</v>
      </c>
      <c r="S217" s="140">
        <v>0</v>
      </c>
      <c r="T217" s="143">
        <f>IF($H$5="NO",IF(Valores!$C$47*D217&gt;Valores!$C$45,Valores!$C$45,Valores!$C$47*D217),IF(Valores!$C$47*D217&gt;Valores!$C$45,Valores!$C$45,Valores!$C$47*D217)/2)</f>
        <v>2129.52</v>
      </c>
      <c r="U217" s="154">
        <f>Valores!$C$24*D217</f>
        <v>3181.2000000000003</v>
      </c>
      <c r="V217" s="140">
        <f t="shared" si="33"/>
        <v>3181.2000000000003</v>
      </c>
      <c r="W217" s="140">
        <v>0</v>
      </c>
      <c r="X217" s="140">
        <v>0</v>
      </c>
      <c r="Y217" s="160">
        <v>0</v>
      </c>
      <c r="Z217" s="140">
        <f>Y217*Valores!$C$2</f>
        <v>0</v>
      </c>
      <c r="AA217" s="140">
        <v>0</v>
      </c>
      <c r="AB217" s="143">
        <f>IF(Valores!$C$93*D217&gt;Valores!$C$92,Valores!$C$92,Valores!$C$93*D217)</f>
        <v>2709.36</v>
      </c>
      <c r="AC217" s="145">
        <f>IF((Valores!$C$34)*D217&gt;Valores!$F$34,Valores!$F$34,(Valores!$C$34)*D217)</f>
        <v>249.84</v>
      </c>
      <c r="AD217" s="140">
        <f t="shared" si="41"/>
        <v>0</v>
      </c>
      <c r="AE217" s="140">
        <f>IF(Valores!$C$35*D217&gt;Valores!$F$35,Valores!$F$35,Valores!$C$35*D217)</f>
        <v>208.07999999999998</v>
      </c>
      <c r="AF217" s="144">
        <v>0</v>
      </c>
      <c r="AG217" s="140">
        <f>INT(((AF217*Valores!$C$2)*100)+0.5)/100</f>
        <v>0</v>
      </c>
      <c r="AH217" s="140">
        <f>IF($H$5="NO",IF(Valores!$D$60*'Escala Docente'!D217&gt;Valores!$F$60,Valores!$F$60,Valores!$D$60*'Escala Docente'!D217),IF(Valores!$D$60*'Escala Docente'!D217&gt;Valores!$F$60,Valores!$F$60,Valores!$D$60*'Escala Docente'!D217)/2)</f>
        <v>845.58400000000006</v>
      </c>
      <c r="AI217" s="140">
        <f>IF($H$5="NO",IF(Valores!$D$62*D217&gt;Valores!$F$62,Valores!$F$62,Valores!$D$62*D217),IF(Valores!$D$62*D217&gt;Valores!$F$62,Valores!$F$62,Valores!$D$62*D217)/2)</f>
        <v>241.83999999999997</v>
      </c>
      <c r="AJ217" s="146">
        <f t="shared" si="42"/>
        <v>60783.355999999992</v>
      </c>
      <c r="AK217" s="154">
        <f>IF(Valores!$C$38*D217&gt;Valores!$F$38,Valores!$F$38,Valores!$C$38*D217)</f>
        <v>2177.52</v>
      </c>
      <c r="AL217" s="143">
        <f>IF(Valores!$C$88*D217&gt;Valores!$C$87,Valores!$C$87,Valores!$C$88*D217)</f>
        <v>2729.9999999999995</v>
      </c>
      <c r="AM217" s="143"/>
      <c r="AN217" s="145">
        <f>IF($H$4="NO",0,IF(Valores!$C$58*D217&gt;Valores!$F$58,Valores!$F$58,Valores!$C$58*D217))</f>
        <v>0</v>
      </c>
      <c r="AO217" s="147">
        <f t="shared" si="43"/>
        <v>4907.5199999999995</v>
      </c>
      <c r="AP217" s="148">
        <f>AJ217*Valores!$C$69</f>
        <v>-6686.1691599999995</v>
      </c>
      <c r="AQ217" s="149">
        <f>AJ217*-Valores!$C$70</f>
        <v>0</v>
      </c>
      <c r="AR217" s="142">
        <f>AJ217*Valores!$C$71</f>
        <v>-2735.2510199999997</v>
      </c>
      <c r="AS217" s="142">
        <f>Valores!$C$95</f>
        <v>-193.38</v>
      </c>
      <c r="AT217" s="142">
        <f>IF($H$6=0,Valores!$C$96,(Valores!$C$96+$H$6*(Valores!$C$96)))</f>
        <v>-129</v>
      </c>
      <c r="AU217" s="146">
        <f t="shared" si="44"/>
        <v>55947.075819999991</v>
      </c>
      <c r="AV217" s="199">
        <f t="shared" si="40"/>
        <v>-6686.1691599999995</v>
      </c>
      <c r="AW217" s="142">
        <f>AJ217*Valores!$C$72</f>
        <v>-1641.1506119999997</v>
      </c>
      <c r="AX217" s="142">
        <f>AJ217*Valores!$C$73</f>
        <v>-182.35006799999999</v>
      </c>
      <c r="AY217" s="146">
        <f t="shared" si="45"/>
        <v>57181.206159999987</v>
      </c>
      <c r="AZ217" s="150"/>
      <c r="BA217" s="150">
        <f t="shared" si="36"/>
        <v>96</v>
      </c>
      <c r="BB217" s="135" t="s">
        <v>8</v>
      </c>
    </row>
    <row r="218" spans="1:54" s="114" customFormat="1" ht="11.25" customHeight="1" x14ac:dyDescent="0.15">
      <c r="A218" s="134">
        <v>216</v>
      </c>
      <c r="B218" s="134"/>
      <c r="C218" s="135" t="s">
        <v>496</v>
      </c>
      <c r="D218" s="135">
        <v>25</v>
      </c>
      <c r="E218" s="135">
        <f t="shared" si="37"/>
        <v>37</v>
      </c>
      <c r="F218" s="136" t="str">
        <f t="shared" si="34"/>
        <v>Hora Cátedra Enseñanza Superior 25 hs</v>
      </c>
      <c r="G218" s="137">
        <f t="shared" si="35"/>
        <v>2475</v>
      </c>
      <c r="H218" s="138">
        <f>INT((G218*Valores!$C$2*100)+0.5)/100</f>
        <v>30756.080000000002</v>
      </c>
      <c r="I218" s="156">
        <v>0</v>
      </c>
      <c r="J218" s="140">
        <f>INT((I218*Valores!$C$2*100)+0.5)/100</f>
        <v>0</v>
      </c>
      <c r="K218" s="155">
        <v>0</v>
      </c>
      <c r="L218" s="140">
        <f>INT((K218*Valores!$C$2*100)+0.5)/100</f>
        <v>0</v>
      </c>
      <c r="M218" s="153">
        <v>0</v>
      </c>
      <c r="N218" s="140">
        <f>INT((M218*Valores!$C$2*100)+0.5)/100</f>
        <v>0</v>
      </c>
      <c r="O218" s="140">
        <f t="shared" si="38"/>
        <v>5443.2120000000004</v>
      </c>
      <c r="P218" s="140">
        <f t="shared" si="39"/>
        <v>0</v>
      </c>
      <c r="Q218" s="154">
        <f>Valores!$C$14*D218</f>
        <v>10535.5</v>
      </c>
      <c r="R218" s="154">
        <f>IF(D218&lt;15,(Valores!$E$4*D218),Valores!$D$4)</f>
        <v>6352.5280000000002</v>
      </c>
      <c r="S218" s="140">
        <v>0</v>
      </c>
      <c r="T218" s="143">
        <f>IF($H$5="NO",IF(Valores!$C$47*D218&gt;Valores!$C$45,Valores!$C$45,Valores!$C$47*D218),IF(Valores!$C$47*D218&gt;Valores!$C$45,Valores!$C$45,Valores!$C$47*D218)/2)</f>
        <v>2218.25</v>
      </c>
      <c r="U218" s="154">
        <f>Valores!$C$24*D218</f>
        <v>3313.7500000000005</v>
      </c>
      <c r="V218" s="140">
        <f t="shared" si="33"/>
        <v>3313.7500000000005</v>
      </c>
      <c r="W218" s="140">
        <v>0</v>
      </c>
      <c r="X218" s="140">
        <v>0</v>
      </c>
      <c r="Y218" s="160">
        <v>0</v>
      </c>
      <c r="Z218" s="140">
        <f>Y218*Valores!$C$2</f>
        <v>0</v>
      </c>
      <c r="AA218" s="140">
        <v>0</v>
      </c>
      <c r="AB218" s="143">
        <f>IF(Valores!$C$93*D218&gt;Valores!$C$92,Valores!$C$92,Valores!$C$93*D218)</f>
        <v>2822.25</v>
      </c>
      <c r="AC218" s="145">
        <f>IF((Valores!$C$34)*D218&gt;Valores!$F$34,Valores!$F$34,(Valores!$C$34)*D218)</f>
        <v>260.25</v>
      </c>
      <c r="AD218" s="140">
        <f t="shared" si="41"/>
        <v>0</v>
      </c>
      <c r="AE218" s="140">
        <f>IF(Valores!$C$35*D218&gt;Valores!$F$35,Valores!$F$35,Valores!$C$35*D218)</f>
        <v>216.75</v>
      </c>
      <c r="AF218" s="144">
        <v>0</v>
      </c>
      <c r="AG218" s="140">
        <f>INT(((AF218*Valores!$C$2)*100)+0.5)/100</f>
        <v>0</v>
      </c>
      <c r="AH218" s="140">
        <f>IF($H$5="NO",IF(Valores!$D$60*'Escala Docente'!D218&gt;Valores!$F$60,Valores!$F$60,Valores!$D$60*'Escala Docente'!D218),IF(Valores!$D$60*'Escala Docente'!D218&gt;Valores!$F$60,Valores!$F$60,Valores!$D$60*'Escala Docente'!D218)/2)</f>
        <v>880.81666666666672</v>
      </c>
      <c r="AI218" s="140">
        <f>IF($H$5="NO",IF(Valores!$D$62*D218&gt;Valores!$F$62,Valores!$F$62,Valores!$D$62*D218),IF(Valores!$D$62*D218&gt;Valores!$F$62,Valores!$F$62,Valores!$D$62*D218)/2)</f>
        <v>251.91666666666666</v>
      </c>
      <c r="AJ218" s="146">
        <f t="shared" si="42"/>
        <v>63051.30333333333</v>
      </c>
      <c r="AK218" s="154">
        <f>IF(Valores!$C$38*D218&gt;Valores!$F$38,Valores!$F$38,Valores!$C$38*D218)</f>
        <v>2268.25</v>
      </c>
      <c r="AL218" s="143">
        <f>IF(Valores!$C$88*D218&gt;Valores!$C$87,Valores!$C$87,Valores!$C$88*D218)</f>
        <v>2843.7499999999995</v>
      </c>
      <c r="AM218" s="143"/>
      <c r="AN218" s="145">
        <f>IF($H$4="NO",0,IF(Valores!$C$58*D218&gt;Valores!$F$58,Valores!$F$58,Valores!$C$58*D218))</f>
        <v>0</v>
      </c>
      <c r="AO218" s="147">
        <f t="shared" si="43"/>
        <v>5112</v>
      </c>
      <c r="AP218" s="148">
        <f>AJ218*Valores!$C$69</f>
        <v>-6935.6433666666662</v>
      </c>
      <c r="AQ218" s="149">
        <f>AJ218*-Valores!$C$70</f>
        <v>0</v>
      </c>
      <c r="AR218" s="142">
        <f>AJ218*Valores!$C$71</f>
        <v>-2837.3086499999999</v>
      </c>
      <c r="AS218" s="142">
        <f>Valores!$C$95</f>
        <v>-193.38</v>
      </c>
      <c r="AT218" s="142">
        <f>IF($H$6=0,Valores!$C$96,(Valores!$C$96+$H$6*(Valores!$C$96)))</f>
        <v>-129</v>
      </c>
      <c r="AU218" s="146">
        <f t="shared" si="44"/>
        <v>58067.971316666662</v>
      </c>
      <c r="AV218" s="199">
        <f t="shared" si="40"/>
        <v>-6935.6433666666662</v>
      </c>
      <c r="AW218" s="142">
        <f>AJ218*Valores!$C$72</f>
        <v>-1702.38519</v>
      </c>
      <c r="AX218" s="142">
        <f>AJ218*Valores!$C$73</f>
        <v>-189.15391</v>
      </c>
      <c r="AY218" s="146">
        <f t="shared" si="45"/>
        <v>59336.120866666664</v>
      </c>
      <c r="AZ218" s="150"/>
      <c r="BA218" s="150">
        <f t="shared" si="36"/>
        <v>100</v>
      </c>
      <c r="BB218" s="135" t="s">
        <v>4</v>
      </c>
    </row>
    <row r="219" spans="1:54" s="114" customFormat="1" ht="11.25" customHeight="1" x14ac:dyDescent="0.15">
      <c r="A219" s="134">
        <v>217</v>
      </c>
      <c r="B219" s="134"/>
      <c r="C219" s="135" t="s">
        <v>496</v>
      </c>
      <c r="D219" s="135">
        <v>26</v>
      </c>
      <c r="E219" s="135">
        <f t="shared" si="37"/>
        <v>37</v>
      </c>
      <c r="F219" s="136" t="str">
        <f t="shared" si="34"/>
        <v>Hora Cátedra Enseñanza Superior 26 hs</v>
      </c>
      <c r="G219" s="137">
        <f t="shared" si="35"/>
        <v>2574</v>
      </c>
      <c r="H219" s="138">
        <f>INT((G219*Valores!$C$2*100)+0.5)/100</f>
        <v>31986.33</v>
      </c>
      <c r="I219" s="156">
        <v>0</v>
      </c>
      <c r="J219" s="140">
        <f>INT((I219*Valores!$C$2*100)+0.5)/100</f>
        <v>0</v>
      </c>
      <c r="K219" s="155">
        <v>0</v>
      </c>
      <c r="L219" s="140">
        <f>INT((K219*Valores!$C$2*100)+0.5)/100</f>
        <v>0</v>
      </c>
      <c r="M219" s="153">
        <v>0</v>
      </c>
      <c r="N219" s="140">
        <f>INT((M219*Valores!$C$2*100)+0.5)/100</f>
        <v>0</v>
      </c>
      <c r="O219" s="140">
        <f t="shared" si="38"/>
        <v>5660.9415000000008</v>
      </c>
      <c r="P219" s="140">
        <f t="shared" si="39"/>
        <v>0</v>
      </c>
      <c r="Q219" s="154">
        <f>Valores!$C$14*D219</f>
        <v>10956.92</v>
      </c>
      <c r="R219" s="154">
        <f>IF(D219&lt;15,(Valores!$E$4*D219),Valores!$D$4)</f>
        <v>6352.5280000000002</v>
      </c>
      <c r="S219" s="140">
        <v>0</v>
      </c>
      <c r="T219" s="143">
        <f>IF($H$5="NO",IF(Valores!$C$47*D219&gt;Valores!$C$45,Valores!$C$45,Valores!$C$47*D219),IF(Valores!$C$47*D219&gt;Valores!$C$45,Valores!$C$45,Valores!$C$47*D219)/2)</f>
        <v>2306.98</v>
      </c>
      <c r="U219" s="154">
        <f>Valores!$C$24*D219</f>
        <v>3446.3</v>
      </c>
      <c r="V219" s="140">
        <f t="shared" si="33"/>
        <v>3446.3</v>
      </c>
      <c r="W219" s="140">
        <v>0</v>
      </c>
      <c r="X219" s="140">
        <v>0</v>
      </c>
      <c r="Y219" s="160">
        <v>0</v>
      </c>
      <c r="Z219" s="140">
        <f>Y219*Valores!$C$2</f>
        <v>0</v>
      </c>
      <c r="AA219" s="140">
        <v>0</v>
      </c>
      <c r="AB219" s="143">
        <f>IF(Valores!$C$93*D219&gt;Valores!$C$92,Valores!$C$92,Valores!$C$93*D219)</f>
        <v>2935.14</v>
      </c>
      <c r="AC219" s="145">
        <f>IF((Valores!$C$34)*D219&gt;Valores!$F$34,Valores!$F$34,(Valores!$C$34)*D219)</f>
        <v>270.66000000000003</v>
      </c>
      <c r="AD219" s="140">
        <f t="shared" si="41"/>
        <v>0</v>
      </c>
      <c r="AE219" s="140">
        <f>IF(Valores!$C$35*D219&gt;Valores!$F$35,Valores!$F$35,Valores!$C$35*D219)</f>
        <v>225.42</v>
      </c>
      <c r="AF219" s="144">
        <v>0</v>
      </c>
      <c r="AG219" s="140">
        <f>INT(((AF219*Valores!$C$2)*100)+0.5)/100</f>
        <v>0</v>
      </c>
      <c r="AH219" s="140">
        <f>IF($H$5="NO",IF(Valores!$D$60*'Escala Docente'!D219&gt;Valores!$F$60,Valores!$F$60,Valores!$D$60*'Escala Docente'!D219),IF(Valores!$D$60*'Escala Docente'!D219&gt;Valores!$F$60,Valores!$F$60,Valores!$D$60*'Escala Docente'!D219)/2)</f>
        <v>916.04933333333338</v>
      </c>
      <c r="AI219" s="140">
        <f>IF($H$5="NO",IF(Valores!$D$62*D219&gt;Valores!$F$62,Valores!$F$62,Valores!$D$62*D219),IF(Valores!$D$62*D219&gt;Valores!$F$62,Valores!$F$62,Valores!$D$62*D219)/2)</f>
        <v>261.99333333333334</v>
      </c>
      <c r="AJ219" s="146">
        <f t="shared" si="42"/>
        <v>65319.262166666675</v>
      </c>
      <c r="AK219" s="154">
        <f>IF(Valores!$C$38*D219&gt;Valores!$F$38,Valores!$F$38,Valores!$C$38*D219)</f>
        <v>2358.98</v>
      </c>
      <c r="AL219" s="143">
        <f>IF(Valores!$C$88*D219&gt;Valores!$C$87,Valores!$C$87,Valores!$C$88*D219)</f>
        <v>2957.4999999999995</v>
      </c>
      <c r="AM219" s="143"/>
      <c r="AN219" s="145">
        <f>IF($H$4="NO",0,IF(Valores!$C$58*D219&gt;Valores!$F$58,Valores!$F$58,Valores!$C$58*D219))</f>
        <v>0</v>
      </c>
      <c r="AO219" s="147">
        <f t="shared" si="43"/>
        <v>5316.48</v>
      </c>
      <c r="AP219" s="148">
        <f>AJ219*Valores!$C$69</f>
        <v>-7185.1188383333347</v>
      </c>
      <c r="AQ219" s="149">
        <f>AJ219*-Valores!$C$70</f>
        <v>0</v>
      </c>
      <c r="AR219" s="142">
        <f>AJ219*Valores!$C$71</f>
        <v>-2939.3667975000003</v>
      </c>
      <c r="AS219" s="142">
        <f>Valores!$C$95</f>
        <v>-193.38</v>
      </c>
      <c r="AT219" s="142">
        <f>IF($H$6=0,Valores!$C$96,(Valores!$C$96+$H$6*(Valores!$C$96)))</f>
        <v>-129</v>
      </c>
      <c r="AU219" s="146">
        <f t="shared" si="44"/>
        <v>60188.876530833339</v>
      </c>
      <c r="AV219" s="199">
        <f t="shared" si="40"/>
        <v>-7185.1188383333347</v>
      </c>
      <c r="AW219" s="142">
        <f>AJ219*Valores!$C$72</f>
        <v>-1763.6200785000001</v>
      </c>
      <c r="AX219" s="142">
        <f>AJ219*Valores!$C$73</f>
        <v>-195.95778650000003</v>
      </c>
      <c r="AY219" s="146">
        <f t="shared" si="45"/>
        <v>61491.045463333343</v>
      </c>
      <c r="AZ219" s="150"/>
      <c r="BA219" s="150">
        <f t="shared" si="36"/>
        <v>104</v>
      </c>
      <c r="BB219" s="135" t="s">
        <v>8</v>
      </c>
    </row>
    <row r="220" spans="1:54" s="114" customFormat="1" ht="11.25" customHeight="1" x14ac:dyDescent="0.15">
      <c r="A220" s="134">
        <v>218</v>
      </c>
      <c r="B220" s="134"/>
      <c r="C220" s="135" t="s">
        <v>496</v>
      </c>
      <c r="D220" s="135">
        <v>27</v>
      </c>
      <c r="E220" s="135">
        <f t="shared" si="37"/>
        <v>37</v>
      </c>
      <c r="F220" s="136" t="str">
        <f t="shared" si="34"/>
        <v>Hora Cátedra Enseñanza Superior 27 hs</v>
      </c>
      <c r="G220" s="137">
        <f t="shared" si="35"/>
        <v>2673</v>
      </c>
      <c r="H220" s="138">
        <f>INT((G220*Valores!$C$2*100)+0.5)/100</f>
        <v>33216.57</v>
      </c>
      <c r="I220" s="156">
        <v>0</v>
      </c>
      <c r="J220" s="140">
        <f>INT((I220*Valores!$C$2*100)+0.5)/100</f>
        <v>0</v>
      </c>
      <c r="K220" s="155">
        <v>0</v>
      </c>
      <c r="L220" s="140">
        <f>INT((K220*Valores!$C$2*100)+0.5)/100</f>
        <v>0</v>
      </c>
      <c r="M220" s="153">
        <v>0</v>
      </c>
      <c r="N220" s="140">
        <f>INT((M220*Valores!$C$2*100)+0.5)/100</f>
        <v>0</v>
      </c>
      <c r="O220" s="140">
        <f t="shared" si="38"/>
        <v>5878.6694999999991</v>
      </c>
      <c r="P220" s="140">
        <f t="shared" si="39"/>
        <v>0</v>
      </c>
      <c r="Q220" s="154">
        <f>Valores!$C$14*D220</f>
        <v>11378.34</v>
      </c>
      <c r="R220" s="154">
        <f>IF(D220&lt;15,(Valores!$E$4*D220),Valores!$D$4)</f>
        <v>6352.5280000000002</v>
      </c>
      <c r="S220" s="140">
        <v>0</v>
      </c>
      <c r="T220" s="143">
        <f>IF($H$5="NO",IF(Valores!$C$47*D220&gt;Valores!$C$45,Valores!$C$45,Valores!$C$47*D220),IF(Valores!$C$47*D220&gt;Valores!$C$45,Valores!$C$45,Valores!$C$47*D220)/2)</f>
        <v>2395.71</v>
      </c>
      <c r="U220" s="143">
        <f>Valores!$C$24*D220</f>
        <v>3578.8500000000004</v>
      </c>
      <c r="V220" s="140">
        <f t="shared" si="33"/>
        <v>3578.8500000000004</v>
      </c>
      <c r="W220" s="140">
        <v>0</v>
      </c>
      <c r="X220" s="140">
        <v>0</v>
      </c>
      <c r="Y220" s="160">
        <v>0</v>
      </c>
      <c r="Z220" s="140">
        <f>Y220*Valores!$C$2</f>
        <v>0</v>
      </c>
      <c r="AA220" s="140">
        <v>0</v>
      </c>
      <c r="AB220" s="143">
        <f>IF(Valores!$C$93*D220&gt;Valores!$C$92,Valores!$C$92,Valores!$C$93*D220)</f>
        <v>3048.03</v>
      </c>
      <c r="AC220" s="145">
        <f>IF((Valores!$C$34)*D220&gt;Valores!$F$34,Valores!$F$34,(Valores!$C$34)*D220)</f>
        <v>281.07</v>
      </c>
      <c r="AD220" s="140">
        <f t="shared" si="41"/>
        <v>0</v>
      </c>
      <c r="AE220" s="140">
        <f>IF(Valores!$C$35*D220&gt;Valores!$F$35,Valores!$F$35,Valores!$C$35*D220)</f>
        <v>234.09</v>
      </c>
      <c r="AF220" s="144">
        <v>0</v>
      </c>
      <c r="AG220" s="140">
        <f>INT(((AF220*Valores!$C$2)*100)+0.5)/100</f>
        <v>0</v>
      </c>
      <c r="AH220" s="140">
        <f>IF($H$5="NO",IF(Valores!$D$60*'Escala Docente'!D220&gt;Valores!$F$60,Valores!$F$60,Valores!$D$60*'Escala Docente'!D220),IF(Valores!$D$60*'Escala Docente'!D220&gt;Valores!$F$60,Valores!$F$60,Valores!$D$60*'Escala Docente'!D220)/2)</f>
        <v>951.28200000000004</v>
      </c>
      <c r="AI220" s="140">
        <f>IF($H$5="NO",IF(Valores!$D$62*D220&gt;Valores!$F$62,Valores!$F$62,Valores!$D$62*D220),IF(Valores!$D$62*D220&gt;Valores!$F$62,Valores!$F$62,Valores!$D$62*D220)/2)</f>
        <v>272.07</v>
      </c>
      <c r="AJ220" s="146">
        <f t="shared" si="42"/>
        <v>67587.209499999983</v>
      </c>
      <c r="AK220" s="154">
        <f>IF(Valores!$C$38*D220&gt;Valores!$F$38,Valores!$F$38,Valores!$C$38*D220)</f>
        <v>2449.71</v>
      </c>
      <c r="AL220" s="143">
        <f>IF(Valores!$C$88*D220&gt;Valores!$C$87,Valores!$C$87,Valores!$C$88*D220)</f>
        <v>3071.2499999999995</v>
      </c>
      <c r="AM220" s="143"/>
      <c r="AN220" s="145">
        <f>IF($H$4="NO",0,IF(Valores!$C$58*D220&gt;Valores!$F$58,Valores!$F$58,Valores!$C$58*D220))</f>
        <v>0</v>
      </c>
      <c r="AO220" s="147">
        <f t="shared" si="43"/>
        <v>5520.9599999999991</v>
      </c>
      <c r="AP220" s="148">
        <f>AJ220*Valores!$C$69</f>
        <v>-7434.5930449999978</v>
      </c>
      <c r="AQ220" s="149">
        <f>AJ220*-Valores!$C$70</f>
        <v>0</v>
      </c>
      <c r="AR220" s="142">
        <f>AJ220*Valores!$C$71</f>
        <v>-3041.4244274999992</v>
      </c>
      <c r="AS220" s="142">
        <f>Valores!$C$95</f>
        <v>-193.38</v>
      </c>
      <c r="AT220" s="142">
        <f>IF($H$6=0,Valores!$C$96,(Valores!$C$96+$H$6*(Valores!$C$96)))</f>
        <v>-129</v>
      </c>
      <c r="AU220" s="146">
        <f t="shared" si="44"/>
        <v>62309.772027499988</v>
      </c>
      <c r="AV220" s="199">
        <f t="shared" si="40"/>
        <v>-7434.5930449999978</v>
      </c>
      <c r="AW220" s="142">
        <f>AJ220*Valores!$C$72</f>
        <v>-1824.8546564999995</v>
      </c>
      <c r="AX220" s="142">
        <f>AJ220*Valores!$C$73</f>
        <v>-202.76162849999994</v>
      </c>
      <c r="AY220" s="146">
        <f t="shared" si="45"/>
        <v>63645.960169999991</v>
      </c>
      <c r="AZ220" s="150"/>
      <c r="BA220" s="150">
        <f t="shared" si="36"/>
        <v>108</v>
      </c>
      <c r="BB220" s="135" t="s">
        <v>8</v>
      </c>
    </row>
    <row r="221" spans="1:54" s="114" customFormat="1" ht="11.25" customHeight="1" x14ac:dyDescent="0.15">
      <c r="A221" s="134">
        <v>219</v>
      </c>
      <c r="B221" s="134"/>
      <c r="C221" s="135" t="s">
        <v>496</v>
      </c>
      <c r="D221" s="135">
        <v>28</v>
      </c>
      <c r="E221" s="135">
        <f t="shared" si="37"/>
        <v>37</v>
      </c>
      <c r="F221" s="136" t="str">
        <f t="shared" si="34"/>
        <v>Hora Cátedra Enseñanza Superior 28 hs</v>
      </c>
      <c r="G221" s="137">
        <f t="shared" si="35"/>
        <v>2772</v>
      </c>
      <c r="H221" s="138">
        <f>INT((G221*Valores!$C$2*100)+0.5)/100</f>
        <v>34446.81</v>
      </c>
      <c r="I221" s="156">
        <v>0</v>
      </c>
      <c r="J221" s="140">
        <f>INT((I221*Valores!$C$2*100)+0.5)/100</f>
        <v>0</v>
      </c>
      <c r="K221" s="155">
        <v>0</v>
      </c>
      <c r="L221" s="140">
        <f>INT((K221*Valores!$C$2*100)+0.5)/100</f>
        <v>0</v>
      </c>
      <c r="M221" s="153">
        <v>0</v>
      </c>
      <c r="N221" s="140">
        <f>INT((M221*Valores!$C$2*100)+0.5)/100</f>
        <v>0</v>
      </c>
      <c r="O221" s="140">
        <f t="shared" si="38"/>
        <v>6096.3975</v>
      </c>
      <c r="P221" s="140">
        <f t="shared" si="39"/>
        <v>0</v>
      </c>
      <c r="Q221" s="154">
        <f>Valores!$C$14*D221</f>
        <v>11799.76</v>
      </c>
      <c r="R221" s="154">
        <f>IF(D221&lt;15,(Valores!$E$4*D221),Valores!$D$4)</f>
        <v>6352.5280000000002</v>
      </c>
      <c r="S221" s="140">
        <v>0</v>
      </c>
      <c r="T221" s="143">
        <f>IF($H$5="NO",IF(Valores!$C$47*D221&gt;Valores!$C$45,Valores!$C$45,Valores!$C$47*D221),IF(Valores!$C$47*D221&gt;Valores!$C$45,Valores!$C$45,Valores!$C$47*D221)/2)</f>
        <v>2484.44</v>
      </c>
      <c r="U221" s="154">
        <f>Valores!$C$24*D221</f>
        <v>3711.4000000000005</v>
      </c>
      <c r="V221" s="140">
        <f t="shared" si="33"/>
        <v>3711.4000000000005</v>
      </c>
      <c r="W221" s="140">
        <v>0</v>
      </c>
      <c r="X221" s="140">
        <v>0</v>
      </c>
      <c r="Y221" s="160">
        <v>0</v>
      </c>
      <c r="Z221" s="140">
        <f>Y221*Valores!$C$2</f>
        <v>0</v>
      </c>
      <c r="AA221" s="140">
        <v>0</v>
      </c>
      <c r="AB221" s="143">
        <f>IF(Valores!$C$93*D221&gt;Valores!$C$92,Valores!$C$92,Valores!$C$93*D221)</f>
        <v>3160.92</v>
      </c>
      <c r="AC221" s="145">
        <f>IF((Valores!$C$34)*D221&gt;Valores!$F$34,Valores!$F$34,(Valores!$C$34)*D221)</f>
        <v>291.48</v>
      </c>
      <c r="AD221" s="140">
        <f t="shared" si="41"/>
        <v>0</v>
      </c>
      <c r="AE221" s="140">
        <f>IF(Valores!$C$35*D221&gt;Valores!$F$35,Valores!$F$35,Valores!$C$35*D221)</f>
        <v>242.76</v>
      </c>
      <c r="AF221" s="144">
        <v>0</v>
      </c>
      <c r="AG221" s="140">
        <f>INT(((AF221*Valores!$C$2)*100)+0.5)/100</f>
        <v>0</v>
      </c>
      <c r="AH221" s="140">
        <f>IF($H$5="NO",IF(Valores!$D$60*'Escala Docente'!D221&gt;Valores!$F$60,Valores!$F$60,Valores!$D$60*'Escala Docente'!D221),IF(Valores!$D$60*'Escala Docente'!D221&gt;Valores!$F$60,Valores!$F$60,Valores!$D$60*'Escala Docente'!D221)/2)</f>
        <v>986.5146666666667</v>
      </c>
      <c r="AI221" s="140">
        <f>IF($H$5="NO",IF(Valores!$D$62*D221&gt;Valores!$F$62,Valores!$F$62,Valores!$D$62*D221),IF(Valores!$D$62*D221&gt;Valores!$F$62,Valores!$F$62,Valores!$D$62*D221)/2)</f>
        <v>282.14666666666665</v>
      </c>
      <c r="AJ221" s="146">
        <f t="shared" si="42"/>
        <v>69855.156833333342</v>
      </c>
      <c r="AK221" s="154">
        <f>IF(Valores!$C$38*D221&gt;Valores!$F$38,Valores!$F$38,Valores!$C$38*D221)</f>
        <v>2540.44</v>
      </c>
      <c r="AL221" s="143">
        <f>IF(Valores!$C$88*D221&gt;Valores!$C$87,Valores!$C$87,Valores!$C$88*D221)</f>
        <v>3184.9999999999995</v>
      </c>
      <c r="AM221" s="143"/>
      <c r="AN221" s="145">
        <f>IF($H$4="NO",0,IF(Valores!$C$58*D221&gt;Valores!$F$58,Valores!$F$58,Valores!$C$58*D221))</f>
        <v>0</v>
      </c>
      <c r="AO221" s="147">
        <f t="shared" si="43"/>
        <v>5725.44</v>
      </c>
      <c r="AP221" s="148">
        <f>AJ221*Valores!$C$69</f>
        <v>-7684.0672516666673</v>
      </c>
      <c r="AQ221" s="149">
        <f>AJ221*-Valores!$C$70</f>
        <v>0</v>
      </c>
      <c r="AR221" s="142">
        <f>AJ221*Valores!$C$71</f>
        <v>-3143.4820575000003</v>
      </c>
      <c r="AS221" s="142">
        <f>Valores!$C$95</f>
        <v>-193.38</v>
      </c>
      <c r="AT221" s="142">
        <f>IF($H$6=0,Valores!$C$96,(Valores!$C$96+$H$6*(Valores!$C$96)))</f>
        <v>-129</v>
      </c>
      <c r="AU221" s="146">
        <f t="shared" si="44"/>
        <v>64430.667524166674</v>
      </c>
      <c r="AV221" s="199">
        <f t="shared" si="40"/>
        <v>-7684.0672516666673</v>
      </c>
      <c r="AW221" s="142">
        <f>AJ221*Valores!$C$72</f>
        <v>-1886.0892345000002</v>
      </c>
      <c r="AX221" s="142">
        <f>AJ221*Valores!$C$73</f>
        <v>-209.56547050000003</v>
      </c>
      <c r="AY221" s="146">
        <f t="shared" si="45"/>
        <v>65800.874876666683</v>
      </c>
      <c r="AZ221" s="150"/>
      <c r="BA221" s="150">
        <f t="shared" si="36"/>
        <v>112</v>
      </c>
      <c r="BB221" s="135" t="s">
        <v>8</v>
      </c>
    </row>
    <row r="222" spans="1:54" s="114" customFormat="1" ht="11.25" customHeight="1" x14ac:dyDescent="0.15">
      <c r="A222" s="152">
        <v>220</v>
      </c>
      <c r="B222" s="152" t="s">
        <v>139</v>
      </c>
      <c r="C222" s="135" t="s">
        <v>496</v>
      </c>
      <c r="D222" s="135">
        <v>29</v>
      </c>
      <c r="E222" s="135">
        <f t="shared" si="37"/>
        <v>37</v>
      </c>
      <c r="F222" s="136" t="str">
        <f t="shared" si="34"/>
        <v>Hora Cátedra Enseñanza Superior 29 hs</v>
      </c>
      <c r="G222" s="137">
        <f t="shared" si="35"/>
        <v>2871</v>
      </c>
      <c r="H222" s="138">
        <f>INT((G222*Valores!$C$2*100)+0.5)/100</f>
        <v>35677.06</v>
      </c>
      <c r="I222" s="156">
        <v>0</v>
      </c>
      <c r="J222" s="140">
        <f>INT((I222*Valores!$C$2*100)+0.5)/100</f>
        <v>0</v>
      </c>
      <c r="K222" s="155">
        <v>0</v>
      </c>
      <c r="L222" s="140">
        <f>INT((K222*Valores!$C$2*100)+0.5)/100</f>
        <v>0</v>
      </c>
      <c r="M222" s="153">
        <v>0</v>
      </c>
      <c r="N222" s="140">
        <f>INT((M222*Valores!$C$2*100)+0.5)/100</f>
        <v>0</v>
      </c>
      <c r="O222" s="140">
        <f t="shared" si="38"/>
        <v>6314.1269999999986</v>
      </c>
      <c r="P222" s="140">
        <f t="shared" si="39"/>
        <v>0</v>
      </c>
      <c r="Q222" s="154">
        <f>Valores!$C$14*D222</f>
        <v>12221.18</v>
      </c>
      <c r="R222" s="154">
        <f>IF(D222&lt;15,(Valores!$E$4*D222),Valores!$D$4)</f>
        <v>6352.5280000000002</v>
      </c>
      <c r="S222" s="140">
        <v>0</v>
      </c>
      <c r="T222" s="143">
        <f>IF($H$5="NO",IF(Valores!$C$47*D222&gt;Valores!$C$45,Valores!$C$45,Valores!$C$47*D222),IF(Valores!$C$47*D222&gt;Valores!$C$45,Valores!$C$45,Valores!$C$47*D222)/2)</f>
        <v>2573.17</v>
      </c>
      <c r="U222" s="143">
        <f>Valores!$C$24*D222</f>
        <v>3843.9500000000003</v>
      </c>
      <c r="V222" s="140">
        <f t="shared" si="33"/>
        <v>3843.9500000000003</v>
      </c>
      <c r="W222" s="140">
        <v>0</v>
      </c>
      <c r="X222" s="140">
        <v>0</v>
      </c>
      <c r="Y222" s="160">
        <v>0</v>
      </c>
      <c r="Z222" s="140">
        <f>Y222*Valores!$C$2</f>
        <v>0</v>
      </c>
      <c r="AA222" s="140">
        <v>0</v>
      </c>
      <c r="AB222" s="143">
        <f>IF(Valores!$C$93*D222&gt;Valores!$C$92,Valores!$C$92,Valores!$C$93*D222)</f>
        <v>3273.81</v>
      </c>
      <c r="AC222" s="145">
        <f>IF((Valores!$C$34)*D222&gt;Valores!$F$34,Valores!$F$34,(Valores!$C$34)*D222)</f>
        <v>301.89</v>
      </c>
      <c r="AD222" s="140">
        <f t="shared" si="41"/>
        <v>0</v>
      </c>
      <c r="AE222" s="140">
        <f>IF(Valores!$C$35*D222&gt;Valores!$F$35,Valores!$F$35,Valores!$C$35*D222)</f>
        <v>251.43</v>
      </c>
      <c r="AF222" s="144">
        <v>0</v>
      </c>
      <c r="AG222" s="140">
        <f>INT(((AF222*Valores!$C$2)*100)+0.5)/100</f>
        <v>0</v>
      </c>
      <c r="AH222" s="140">
        <f>IF($H$5="NO",IF(Valores!$D$60*'Escala Docente'!D222&gt;Valores!$F$60,Valores!$F$60,Valores!$D$60*'Escala Docente'!D222),IF(Valores!$D$60*'Escala Docente'!D222&gt;Valores!$F$60,Valores!$F$60,Valores!$D$60*'Escala Docente'!D222)/2)</f>
        <v>1021.7473333333334</v>
      </c>
      <c r="AI222" s="140">
        <f>IF($H$5="NO",IF(Valores!$D$62*D222&gt;Valores!$F$62,Valores!$F$62,Valores!$D$62*D222),IF(Valores!$D$62*D222&gt;Valores!$F$62,Valores!$F$62,Valores!$D$62*D222)/2)</f>
        <v>292.2233333333333</v>
      </c>
      <c r="AJ222" s="146">
        <f t="shared" si="42"/>
        <v>72123.11566666665</v>
      </c>
      <c r="AK222" s="154">
        <f>IF(Valores!$C$38*D222&gt;Valores!$F$38,Valores!$F$38,Valores!$C$38*D222)</f>
        <v>2631.17</v>
      </c>
      <c r="AL222" s="143">
        <f>IF(Valores!$C$88*D222&gt;Valores!$C$87,Valores!$C$87,Valores!$C$88*D222)</f>
        <v>3298.7499999999995</v>
      </c>
      <c r="AM222" s="143"/>
      <c r="AN222" s="145">
        <f>IF($H$4="NO",0,IF(Valores!$C$58*D222&gt;Valores!$F$58,Valores!$F$58,Valores!$C$58*D222))</f>
        <v>0</v>
      </c>
      <c r="AO222" s="147">
        <f t="shared" si="43"/>
        <v>5929.92</v>
      </c>
      <c r="AP222" s="148">
        <f>AJ222*Valores!$C$69</f>
        <v>-7933.5427233333312</v>
      </c>
      <c r="AQ222" s="149">
        <f>AJ222*-Valores!$C$70</f>
        <v>0</v>
      </c>
      <c r="AR222" s="142">
        <f>AJ222*Valores!$C$71</f>
        <v>-3245.5402049999993</v>
      </c>
      <c r="AS222" s="142">
        <f>Valores!$C$95</f>
        <v>-193.38</v>
      </c>
      <c r="AT222" s="142">
        <f>IF($H$6=0,Valores!$C$96,(Valores!$C$96+$H$6*(Valores!$C$96)))</f>
        <v>-129</v>
      </c>
      <c r="AU222" s="146">
        <f t="shared" si="44"/>
        <v>66551.572738333314</v>
      </c>
      <c r="AV222" s="199">
        <f t="shared" si="40"/>
        <v>-7933.5427233333312</v>
      </c>
      <c r="AW222" s="142">
        <f>AJ222*Valores!$C$72</f>
        <v>-1947.3241229999996</v>
      </c>
      <c r="AX222" s="142">
        <f>AJ222*Valores!$C$73</f>
        <v>-216.36934699999995</v>
      </c>
      <c r="AY222" s="146">
        <f t="shared" si="45"/>
        <v>67955.799473333318</v>
      </c>
      <c r="AZ222" s="150"/>
      <c r="BA222" s="150">
        <f t="shared" si="36"/>
        <v>116</v>
      </c>
      <c r="BB222" s="135" t="s">
        <v>8</v>
      </c>
    </row>
    <row r="223" spans="1:54" s="114" customFormat="1" ht="11.25" customHeight="1" x14ac:dyDescent="0.15">
      <c r="A223" s="134">
        <v>221</v>
      </c>
      <c r="B223" s="134"/>
      <c r="C223" s="135" t="s">
        <v>496</v>
      </c>
      <c r="D223" s="135">
        <v>30</v>
      </c>
      <c r="E223" s="135">
        <f t="shared" si="37"/>
        <v>37</v>
      </c>
      <c r="F223" s="136" t="str">
        <f t="shared" si="34"/>
        <v>Hora Cátedra Enseñanza Superior 30 hs</v>
      </c>
      <c r="G223" s="137">
        <f t="shared" si="35"/>
        <v>2970</v>
      </c>
      <c r="H223" s="138">
        <f>INT((G223*Valores!$C$2*100)+0.5)/100</f>
        <v>36907.300000000003</v>
      </c>
      <c r="I223" s="156">
        <v>0</v>
      </c>
      <c r="J223" s="140">
        <f>INT((I223*Valores!$C$2*100)+0.5)/100</f>
        <v>0</v>
      </c>
      <c r="K223" s="155">
        <v>0</v>
      </c>
      <c r="L223" s="140">
        <f>INT((K223*Valores!$C$2*100)+0.5)/100</f>
        <v>0</v>
      </c>
      <c r="M223" s="153">
        <v>0</v>
      </c>
      <c r="N223" s="140">
        <f>INT((M223*Valores!$C$2*100)+0.5)/100</f>
        <v>0</v>
      </c>
      <c r="O223" s="140">
        <f t="shared" si="38"/>
        <v>6531.8550000000005</v>
      </c>
      <c r="P223" s="140">
        <f t="shared" si="39"/>
        <v>0</v>
      </c>
      <c r="Q223" s="154">
        <f>Valores!$C$14*D223</f>
        <v>12642.6</v>
      </c>
      <c r="R223" s="154">
        <f>IF(D223&lt;15,(Valores!$E$4*D223),Valores!$D$4)</f>
        <v>6352.5280000000002</v>
      </c>
      <c r="S223" s="140">
        <v>0</v>
      </c>
      <c r="T223" s="143">
        <f>IF($H$5="NO",IF(Valores!$C$47*D223&gt;Valores!$C$45,Valores!$C$45,Valores!$C$47*D223),IF(Valores!$C$47*D223&gt;Valores!$C$45,Valores!$C$45,Valores!$C$47*D223)/2)</f>
        <v>2661.9</v>
      </c>
      <c r="U223" s="154">
        <f>Valores!$C$24*D223</f>
        <v>3976.5000000000005</v>
      </c>
      <c r="V223" s="140">
        <f t="shared" si="33"/>
        <v>3976.5000000000005</v>
      </c>
      <c r="W223" s="140">
        <v>0</v>
      </c>
      <c r="X223" s="140">
        <v>0</v>
      </c>
      <c r="Y223" s="160">
        <v>0</v>
      </c>
      <c r="Z223" s="140">
        <f>Y223*Valores!$C$2</f>
        <v>0</v>
      </c>
      <c r="AA223" s="140">
        <v>0</v>
      </c>
      <c r="AB223" s="143">
        <f>IF(Valores!$C$93*D223&gt;Valores!$C$92,Valores!$C$92,Valores!$C$93*D223)</f>
        <v>3386.7</v>
      </c>
      <c r="AC223" s="145">
        <f>IF((Valores!$C$34)*D223&gt;Valores!$F$34,Valores!$F$34,(Valores!$C$34)*D223)</f>
        <v>312.3</v>
      </c>
      <c r="AD223" s="140">
        <f t="shared" si="41"/>
        <v>0</v>
      </c>
      <c r="AE223" s="140">
        <f>IF(Valores!$C$35*D223&gt;Valores!$F$35,Valores!$F$35,Valores!$C$35*D223)</f>
        <v>259.82</v>
      </c>
      <c r="AF223" s="144">
        <v>0</v>
      </c>
      <c r="AG223" s="140">
        <f>INT(((AF223*Valores!$C$2)*100)+0.5)/100</f>
        <v>0</v>
      </c>
      <c r="AH223" s="140">
        <f>IF($H$5="NO",IF(Valores!$D$60*'Escala Docente'!D223&gt;Valores!$F$60,Valores!$F$60,Valores!$D$60*'Escala Docente'!D223),IF(Valores!$D$60*'Escala Docente'!D223&gt;Valores!$F$60,Valores!$F$60,Valores!$D$60*'Escala Docente'!D223)/2)</f>
        <v>1056.98</v>
      </c>
      <c r="AI223" s="140">
        <f>IF($H$5="NO",IF(Valores!$D$62*D223&gt;Valores!$F$62,Valores!$F$62,Valores!$D$62*D223),IF(Valores!$D$62*D223&gt;Valores!$F$62,Valores!$F$62,Valores!$D$62*D223)/2)</f>
        <v>302</v>
      </c>
      <c r="AJ223" s="146">
        <f t="shared" si="42"/>
        <v>74390.483000000007</v>
      </c>
      <c r="AK223" s="154">
        <f>IF(Valores!$C$38*D223&gt;Valores!$F$38,Valores!$F$38,Valores!$C$38*D223)</f>
        <v>2721.7700000000004</v>
      </c>
      <c r="AL223" s="143">
        <f>IF(Valores!$C$88*D223&gt;Valores!$C$87,Valores!$C$87,Valores!$C$88*D223)</f>
        <v>3412.4999999999995</v>
      </c>
      <c r="AM223" s="143"/>
      <c r="AN223" s="145">
        <f>IF($H$4="NO",0,IF(Valores!$C$58*D223&gt;Valores!$F$58,Valores!$F$58,Valores!$C$58*D223))</f>
        <v>0</v>
      </c>
      <c r="AO223" s="147">
        <f t="shared" si="43"/>
        <v>6134.27</v>
      </c>
      <c r="AP223" s="148">
        <f>AJ223*Valores!$C$69</f>
        <v>-8182.9531300000008</v>
      </c>
      <c r="AQ223" s="149">
        <f>AJ223*-Valores!$C$70</f>
        <v>0</v>
      </c>
      <c r="AR223" s="142">
        <f>AJ223*Valores!$C$71</f>
        <v>-3347.571735</v>
      </c>
      <c r="AS223" s="142">
        <f>Valores!$C$95</f>
        <v>-193.38</v>
      </c>
      <c r="AT223" s="142">
        <f>IF($H$6=0,Valores!$C$96,(Valores!$C$96+$H$6*(Valores!$C$96)))</f>
        <v>-129</v>
      </c>
      <c r="AU223" s="146">
        <f t="shared" si="44"/>
        <v>68671.848135000007</v>
      </c>
      <c r="AV223" s="199">
        <f t="shared" si="40"/>
        <v>-8182.9531300000008</v>
      </c>
      <c r="AW223" s="142">
        <f>AJ223*Valores!$C$72</f>
        <v>-2008.5430410000001</v>
      </c>
      <c r="AX223" s="142">
        <f>AJ223*Valores!$C$73</f>
        <v>-223.17144900000002</v>
      </c>
      <c r="AY223" s="146">
        <f t="shared" si="45"/>
        <v>70110.085380000004</v>
      </c>
      <c r="AZ223" s="150"/>
      <c r="BA223" s="150">
        <f t="shared" si="36"/>
        <v>120</v>
      </c>
      <c r="BB223" s="135" t="s">
        <v>4</v>
      </c>
    </row>
    <row r="224" spans="1:54" s="114" customFormat="1" ht="11.25" customHeight="1" x14ac:dyDescent="0.15">
      <c r="A224" s="134">
        <v>222</v>
      </c>
      <c r="B224" s="134"/>
      <c r="C224" s="135" t="s">
        <v>496</v>
      </c>
      <c r="D224" s="135">
        <v>31</v>
      </c>
      <c r="E224" s="135">
        <f t="shared" si="37"/>
        <v>37</v>
      </c>
      <c r="F224" s="136" t="str">
        <f t="shared" si="34"/>
        <v>Hora Cátedra Enseñanza Superior 31 hs</v>
      </c>
      <c r="G224" s="137">
        <f t="shared" si="35"/>
        <v>3069</v>
      </c>
      <c r="H224" s="138">
        <f>INT((G224*Valores!$C$2*100)+0.5)/100</f>
        <v>38137.54</v>
      </c>
      <c r="I224" s="156">
        <v>0</v>
      </c>
      <c r="J224" s="140">
        <f>INT((I224*Valores!$C$2*100)+0.5)/100</f>
        <v>0</v>
      </c>
      <c r="K224" s="155">
        <v>0</v>
      </c>
      <c r="L224" s="140">
        <f>INT((K224*Valores!$C$2*100)+0.5)/100</f>
        <v>0</v>
      </c>
      <c r="M224" s="153">
        <v>0</v>
      </c>
      <c r="N224" s="140">
        <f>INT((M224*Valores!$C$2*100)+0.5)/100</f>
        <v>0</v>
      </c>
      <c r="O224" s="140">
        <f t="shared" si="38"/>
        <v>6749.5829999999996</v>
      </c>
      <c r="P224" s="140">
        <f t="shared" si="39"/>
        <v>0</v>
      </c>
      <c r="Q224" s="154">
        <f>Valores!$C$14*D224</f>
        <v>13064.02</v>
      </c>
      <c r="R224" s="154">
        <f>IF(D224&lt;15,(Valores!$E$4*D224),Valores!$D$4)</f>
        <v>6352.5280000000002</v>
      </c>
      <c r="S224" s="140">
        <v>0</v>
      </c>
      <c r="T224" s="143">
        <f>IF($H$5="NO",IF(Valores!$C$47*D224&gt;Valores!$C$45,Valores!$C$45,Valores!$C$47*D224),IF(Valores!$C$47*D224&gt;Valores!$C$45,Valores!$C$45,Valores!$C$47*D224)/2)</f>
        <v>2750.63</v>
      </c>
      <c r="U224" s="143">
        <f>Valores!$C$24*D224</f>
        <v>4109.05</v>
      </c>
      <c r="V224" s="140">
        <f t="shared" si="33"/>
        <v>4109.05</v>
      </c>
      <c r="W224" s="140">
        <v>0</v>
      </c>
      <c r="X224" s="140">
        <v>0</v>
      </c>
      <c r="Y224" s="160">
        <v>0</v>
      </c>
      <c r="Z224" s="140">
        <f>Y224*Valores!$C$2</f>
        <v>0</v>
      </c>
      <c r="AA224" s="140">
        <v>0</v>
      </c>
      <c r="AB224" s="143">
        <f>IF(Valores!$C$93*D224&gt;Valores!$C$92,Valores!$C$92,Valores!$C$93*D224)</f>
        <v>3499.59</v>
      </c>
      <c r="AC224" s="145">
        <f>IF((Valores!$C$34)*D224&gt;Valores!$F$34,Valores!$F$34,(Valores!$C$34)*D224)</f>
        <v>322.70999999999998</v>
      </c>
      <c r="AD224" s="140">
        <f t="shared" si="41"/>
        <v>0</v>
      </c>
      <c r="AE224" s="140">
        <f>IF(Valores!$C$35*D224&gt;Valores!$F$35,Valores!$F$35,Valores!$C$35*D224)</f>
        <v>259.82</v>
      </c>
      <c r="AF224" s="144">
        <v>0</v>
      </c>
      <c r="AG224" s="140">
        <f>INT(((AF224*Valores!$C$2)*100)+0.5)/100</f>
        <v>0</v>
      </c>
      <c r="AH224" s="140">
        <f>IF($H$5="NO",IF(Valores!$D$60*'Escala Docente'!D224&gt;Valores!$F$60,Valores!$F$60,Valores!$D$60*'Escala Docente'!D224),IF(Valores!$D$60*'Escala Docente'!D224&gt;Valores!$F$60,Valores!$F$60,Valores!$D$60*'Escala Docente'!D224)/2)</f>
        <v>1056.98</v>
      </c>
      <c r="AI224" s="140">
        <f>IF($H$5="NO",IF(Valores!$D$62*D224&gt;Valores!$F$62,Valores!$F$62,Valores!$D$62*D224),IF(Valores!$D$62*D224&gt;Valores!$F$62,Valores!$F$62,Valores!$D$62*D224)/2)</f>
        <v>302</v>
      </c>
      <c r="AJ224" s="146">
        <f t="shared" si="42"/>
        <v>76604.451000000001</v>
      </c>
      <c r="AK224" s="154">
        <f>IF(Valores!$C$38*D224&gt;Valores!$F$38,Valores!$F$38,Valores!$C$38*D224)</f>
        <v>2721.7700000000004</v>
      </c>
      <c r="AL224" s="143">
        <f>IF(Valores!$C$88*D224&gt;Valores!$C$87,Valores!$C$87,Valores!$C$88*D224)</f>
        <v>3526.2499999999995</v>
      </c>
      <c r="AM224" s="143"/>
      <c r="AN224" s="145">
        <f>IF($H$4="NO",0,IF(Valores!$C$58*D224&gt;Valores!$F$58,Valores!$F$58,Valores!$C$58*D224))</f>
        <v>0</v>
      </c>
      <c r="AO224" s="147">
        <f t="shared" si="43"/>
        <v>6248.02</v>
      </c>
      <c r="AP224" s="148">
        <f>AJ224*Valores!$C$69</f>
        <v>-8426.4896100000005</v>
      </c>
      <c r="AQ224" s="149">
        <f>AJ224*-Valores!$C$70</f>
        <v>0</v>
      </c>
      <c r="AR224" s="142">
        <f>AJ224*Valores!$C$71</f>
        <v>-3447.2002950000001</v>
      </c>
      <c r="AS224" s="142">
        <f>Valores!$C$95</f>
        <v>-193.38</v>
      </c>
      <c r="AT224" s="142">
        <f>IF($H$6=0,Valores!$C$96,(Valores!$C$96+$H$6*(Valores!$C$96)))</f>
        <v>-129</v>
      </c>
      <c r="AU224" s="146">
        <f t="shared" si="44"/>
        <v>70656.401094999994</v>
      </c>
      <c r="AV224" s="199">
        <f t="shared" si="40"/>
        <v>-8426.4896100000005</v>
      </c>
      <c r="AW224" s="142">
        <f>AJ224*Valores!$C$72</f>
        <v>-2068.3201770000001</v>
      </c>
      <c r="AX224" s="142">
        <f>AJ224*Valores!$C$73</f>
        <v>-229.81335300000001</v>
      </c>
      <c r="AY224" s="146">
        <f t="shared" si="45"/>
        <v>72127.847860000009</v>
      </c>
      <c r="AZ224" s="150"/>
      <c r="BA224" s="150">
        <f t="shared" si="36"/>
        <v>124</v>
      </c>
      <c r="BB224" s="135" t="s">
        <v>8</v>
      </c>
    </row>
    <row r="225" spans="1:54" s="114" customFormat="1" ht="11.25" customHeight="1" x14ac:dyDescent="0.15">
      <c r="A225" s="134">
        <v>223</v>
      </c>
      <c r="B225" s="134"/>
      <c r="C225" s="135" t="s">
        <v>496</v>
      </c>
      <c r="D225" s="135">
        <v>32</v>
      </c>
      <c r="E225" s="135">
        <f t="shared" si="37"/>
        <v>37</v>
      </c>
      <c r="F225" s="136" t="str">
        <f t="shared" si="34"/>
        <v>Hora Cátedra Enseñanza Superior 32 hs</v>
      </c>
      <c r="G225" s="137">
        <f t="shared" si="35"/>
        <v>3168</v>
      </c>
      <c r="H225" s="138">
        <f>INT((G225*Valores!$C$2*100)+0.5)/100</f>
        <v>39367.79</v>
      </c>
      <c r="I225" s="156">
        <v>0</v>
      </c>
      <c r="J225" s="140">
        <f>INT((I225*Valores!$C$2*100)+0.5)/100</f>
        <v>0</v>
      </c>
      <c r="K225" s="155">
        <v>0</v>
      </c>
      <c r="L225" s="140">
        <f>INT((K225*Valores!$C$2*100)+0.5)/100</f>
        <v>0</v>
      </c>
      <c r="M225" s="153">
        <v>0</v>
      </c>
      <c r="N225" s="140">
        <f>INT((M225*Valores!$C$2*100)+0.5)/100</f>
        <v>0</v>
      </c>
      <c r="O225" s="140">
        <f t="shared" si="38"/>
        <v>6967.3125</v>
      </c>
      <c r="P225" s="140">
        <f t="shared" si="39"/>
        <v>0</v>
      </c>
      <c r="Q225" s="154">
        <f>Valores!$C$14*D225</f>
        <v>13485.44</v>
      </c>
      <c r="R225" s="154">
        <f>IF(D225&lt;15,(Valores!$E$4*D225),Valores!$D$4)</f>
        <v>6352.5280000000002</v>
      </c>
      <c r="S225" s="140">
        <v>0</v>
      </c>
      <c r="T225" s="143">
        <f>IF($H$5="NO",IF(Valores!$C$47*D225&gt;Valores!$C$45,Valores!$C$45,Valores!$C$47*D225),IF(Valores!$C$47*D225&gt;Valores!$C$45,Valores!$C$45,Valores!$C$47*D225)/2)</f>
        <v>2839.36</v>
      </c>
      <c r="U225" s="154">
        <f>Valores!$C$24*D225</f>
        <v>4241.6000000000004</v>
      </c>
      <c r="V225" s="140">
        <f t="shared" si="33"/>
        <v>4241.6000000000004</v>
      </c>
      <c r="W225" s="140">
        <v>0</v>
      </c>
      <c r="X225" s="140">
        <v>0</v>
      </c>
      <c r="Y225" s="160">
        <v>0</v>
      </c>
      <c r="Z225" s="140">
        <f>Y225*Valores!$C$2</f>
        <v>0</v>
      </c>
      <c r="AA225" s="140">
        <v>0</v>
      </c>
      <c r="AB225" s="143">
        <f>IF(Valores!$C$93*D225&gt;Valores!$C$92,Valores!$C$92,Valores!$C$93*D225)</f>
        <v>3612.48</v>
      </c>
      <c r="AC225" s="145">
        <f>IF((Valores!$C$34)*D225&gt;Valores!$F$34,Valores!$F$34,(Valores!$C$34)*D225)</f>
        <v>333.12</v>
      </c>
      <c r="AD225" s="140">
        <f t="shared" si="41"/>
        <v>0</v>
      </c>
      <c r="AE225" s="140">
        <f>IF(Valores!$C$35*D225&gt;Valores!$F$35,Valores!$F$35,Valores!$C$35*D225)</f>
        <v>259.82</v>
      </c>
      <c r="AF225" s="144">
        <v>0</v>
      </c>
      <c r="AG225" s="140">
        <f>INT(((AF225*Valores!$C$2)*100)+0.5)/100</f>
        <v>0</v>
      </c>
      <c r="AH225" s="140">
        <f>IF($H$5="NO",IF(Valores!$D$60*'Escala Docente'!D225&gt;Valores!$F$60,Valores!$F$60,Valores!$D$60*'Escala Docente'!D225),IF(Valores!$D$60*'Escala Docente'!D225&gt;Valores!$F$60,Valores!$F$60,Valores!$D$60*'Escala Docente'!D225)/2)</f>
        <v>1056.98</v>
      </c>
      <c r="AI225" s="140">
        <f>IF($H$5="NO",IF(Valores!$D$62*D225&gt;Valores!$F$62,Valores!$F$62,Valores!$D$62*D225),IF(Valores!$D$62*D225&gt;Valores!$F$62,Valores!$F$62,Valores!$D$62*D225)/2)</f>
        <v>302</v>
      </c>
      <c r="AJ225" s="146">
        <f t="shared" si="42"/>
        <v>78818.430500000002</v>
      </c>
      <c r="AK225" s="154">
        <f>IF(Valores!$C$38*D225&gt;Valores!$F$38,Valores!$F$38,Valores!$C$38*D225)</f>
        <v>2721.7700000000004</v>
      </c>
      <c r="AL225" s="143">
        <f>IF(Valores!$C$88*D225&gt;Valores!$C$87,Valores!$C$87,Valores!$C$88*D225)</f>
        <v>3639.9999999999995</v>
      </c>
      <c r="AM225" s="143"/>
      <c r="AN225" s="145">
        <f>IF($H$4="NO",0,IF(Valores!$C$58*D225&gt;Valores!$F$58,Valores!$F$58,Valores!$C$58*D225))</f>
        <v>0</v>
      </c>
      <c r="AO225" s="147">
        <f t="shared" si="43"/>
        <v>6361.77</v>
      </c>
      <c r="AP225" s="148">
        <f>AJ225*Valores!$C$69</f>
        <v>-8670.0273550000002</v>
      </c>
      <c r="AQ225" s="149">
        <f>AJ225*-Valores!$C$70</f>
        <v>0</v>
      </c>
      <c r="AR225" s="142">
        <f>AJ225*Valores!$C$71</f>
        <v>-3546.8293724999999</v>
      </c>
      <c r="AS225" s="142">
        <f>Valores!$C$95</f>
        <v>-193.38</v>
      </c>
      <c r="AT225" s="142">
        <f>IF($H$6=0,Valores!$C$96,(Valores!$C$96+$H$6*(Valores!$C$96)))</f>
        <v>-129</v>
      </c>
      <c r="AU225" s="146">
        <f t="shared" si="44"/>
        <v>72640.963772500007</v>
      </c>
      <c r="AV225" s="199">
        <f t="shared" si="40"/>
        <v>-8670.0273550000002</v>
      </c>
      <c r="AW225" s="142">
        <f>AJ225*Valores!$C$72</f>
        <v>-2128.0976234999998</v>
      </c>
      <c r="AX225" s="142">
        <f>AJ225*Valores!$C$73</f>
        <v>-236.45529150000002</v>
      </c>
      <c r="AY225" s="146">
        <f t="shared" si="45"/>
        <v>74145.62023</v>
      </c>
      <c r="AZ225" s="150"/>
      <c r="BA225" s="150">
        <f t="shared" si="36"/>
        <v>128</v>
      </c>
      <c r="BB225" s="135" t="s">
        <v>8</v>
      </c>
    </row>
    <row r="226" spans="1:54" s="114" customFormat="1" ht="11.25" customHeight="1" x14ac:dyDescent="0.15">
      <c r="A226" s="134">
        <v>224</v>
      </c>
      <c r="B226" s="134"/>
      <c r="C226" s="135" t="s">
        <v>496</v>
      </c>
      <c r="D226" s="135">
        <v>33</v>
      </c>
      <c r="E226" s="135">
        <f t="shared" si="37"/>
        <v>37</v>
      </c>
      <c r="F226" s="136" t="str">
        <f t="shared" si="34"/>
        <v>Hora Cátedra Enseñanza Superior 33 hs</v>
      </c>
      <c r="G226" s="137">
        <f t="shared" si="35"/>
        <v>3267</v>
      </c>
      <c r="H226" s="138">
        <f>INT((G226*Valores!$C$2*100)+0.5)/100</f>
        <v>40598.03</v>
      </c>
      <c r="I226" s="156">
        <v>0</v>
      </c>
      <c r="J226" s="140">
        <f>INT((I226*Valores!$C$2*100)+0.5)/100</f>
        <v>0</v>
      </c>
      <c r="K226" s="155">
        <v>0</v>
      </c>
      <c r="L226" s="140">
        <f>INT((K226*Valores!$C$2*100)+0.5)/100</f>
        <v>0</v>
      </c>
      <c r="M226" s="153">
        <v>0</v>
      </c>
      <c r="N226" s="140">
        <f>INT((M226*Valores!$C$2*100)+0.5)/100</f>
        <v>0</v>
      </c>
      <c r="O226" s="140">
        <f t="shared" si="38"/>
        <v>7185.0405000000001</v>
      </c>
      <c r="P226" s="140">
        <f t="shared" si="39"/>
        <v>0</v>
      </c>
      <c r="Q226" s="154">
        <f>Valores!$C$14*D226</f>
        <v>13906.86</v>
      </c>
      <c r="R226" s="154">
        <f>IF(D226&lt;15,(Valores!$E$4*D226),Valores!$D$4)</f>
        <v>6352.5280000000002</v>
      </c>
      <c r="S226" s="140">
        <v>0</v>
      </c>
      <c r="T226" s="143">
        <f>IF($H$5="NO",IF(Valores!$C$47*D226&gt;Valores!$C$45,Valores!$C$45,Valores!$C$47*D226),IF(Valores!$C$47*D226&gt;Valores!$C$45,Valores!$C$45,Valores!$C$47*D226)/2)</f>
        <v>2928.09</v>
      </c>
      <c r="U226" s="154">
        <f>Valores!$C$24*D226</f>
        <v>4374.1500000000005</v>
      </c>
      <c r="V226" s="140">
        <f t="shared" si="33"/>
        <v>4374.1500000000005</v>
      </c>
      <c r="W226" s="140">
        <v>0</v>
      </c>
      <c r="X226" s="140">
        <v>0</v>
      </c>
      <c r="Y226" s="160">
        <v>0</v>
      </c>
      <c r="Z226" s="140">
        <f>Y226*Valores!$C$2</f>
        <v>0</v>
      </c>
      <c r="AA226" s="140">
        <v>0</v>
      </c>
      <c r="AB226" s="143">
        <f>IF(Valores!$C$93*D226&gt;Valores!$C$92,Valores!$C$92,Valores!$C$93*D226)</f>
        <v>3725.37</v>
      </c>
      <c r="AC226" s="145">
        <f>IF((Valores!$C$34)*D226&gt;Valores!$F$34,Valores!$F$34,(Valores!$C$34)*D226)</f>
        <v>343.53000000000003</v>
      </c>
      <c r="AD226" s="140">
        <f t="shared" si="41"/>
        <v>0</v>
      </c>
      <c r="AE226" s="140">
        <f>IF(Valores!$C$35*D226&gt;Valores!$F$35,Valores!$F$35,Valores!$C$35*D226)</f>
        <v>259.82</v>
      </c>
      <c r="AF226" s="144">
        <v>0</v>
      </c>
      <c r="AG226" s="140">
        <f>INT(((AF226*Valores!$C$2)*100)+0.5)/100</f>
        <v>0</v>
      </c>
      <c r="AH226" s="140">
        <f>IF($H$5="NO",IF(Valores!$D$60*'Escala Docente'!D226&gt;Valores!$F$60,Valores!$F$60,Valores!$D$60*'Escala Docente'!D226),IF(Valores!$D$60*'Escala Docente'!D226&gt;Valores!$F$60,Valores!$F$60,Valores!$D$60*'Escala Docente'!D226)/2)</f>
        <v>1056.98</v>
      </c>
      <c r="AI226" s="140">
        <f>IF($H$5="NO",IF(Valores!$D$62*D226&gt;Valores!$F$62,Valores!$F$62,Valores!$D$62*D226),IF(Valores!$D$62*D226&gt;Valores!$F$62,Valores!$F$62,Valores!$D$62*D226)/2)</f>
        <v>302</v>
      </c>
      <c r="AJ226" s="146">
        <f t="shared" si="42"/>
        <v>81032.398499999996</v>
      </c>
      <c r="AK226" s="154">
        <f>IF(Valores!$C$38*D226&gt;Valores!$F$38,Valores!$F$38,Valores!$C$38*D226)</f>
        <v>2721.7700000000004</v>
      </c>
      <c r="AL226" s="143">
        <f>IF(Valores!$C$88*D226&gt;Valores!$C$87,Valores!$C$87,Valores!$C$88*D226)</f>
        <v>3753.7499999999995</v>
      </c>
      <c r="AM226" s="143"/>
      <c r="AN226" s="145">
        <f>IF($H$4="NO",0,IF(Valores!$C$58*D226&gt;Valores!$F$58,Valores!$F$58,Valores!$C$58*D226))</f>
        <v>0</v>
      </c>
      <c r="AO226" s="147">
        <f t="shared" si="43"/>
        <v>6475.52</v>
      </c>
      <c r="AP226" s="148">
        <f>AJ226*Valores!$C$69</f>
        <v>-8913.563834999999</v>
      </c>
      <c r="AQ226" s="149">
        <f>AJ226*-Valores!$C$70</f>
        <v>0</v>
      </c>
      <c r="AR226" s="142">
        <f>AJ226*Valores!$C$71</f>
        <v>-3646.4579324999995</v>
      </c>
      <c r="AS226" s="142">
        <f>Valores!$C$95</f>
        <v>-193.38</v>
      </c>
      <c r="AT226" s="142">
        <f>IF($H$6=0,Valores!$C$96,(Valores!$C$96+$H$6*(Valores!$C$96)))</f>
        <v>-129</v>
      </c>
      <c r="AU226" s="146">
        <f t="shared" si="44"/>
        <v>74625.516732499993</v>
      </c>
      <c r="AV226" s="199">
        <f t="shared" si="40"/>
        <v>-8913.563834999999</v>
      </c>
      <c r="AW226" s="142">
        <f>AJ226*Valores!$C$72</f>
        <v>-2187.8747595</v>
      </c>
      <c r="AX226" s="142">
        <f>AJ226*Valores!$C$73</f>
        <v>-243.0971955</v>
      </c>
      <c r="AY226" s="146">
        <f t="shared" si="45"/>
        <v>76163.382710000005</v>
      </c>
      <c r="AZ226" s="150"/>
      <c r="BA226" s="150">
        <f t="shared" ref="BA226:BA257" si="46">4*D226</f>
        <v>132</v>
      </c>
      <c r="BB226" s="135" t="s">
        <v>8</v>
      </c>
    </row>
    <row r="227" spans="1:54" s="114" customFormat="1" ht="11.25" customHeight="1" x14ac:dyDescent="0.15">
      <c r="A227" s="152">
        <v>225</v>
      </c>
      <c r="B227" s="152" t="s">
        <v>139</v>
      </c>
      <c r="C227" s="135" t="s">
        <v>496</v>
      </c>
      <c r="D227" s="135">
        <v>34</v>
      </c>
      <c r="E227" s="135">
        <f t="shared" si="37"/>
        <v>37</v>
      </c>
      <c r="F227" s="136" t="str">
        <f t="shared" si="34"/>
        <v>Hora Cátedra Enseñanza Superior 34 hs</v>
      </c>
      <c r="G227" s="137">
        <f t="shared" si="35"/>
        <v>3366</v>
      </c>
      <c r="H227" s="138">
        <f>INT((G227*Valores!$C$2*100)+0.5)/100</f>
        <v>41828.269999999997</v>
      </c>
      <c r="I227" s="156">
        <v>0</v>
      </c>
      <c r="J227" s="140">
        <f>INT((I227*Valores!$C$2*100)+0.5)/100</f>
        <v>0</v>
      </c>
      <c r="K227" s="155">
        <v>0</v>
      </c>
      <c r="L227" s="140">
        <f>INT((K227*Valores!$C$2*100)+0.5)/100</f>
        <v>0</v>
      </c>
      <c r="M227" s="153">
        <v>0</v>
      </c>
      <c r="N227" s="140">
        <f>INT((M227*Valores!$C$2*100)+0.5)/100</f>
        <v>0</v>
      </c>
      <c r="O227" s="140">
        <f t="shared" si="38"/>
        <v>7402.7685000000001</v>
      </c>
      <c r="P227" s="140">
        <f t="shared" si="39"/>
        <v>0</v>
      </c>
      <c r="Q227" s="154">
        <f>Valores!$C$14*D227</f>
        <v>14328.28</v>
      </c>
      <c r="R227" s="154">
        <f>IF(D227&lt;15,(Valores!$E$4*D227),Valores!$D$4)</f>
        <v>6352.5280000000002</v>
      </c>
      <c r="S227" s="140">
        <v>0</v>
      </c>
      <c r="T227" s="143">
        <f>IF($H$5="NO",IF(Valores!$C$47*D227&gt;Valores!$C$45,Valores!$C$45,Valores!$C$47*D227),IF(Valores!$C$47*D227&gt;Valores!$C$45,Valores!$C$45,Valores!$C$47*D227)/2)</f>
        <v>3016.82</v>
      </c>
      <c r="U227" s="154">
        <f>Valores!$C$24*D227</f>
        <v>4506.7000000000007</v>
      </c>
      <c r="V227" s="140">
        <f t="shared" si="33"/>
        <v>4506.7000000000007</v>
      </c>
      <c r="W227" s="140">
        <v>0</v>
      </c>
      <c r="X227" s="140">
        <v>0</v>
      </c>
      <c r="Y227" s="160">
        <v>0</v>
      </c>
      <c r="Z227" s="140">
        <f>Y227*Valores!$C$2</f>
        <v>0</v>
      </c>
      <c r="AA227" s="140">
        <v>0</v>
      </c>
      <c r="AB227" s="143">
        <f>IF(Valores!$C$93*D227&gt;Valores!$C$92,Valores!$C$92,Valores!$C$93*D227)</f>
        <v>3838.26</v>
      </c>
      <c r="AC227" s="145">
        <f>IF((Valores!$C$34)*D227&gt;Valores!$F$34,Valores!$F$34,(Valores!$C$34)*D227)</f>
        <v>353.94</v>
      </c>
      <c r="AD227" s="140">
        <f t="shared" si="41"/>
        <v>0</v>
      </c>
      <c r="AE227" s="140">
        <f>IF(Valores!$C$35*D227&gt;Valores!$F$35,Valores!$F$35,Valores!$C$35*D227)</f>
        <v>259.82</v>
      </c>
      <c r="AF227" s="144">
        <v>0</v>
      </c>
      <c r="AG227" s="140">
        <f>INT(((AF227*Valores!$C$2)*100)+0.5)/100</f>
        <v>0</v>
      </c>
      <c r="AH227" s="140">
        <f>IF($H$5="NO",IF(Valores!$D$60*'Escala Docente'!D227&gt;Valores!$F$60,Valores!$F$60,Valores!$D$60*'Escala Docente'!D227),IF(Valores!$D$60*'Escala Docente'!D227&gt;Valores!$F$60,Valores!$F$60,Valores!$D$60*'Escala Docente'!D227)/2)</f>
        <v>1056.98</v>
      </c>
      <c r="AI227" s="140">
        <f>IF($H$5="NO",IF(Valores!$D$62*D227&gt;Valores!$F$62,Valores!$F$62,Valores!$D$62*D227),IF(Valores!$D$62*D227&gt;Valores!$F$62,Valores!$F$62,Valores!$D$62*D227)/2)</f>
        <v>302</v>
      </c>
      <c r="AJ227" s="146">
        <f t="shared" si="42"/>
        <v>83246.366500000004</v>
      </c>
      <c r="AK227" s="154">
        <f>IF(Valores!$C$38*D227&gt;Valores!$F$38,Valores!$F$38,Valores!$C$38*D227)</f>
        <v>2721.7700000000004</v>
      </c>
      <c r="AL227" s="143">
        <f>IF(Valores!$C$88*D227&gt;Valores!$C$87,Valores!$C$87,Valores!$C$88*D227)</f>
        <v>3867.4999999999995</v>
      </c>
      <c r="AM227" s="143"/>
      <c r="AN227" s="145">
        <f>IF($H$4="NO",0,IF(Valores!$C$58*D227&gt;Valores!$F$58,Valores!$F$58,Valores!$C$58*D227))</f>
        <v>0</v>
      </c>
      <c r="AO227" s="147">
        <f t="shared" si="43"/>
        <v>6589.27</v>
      </c>
      <c r="AP227" s="148">
        <f>AJ227*Valores!$C$69</f>
        <v>-9157.1003149999997</v>
      </c>
      <c r="AQ227" s="149">
        <f>AJ227*-Valores!$C$70</f>
        <v>0</v>
      </c>
      <c r="AR227" s="142">
        <f>AJ227*Valores!$C$71</f>
        <v>-3746.0864925000001</v>
      </c>
      <c r="AS227" s="142">
        <f>Valores!$C$95</f>
        <v>-193.38</v>
      </c>
      <c r="AT227" s="142">
        <f>IF($H$6=0,Valores!$C$96,(Valores!$C$96+$H$6*(Valores!$C$96)))</f>
        <v>-129</v>
      </c>
      <c r="AU227" s="146">
        <f t="shared" si="44"/>
        <v>76610.069692500008</v>
      </c>
      <c r="AV227" s="199">
        <f t="shared" si="40"/>
        <v>-9157.1003149999997</v>
      </c>
      <c r="AW227" s="142">
        <f>AJ227*Valores!$C$72</f>
        <v>-2247.6518955000001</v>
      </c>
      <c r="AX227" s="142">
        <f>AJ227*Valores!$C$73</f>
        <v>-249.73909950000001</v>
      </c>
      <c r="AY227" s="146">
        <f t="shared" si="45"/>
        <v>78181.14519000001</v>
      </c>
      <c r="AZ227" s="150"/>
      <c r="BA227" s="150">
        <f t="shared" si="46"/>
        <v>136</v>
      </c>
      <c r="BB227" s="135" t="s">
        <v>8</v>
      </c>
    </row>
    <row r="228" spans="1:54" s="114" customFormat="1" ht="11.25" customHeight="1" x14ac:dyDescent="0.15">
      <c r="A228" s="134">
        <v>226</v>
      </c>
      <c r="B228" s="134"/>
      <c r="C228" s="135" t="s">
        <v>496</v>
      </c>
      <c r="D228" s="135">
        <v>35</v>
      </c>
      <c r="E228" s="135">
        <f t="shared" si="37"/>
        <v>37</v>
      </c>
      <c r="F228" s="136" t="str">
        <f t="shared" si="34"/>
        <v>Hora Cátedra Enseñanza Superior 35 hs</v>
      </c>
      <c r="G228" s="137">
        <f t="shared" si="35"/>
        <v>3465</v>
      </c>
      <c r="H228" s="138">
        <f>INT((G228*Valores!$C$2*100)+0.5)/100</f>
        <v>43058.52</v>
      </c>
      <c r="I228" s="156">
        <v>0</v>
      </c>
      <c r="J228" s="140">
        <f>INT((I228*Valores!$C$2*100)+0.5)/100</f>
        <v>0</v>
      </c>
      <c r="K228" s="155">
        <v>0</v>
      </c>
      <c r="L228" s="140">
        <f>INT((K228*Valores!$C$2*100)+0.5)/100</f>
        <v>0</v>
      </c>
      <c r="M228" s="153">
        <v>0</v>
      </c>
      <c r="N228" s="140">
        <f>INT((M228*Valores!$C$2*100)+0.5)/100</f>
        <v>0</v>
      </c>
      <c r="O228" s="140">
        <f t="shared" si="38"/>
        <v>7619.6804999999986</v>
      </c>
      <c r="P228" s="140">
        <f t="shared" si="39"/>
        <v>0</v>
      </c>
      <c r="Q228" s="154">
        <f>Valores!$C$14*D228</f>
        <v>14749.7</v>
      </c>
      <c r="R228" s="154">
        <f>IF(D228&lt;15,(Valores!$E$4*D228),Valores!$D$4)</f>
        <v>6352.5280000000002</v>
      </c>
      <c r="S228" s="140">
        <v>0</v>
      </c>
      <c r="T228" s="143">
        <f>IF($H$5="NO",IF(Valores!$C$47*D228&gt;Valores!$C$45,Valores!$C$45,Valores!$C$47*D228),IF(Valores!$C$47*D228&gt;Valores!$C$45,Valores!$C$45,Valores!$C$47*D228)/2)</f>
        <v>3100.1</v>
      </c>
      <c r="U228" s="154">
        <f>Valores!$C$24*D228</f>
        <v>4639.25</v>
      </c>
      <c r="V228" s="140">
        <f t="shared" si="33"/>
        <v>4639.25</v>
      </c>
      <c r="W228" s="140">
        <v>0</v>
      </c>
      <c r="X228" s="140">
        <v>0</v>
      </c>
      <c r="Y228" s="160">
        <v>0</v>
      </c>
      <c r="Z228" s="140">
        <f>Y228*Valores!$C$2</f>
        <v>0</v>
      </c>
      <c r="AA228" s="140">
        <v>0</v>
      </c>
      <c r="AB228" s="143">
        <f>IF(Valores!$C$93*D228&gt;Valores!$C$92,Valores!$C$92,Valores!$C$93*D228)</f>
        <v>3951.15</v>
      </c>
      <c r="AC228" s="145">
        <f>IF((Valores!$C$34)*D228&gt;Valores!$F$34,Valores!$F$34,(Valores!$C$34)*D228)</f>
        <v>364.35</v>
      </c>
      <c r="AD228" s="140">
        <f t="shared" si="41"/>
        <v>0</v>
      </c>
      <c r="AE228" s="140">
        <f>IF(Valores!$C$35*D228&gt;Valores!$F$35,Valores!$F$35,Valores!$C$35*D228)</f>
        <v>259.82</v>
      </c>
      <c r="AF228" s="144">
        <v>0</v>
      </c>
      <c r="AG228" s="140">
        <f>INT(((AF228*Valores!$C$2)*100)+0.5)/100</f>
        <v>0</v>
      </c>
      <c r="AH228" s="140">
        <f>IF($H$5="NO",IF(Valores!$D$60*'Escala Docente'!D228&gt;Valores!$F$60,Valores!$F$60,Valores!$D$60*'Escala Docente'!D228),IF(Valores!$D$60*'Escala Docente'!D228&gt;Valores!$F$60,Valores!$F$60,Valores!$D$60*'Escala Docente'!D228)/2)</f>
        <v>1056.98</v>
      </c>
      <c r="AI228" s="140">
        <f>IF($H$5="NO",IF(Valores!$D$62*D228&gt;Valores!$F$62,Valores!$F$62,Valores!$D$62*D228),IF(Valores!$D$62*D228&gt;Valores!$F$62,Valores!$F$62,Valores!$D$62*D228)/2)</f>
        <v>302</v>
      </c>
      <c r="AJ228" s="146">
        <f t="shared" si="42"/>
        <v>85454.078500000003</v>
      </c>
      <c r="AK228" s="154">
        <f>IF(Valores!$C$38*D228&gt;Valores!$F$38,Valores!$F$38,Valores!$C$38*D228)</f>
        <v>2721.7700000000004</v>
      </c>
      <c r="AL228" s="143">
        <f>IF(Valores!$C$88*D228&gt;Valores!$C$87,Valores!$C$87,Valores!$C$88*D228)</f>
        <v>3981.2499999999995</v>
      </c>
      <c r="AM228" s="143"/>
      <c r="AN228" s="145">
        <f>IF($H$4="NO",0,IF(Valores!$C$58*D228&gt;Valores!$F$58,Valores!$F$58,Valores!$C$58*D228))</f>
        <v>0</v>
      </c>
      <c r="AO228" s="147">
        <f t="shared" si="43"/>
        <v>6703.02</v>
      </c>
      <c r="AP228" s="148">
        <f>AJ228*Valores!$C$69</f>
        <v>-9399.9486350000006</v>
      </c>
      <c r="AQ228" s="149">
        <f>AJ228*-Valores!$C$70</f>
        <v>0</v>
      </c>
      <c r="AR228" s="142">
        <f>AJ228*Valores!$C$71</f>
        <v>-3845.4335325000002</v>
      </c>
      <c r="AS228" s="142">
        <f>Valores!$C$95</f>
        <v>-193.38</v>
      </c>
      <c r="AT228" s="142">
        <f>IF($H$6=0,Valores!$C$96,(Valores!$C$96+$H$6*(Valores!$C$96)))</f>
        <v>-129</v>
      </c>
      <c r="AU228" s="146">
        <f t="shared" si="44"/>
        <v>78589.33633250001</v>
      </c>
      <c r="AV228" s="199">
        <f t="shared" si="40"/>
        <v>-9399.9486350000006</v>
      </c>
      <c r="AW228" s="142">
        <f>AJ228*Valores!$C$72</f>
        <v>-2307.2601195000002</v>
      </c>
      <c r="AX228" s="142">
        <f>AJ228*Valores!$C$73</f>
        <v>-256.3622355</v>
      </c>
      <c r="AY228" s="146">
        <f t="shared" si="45"/>
        <v>80193.52751</v>
      </c>
      <c r="AZ228" s="150"/>
      <c r="BA228" s="150">
        <f t="shared" si="46"/>
        <v>140</v>
      </c>
      <c r="BB228" s="135" t="s">
        <v>8</v>
      </c>
    </row>
    <row r="229" spans="1:54" s="114" customFormat="1" ht="11.25" customHeight="1" x14ac:dyDescent="0.15">
      <c r="A229" s="134">
        <v>227</v>
      </c>
      <c r="B229" s="134"/>
      <c r="C229" s="135" t="s">
        <v>496</v>
      </c>
      <c r="D229" s="135">
        <v>36</v>
      </c>
      <c r="E229" s="135">
        <f t="shared" si="37"/>
        <v>37</v>
      </c>
      <c r="F229" s="136" t="str">
        <f t="shared" si="34"/>
        <v>Hora Cátedra Enseñanza Superior 36 hs</v>
      </c>
      <c r="G229" s="137">
        <f t="shared" si="35"/>
        <v>3564</v>
      </c>
      <c r="H229" s="138">
        <f>INT((G229*Valores!$C$2*100)+0.5)/100</f>
        <v>44288.76</v>
      </c>
      <c r="I229" s="156">
        <v>0</v>
      </c>
      <c r="J229" s="140">
        <f>INT((I229*Valores!$C$2*100)+0.5)/100</f>
        <v>0</v>
      </c>
      <c r="K229" s="155">
        <v>0</v>
      </c>
      <c r="L229" s="140">
        <f>INT((K229*Valores!$C$2*100)+0.5)/100</f>
        <v>0</v>
      </c>
      <c r="M229" s="153">
        <v>0</v>
      </c>
      <c r="N229" s="140">
        <f>INT((M229*Valores!$C$2*100)+0.5)/100</f>
        <v>0</v>
      </c>
      <c r="O229" s="140">
        <f t="shared" si="38"/>
        <v>7824.0990000000002</v>
      </c>
      <c r="P229" s="140">
        <f t="shared" si="39"/>
        <v>0</v>
      </c>
      <c r="Q229" s="154">
        <f>Valores!$C$14*D229</f>
        <v>15171.12</v>
      </c>
      <c r="R229" s="154">
        <f>IF(D229&lt;15,(Valores!$E$4*D229),Valores!$D$4)</f>
        <v>6352.5280000000002</v>
      </c>
      <c r="S229" s="140">
        <v>0</v>
      </c>
      <c r="T229" s="143">
        <f>IF($H$5="NO",IF(Valores!$C$47*D229&gt;Valores!$C$45,Valores!$C$45,Valores!$C$47*D229),IF(Valores!$C$47*D229&gt;Valores!$C$45,Valores!$C$45,Valores!$C$47*D229)/2)</f>
        <v>3100.1</v>
      </c>
      <c r="U229" s="154">
        <f>Valores!$C$24*D229</f>
        <v>4771.8</v>
      </c>
      <c r="V229" s="140">
        <f t="shared" si="33"/>
        <v>4771.8</v>
      </c>
      <c r="W229" s="140">
        <v>0</v>
      </c>
      <c r="X229" s="140">
        <v>0</v>
      </c>
      <c r="Y229" s="160">
        <v>0</v>
      </c>
      <c r="Z229" s="140">
        <f>Y229*Valores!$C$2</f>
        <v>0</v>
      </c>
      <c r="AA229" s="140">
        <v>0</v>
      </c>
      <c r="AB229" s="143">
        <f>IF(Valores!$C$93*D229&gt;Valores!$C$92,Valores!$C$92,Valores!$C$93*D229)</f>
        <v>4064.04</v>
      </c>
      <c r="AC229" s="145">
        <f>IF((Valores!$C$34)*D229&gt;Valores!$F$34,Valores!$F$34,(Valores!$C$34)*D229)</f>
        <v>374.76</v>
      </c>
      <c r="AD229" s="140">
        <f t="shared" si="41"/>
        <v>0</v>
      </c>
      <c r="AE229" s="140">
        <f>IF(Valores!$C$35*D229&gt;Valores!$F$35,Valores!$F$35,Valores!$C$35*D229)</f>
        <v>259.82</v>
      </c>
      <c r="AF229" s="144">
        <v>0</v>
      </c>
      <c r="AG229" s="140">
        <f>INT(((AF229*Valores!$C$2)*100)+0.5)/100</f>
        <v>0</v>
      </c>
      <c r="AH229" s="140">
        <f>IF($H$5="NO",IF(Valores!$D$60*'Escala Docente'!D229&gt;Valores!$F$60,Valores!$F$60,Valores!$D$60*'Escala Docente'!D229),IF(Valores!$D$60*'Escala Docente'!D229&gt;Valores!$F$60,Valores!$F$60,Valores!$D$60*'Escala Docente'!D229)/2)</f>
        <v>1056.98</v>
      </c>
      <c r="AI229" s="140">
        <f>IF($H$5="NO",IF(Valores!$D$62*D229&gt;Valores!$F$62,Valores!$F$62,Valores!$D$62*D229),IF(Valores!$D$62*D229&gt;Valores!$F$62,Valores!$F$62,Valores!$D$62*D229)/2)</f>
        <v>302</v>
      </c>
      <c r="AJ229" s="146">
        <f t="shared" si="42"/>
        <v>87566.007000000012</v>
      </c>
      <c r="AK229" s="154">
        <f>IF(Valores!$C$38*D229&gt;Valores!$F$38,Valores!$F$38,Valores!$C$38*D229)</f>
        <v>2721.7700000000004</v>
      </c>
      <c r="AL229" s="143">
        <f>IF(Valores!$C$88*D229&gt;Valores!$C$87,Valores!$C$87,Valores!$C$88*D229)</f>
        <v>4094.9999999999995</v>
      </c>
      <c r="AM229" s="143"/>
      <c r="AN229" s="145">
        <f>IF($H$4="NO",0,IF(Valores!$C$58*D229&gt;Valores!$F$58,Valores!$F$58,Valores!$C$58*D229))</f>
        <v>0</v>
      </c>
      <c r="AO229" s="147">
        <f t="shared" si="43"/>
        <v>6816.77</v>
      </c>
      <c r="AP229" s="148">
        <f>AJ229*Valores!$C$69</f>
        <v>-9632.2607700000008</v>
      </c>
      <c r="AQ229" s="149">
        <f>AJ229*-Valores!$C$70</f>
        <v>0</v>
      </c>
      <c r="AR229" s="142">
        <f>AJ229*Valores!$C$71</f>
        <v>-3940.4703150000005</v>
      </c>
      <c r="AS229" s="142">
        <f>Valores!$C$95</f>
        <v>-193.38</v>
      </c>
      <c r="AT229" s="142">
        <f>IF($H$6=0,Valores!$C$96,(Valores!$C$96+$H$6*(Valores!$C$96)))</f>
        <v>-129</v>
      </c>
      <c r="AU229" s="146">
        <f t="shared" si="44"/>
        <v>80487.665915000005</v>
      </c>
      <c r="AV229" s="199">
        <f t="shared" si="40"/>
        <v>-9632.2607700000008</v>
      </c>
      <c r="AW229" s="142">
        <f>AJ229*Valores!$C$72</f>
        <v>-2364.2821890000005</v>
      </c>
      <c r="AX229" s="142">
        <f>AJ229*Valores!$C$73</f>
        <v>-262.69802100000004</v>
      </c>
      <c r="AY229" s="146">
        <f t="shared" si="45"/>
        <v>82123.536020000014</v>
      </c>
      <c r="AZ229" s="150"/>
      <c r="BA229" s="150">
        <f t="shared" si="46"/>
        <v>144</v>
      </c>
      <c r="BB229" s="135" t="s">
        <v>8</v>
      </c>
    </row>
    <row r="230" spans="1:54" s="114" customFormat="1" ht="11.25" customHeight="1" x14ac:dyDescent="0.15">
      <c r="A230" s="134">
        <v>228</v>
      </c>
      <c r="B230" s="134"/>
      <c r="C230" s="135" t="s">
        <v>497</v>
      </c>
      <c r="D230" s="135">
        <v>1</v>
      </c>
      <c r="E230" s="135">
        <f t="shared" si="37"/>
        <v>33</v>
      </c>
      <c r="F230" s="136" t="str">
        <f>CONCATENATE("Hora Cátedra Enseñanza Media ",D230," hs")</f>
        <v>Hora Cátedra Enseñanza Media 1 hs</v>
      </c>
      <c r="G230" s="137">
        <f t="shared" ref="G230:G261" si="47">79*D230</f>
        <v>79</v>
      </c>
      <c r="H230" s="138">
        <f>INT((G230*Valores!$C$2*100)+0.49)/100</f>
        <v>981.71</v>
      </c>
      <c r="I230" s="156">
        <v>0</v>
      </c>
      <c r="J230" s="140">
        <f>INT((I230*Valores!$C$2*100)+0.5)/100</f>
        <v>0</v>
      </c>
      <c r="K230" s="155">
        <v>0</v>
      </c>
      <c r="L230" s="140">
        <f>INT((K230*Valores!$C$2*100)+0.5)/100</f>
        <v>0</v>
      </c>
      <c r="M230" s="153">
        <v>0</v>
      </c>
      <c r="N230" s="140">
        <f>INT((M230*Valores!$C$2*100)+0.5)/100</f>
        <v>0</v>
      </c>
      <c r="O230" s="140">
        <f t="shared" si="38"/>
        <v>180.4485</v>
      </c>
      <c r="P230" s="140">
        <f t="shared" si="39"/>
        <v>0</v>
      </c>
      <c r="Q230" s="154">
        <f>Valores!$C$14*D230</f>
        <v>421.42</v>
      </c>
      <c r="R230" s="154">
        <f>IF(D230&lt;15,(Valores!$E$4*D230),Valores!$D$4)</f>
        <v>423.50186666666667</v>
      </c>
      <c r="S230" s="140">
        <v>0</v>
      </c>
      <c r="T230" s="143">
        <f>IF($H$5="NO",IF(Valores!$C$47*D230&gt;Valores!$C$45,Valores!$C$45,Valores!$C$47*D230),IF(Valores!$C$47*D230&gt;Valores!$C$45,Valores!$C$45,Valores!$C$47*D230)/2)</f>
        <v>88.73</v>
      </c>
      <c r="U230" s="154">
        <f>Valores!$C$24*D230</f>
        <v>132.55000000000001</v>
      </c>
      <c r="V230" s="140">
        <f>U230*(1+$J$2)</f>
        <v>132.55000000000001</v>
      </c>
      <c r="W230" s="140">
        <v>0</v>
      </c>
      <c r="X230" s="140">
        <v>0</v>
      </c>
      <c r="Y230" s="160">
        <v>0</v>
      </c>
      <c r="Z230" s="140">
        <f>Y230*Valores!$C$2</f>
        <v>0</v>
      </c>
      <c r="AA230" s="140">
        <v>0</v>
      </c>
      <c r="AB230" s="143">
        <f>IF(Valores!$C$93*D230&gt;Valores!$C$92,Valores!$C$92,Valores!$C$93*D230)</f>
        <v>112.89</v>
      </c>
      <c r="AC230" s="145">
        <f>IF((Valores!$C$34)*D230&gt;Valores!$F$34,Valores!$F$34,(Valores!$C$34)*D230)</f>
        <v>10.41</v>
      </c>
      <c r="AD230" s="140">
        <f t="shared" si="41"/>
        <v>0</v>
      </c>
      <c r="AE230" s="140">
        <f>IF(Valores!$C$35*D230&gt;Valores!$F$35,Valores!$F$35,Valores!$C$35*D230)</f>
        <v>8.67</v>
      </c>
      <c r="AF230" s="144">
        <v>0</v>
      </c>
      <c r="AG230" s="140">
        <f>INT(((AF230*Valores!$C$2)*100)+0.5)/100</f>
        <v>0</v>
      </c>
      <c r="AH230" s="140">
        <f>IF($H$5="NO",IF(Valores!$D$60*'Escala Docente'!D230&gt;Valores!$F$60,Valores!$F$60,Valores!$D$60*'Escala Docente'!D230),IF(Valores!$D$60*'Escala Docente'!D230&gt;Valores!$F$60,Valores!$F$60,Valores!$D$60*'Escala Docente'!D230)/2)</f>
        <v>35.232666666666667</v>
      </c>
      <c r="AI230" s="140">
        <f>IF($H$5="NO",IF(Valores!$D$62*D230&gt;Valores!$F$62,Valores!$F$62,Valores!$D$62*D230),IF(Valores!$D$62*D230&gt;Valores!$F$62,Valores!$F$62,Valores!$D$62*D230)/2)</f>
        <v>10.076666666666666</v>
      </c>
      <c r="AJ230" s="146">
        <f t="shared" si="42"/>
        <v>2405.6397000000002</v>
      </c>
      <c r="AK230" s="154">
        <f>IF(Valores!$C$38*D230&gt;Valores!$F$38,Valores!$F$38,Valores!$C$38*D230)</f>
        <v>90.73</v>
      </c>
      <c r="AL230" s="143">
        <f>IF(Valores!$C$88*D230&gt;Valores!$C$87,Valores!$C$87,Valores!$C$88*D230)</f>
        <v>113.74999999999999</v>
      </c>
      <c r="AM230" s="143"/>
      <c r="AN230" s="145">
        <f>IF($H$4="NO",0,IF(Valores!$C$59*D230&gt;Valores!$F$59,Valores!$F$59,Valores!$C$59*D230))</f>
        <v>0</v>
      </c>
      <c r="AO230" s="147">
        <f t="shared" si="43"/>
        <v>204.48</v>
      </c>
      <c r="AP230" s="148">
        <f>AJ230*Valores!$C$69</f>
        <v>-264.62036700000004</v>
      </c>
      <c r="AQ230" s="149">
        <f>AJ230*-Valores!$C$70</f>
        <v>0</v>
      </c>
      <c r="AR230" s="142">
        <f>AJ230*Valores!$C$71</f>
        <v>-108.2537865</v>
      </c>
      <c r="AS230" s="142">
        <f>Valores!$C$95</f>
        <v>-193.38</v>
      </c>
      <c r="AT230" s="142">
        <f>IF($H$6=0,Valores!$C$96,(Valores!$C$96+$H$6*(Valores!$C$96)))</f>
        <v>-129</v>
      </c>
      <c r="AU230" s="146">
        <f t="shared" si="44"/>
        <v>1914.8655465000002</v>
      </c>
      <c r="AV230" s="199">
        <f t="shared" si="40"/>
        <v>-264.62036700000004</v>
      </c>
      <c r="AW230" s="142">
        <f>AJ230*Valores!$C$72</f>
        <v>-64.9522719</v>
      </c>
      <c r="AX230" s="142">
        <f>AJ230*Valores!$C$73</f>
        <v>-7.216919100000001</v>
      </c>
      <c r="AY230" s="146">
        <f t="shared" si="45"/>
        <v>2273.3301420000003</v>
      </c>
      <c r="AZ230" s="150"/>
      <c r="BA230" s="150">
        <f t="shared" si="46"/>
        <v>4</v>
      </c>
      <c r="BB230" s="135" t="s">
        <v>4</v>
      </c>
    </row>
    <row r="231" spans="1:54" s="114" customFormat="1" ht="11.25" customHeight="1" x14ac:dyDescent="0.15">
      <c r="A231" s="134">
        <v>229</v>
      </c>
      <c r="B231" s="134"/>
      <c r="C231" s="135" t="s">
        <v>497</v>
      </c>
      <c r="D231" s="135">
        <v>1</v>
      </c>
      <c r="E231" s="135">
        <f t="shared" si="37"/>
        <v>41</v>
      </c>
      <c r="F231" s="136" t="str">
        <f>CONCATENATE("Hora Cátedra Enseñanza Media ",D231," hs Esc Esp")</f>
        <v>Hora Cátedra Enseñanza Media 1 hs Esc Esp</v>
      </c>
      <c r="G231" s="137">
        <f t="shared" si="47"/>
        <v>79</v>
      </c>
      <c r="H231" s="138">
        <f>INT((G231*Valores!$C$2*100)+0.49)/100</f>
        <v>981.71</v>
      </c>
      <c r="I231" s="156">
        <v>0</v>
      </c>
      <c r="J231" s="140">
        <f>INT((I231*Valores!$C$2*100)+0.5)/100</f>
        <v>0</v>
      </c>
      <c r="K231" s="155">
        <v>0</v>
      </c>
      <c r="L231" s="140">
        <f>INT((K231*Valores!$C$2*100)+0.5)/100</f>
        <v>0</v>
      </c>
      <c r="M231" s="153">
        <v>0</v>
      </c>
      <c r="N231" s="140">
        <f>INT((M231*Valores!$C$2*100)+0.5)/100</f>
        <v>0</v>
      </c>
      <c r="O231" s="140">
        <f t="shared" si="38"/>
        <v>180.4485</v>
      </c>
      <c r="P231" s="140">
        <f t="shared" si="39"/>
        <v>0</v>
      </c>
      <c r="Q231" s="154">
        <f>Valores!$C$14*D231</f>
        <v>421.42</v>
      </c>
      <c r="R231" s="154">
        <f>IF(D231&lt;15,(Valores!$E$4*D231),Valores!$D$4)</f>
        <v>423.50186666666667</v>
      </c>
      <c r="S231" s="140">
        <v>0</v>
      </c>
      <c r="T231" s="143">
        <f>IF($H$5="NO",IF(Valores!$C$47*D231&gt;Valores!$C$45,Valores!$C$45,Valores!$C$47*D231),IF(Valores!$C$47*D231&gt;Valores!$C$45,Valores!$C$45,Valores!$C$47*D231)/2)</f>
        <v>88.73</v>
      </c>
      <c r="U231" s="154">
        <f>Valores!$C$24*D231</f>
        <v>132.55000000000001</v>
      </c>
      <c r="V231" s="140">
        <f t="shared" si="33"/>
        <v>132.55000000000001</v>
      </c>
      <c r="W231" s="140">
        <v>0</v>
      </c>
      <c r="X231" s="140">
        <v>0</v>
      </c>
      <c r="Y231" s="160">
        <v>0</v>
      </c>
      <c r="Z231" s="140">
        <f>Y231*Valores!$C$2</f>
        <v>0</v>
      </c>
      <c r="AA231" s="140">
        <v>0</v>
      </c>
      <c r="AB231" s="143">
        <f>IF(Valores!$C$93*D231&gt;Valores!$C$92,Valores!$C$92,Valores!$C$93*D231)</f>
        <v>112.89</v>
      </c>
      <c r="AC231" s="145">
        <f>IF((Valores!$C$34)*D231&gt;Valores!$F$34,Valores!$F$34,(Valores!$C$34)*D231)</f>
        <v>10.41</v>
      </c>
      <c r="AD231" s="140">
        <f t="shared" si="41"/>
        <v>0</v>
      </c>
      <c r="AE231" s="140">
        <f>IF(Valores!$C$35*D231&gt;Valores!$F$35,Valores!$F$35,Valores!$C$35*D231)</f>
        <v>8.67</v>
      </c>
      <c r="AF231" s="144">
        <v>94</v>
      </c>
      <c r="AG231" s="140">
        <f>INT(((AF231*Valores!$C$2)*100)+0.5)/100</f>
        <v>1168.1099999999999</v>
      </c>
      <c r="AH231" s="140">
        <f>IF($H$5="NO",IF(Valores!$D$60*'Escala Docente'!D231&gt;Valores!$F$60,Valores!$F$60,Valores!$D$60*'Escala Docente'!D231),IF(Valores!$D$60*'Escala Docente'!D231&gt;Valores!$F$60,Valores!$F$60,Valores!$D$60*'Escala Docente'!D231)/2)</f>
        <v>35.232666666666667</v>
      </c>
      <c r="AI231" s="140">
        <f>IF($H$5="NO",IF(Valores!$D$62*D231&gt;Valores!$F$62,Valores!$F$62,Valores!$D$62*D231),IF(Valores!$D$62*D231&gt;Valores!$F$62,Valores!$F$62,Valores!$D$62*D231)/2)</f>
        <v>10.076666666666666</v>
      </c>
      <c r="AJ231" s="146">
        <f t="shared" si="42"/>
        <v>3573.7497000000003</v>
      </c>
      <c r="AK231" s="154">
        <f>IF(Valores!$C$38*D231&gt;Valores!$F$38,Valores!$F$38,Valores!$C$38*D231)</f>
        <v>90.73</v>
      </c>
      <c r="AL231" s="143">
        <f>IF(Valores!$C$88*D231&gt;Valores!$C$87,Valores!$C$87,Valores!$C$88*D231)</f>
        <v>113.74999999999999</v>
      </c>
      <c r="AM231" s="143"/>
      <c r="AN231" s="145">
        <f>IF($H$4="NO",0,IF(Valores!$C$59*D231&gt;Valores!$F$59,Valores!$F$59,Valores!$C$59*D231))</f>
        <v>0</v>
      </c>
      <c r="AO231" s="147">
        <f t="shared" si="43"/>
        <v>204.48</v>
      </c>
      <c r="AP231" s="148">
        <f>AJ231*Valores!$C$69</f>
        <v>-393.11246700000004</v>
      </c>
      <c r="AQ231" s="149">
        <f>AJ231*-Valores!$C$70</f>
        <v>0</v>
      </c>
      <c r="AR231" s="142">
        <f>AJ231*Valores!$C$71</f>
        <v>-160.8187365</v>
      </c>
      <c r="AS231" s="142">
        <f>Valores!$C$95</f>
        <v>-193.38</v>
      </c>
      <c r="AT231" s="142">
        <f>IF($H$6=0,Valores!$C$96,(Valores!$C$96+$H$6*(Valores!$C$96)))</f>
        <v>-129</v>
      </c>
      <c r="AU231" s="146">
        <f t="shared" si="44"/>
        <v>2901.9184965000004</v>
      </c>
      <c r="AV231" s="199">
        <f t="shared" si="40"/>
        <v>-393.11246700000004</v>
      </c>
      <c r="AW231" s="142">
        <f>AJ231*Valores!$C$72</f>
        <v>-96.491241900000006</v>
      </c>
      <c r="AX231" s="142">
        <f>AJ231*Valores!$C$73</f>
        <v>-10.721249100000001</v>
      </c>
      <c r="AY231" s="146">
        <f t="shared" si="45"/>
        <v>3277.9047420000002</v>
      </c>
      <c r="AZ231" s="150"/>
      <c r="BA231" s="150">
        <f t="shared" si="46"/>
        <v>4</v>
      </c>
      <c r="BB231" s="135" t="s">
        <v>4</v>
      </c>
    </row>
    <row r="232" spans="1:54" s="114" customFormat="1" ht="11.25" customHeight="1" x14ac:dyDescent="0.15">
      <c r="A232" s="152">
        <v>230</v>
      </c>
      <c r="B232" s="152" t="s">
        <v>139</v>
      </c>
      <c r="C232" s="135" t="s">
        <v>497</v>
      </c>
      <c r="D232" s="135">
        <v>2</v>
      </c>
      <c r="E232" s="135">
        <f t="shared" si="37"/>
        <v>33</v>
      </c>
      <c r="F232" s="136" t="str">
        <f>CONCATENATE("Hora Cátedra Enseñanza Media ",D232," hs")</f>
        <v>Hora Cátedra Enseñanza Media 2 hs</v>
      </c>
      <c r="G232" s="137">
        <f t="shared" si="47"/>
        <v>158</v>
      </c>
      <c r="H232" s="138">
        <f>INT((G232*Valores!$C$2*100)+0.49)/100</f>
        <v>1963.42</v>
      </c>
      <c r="I232" s="156">
        <v>0</v>
      </c>
      <c r="J232" s="140">
        <f>INT((I232*Valores!$C$2*100)+0.5)/100</f>
        <v>0</v>
      </c>
      <c r="K232" s="155">
        <v>0</v>
      </c>
      <c r="L232" s="140">
        <f>INT((K232*Valores!$C$2*100)+0.5)/100</f>
        <v>0</v>
      </c>
      <c r="M232" s="153">
        <v>0</v>
      </c>
      <c r="N232" s="140">
        <f>INT((M232*Valores!$C$2*100)+0.5)/100</f>
        <v>0</v>
      </c>
      <c r="O232" s="140">
        <f t="shared" si="38"/>
        <v>360.89699999999999</v>
      </c>
      <c r="P232" s="140">
        <f t="shared" si="39"/>
        <v>0</v>
      </c>
      <c r="Q232" s="154">
        <f>Valores!$C$14*D232</f>
        <v>842.84</v>
      </c>
      <c r="R232" s="154">
        <f>IF(D232&lt;15,(Valores!$E$4*D232),Valores!$D$4)</f>
        <v>847.00373333333334</v>
      </c>
      <c r="S232" s="140">
        <v>0</v>
      </c>
      <c r="T232" s="143">
        <f>IF($H$5="NO",IF(Valores!$C$47*D232&gt;Valores!$C$45,Valores!$C$45,Valores!$C$47*D232),IF(Valores!$C$47*D232&gt;Valores!$C$45,Valores!$C$45,Valores!$C$47*D232)/2)</f>
        <v>177.46</v>
      </c>
      <c r="U232" s="154">
        <f>Valores!$C$24*D232</f>
        <v>265.10000000000002</v>
      </c>
      <c r="V232" s="140">
        <f t="shared" si="33"/>
        <v>265.10000000000002</v>
      </c>
      <c r="W232" s="140">
        <v>0</v>
      </c>
      <c r="X232" s="140">
        <v>0</v>
      </c>
      <c r="Y232" s="160">
        <v>0</v>
      </c>
      <c r="Z232" s="140">
        <f>Y232*Valores!$C$2</f>
        <v>0</v>
      </c>
      <c r="AA232" s="140">
        <v>0</v>
      </c>
      <c r="AB232" s="143">
        <f>IF(Valores!$C$93*D232&gt;Valores!$C$92,Valores!$C$92,Valores!$C$93*D232)</f>
        <v>225.78</v>
      </c>
      <c r="AC232" s="145">
        <f>IF((Valores!$C$34)*D232&gt;Valores!$F$34,Valores!$F$34,(Valores!$C$34)*D232)</f>
        <v>20.82</v>
      </c>
      <c r="AD232" s="140">
        <f t="shared" si="41"/>
        <v>0</v>
      </c>
      <c r="AE232" s="140">
        <f>IF(Valores!$C$35*D232&gt;Valores!$F$35,Valores!$F$35,Valores!$C$35*D232)</f>
        <v>17.34</v>
      </c>
      <c r="AF232" s="144">
        <v>0</v>
      </c>
      <c r="AG232" s="140">
        <f>INT(((AF232*Valores!$C$2)*100)+0.5)/100</f>
        <v>0</v>
      </c>
      <c r="AH232" s="140">
        <f>IF($H$5="NO",IF(Valores!$D$60*'Escala Docente'!D232&gt;Valores!$F$60,Valores!$F$60,Valores!$D$60*'Escala Docente'!D232),IF(Valores!$D$60*'Escala Docente'!D232&gt;Valores!$F$60,Valores!$F$60,Valores!$D$60*'Escala Docente'!D232)/2)</f>
        <v>70.465333333333334</v>
      </c>
      <c r="AI232" s="140">
        <f>IF($H$5="NO",IF(Valores!$D$62*D232&gt;Valores!$F$62,Valores!$F$62,Valores!$D$62*D232),IF(Valores!$D$62*D232&gt;Valores!$F$62,Valores!$F$62,Valores!$D$62*D232)/2)</f>
        <v>20.153333333333332</v>
      </c>
      <c r="AJ232" s="146">
        <f t="shared" si="42"/>
        <v>4811.2794000000004</v>
      </c>
      <c r="AK232" s="154">
        <f>IF(Valores!$C$38*D232&gt;Valores!$F$38,Valores!$F$38,Valores!$C$38*D232)</f>
        <v>181.46</v>
      </c>
      <c r="AL232" s="143">
        <f>IF(Valores!$C$88*D232&gt;Valores!$C$87,Valores!$C$87,Valores!$C$88*D232)</f>
        <v>227.49999999999997</v>
      </c>
      <c r="AM232" s="143"/>
      <c r="AN232" s="145">
        <f>IF($H$4="NO",0,IF(Valores!$C$59*D232&gt;Valores!$F$59,Valores!$F$59,Valores!$C$59*D232))</f>
        <v>0</v>
      </c>
      <c r="AO232" s="147">
        <f t="shared" si="43"/>
        <v>408.96</v>
      </c>
      <c r="AP232" s="148">
        <f>AJ232*Valores!$C$69</f>
        <v>-529.24073400000009</v>
      </c>
      <c r="AQ232" s="149">
        <f>AJ232*-Valores!$C$70</f>
        <v>0</v>
      </c>
      <c r="AR232" s="142">
        <f>AJ232*Valores!$C$71</f>
        <v>-216.50757300000001</v>
      </c>
      <c r="AS232" s="142">
        <f>Valores!$C$95</f>
        <v>-193.38</v>
      </c>
      <c r="AT232" s="142">
        <f>IF($H$6=0,Valores!$C$96,(Valores!$C$96+$H$6*(Valores!$C$96)))</f>
        <v>-129</v>
      </c>
      <c r="AU232" s="146">
        <f t="shared" si="44"/>
        <v>4152.1110930000004</v>
      </c>
      <c r="AV232" s="199">
        <f t="shared" si="40"/>
        <v>-529.24073400000009</v>
      </c>
      <c r="AW232" s="142">
        <f>AJ232*Valores!$C$72</f>
        <v>-129.9045438</v>
      </c>
      <c r="AX232" s="142">
        <f>AJ232*Valores!$C$73</f>
        <v>-14.433838200000002</v>
      </c>
      <c r="AY232" s="146">
        <f t="shared" si="45"/>
        <v>4546.6602840000005</v>
      </c>
      <c r="AZ232" s="150"/>
      <c r="BA232" s="150">
        <f t="shared" si="46"/>
        <v>8</v>
      </c>
      <c r="BB232" s="135" t="s">
        <v>4</v>
      </c>
    </row>
    <row r="233" spans="1:54" s="114" customFormat="1" ht="11.25" customHeight="1" x14ac:dyDescent="0.15">
      <c r="A233" s="134">
        <v>231</v>
      </c>
      <c r="B233" s="134"/>
      <c r="C233" s="135" t="s">
        <v>497</v>
      </c>
      <c r="D233" s="135">
        <v>2</v>
      </c>
      <c r="E233" s="135">
        <f t="shared" si="37"/>
        <v>41</v>
      </c>
      <c r="F233" s="136" t="str">
        <f>CONCATENATE("Hora Cátedra Enseñanza Media ",D233," hs Esc Esp")</f>
        <v>Hora Cátedra Enseñanza Media 2 hs Esc Esp</v>
      </c>
      <c r="G233" s="137">
        <f t="shared" si="47"/>
        <v>158</v>
      </c>
      <c r="H233" s="138">
        <f>INT((G233*Valores!$C$2*100)+0.49)/100</f>
        <v>1963.42</v>
      </c>
      <c r="I233" s="156">
        <v>0</v>
      </c>
      <c r="J233" s="140">
        <f>INT((I233*Valores!$C$2*100)+0.5)/100</f>
        <v>0</v>
      </c>
      <c r="K233" s="155">
        <v>0</v>
      </c>
      <c r="L233" s="140">
        <f>INT((K233*Valores!$C$2*100)+0.5)/100</f>
        <v>0</v>
      </c>
      <c r="M233" s="153">
        <v>0</v>
      </c>
      <c r="N233" s="140">
        <f>INT((M233*Valores!$C$2*100)+0.5)/100</f>
        <v>0</v>
      </c>
      <c r="O233" s="140">
        <f t="shared" si="38"/>
        <v>360.89699999999999</v>
      </c>
      <c r="P233" s="140">
        <f t="shared" si="39"/>
        <v>0</v>
      </c>
      <c r="Q233" s="154">
        <f>Valores!$C$14*D233</f>
        <v>842.84</v>
      </c>
      <c r="R233" s="154">
        <f>IF(D233&lt;15,(Valores!$E$4*D233),Valores!$D$4)</f>
        <v>847.00373333333334</v>
      </c>
      <c r="S233" s="140">
        <v>0</v>
      </c>
      <c r="T233" s="143">
        <f>IF($H$5="NO",IF(Valores!$C$47*D233&gt;Valores!$C$45,Valores!$C$45,Valores!$C$47*D233),IF(Valores!$C$47*D233&gt;Valores!$C$45,Valores!$C$45,Valores!$C$47*D233)/2)</f>
        <v>177.46</v>
      </c>
      <c r="U233" s="154">
        <f>Valores!$C$24*D233</f>
        <v>265.10000000000002</v>
      </c>
      <c r="V233" s="140">
        <f t="shared" si="33"/>
        <v>265.10000000000002</v>
      </c>
      <c r="W233" s="140">
        <v>0</v>
      </c>
      <c r="X233" s="140">
        <v>0</v>
      </c>
      <c r="Y233" s="160">
        <v>0</v>
      </c>
      <c r="Z233" s="140">
        <f>Y233*Valores!$C$2</f>
        <v>0</v>
      </c>
      <c r="AA233" s="140">
        <v>0</v>
      </c>
      <c r="AB233" s="143">
        <f>IF(Valores!$C$93*D233&gt;Valores!$C$92,Valores!$C$92,Valores!$C$93*D233)</f>
        <v>225.78</v>
      </c>
      <c r="AC233" s="145">
        <f>IF((Valores!$C$34)*D233&gt;Valores!$F$34,Valores!$F$34,(Valores!$C$34)*D233)</f>
        <v>20.82</v>
      </c>
      <c r="AD233" s="140">
        <f t="shared" si="41"/>
        <v>0</v>
      </c>
      <c r="AE233" s="140">
        <f>IF(Valores!$C$35*D233&gt;Valores!$F$35,Valores!$F$35,Valores!$C$35*D233)</f>
        <v>17.34</v>
      </c>
      <c r="AF233" s="144">
        <v>94</v>
      </c>
      <c r="AG233" s="140">
        <f>INT(((AF233*Valores!$C$2)*100)+0.5)/100</f>
        <v>1168.1099999999999</v>
      </c>
      <c r="AH233" s="140">
        <f>IF($H$5="NO",IF(Valores!$D$60*'Escala Docente'!D233&gt;Valores!$F$60,Valores!$F$60,Valores!$D$60*'Escala Docente'!D233),IF(Valores!$D$60*'Escala Docente'!D233&gt;Valores!$F$60,Valores!$F$60,Valores!$D$60*'Escala Docente'!D233)/2)</f>
        <v>70.465333333333334</v>
      </c>
      <c r="AI233" s="140">
        <f>IF($H$5="NO",IF(Valores!$D$62*D233&gt;Valores!$F$62,Valores!$F$62,Valores!$D$62*D233),IF(Valores!$D$62*D233&gt;Valores!$F$62,Valores!$F$62,Valores!$D$62*D233)/2)</f>
        <v>20.153333333333332</v>
      </c>
      <c r="AJ233" s="146">
        <f t="shared" si="42"/>
        <v>5979.3894</v>
      </c>
      <c r="AK233" s="154">
        <f>IF(Valores!$C$38*D233&gt;Valores!$F$38,Valores!$F$38,Valores!$C$38*D233)</f>
        <v>181.46</v>
      </c>
      <c r="AL233" s="143">
        <f>IF(Valores!$C$88*D233&gt;Valores!$C$87,Valores!$C$87,Valores!$C$88*D233)</f>
        <v>227.49999999999997</v>
      </c>
      <c r="AM233" s="143"/>
      <c r="AN233" s="145">
        <f>IF($H$4="NO",0,IF(Valores!$C$59*D233&gt;Valores!$F$59,Valores!$F$59,Valores!$C$59*D233))</f>
        <v>0</v>
      </c>
      <c r="AO233" s="147">
        <f t="shared" si="43"/>
        <v>408.96</v>
      </c>
      <c r="AP233" s="148">
        <f>AJ233*Valores!$C$69</f>
        <v>-657.73283400000003</v>
      </c>
      <c r="AQ233" s="149">
        <f>AJ233*-Valores!$C$70</f>
        <v>0</v>
      </c>
      <c r="AR233" s="142">
        <f>AJ233*Valores!$C$71</f>
        <v>-269.07252299999999</v>
      </c>
      <c r="AS233" s="142">
        <f>Valores!$C$95</f>
        <v>-193.38</v>
      </c>
      <c r="AT233" s="142">
        <f>IF($H$6=0,Valores!$C$96,(Valores!$C$96+$H$6*(Valores!$C$96)))</f>
        <v>-129</v>
      </c>
      <c r="AU233" s="146">
        <f t="shared" si="44"/>
        <v>5139.1640429999998</v>
      </c>
      <c r="AV233" s="199">
        <f t="shared" si="40"/>
        <v>-657.73283400000003</v>
      </c>
      <c r="AW233" s="142">
        <f>AJ233*Valores!$C$72</f>
        <v>-161.44351380000001</v>
      </c>
      <c r="AX233" s="142">
        <f>AJ233*Valores!$C$73</f>
        <v>-17.9381682</v>
      </c>
      <c r="AY233" s="146">
        <f t="shared" si="45"/>
        <v>5551.2348840000004</v>
      </c>
      <c r="AZ233" s="150"/>
      <c r="BA233" s="150">
        <f t="shared" si="46"/>
        <v>8</v>
      </c>
      <c r="BB233" s="135" t="s">
        <v>4</v>
      </c>
    </row>
    <row r="234" spans="1:54" s="114" customFormat="1" ht="11.25" customHeight="1" x14ac:dyDescent="0.15">
      <c r="A234" s="134">
        <v>232</v>
      </c>
      <c r="B234" s="134"/>
      <c r="C234" s="135" t="s">
        <v>497</v>
      </c>
      <c r="D234" s="135">
        <v>3</v>
      </c>
      <c r="E234" s="135">
        <f t="shared" si="37"/>
        <v>33</v>
      </c>
      <c r="F234" s="136" t="str">
        <f>CONCATENATE("Hora Cátedra Enseñanza Media ",D234," hs")</f>
        <v>Hora Cátedra Enseñanza Media 3 hs</v>
      </c>
      <c r="G234" s="137">
        <f t="shared" si="47"/>
        <v>237</v>
      </c>
      <c r="H234" s="138">
        <f>INT((G234*Valores!$C$2*100)+0.49)/100</f>
        <v>2945.13</v>
      </c>
      <c r="I234" s="156">
        <v>0</v>
      </c>
      <c r="J234" s="140">
        <f>INT((I234*Valores!$C$2*100)+0.5)/100</f>
        <v>0</v>
      </c>
      <c r="K234" s="155">
        <v>0</v>
      </c>
      <c r="L234" s="140">
        <f>INT((K234*Valores!$C$2*100)+0.5)/100</f>
        <v>0</v>
      </c>
      <c r="M234" s="153">
        <v>0</v>
      </c>
      <c r="N234" s="140">
        <f>INT((M234*Valores!$C$2*100)+0.5)/100</f>
        <v>0</v>
      </c>
      <c r="O234" s="140">
        <f t="shared" si="38"/>
        <v>541.34550000000002</v>
      </c>
      <c r="P234" s="140">
        <f t="shared" si="39"/>
        <v>0</v>
      </c>
      <c r="Q234" s="154">
        <f>Valores!$C$14*D234</f>
        <v>1264.26</v>
      </c>
      <c r="R234" s="154">
        <f>IF(D234&lt;15,(Valores!$E$4*D234),Valores!$D$4)</f>
        <v>1270.5056</v>
      </c>
      <c r="S234" s="140">
        <v>0</v>
      </c>
      <c r="T234" s="143">
        <f>IF($H$5="NO",IF(Valores!$C$47*D234&gt;Valores!$C$45,Valores!$C$45,Valores!$C$47*D234),IF(Valores!$C$47*D234&gt;Valores!$C$45,Valores!$C$45,Valores!$C$47*D234)/2)</f>
        <v>266.19</v>
      </c>
      <c r="U234" s="154">
        <f>Valores!$C$24*D234</f>
        <v>397.65000000000003</v>
      </c>
      <c r="V234" s="140">
        <f t="shared" si="33"/>
        <v>397.65000000000003</v>
      </c>
      <c r="W234" s="140">
        <v>0</v>
      </c>
      <c r="X234" s="140">
        <v>0</v>
      </c>
      <c r="Y234" s="160">
        <v>0</v>
      </c>
      <c r="Z234" s="140">
        <f>Y234*Valores!$C$2</f>
        <v>0</v>
      </c>
      <c r="AA234" s="140">
        <v>0</v>
      </c>
      <c r="AB234" s="143">
        <f>IF(Valores!$C$93*D234&gt;Valores!$C$92,Valores!$C$92,Valores!$C$93*D234)</f>
        <v>338.67</v>
      </c>
      <c r="AC234" s="145">
        <f>IF((Valores!$C$34)*D234&gt;Valores!$F$34,Valores!$F$34,(Valores!$C$34)*D234)</f>
        <v>31.23</v>
      </c>
      <c r="AD234" s="140">
        <f t="shared" si="41"/>
        <v>0</v>
      </c>
      <c r="AE234" s="140">
        <f>IF(Valores!$C$35*D234&gt;Valores!$F$35,Valores!$F$35,Valores!$C$35*D234)</f>
        <v>26.009999999999998</v>
      </c>
      <c r="AF234" s="144">
        <v>0</v>
      </c>
      <c r="AG234" s="140">
        <f>INT(((AF234*Valores!$C$2)*100)+0.5)/100</f>
        <v>0</v>
      </c>
      <c r="AH234" s="140">
        <f>IF($H$5="NO",IF(Valores!$D$60*'Escala Docente'!D234&gt;Valores!$F$60,Valores!$F$60,Valores!$D$60*'Escala Docente'!D234),IF(Valores!$D$60*'Escala Docente'!D234&gt;Valores!$F$60,Valores!$F$60,Valores!$D$60*'Escala Docente'!D234)/2)</f>
        <v>105.69800000000001</v>
      </c>
      <c r="AI234" s="140">
        <f>IF($H$5="NO",IF(Valores!$D$62*D234&gt;Valores!$F$62,Valores!$F$62,Valores!$D$62*D234),IF(Valores!$D$62*D234&gt;Valores!$F$62,Valores!$F$62,Valores!$D$62*D234)/2)</f>
        <v>30.229999999999997</v>
      </c>
      <c r="AJ234" s="146">
        <f t="shared" si="42"/>
        <v>7216.9190999999983</v>
      </c>
      <c r="AK234" s="154">
        <f>IF(Valores!$C$38*D234&gt;Valores!$F$38,Valores!$F$38,Valores!$C$38*D234)</f>
        <v>272.19</v>
      </c>
      <c r="AL234" s="143">
        <f>IF(Valores!$C$88*D234&gt;Valores!$C$87,Valores!$C$87,Valores!$C$88*D234)</f>
        <v>341.24999999999994</v>
      </c>
      <c r="AM234" s="143"/>
      <c r="AN234" s="145">
        <f>IF($H$4="NO",0,IF(Valores!$C$59*D234&gt;Valores!$F$59,Valores!$F$59,Valores!$C$59*D234))</f>
        <v>0</v>
      </c>
      <c r="AO234" s="147">
        <f t="shared" si="43"/>
        <v>613.43999999999994</v>
      </c>
      <c r="AP234" s="148">
        <f>AJ234*Valores!$C$69</f>
        <v>-793.86110099999985</v>
      </c>
      <c r="AQ234" s="149">
        <f>AJ234*-Valores!$C$70</f>
        <v>0</v>
      </c>
      <c r="AR234" s="142">
        <f>AJ234*Valores!$C$71</f>
        <v>-324.76135949999991</v>
      </c>
      <c r="AS234" s="142">
        <f>Valores!$C$95</f>
        <v>-193.38</v>
      </c>
      <c r="AT234" s="142">
        <f>IF($H$6=0,Valores!$C$96,(Valores!$C$96+$H$6*(Valores!$C$96)))</f>
        <v>-129</v>
      </c>
      <c r="AU234" s="146">
        <f t="shared" si="44"/>
        <v>6389.356639499998</v>
      </c>
      <c r="AV234" s="199">
        <f t="shared" si="40"/>
        <v>-793.86110099999985</v>
      </c>
      <c r="AW234" s="142">
        <f>AJ234*Valores!$C$72</f>
        <v>-194.85681569999994</v>
      </c>
      <c r="AX234" s="142">
        <f>AJ234*Valores!$C$73</f>
        <v>-21.650757299999995</v>
      </c>
      <c r="AY234" s="146">
        <f t="shared" si="45"/>
        <v>6819.9904259999985</v>
      </c>
      <c r="AZ234" s="150"/>
      <c r="BA234" s="150">
        <f t="shared" si="46"/>
        <v>12</v>
      </c>
      <c r="BB234" s="135" t="s">
        <v>4</v>
      </c>
    </row>
    <row r="235" spans="1:54" s="114" customFormat="1" ht="11.25" customHeight="1" x14ac:dyDescent="0.15">
      <c r="A235" s="134">
        <v>233</v>
      </c>
      <c r="B235" s="134"/>
      <c r="C235" s="135" t="s">
        <v>497</v>
      </c>
      <c r="D235" s="135">
        <v>3</v>
      </c>
      <c r="E235" s="135">
        <f t="shared" si="37"/>
        <v>41</v>
      </c>
      <c r="F235" s="136" t="str">
        <f>CONCATENATE("Hora Cátedra Enseñanza Media ",D235," hs Esc Esp")</f>
        <v>Hora Cátedra Enseñanza Media 3 hs Esc Esp</v>
      </c>
      <c r="G235" s="137">
        <f t="shared" si="47"/>
        <v>237</v>
      </c>
      <c r="H235" s="138">
        <f>INT((G235*Valores!$C$2*100)+0.49)/100</f>
        <v>2945.13</v>
      </c>
      <c r="I235" s="156">
        <v>0</v>
      </c>
      <c r="J235" s="140">
        <f>INT((I235*Valores!$C$2*100)+0.5)/100</f>
        <v>0</v>
      </c>
      <c r="K235" s="155">
        <v>0</v>
      </c>
      <c r="L235" s="140">
        <f>INT((K235*Valores!$C$2*100)+0.5)/100</f>
        <v>0</v>
      </c>
      <c r="M235" s="153">
        <v>0</v>
      </c>
      <c r="N235" s="140">
        <f>INT((M235*Valores!$C$2*100)+0.5)/100</f>
        <v>0</v>
      </c>
      <c r="O235" s="140">
        <f t="shared" si="38"/>
        <v>541.34550000000002</v>
      </c>
      <c r="P235" s="140">
        <f t="shared" si="39"/>
        <v>0</v>
      </c>
      <c r="Q235" s="154">
        <f>Valores!$C$14*D235</f>
        <v>1264.26</v>
      </c>
      <c r="R235" s="154">
        <f>IF(D235&lt;15,(Valores!$E$4*D235),Valores!$D$4)</f>
        <v>1270.5056</v>
      </c>
      <c r="S235" s="140">
        <v>0</v>
      </c>
      <c r="T235" s="143">
        <f>IF($H$5="NO",IF(Valores!$C$47*D235&gt;Valores!$C$45,Valores!$C$45,Valores!$C$47*D235),IF(Valores!$C$47*D235&gt;Valores!$C$45,Valores!$C$45,Valores!$C$47*D235)/2)</f>
        <v>266.19</v>
      </c>
      <c r="U235" s="154">
        <f>Valores!$C$24*D235</f>
        <v>397.65000000000003</v>
      </c>
      <c r="V235" s="140">
        <f t="shared" si="33"/>
        <v>397.65000000000003</v>
      </c>
      <c r="W235" s="140">
        <v>0</v>
      </c>
      <c r="X235" s="140">
        <v>0</v>
      </c>
      <c r="Y235" s="160">
        <v>0</v>
      </c>
      <c r="Z235" s="140">
        <f>Y235*Valores!$C$2</f>
        <v>0</v>
      </c>
      <c r="AA235" s="140">
        <v>0</v>
      </c>
      <c r="AB235" s="143">
        <f>IF(Valores!$C$93*D235&gt;Valores!$C$92,Valores!$C$92,Valores!$C$93*D235)</f>
        <v>338.67</v>
      </c>
      <c r="AC235" s="145">
        <f>IF((Valores!$C$34)*D235&gt;Valores!$F$34,Valores!$F$34,(Valores!$C$34)*D235)</f>
        <v>31.23</v>
      </c>
      <c r="AD235" s="140">
        <f t="shared" si="41"/>
        <v>0</v>
      </c>
      <c r="AE235" s="140">
        <f>IF(Valores!$C$35*D235&gt;Valores!$F$35,Valores!$F$35,Valores!$C$35*D235)</f>
        <v>26.009999999999998</v>
      </c>
      <c r="AF235" s="144">
        <v>94</v>
      </c>
      <c r="AG235" s="140">
        <f>INT(((AF235*Valores!$C$2)*100)+0.5)/100</f>
        <v>1168.1099999999999</v>
      </c>
      <c r="AH235" s="140">
        <f>IF($H$5="NO",IF(Valores!$D$60*'Escala Docente'!D235&gt;Valores!$F$60,Valores!$F$60,Valores!$D$60*'Escala Docente'!D235),IF(Valores!$D$60*'Escala Docente'!D235&gt;Valores!$F$60,Valores!$F$60,Valores!$D$60*'Escala Docente'!D235)/2)</f>
        <v>105.69800000000001</v>
      </c>
      <c r="AI235" s="140">
        <f>IF($H$5="NO",IF(Valores!$D$62*D235&gt;Valores!$F$62,Valores!$F$62,Valores!$D$62*D235),IF(Valores!$D$62*D235&gt;Valores!$F$62,Valores!$F$62,Valores!$D$62*D235)/2)</f>
        <v>30.229999999999997</v>
      </c>
      <c r="AJ235" s="146">
        <f t="shared" si="42"/>
        <v>8385.0290999999979</v>
      </c>
      <c r="AK235" s="154">
        <f>IF(Valores!$C$38*D235&gt;Valores!$F$38,Valores!$F$38,Valores!$C$38*D235)</f>
        <v>272.19</v>
      </c>
      <c r="AL235" s="143">
        <f>IF(Valores!$C$88*D235&gt;Valores!$C$87,Valores!$C$87,Valores!$C$88*D235)</f>
        <v>341.24999999999994</v>
      </c>
      <c r="AM235" s="143"/>
      <c r="AN235" s="145">
        <f>IF($H$4="NO",0,IF(Valores!$C$59*D235&gt;Valores!$F$59,Valores!$F$59,Valores!$C$59*D235))</f>
        <v>0</v>
      </c>
      <c r="AO235" s="147">
        <f t="shared" si="43"/>
        <v>613.43999999999994</v>
      </c>
      <c r="AP235" s="148">
        <f>AJ235*Valores!$C$69</f>
        <v>-922.35320099999979</v>
      </c>
      <c r="AQ235" s="149">
        <f>AJ235*-Valores!$C$70</f>
        <v>0</v>
      </c>
      <c r="AR235" s="142">
        <f>AJ235*Valores!$C$71</f>
        <v>-377.32630949999987</v>
      </c>
      <c r="AS235" s="142">
        <f>Valores!$C$95</f>
        <v>-193.38</v>
      </c>
      <c r="AT235" s="142">
        <f>IF($H$6=0,Valores!$C$96,(Valores!$C$96+$H$6*(Valores!$C$96)))</f>
        <v>-129</v>
      </c>
      <c r="AU235" s="146">
        <f t="shared" si="44"/>
        <v>7376.4095894999982</v>
      </c>
      <c r="AV235" s="199">
        <f t="shared" si="40"/>
        <v>-922.35320099999979</v>
      </c>
      <c r="AW235" s="142">
        <f>AJ235*Valores!$C$72</f>
        <v>-226.39578569999995</v>
      </c>
      <c r="AX235" s="142">
        <f>AJ235*Valores!$C$73</f>
        <v>-25.155087299999995</v>
      </c>
      <c r="AY235" s="146">
        <f t="shared" si="45"/>
        <v>7824.5650259999984</v>
      </c>
      <c r="AZ235" s="150"/>
      <c r="BA235" s="150">
        <f t="shared" si="46"/>
        <v>12</v>
      </c>
      <c r="BB235" s="135" t="s">
        <v>4</v>
      </c>
    </row>
    <row r="236" spans="1:54" s="114" customFormat="1" ht="11.25" customHeight="1" x14ac:dyDescent="0.15">
      <c r="A236" s="134">
        <v>234</v>
      </c>
      <c r="B236" s="134"/>
      <c r="C236" s="135" t="s">
        <v>497</v>
      </c>
      <c r="D236" s="135">
        <v>4</v>
      </c>
      <c r="E236" s="135">
        <f t="shared" si="37"/>
        <v>33</v>
      </c>
      <c r="F236" s="136" t="str">
        <f>CONCATENATE("Hora Cátedra Enseñanza Media ",D236," hs")</f>
        <v>Hora Cátedra Enseñanza Media 4 hs</v>
      </c>
      <c r="G236" s="137">
        <f t="shared" si="47"/>
        <v>316</v>
      </c>
      <c r="H236" s="138">
        <f>INT((G236*Valores!$C$2*100)+0.49)/100</f>
        <v>3926.84</v>
      </c>
      <c r="I236" s="156">
        <v>0</v>
      </c>
      <c r="J236" s="140">
        <f>INT((I236*Valores!$C$2*100)+0.5)/100</f>
        <v>0</v>
      </c>
      <c r="K236" s="155">
        <v>0</v>
      </c>
      <c r="L236" s="140">
        <f>INT((K236*Valores!$C$2*100)+0.5)/100</f>
        <v>0</v>
      </c>
      <c r="M236" s="153">
        <v>0</v>
      </c>
      <c r="N236" s="140">
        <f>INT((M236*Valores!$C$2*100)+0.5)/100</f>
        <v>0</v>
      </c>
      <c r="O236" s="140">
        <f t="shared" si="38"/>
        <v>721.79399999999998</v>
      </c>
      <c r="P236" s="140">
        <f t="shared" si="39"/>
        <v>0</v>
      </c>
      <c r="Q236" s="154">
        <f>Valores!$C$14*D236</f>
        <v>1685.68</v>
      </c>
      <c r="R236" s="154">
        <f>IF(D236&lt;15,(Valores!$E$4*D236),Valores!$D$4)</f>
        <v>1694.0074666666667</v>
      </c>
      <c r="S236" s="140">
        <v>0</v>
      </c>
      <c r="T236" s="143">
        <f>IF($H$5="NO",IF(Valores!$C$47*D236&gt;Valores!$C$45,Valores!$C$45,Valores!$C$47*D236),IF(Valores!$C$47*D236&gt;Valores!$C$45,Valores!$C$45,Valores!$C$47*D236)/2)</f>
        <v>354.92</v>
      </c>
      <c r="U236" s="154">
        <f>Valores!$C$24*D236</f>
        <v>530.20000000000005</v>
      </c>
      <c r="V236" s="140">
        <f t="shared" si="33"/>
        <v>530.20000000000005</v>
      </c>
      <c r="W236" s="140">
        <v>0</v>
      </c>
      <c r="X236" s="140">
        <v>0</v>
      </c>
      <c r="Y236" s="160">
        <v>0</v>
      </c>
      <c r="Z236" s="140">
        <f>Y236*Valores!$C$2</f>
        <v>0</v>
      </c>
      <c r="AA236" s="140">
        <v>0</v>
      </c>
      <c r="AB236" s="143">
        <f>IF(Valores!$C$93*D236&gt;Valores!$C$92,Valores!$C$92,Valores!$C$93*D236)</f>
        <v>451.56</v>
      </c>
      <c r="AC236" s="145">
        <f>IF((Valores!$C$34)*D236&gt;Valores!$F$34,Valores!$F$34,(Valores!$C$34)*D236)</f>
        <v>41.64</v>
      </c>
      <c r="AD236" s="140">
        <f t="shared" si="41"/>
        <v>0</v>
      </c>
      <c r="AE236" s="140">
        <f>IF(Valores!$C$35*D236&gt;Valores!$F$35,Valores!$F$35,Valores!$C$35*D236)</f>
        <v>34.68</v>
      </c>
      <c r="AF236" s="144">
        <v>0</v>
      </c>
      <c r="AG236" s="140">
        <f>INT(((AF236*Valores!$C$2)*100)+0.5)/100</f>
        <v>0</v>
      </c>
      <c r="AH236" s="140">
        <f>IF($H$5="NO",IF(Valores!$D$60*'Escala Docente'!D236&gt;Valores!$F$60,Valores!$F$60,Valores!$D$60*'Escala Docente'!D236),IF(Valores!$D$60*'Escala Docente'!D236&gt;Valores!$F$60,Valores!$F$60,Valores!$D$60*'Escala Docente'!D236)/2)</f>
        <v>140.93066666666667</v>
      </c>
      <c r="AI236" s="140">
        <f>IF($H$5="NO",IF(Valores!$D$62*D236&gt;Valores!$F$62,Valores!$F$62,Valores!$D$62*D236),IF(Valores!$D$62*D236&gt;Valores!$F$62,Valores!$F$62,Valores!$D$62*D236)/2)</f>
        <v>40.306666666666665</v>
      </c>
      <c r="AJ236" s="146">
        <f t="shared" si="42"/>
        <v>9622.5588000000007</v>
      </c>
      <c r="AK236" s="154">
        <f>IF(Valores!$C$38*D236&gt;Valores!$F$38,Valores!$F$38,Valores!$C$38*D236)</f>
        <v>362.92</v>
      </c>
      <c r="AL236" s="143">
        <f>IF(Valores!$C$88*D236&gt;Valores!$C$87,Valores!$C$87,Valores!$C$88*D236)</f>
        <v>454.99999999999994</v>
      </c>
      <c r="AM236" s="143"/>
      <c r="AN236" s="145">
        <f>IF($H$4="NO",0,IF(Valores!$C$59*D236&gt;Valores!$F$59,Valores!$F$59,Valores!$C$59*D236))</f>
        <v>0</v>
      </c>
      <c r="AO236" s="147">
        <f t="shared" si="43"/>
        <v>817.92</v>
      </c>
      <c r="AP236" s="148">
        <f>AJ236*Valores!$C$69</f>
        <v>-1058.4814680000002</v>
      </c>
      <c r="AQ236" s="149">
        <f>AJ236*-Valores!$C$70</f>
        <v>0</v>
      </c>
      <c r="AR236" s="142">
        <f>AJ236*Valores!$C$71</f>
        <v>-433.01514600000002</v>
      </c>
      <c r="AS236" s="142">
        <f>Valores!$C$95</f>
        <v>-193.38</v>
      </c>
      <c r="AT236" s="142">
        <f>IF($H$6=0,Valores!$C$96,(Valores!$C$96+$H$6*(Valores!$C$96)))</f>
        <v>-129</v>
      </c>
      <c r="AU236" s="146">
        <f t="shared" si="44"/>
        <v>8626.6021860000001</v>
      </c>
      <c r="AV236" s="199">
        <f t="shared" si="40"/>
        <v>-1058.4814680000002</v>
      </c>
      <c r="AW236" s="142">
        <f>AJ236*Valores!$C$72</f>
        <v>-259.8090876</v>
      </c>
      <c r="AX236" s="142">
        <f>AJ236*Valores!$C$73</f>
        <v>-28.867676400000004</v>
      </c>
      <c r="AY236" s="146">
        <f t="shared" si="45"/>
        <v>9093.320568000001</v>
      </c>
      <c r="AZ236" s="150"/>
      <c r="BA236" s="150">
        <f t="shared" si="46"/>
        <v>16</v>
      </c>
      <c r="BB236" s="135" t="s">
        <v>4</v>
      </c>
    </row>
    <row r="237" spans="1:54" s="114" customFormat="1" ht="11.25" customHeight="1" x14ac:dyDescent="0.15">
      <c r="A237" s="152">
        <v>235</v>
      </c>
      <c r="B237" s="152" t="s">
        <v>139</v>
      </c>
      <c r="C237" s="135" t="s">
        <v>497</v>
      </c>
      <c r="D237" s="135">
        <v>4</v>
      </c>
      <c r="E237" s="135">
        <f t="shared" si="37"/>
        <v>41</v>
      </c>
      <c r="F237" s="136" t="str">
        <f>CONCATENATE("Hora Cátedra Enseñanza Media ",D237," hs Esc Esp")</f>
        <v>Hora Cátedra Enseñanza Media 4 hs Esc Esp</v>
      </c>
      <c r="G237" s="137">
        <f t="shared" si="47"/>
        <v>316</v>
      </c>
      <c r="H237" s="138">
        <f>INT((G237*Valores!$C$2*100)+0.49)/100</f>
        <v>3926.84</v>
      </c>
      <c r="I237" s="156">
        <v>0</v>
      </c>
      <c r="J237" s="140">
        <f>INT((I237*Valores!$C$2*100)+0.5)/100</f>
        <v>0</v>
      </c>
      <c r="K237" s="155">
        <v>0</v>
      </c>
      <c r="L237" s="140">
        <f>INT((K237*Valores!$C$2*100)+0.5)/100</f>
        <v>0</v>
      </c>
      <c r="M237" s="153">
        <v>0</v>
      </c>
      <c r="N237" s="140">
        <f>INT((M237*Valores!$C$2*100)+0.5)/100</f>
        <v>0</v>
      </c>
      <c r="O237" s="140">
        <f t="shared" si="38"/>
        <v>721.79399999999998</v>
      </c>
      <c r="P237" s="140">
        <f t="shared" si="39"/>
        <v>0</v>
      </c>
      <c r="Q237" s="154">
        <f>Valores!$C$14*D237</f>
        <v>1685.68</v>
      </c>
      <c r="R237" s="154">
        <f>IF(D237&lt;15,(Valores!$E$4*D237),Valores!$D$4)</f>
        <v>1694.0074666666667</v>
      </c>
      <c r="S237" s="140">
        <v>0</v>
      </c>
      <c r="T237" s="143">
        <f>IF($H$5="NO",IF(Valores!$C$47*D237&gt;Valores!$C$45,Valores!$C$45,Valores!$C$47*D237),IF(Valores!$C$47*D237&gt;Valores!$C$45,Valores!$C$45,Valores!$C$47*D237)/2)</f>
        <v>354.92</v>
      </c>
      <c r="U237" s="154">
        <f>Valores!$C$24*D237</f>
        <v>530.20000000000005</v>
      </c>
      <c r="V237" s="140">
        <f t="shared" si="33"/>
        <v>530.20000000000005</v>
      </c>
      <c r="W237" s="140">
        <v>0</v>
      </c>
      <c r="X237" s="140">
        <v>0</v>
      </c>
      <c r="Y237" s="160">
        <v>0</v>
      </c>
      <c r="Z237" s="140">
        <f>Y237*Valores!$C$2</f>
        <v>0</v>
      </c>
      <c r="AA237" s="140">
        <v>0</v>
      </c>
      <c r="AB237" s="143">
        <f>IF(Valores!$C$93*D237&gt;Valores!$C$92,Valores!$C$92,Valores!$C$93*D237)</f>
        <v>451.56</v>
      </c>
      <c r="AC237" s="145">
        <f>IF((Valores!$C$34)*D237&gt;Valores!$F$34,Valores!$F$34,(Valores!$C$34)*D237)</f>
        <v>41.64</v>
      </c>
      <c r="AD237" s="140">
        <f t="shared" si="41"/>
        <v>0</v>
      </c>
      <c r="AE237" s="140">
        <f>IF(Valores!$C$35*D237&gt;Valores!$F$35,Valores!$F$35,Valores!$C$35*D237)</f>
        <v>34.68</v>
      </c>
      <c r="AF237" s="144">
        <v>94</v>
      </c>
      <c r="AG237" s="140">
        <f>INT(((AF237*Valores!$C$2)*100)+0.5)/100</f>
        <v>1168.1099999999999</v>
      </c>
      <c r="AH237" s="140">
        <f>IF($H$5="NO",IF(Valores!$D$60*'Escala Docente'!D237&gt;Valores!$F$60,Valores!$F$60,Valores!$D$60*'Escala Docente'!D237),IF(Valores!$D$60*'Escala Docente'!D237&gt;Valores!$F$60,Valores!$F$60,Valores!$D$60*'Escala Docente'!D237)/2)</f>
        <v>140.93066666666667</v>
      </c>
      <c r="AI237" s="140">
        <f>IF($H$5="NO",IF(Valores!$D$62*D237&gt;Valores!$F$62,Valores!$F$62,Valores!$D$62*D237),IF(Valores!$D$62*D237&gt;Valores!$F$62,Valores!$F$62,Valores!$D$62*D237)/2)</f>
        <v>40.306666666666665</v>
      </c>
      <c r="AJ237" s="146">
        <f t="shared" si="42"/>
        <v>10790.668800000001</v>
      </c>
      <c r="AK237" s="154">
        <f>IF(Valores!$C$38*D237&gt;Valores!$F$38,Valores!$F$38,Valores!$C$38*D237)</f>
        <v>362.92</v>
      </c>
      <c r="AL237" s="143">
        <f>IF(Valores!$C$88*D237&gt;Valores!$C$87,Valores!$C$87,Valores!$C$88*D237)</f>
        <v>454.99999999999994</v>
      </c>
      <c r="AM237" s="143"/>
      <c r="AN237" s="145">
        <f>IF($H$4="NO",0,IF(Valores!$C$59*D237&gt;Valores!$F$59,Valores!$F$59,Valores!$C$59*D237))</f>
        <v>0</v>
      </c>
      <c r="AO237" s="147">
        <f t="shared" si="43"/>
        <v>817.92</v>
      </c>
      <c r="AP237" s="148">
        <f>AJ237*Valores!$C$69</f>
        <v>-1186.9735680000001</v>
      </c>
      <c r="AQ237" s="149">
        <f>AJ237*-Valores!$C$70</f>
        <v>0</v>
      </c>
      <c r="AR237" s="142">
        <f>AJ237*Valores!$C$71</f>
        <v>-485.58009600000003</v>
      </c>
      <c r="AS237" s="142">
        <f>Valores!$C$95</f>
        <v>-193.38</v>
      </c>
      <c r="AT237" s="142">
        <f>IF($H$6=0,Valores!$C$96,(Valores!$C$96+$H$6*(Valores!$C$96)))</f>
        <v>-129</v>
      </c>
      <c r="AU237" s="146">
        <f t="shared" si="44"/>
        <v>9613.6551360000012</v>
      </c>
      <c r="AV237" s="199">
        <f t="shared" si="40"/>
        <v>-1186.9735680000001</v>
      </c>
      <c r="AW237" s="142">
        <f>AJ237*Valores!$C$72</f>
        <v>-291.3480576</v>
      </c>
      <c r="AX237" s="142">
        <f>AJ237*Valores!$C$73</f>
        <v>-32.372006400000004</v>
      </c>
      <c r="AY237" s="146">
        <f t="shared" si="45"/>
        <v>10097.895168000001</v>
      </c>
      <c r="AZ237" s="150"/>
      <c r="BA237" s="150">
        <f t="shared" si="46"/>
        <v>16</v>
      </c>
      <c r="BB237" s="135" t="s">
        <v>4</v>
      </c>
    </row>
    <row r="238" spans="1:54" s="114" customFormat="1" ht="11.25" customHeight="1" x14ac:dyDescent="0.15">
      <c r="A238" s="134">
        <v>236</v>
      </c>
      <c r="B238" s="134"/>
      <c r="C238" s="135" t="s">
        <v>497</v>
      </c>
      <c r="D238" s="135">
        <v>5</v>
      </c>
      <c r="E238" s="135">
        <f t="shared" si="37"/>
        <v>33</v>
      </c>
      <c r="F238" s="136" t="str">
        <f>CONCATENATE("Hora Cátedra Enseñanza Media ",D238," hs")</f>
        <v>Hora Cátedra Enseñanza Media 5 hs</v>
      </c>
      <c r="G238" s="137">
        <f t="shared" si="47"/>
        <v>395</v>
      </c>
      <c r="H238" s="138">
        <f>INT((G238*Valores!$C$2*100)+0.49)/100</f>
        <v>4908.55</v>
      </c>
      <c r="I238" s="156">
        <v>0</v>
      </c>
      <c r="J238" s="140">
        <f>INT((I238*Valores!$C$2*100)+0.5)/100</f>
        <v>0</v>
      </c>
      <c r="K238" s="155">
        <v>0</v>
      </c>
      <c r="L238" s="140">
        <f>INT((K238*Valores!$C$2*100)+0.5)/100</f>
        <v>0</v>
      </c>
      <c r="M238" s="153">
        <v>0</v>
      </c>
      <c r="N238" s="140">
        <f>INT((M238*Valores!$C$2*100)+0.5)/100</f>
        <v>0</v>
      </c>
      <c r="O238" s="140">
        <f t="shared" si="38"/>
        <v>902.24249999999995</v>
      </c>
      <c r="P238" s="140">
        <f t="shared" si="39"/>
        <v>0</v>
      </c>
      <c r="Q238" s="154">
        <f>Valores!$C$14*D238</f>
        <v>2107.1</v>
      </c>
      <c r="R238" s="154">
        <f>IF(D238&lt;15,(Valores!$E$4*D238),Valores!$D$4)</f>
        <v>2117.5093333333334</v>
      </c>
      <c r="S238" s="140">
        <v>0</v>
      </c>
      <c r="T238" s="143">
        <f>IF($H$5="NO",IF(Valores!$C$47*D238&gt;Valores!$C$45,Valores!$C$45,Valores!$C$47*D238),IF(Valores!$C$47*D238&gt;Valores!$C$45,Valores!$C$45,Valores!$C$47*D238)/2)</f>
        <v>443.65000000000003</v>
      </c>
      <c r="U238" s="154">
        <f>Valores!$C$24*D238</f>
        <v>662.75</v>
      </c>
      <c r="V238" s="140">
        <f t="shared" si="33"/>
        <v>662.75</v>
      </c>
      <c r="W238" s="140">
        <v>0</v>
      </c>
      <c r="X238" s="140">
        <v>0</v>
      </c>
      <c r="Y238" s="160">
        <v>0</v>
      </c>
      <c r="Z238" s="140">
        <f>Y238*Valores!$C$2</f>
        <v>0</v>
      </c>
      <c r="AA238" s="140">
        <v>0</v>
      </c>
      <c r="AB238" s="143">
        <f>IF(Valores!$C$93*D238&gt;Valores!$C$92,Valores!$C$92,Valores!$C$93*D238)</f>
        <v>564.45000000000005</v>
      </c>
      <c r="AC238" s="145">
        <f>IF((Valores!$C$34)*D238&gt;Valores!$F$34,Valores!$F$34,(Valores!$C$34)*D238)</f>
        <v>52.05</v>
      </c>
      <c r="AD238" s="140">
        <f t="shared" si="41"/>
        <v>0</v>
      </c>
      <c r="AE238" s="140">
        <f>IF(Valores!$C$35*D238&gt;Valores!$F$35,Valores!$F$35,Valores!$C$35*D238)</f>
        <v>43.35</v>
      </c>
      <c r="AF238" s="144">
        <v>0</v>
      </c>
      <c r="AG238" s="140">
        <f>INT(((AF238*Valores!$C$2)*100)+0.5)/100</f>
        <v>0</v>
      </c>
      <c r="AH238" s="140">
        <f>IF($H$5="NO",IF(Valores!$D$60*'Escala Docente'!D238&gt;Valores!$F$60,Valores!$F$60,Valores!$D$60*'Escala Docente'!D238),IF(Valores!$D$60*'Escala Docente'!D238&gt;Valores!$F$60,Valores!$F$60,Valores!$D$60*'Escala Docente'!D238)/2)</f>
        <v>176.16333333333333</v>
      </c>
      <c r="AI238" s="140">
        <f>IF($H$5="NO",IF(Valores!$D$62*D238&gt;Valores!$F$62,Valores!$F$62,Valores!$D$62*D238),IF(Valores!$D$62*D238&gt;Valores!$F$62,Valores!$F$62,Valores!$D$62*D238)/2)</f>
        <v>50.383333333333333</v>
      </c>
      <c r="AJ238" s="146">
        <f t="shared" si="42"/>
        <v>12028.1985</v>
      </c>
      <c r="AK238" s="154">
        <f>IF(Valores!$C$38*D238&gt;Valores!$F$38,Valores!$F$38,Valores!$C$38*D238)</f>
        <v>453.65000000000003</v>
      </c>
      <c r="AL238" s="143">
        <f>IF(Valores!$C$88*D238&gt;Valores!$C$87,Valores!$C$87,Valores!$C$88*D238)</f>
        <v>568.74999999999989</v>
      </c>
      <c r="AM238" s="143"/>
      <c r="AN238" s="145">
        <f>IF($H$4="NO",0,IF(Valores!$C$59*D238&gt;Valores!$F$59,Valores!$F$59,Valores!$C$59*D238))</f>
        <v>0</v>
      </c>
      <c r="AO238" s="147">
        <f t="shared" si="43"/>
        <v>1022.3999999999999</v>
      </c>
      <c r="AP238" s="148">
        <f>AJ238*Valores!$C$69</f>
        <v>-1323.1018350000002</v>
      </c>
      <c r="AQ238" s="149">
        <f>AJ238*-Valores!$C$70</f>
        <v>0</v>
      </c>
      <c r="AR238" s="142">
        <f>AJ238*Valores!$C$71</f>
        <v>-541.26893250000001</v>
      </c>
      <c r="AS238" s="142">
        <f>Valores!$C$95</f>
        <v>-193.38</v>
      </c>
      <c r="AT238" s="142">
        <f>IF($H$6=0,Valores!$C$96,(Valores!$C$96+$H$6*(Valores!$C$96)))</f>
        <v>-129</v>
      </c>
      <c r="AU238" s="146">
        <f t="shared" si="44"/>
        <v>10863.8477325</v>
      </c>
      <c r="AV238" s="199">
        <f t="shared" si="40"/>
        <v>-1323.1018350000002</v>
      </c>
      <c r="AW238" s="142">
        <f>AJ238*Valores!$C$72</f>
        <v>-324.76135950000003</v>
      </c>
      <c r="AX238" s="142">
        <f>AJ238*Valores!$C$73</f>
        <v>-36.084595499999999</v>
      </c>
      <c r="AY238" s="146">
        <f t="shared" si="45"/>
        <v>11366.65071</v>
      </c>
      <c r="AZ238" s="150"/>
      <c r="BA238" s="150">
        <f t="shared" si="46"/>
        <v>20</v>
      </c>
      <c r="BB238" s="135" t="s">
        <v>4</v>
      </c>
    </row>
    <row r="239" spans="1:54" s="114" customFormat="1" ht="11.25" customHeight="1" x14ac:dyDescent="0.15">
      <c r="A239" s="134">
        <v>237</v>
      </c>
      <c r="B239" s="134"/>
      <c r="C239" s="135" t="s">
        <v>497</v>
      </c>
      <c r="D239" s="135">
        <v>5</v>
      </c>
      <c r="E239" s="135">
        <f t="shared" si="37"/>
        <v>41</v>
      </c>
      <c r="F239" s="136" t="str">
        <f>CONCATENATE("Hora Cátedra Enseñanza Media ",D239," hs Esc Esp")</f>
        <v>Hora Cátedra Enseñanza Media 5 hs Esc Esp</v>
      </c>
      <c r="G239" s="137">
        <f t="shared" si="47"/>
        <v>395</v>
      </c>
      <c r="H239" s="138">
        <f>INT((G239*Valores!$C$2*100)+0.49)/100</f>
        <v>4908.55</v>
      </c>
      <c r="I239" s="156">
        <v>0</v>
      </c>
      <c r="J239" s="140">
        <f>INT((I239*Valores!$C$2*100)+0.5)/100</f>
        <v>0</v>
      </c>
      <c r="K239" s="155">
        <v>0</v>
      </c>
      <c r="L239" s="140">
        <f>INT((K239*Valores!$C$2*100)+0.5)/100</f>
        <v>0</v>
      </c>
      <c r="M239" s="153">
        <v>0</v>
      </c>
      <c r="N239" s="140">
        <f>INT((M239*Valores!$C$2*100)+0.5)/100</f>
        <v>0</v>
      </c>
      <c r="O239" s="140">
        <f t="shared" si="38"/>
        <v>902.24249999999995</v>
      </c>
      <c r="P239" s="140">
        <f t="shared" si="39"/>
        <v>0</v>
      </c>
      <c r="Q239" s="154">
        <f>Valores!$C$14*D239</f>
        <v>2107.1</v>
      </c>
      <c r="R239" s="154">
        <f>IF(D239&lt;15,(Valores!$E$4*D239),Valores!$D$4)</f>
        <v>2117.5093333333334</v>
      </c>
      <c r="S239" s="140">
        <v>0</v>
      </c>
      <c r="T239" s="143">
        <f>IF($H$5="NO",IF(Valores!$C$47*D239&gt;Valores!$C$45,Valores!$C$45,Valores!$C$47*D239),IF(Valores!$C$47*D239&gt;Valores!$C$45,Valores!$C$45,Valores!$C$47*D239)/2)</f>
        <v>443.65000000000003</v>
      </c>
      <c r="U239" s="154">
        <f>Valores!$C$24*D239</f>
        <v>662.75</v>
      </c>
      <c r="V239" s="140">
        <f t="shared" ref="V239:V302" si="48">U239*(1+$J$2)</f>
        <v>662.75</v>
      </c>
      <c r="W239" s="140">
        <v>0</v>
      </c>
      <c r="X239" s="140">
        <v>0</v>
      </c>
      <c r="Y239" s="160">
        <v>0</v>
      </c>
      <c r="Z239" s="140">
        <f>Y239*Valores!$C$2</f>
        <v>0</v>
      </c>
      <c r="AA239" s="140">
        <v>0</v>
      </c>
      <c r="AB239" s="143">
        <f>IF(Valores!$C$93*D239&gt;Valores!$C$92,Valores!$C$92,Valores!$C$93*D239)</f>
        <v>564.45000000000005</v>
      </c>
      <c r="AC239" s="145">
        <f>IF((Valores!$C$34)*D239&gt;Valores!$F$34,Valores!$F$34,(Valores!$C$34)*D239)</f>
        <v>52.05</v>
      </c>
      <c r="AD239" s="140">
        <f t="shared" si="41"/>
        <v>0</v>
      </c>
      <c r="AE239" s="140">
        <f>IF(Valores!$C$35*D239&gt;Valores!$F$35,Valores!$F$35,Valores!$C$35*D239)</f>
        <v>43.35</v>
      </c>
      <c r="AF239" s="144">
        <v>94</v>
      </c>
      <c r="AG239" s="140">
        <f>INT(((AF239*Valores!$C$2)*100)+0.5)/100</f>
        <v>1168.1099999999999</v>
      </c>
      <c r="AH239" s="140">
        <f>IF($H$5="NO",IF(Valores!$D$60*'Escala Docente'!D239&gt;Valores!$F$60,Valores!$F$60,Valores!$D$60*'Escala Docente'!D239),IF(Valores!$D$60*'Escala Docente'!D239&gt;Valores!$F$60,Valores!$F$60,Valores!$D$60*'Escala Docente'!D239)/2)</f>
        <v>176.16333333333333</v>
      </c>
      <c r="AI239" s="140">
        <f>IF($H$5="NO",IF(Valores!$D$62*D239&gt;Valores!$F$62,Valores!$F$62,Valores!$D$62*D239),IF(Valores!$D$62*D239&gt;Valores!$F$62,Valores!$F$62,Valores!$D$62*D239)/2)</f>
        <v>50.383333333333333</v>
      </c>
      <c r="AJ239" s="146">
        <f t="shared" si="42"/>
        <v>13196.308500000001</v>
      </c>
      <c r="AK239" s="154">
        <f>IF(Valores!$C$38*D239&gt;Valores!$F$38,Valores!$F$38,Valores!$C$38*D239)</f>
        <v>453.65000000000003</v>
      </c>
      <c r="AL239" s="143">
        <f>IF(Valores!$C$88*D239&gt;Valores!$C$87,Valores!$C$87,Valores!$C$88*D239)</f>
        <v>568.74999999999989</v>
      </c>
      <c r="AM239" s="143"/>
      <c r="AN239" s="145">
        <f>IF($H$4="NO",0,IF(Valores!$C$59*D239&gt;Valores!$F$59,Valores!$F$59,Valores!$C$59*D239))</f>
        <v>0</v>
      </c>
      <c r="AO239" s="147">
        <f t="shared" si="43"/>
        <v>1022.3999999999999</v>
      </c>
      <c r="AP239" s="148">
        <f>AJ239*Valores!$C$69</f>
        <v>-1451.5939350000001</v>
      </c>
      <c r="AQ239" s="149">
        <f>AJ239*-Valores!$C$70</f>
        <v>0</v>
      </c>
      <c r="AR239" s="142">
        <f>AJ239*Valores!$C$71</f>
        <v>-593.83388250000007</v>
      </c>
      <c r="AS239" s="142">
        <f>Valores!$C$95</f>
        <v>-193.38</v>
      </c>
      <c r="AT239" s="142">
        <f>IF($H$6=0,Valores!$C$96,(Valores!$C$96+$H$6*(Valores!$C$96)))</f>
        <v>-129</v>
      </c>
      <c r="AU239" s="146">
        <f t="shared" si="44"/>
        <v>11850.9006825</v>
      </c>
      <c r="AV239" s="199">
        <f t="shared" si="40"/>
        <v>-1451.5939350000001</v>
      </c>
      <c r="AW239" s="142">
        <f>AJ239*Valores!$C$72</f>
        <v>-356.30032950000003</v>
      </c>
      <c r="AX239" s="142">
        <f>AJ239*Valores!$C$73</f>
        <v>-39.588925500000002</v>
      </c>
      <c r="AY239" s="146">
        <f t="shared" si="45"/>
        <v>12371.22531</v>
      </c>
      <c r="AZ239" s="150"/>
      <c r="BA239" s="150">
        <f t="shared" si="46"/>
        <v>20</v>
      </c>
      <c r="BB239" s="135" t="s">
        <v>4</v>
      </c>
    </row>
    <row r="240" spans="1:54" s="114" customFormat="1" ht="11.25" customHeight="1" x14ac:dyDescent="0.15">
      <c r="A240" s="134">
        <v>238</v>
      </c>
      <c r="B240" s="134"/>
      <c r="C240" s="135" t="s">
        <v>497</v>
      </c>
      <c r="D240" s="135">
        <v>6</v>
      </c>
      <c r="E240" s="135">
        <f t="shared" si="37"/>
        <v>33</v>
      </c>
      <c r="F240" s="136" t="str">
        <f>CONCATENATE("Hora Cátedra Enseñanza Media ",D240," hs")</f>
        <v>Hora Cátedra Enseñanza Media 6 hs</v>
      </c>
      <c r="G240" s="137">
        <f t="shared" si="47"/>
        <v>474</v>
      </c>
      <c r="H240" s="138">
        <f>INT((G240*Valores!$C$2*100)+0.49)/100</f>
        <v>5890.26</v>
      </c>
      <c r="I240" s="156">
        <v>0</v>
      </c>
      <c r="J240" s="140">
        <f>INT((I240*Valores!$C$2*100)+0.5)/100</f>
        <v>0</v>
      </c>
      <c r="K240" s="155">
        <v>0</v>
      </c>
      <c r="L240" s="140">
        <f>INT((K240*Valores!$C$2*100)+0.5)/100</f>
        <v>0</v>
      </c>
      <c r="M240" s="153">
        <v>0</v>
      </c>
      <c r="N240" s="140">
        <f>INT((M240*Valores!$C$2*100)+0.5)/100</f>
        <v>0</v>
      </c>
      <c r="O240" s="140">
        <f t="shared" si="38"/>
        <v>1082.691</v>
      </c>
      <c r="P240" s="140">
        <f t="shared" si="39"/>
        <v>0</v>
      </c>
      <c r="Q240" s="154">
        <f>Valores!$C$14*D240</f>
        <v>2528.52</v>
      </c>
      <c r="R240" s="154">
        <f>IF(D240&lt;15,(Valores!$E$4*D240),Valores!$D$4)</f>
        <v>2541.0111999999999</v>
      </c>
      <c r="S240" s="140">
        <v>0</v>
      </c>
      <c r="T240" s="143">
        <f>IF($H$5="NO",IF(Valores!$C$47*D240&gt;Valores!$C$45,Valores!$C$45,Valores!$C$47*D240),IF(Valores!$C$47*D240&gt;Valores!$C$45,Valores!$C$45,Valores!$C$47*D240)/2)</f>
        <v>532.38</v>
      </c>
      <c r="U240" s="154">
        <f>Valores!$C$24*D240</f>
        <v>795.30000000000007</v>
      </c>
      <c r="V240" s="140">
        <f t="shared" si="48"/>
        <v>795.30000000000007</v>
      </c>
      <c r="W240" s="140">
        <v>0</v>
      </c>
      <c r="X240" s="140">
        <v>0</v>
      </c>
      <c r="Y240" s="160">
        <v>0</v>
      </c>
      <c r="Z240" s="140">
        <f>Y240*Valores!$C$2</f>
        <v>0</v>
      </c>
      <c r="AA240" s="140">
        <v>0</v>
      </c>
      <c r="AB240" s="143">
        <f>IF(Valores!$C$93*D240&gt;Valores!$C$92,Valores!$C$92,Valores!$C$93*D240)</f>
        <v>677.34</v>
      </c>
      <c r="AC240" s="145">
        <f>IF((Valores!$C$34)*D240&gt;Valores!$F$34,Valores!$F$34,(Valores!$C$34)*D240)</f>
        <v>62.46</v>
      </c>
      <c r="AD240" s="140">
        <f t="shared" si="41"/>
        <v>0</v>
      </c>
      <c r="AE240" s="140">
        <f>IF(Valores!$C$35*D240&gt;Valores!$F$35,Valores!$F$35,Valores!$C$35*D240)</f>
        <v>52.019999999999996</v>
      </c>
      <c r="AF240" s="144">
        <v>0</v>
      </c>
      <c r="AG240" s="140">
        <f>INT(((AF240*Valores!$C$2)*100)+0.5)/100</f>
        <v>0</v>
      </c>
      <c r="AH240" s="140">
        <f>IF($H$5="NO",IF(Valores!$D$60*'Escala Docente'!D240&gt;Valores!$F$60,Valores!$F$60,Valores!$D$60*'Escala Docente'!D240),IF(Valores!$D$60*'Escala Docente'!D240&gt;Valores!$F$60,Valores!$F$60,Valores!$D$60*'Escala Docente'!D240)/2)</f>
        <v>211.39600000000002</v>
      </c>
      <c r="AI240" s="140">
        <f>IF($H$5="NO",IF(Valores!$D$62*D240&gt;Valores!$F$62,Valores!$F$62,Valores!$D$62*D240),IF(Valores!$D$62*D240&gt;Valores!$F$62,Valores!$F$62,Valores!$D$62*D240)/2)</f>
        <v>60.459999999999994</v>
      </c>
      <c r="AJ240" s="146">
        <f t="shared" si="42"/>
        <v>14433.838199999997</v>
      </c>
      <c r="AK240" s="154">
        <f>IF(Valores!$C$38*D240&gt;Valores!$F$38,Valores!$F$38,Valores!$C$38*D240)</f>
        <v>544.38</v>
      </c>
      <c r="AL240" s="143">
        <f>IF(Valores!$C$88*D240&gt;Valores!$C$87,Valores!$C$87,Valores!$C$88*D240)</f>
        <v>682.49999999999989</v>
      </c>
      <c r="AM240" s="143"/>
      <c r="AN240" s="145">
        <f>IF($H$4="NO",0,IF(Valores!$C$59*D240&gt;Valores!$F$59,Valores!$F$59,Valores!$C$59*D240))</f>
        <v>0</v>
      </c>
      <c r="AO240" s="147">
        <f t="shared" si="43"/>
        <v>1226.8799999999999</v>
      </c>
      <c r="AP240" s="148">
        <f>AJ240*Valores!$C$69</f>
        <v>-1587.7222019999997</v>
      </c>
      <c r="AQ240" s="149">
        <f>AJ240*-Valores!$C$70</f>
        <v>0</v>
      </c>
      <c r="AR240" s="142">
        <f>AJ240*Valores!$C$71</f>
        <v>-649.52271899999982</v>
      </c>
      <c r="AS240" s="142">
        <f>Valores!$C$95</f>
        <v>-193.38</v>
      </c>
      <c r="AT240" s="142">
        <f>IF($H$6=0,Valores!$C$96,(Valores!$C$96+$H$6*(Valores!$C$96)))</f>
        <v>-129</v>
      </c>
      <c r="AU240" s="146">
        <f t="shared" si="44"/>
        <v>13101.093278999997</v>
      </c>
      <c r="AV240" s="199">
        <f t="shared" si="40"/>
        <v>-1587.7222019999997</v>
      </c>
      <c r="AW240" s="142">
        <f>AJ240*Valores!$C$72</f>
        <v>-389.71363139999988</v>
      </c>
      <c r="AX240" s="142">
        <f>AJ240*Valores!$C$73</f>
        <v>-43.30151459999999</v>
      </c>
      <c r="AY240" s="146">
        <f t="shared" si="45"/>
        <v>13639.980851999997</v>
      </c>
      <c r="AZ240" s="150"/>
      <c r="BA240" s="150">
        <f t="shared" si="46"/>
        <v>24</v>
      </c>
      <c r="BB240" s="135" t="s">
        <v>4</v>
      </c>
    </row>
    <row r="241" spans="1:54" s="114" customFormat="1" ht="11.25" customHeight="1" x14ac:dyDescent="0.15">
      <c r="A241" s="134">
        <v>239</v>
      </c>
      <c r="B241" s="134"/>
      <c r="C241" s="135" t="s">
        <v>497</v>
      </c>
      <c r="D241" s="135">
        <v>6</v>
      </c>
      <c r="E241" s="135">
        <f t="shared" si="37"/>
        <v>41</v>
      </c>
      <c r="F241" s="136" t="str">
        <f>CONCATENATE("Hora Cátedra Enseñanza Media ",D241," hs Esc Esp")</f>
        <v>Hora Cátedra Enseñanza Media 6 hs Esc Esp</v>
      </c>
      <c r="G241" s="137">
        <f t="shared" si="47"/>
        <v>474</v>
      </c>
      <c r="H241" s="138">
        <f>INT((G241*Valores!$C$2*100)+0.49)/100</f>
        <v>5890.26</v>
      </c>
      <c r="I241" s="156">
        <v>0</v>
      </c>
      <c r="J241" s="140">
        <f>INT((I241*Valores!$C$2*100)+0.5)/100</f>
        <v>0</v>
      </c>
      <c r="K241" s="155">
        <v>0</v>
      </c>
      <c r="L241" s="140">
        <f>INT((K241*Valores!$C$2*100)+0.5)/100</f>
        <v>0</v>
      </c>
      <c r="M241" s="153">
        <v>0</v>
      </c>
      <c r="N241" s="140">
        <f>INT((M241*Valores!$C$2*100)+0.5)/100</f>
        <v>0</v>
      </c>
      <c r="O241" s="140">
        <f t="shared" si="38"/>
        <v>1082.691</v>
      </c>
      <c r="P241" s="140">
        <f t="shared" si="39"/>
        <v>0</v>
      </c>
      <c r="Q241" s="154">
        <f>Valores!$C$14*D241</f>
        <v>2528.52</v>
      </c>
      <c r="R241" s="154">
        <f>IF(D241&lt;15,(Valores!$E$4*D241),Valores!$D$4)</f>
        <v>2541.0111999999999</v>
      </c>
      <c r="S241" s="140">
        <v>0</v>
      </c>
      <c r="T241" s="143">
        <f>IF($H$5="NO",IF(Valores!$C$47*D241&gt;Valores!$C$45,Valores!$C$45,Valores!$C$47*D241),IF(Valores!$C$47*D241&gt;Valores!$C$45,Valores!$C$45,Valores!$C$47*D241)/2)</f>
        <v>532.38</v>
      </c>
      <c r="U241" s="154">
        <f>Valores!$C$24*D241</f>
        <v>795.30000000000007</v>
      </c>
      <c r="V241" s="140">
        <f t="shared" si="48"/>
        <v>795.30000000000007</v>
      </c>
      <c r="W241" s="140">
        <v>0</v>
      </c>
      <c r="X241" s="140">
        <v>0</v>
      </c>
      <c r="Y241" s="160">
        <v>0</v>
      </c>
      <c r="Z241" s="140">
        <f>Y241*Valores!$C$2</f>
        <v>0</v>
      </c>
      <c r="AA241" s="140">
        <v>0</v>
      </c>
      <c r="AB241" s="143">
        <f>IF(Valores!$C$93*D241&gt;Valores!$C$92,Valores!$C$92,Valores!$C$93*D241)</f>
        <v>677.34</v>
      </c>
      <c r="AC241" s="145">
        <f>IF((Valores!$C$34)*D241&gt;Valores!$F$34,Valores!$F$34,(Valores!$C$34)*D241)</f>
        <v>62.46</v>
      </c>
      <c r="AD241" s="140">
        <f t="shared" si="41"/>
        <v>0</v>
      </c>
      <c r="AE241" s="140">
        <f>IF(Valores!$C$35*D241&gt;Valores!$F$35,Valores!$F$35,Valores!$C$35*D241)</f>
        <v>52.019999999999996</v>
      </c>
      <c r="AF241" s="144">
        <v>94</v>
      </c>
      <c r="AG241" s="140">
        <f>INT(((AF241*Valores!$C$2)*100)+0.5)/100</f>
        <v>1168.1099999999999</v>
      </c>
      <c r="AH241" s="140">
        <f>IF($H$5="NO",IF(Valores!$D$60*'Escala Docente'!D241&gt;Valores!$F$60,Valores!$F$60,Valores!$D$60*'Escala Docente'!D241),IF(Valores!$D$60*'Escala Docente'!D241&gt;Valores!$F$60,Valores!$F$60,Valores!$D$60*'Escala Docente'!D241)/2)</f>
        <v>211.39600000000002</v>
      </c>
      <c r="AI241" s="140">
        <f>IF($H$5="NO",IF(Valores!$D$62*D241&gt;Valores!$F$62,Valores!$F$62,Valores!$D$62*D241),IF(Valores!$D$62*D241&gt;Valores!$F$62,Valores!$F$62,Valores!$D$62*D241)/2)</f>
        <v>60.459999999999994</v>
      </c>
      <c r="AJ241" s="146">
        <f t="shared" si="42"/>
        <v>15601.948199999997</v>
      </c>
      <c r="AK241" s="154">
        <f>IF(Valores!$C$38*D241&gt;Valores!$F$38,Valores!$F$38,Valores!$C$38*D241)</f>
        <v>544.38</v>
      </c>
      <c r="AL241" s="143">
        <f>IF(Valores!$C$88*D241&gt;Valores!$C$87,Valores!$C$87,Valores!$C$88*D241)</f>
        <v>682.49999999999989</v>
      </c>
      <c r="AM241" s="143"/>
      <c r="AN241" s="145">
        <f>IF($H$4="NO",0,IF(Valores!$C$59*D241&gt;Valores!$F$59,Valores!$F$59,Valores!$C$59*D241))</f>
        <v>0</v>
      </c>
      <c r="AO241" s="147">
        <f t="shared" si="43"/>
        <v>1226.8799999999999</v>
      </c>
      <c r="AP241" s="148">
        <f>AJ241*Valores!$C$69</f>
        <v>-1716.2143019999996</v>
      </c>
      <c r="AQ241" s="149">
        <f>AJ241*-Valores!$C$70</f>
        <v>0</v>
      </c>
      <c r="AR241" s="142">
        <f>AJ241*Valores!$C$71</f>
        <v>-702.08766899999989</v>
      </c>
      <c r="AS241" s="142">
        <f>Valores!$C$95</f>
        <v>-193.38</v>
      </c>
      <c r="AT241" s="142">
        <f>IF($H$6=0,Valores!$C$96,(Valores!$C$96+$H$6*(Valores!$C$96)))</f>
        <v>-129</v>
      </c>
      <c r="AU241" s="146">
        <f t="shared" si="44"/>
        <v>14088.146228999998</v>
      </c>
      <c r="AV241" s="199">
        <f t="shared" si="40"/>
        <v>-1716.2143019999996</v>
      </c>
      <c r="AW241" s="142">
        <f>AJ241*Valores!$C$72</f>
        <v>-421.25260139999989</v>
      </c>
      <c r="AX241" s="142">
        <f>AJ241*Valores!$C$73</f>
        <v>-46.805844599999993</v>
      </c>
      <c r="AY241" s="146">
        <f t="shared" si="45"/>
        <v>14644.555451999997</v>
      </c>
      <c r="AZ241" s="150"/>
      <c r="BA241" s="150">
        <f t="shared" si="46"/>
        <v>24</v>
      </c>
      <c r="BB241" s="135" t="s">
        <v>4</v>
      </c>
    </row>
    <row r="242" spans="1:54" s="114" customFormat="1" ht="11.25" customHeight="1" x14ac:dyDescent="0.15">
      <c r="A242" s="152">
        <v>240</v>
      </c>
      <c r="B242" s="152" t="s">
        <v>139</v>
      </c>
      <c r="C242" s="135" t="s">
        <v>497</v>
      </c>
      <c r="D242" s="135">
        <v>7</v>
      </c>
      <c r="E242" s="135">
        <f t="shared" si="37"/>
        <v>33</v>
      </c>
      <c r="F242" s="136" t="str">
        <f>CONCATENATE("Hora Cátedra Enseñanza Media ",D242," hs")</f>
        <v>Hora Cátedra Enseñanza Media 7 hs</v>
      </c>
      <c r="G242" s="137">
        <f t="shared" si="47"/>
        <v>553</v>
      </c>
      <c r="H242" s="138">
        <f>INT((G242*Valores!$C$2*100)+0.49)/100</f>
        <v>6871.97</v>
      </c>
      <c r="I242" s="156">
        <v>0</v>
      </c>
      <c r="J242" s="140">
        <f>INT((I242*Valores!$C$2*100)+0.5)/100</f>
        <v>0</v>
      </c>
      <c r="K242" s="155">
        <v>0</v>
      </c>
      <c r="L242" s="140">
        <f>INT((K242*Valores!$C$2*100)+0.5)/100</f>
        <v>0</v>
      </c>
      <c r="M242" s="153">
        <v>0</v>
      </c>
      <c r="N242" s="140">
        <f>INT((M242*Valores!$C$2*100)+0.5)/100</f>
        <v>0</v>
      </c>
      <c r="O242" s="140">
        <f t="shared" si="38"/>
        <v>1263.1395</v>
      </c>
      <c r="P242" s="140">
        <f t="shared" si="39"/>
        <v>0</v>
      </c>
      <c r="Q242" s="154">
        <f>Valores!$C$14*D242</f>
        <v>2949.94</v>
      </c>
      <c r="R242" s="154">
        <f>IF(D242&lt;15,(Valores!$E$4*D242),Valores!$D$4)</f>
        <v>2964.5130666666669</v>
      </c>
      <c r="S242" s="140">
        <v>0</v>
      </c>
      <c r="T242" s="143">
        <f>IF($H$5="NO",IF(Valores!$C$47*D242&gt;Valores!$C$45,Valores!$C$45,Valores!$C$47*D242),IF(Valores!$C$47*D242&gt;Valores!$C$45,Valores!$C$45,Valores!$C$47*D242)/2)</f>
        <v>621.11</v>
      </c>
      <c r="U242" s="154">
        <f>Valores!$C$24*D242</f>
        <v>927.85000000000014</v>
      </c>
      <c r="V242" s="140">
        <f t="shared" si="48"/>
        <v>927.85000000000014</v>
      </c>
      <c r="W242" s="140">
        <v>0</v>
      </c>
      <c r="X242" s="140">
        <v>0</v>
      </c>
      <c r="Y242" s="160">
        <v>0</v>
      </c>
      <c r="Z242" s="140">
        <f>Y242*Valores!$C$2</f>
        <v>0</v>
      </c>
      <c r="AA242" s="140">
        <v>0</v>
      </c>
      <c r="AB242" s="143">
        <f>IF(Valores!$C$93*D242&gt;Valores!$C$92,Valores!$C$92,Valores!$C$93*D242)</f>
        <v>790.23</v>
      </c>
      <c r="AC242" s="145">
        <f>IF((Valores!$C$34)*D242&gt;Valores!$F$34,Valores!$F$34,(Valores!$C$34)*D242)</f>
        <v>72.87</v>
      </c>
      <c r="AD242" s="140">
        <f t="shared" si="41"/>
        <v>0</v>
      </c>
      <c r="AE242" s="140">
        <f>IF(Valores!$C$35*D242&gt;Valores!$F$35,Valores!$F$35,Valores!$C$35*D242)</f>
        <v>60.69</v>
      </c>
      <c r="AF242" s="144">
        <v>0</v>
      </c>
      <c r="AG242" s="140">
        <f>INT(((AF242*Valores!$C$2)*100)+0.5)/100</f>
        <v>0</v>
      </c>
      <c r="AH242" s="140">
        <f>IF($H$5="NO",IF(Valores!$D$60*'Escala Docente'!D242&gt;Valores!$F$60,Valores!$F$60,Valores!$D$60*'Escala Docente'!D242),IF(Valores!$D$60*'Escala Docente'!D242&gt;Valores!$F$60,Valores!$F$60,Valores!$D$60*'Escala Docente'!D242)/2)</f>
        <v>246.62866666666667</v>
      </c>
      <c r="AI242" s="140">
        <f>IF($H$5="NO",IF(Valores!$D$62*D242&gt;Valores!$F$62,Valores!$F$62,Valores!$D$62*D242),IF(Valores!$D$62*D242&gt;Valores!$F$62,Valores!$F$62,Valores!$D$62*D242)/2)</f>
        <v>70.536666666666662</v>
      </c>
      <c r="AJ242" s="146">
        <f t="shared" si="42"/>
        <v>16839.477900000005</v>
      </c>
      <c r="AK242" s="154">
        <f>IF(Valores!$C$38*D242&gt;Valores!$F$38,Valores!$F$38,Valores!$C$38*D242)</f>
        <v>635.11</v>
      </c>
      <c r="AL242" s="143">
        <f>IF(Valores!$C$88*D242&gt;Valores!$C$87,Valores!$C$87,Valores!$C$88*D242)</f>
        <v>796.24999999999989</v>
      </c>
      <c r="AM242" s="143"/>
      <c r="AN242" s="145">
        <f>IF($H$4="NO",0,IF(Valores!$C$59*D242&gt;Valores!$F$59,Valores!$F$59,Valores!$C$59*D242))</f>
        <v>0</v>
      </c>
      <c r="AO242" s="147">
        <f t="shared" si="43"/>
        <v>1431.36</v>
      </c>
      <c r="AP242" s="148">
        <f>AJ242*Valores!$C$69</f>
        <v>-1852.3425690000006</v>
      </c>
      <c r="AQ242" s="149">
        <f>AJ242*-Valores!$C$70</f>
        <v>0</v>
      </c>
      <c r="AR242" s="142">
        <f>AJ242*Valores!$C$71</f>
        <v>-757.77650550000021</v>
      </c>
      <c r="AS242" s="142">
        <f>Valores!$C$95</f>
        <v>-193.38</v>
      </c>
      <c r="AT242" s="142">
        <f>IF($H$6=0,Valores!$C$96,(Valores!$C$96+$H$6*(Valores!$C$96)))</f>
        <v>-129</v>
      </c>
      <c r="AU242" s="146">
        <f t="shared" si="44"/>
        <v>15338.338825500005</v>
      </c>
      <c r="AV242" s="199">
        <f t="shared" si="40"/>
        <v>-1852.3425690000006</v>
      </c>
      <c r="AW242" s="142">
        <f>AJ242*Valores!$C$72</f>
        <v>-454.66590330000014</v>
      </c>
      <c r="AX242" s="142">
        <f>AJ242*Valores!$C$73</f>
        <v>-50.518433700000017</v>
      </c>
      <c r="AY242" s="146">
        <f t="shared" si="45"/>
        <v>15913.310994000005</v>
      </c>
      <c r="AZ242" s="150"/>
      <c r="BA242" s="150">
        <f t="shared" si="46"/>
        <v>28</v>
      </c>
      <c r="BB242" s="135" t="s">
        <v>4</v>
      </c>
    </row>
    <row r="243" spans="1:54" s="114" customFormat="1" ht="11.25" customHeight="1" x14ac:dyDescent="0.15">
      <c r="A243" s="134">
        <v>241</v>
      </c>
      <c r="B243" s="134"/>
      <c r="C243" s="135" t="s">
        <v>497</v>
      </c>
      <c r="D243" s="135">
        <v>7</v>
      </c>
      <c r="E243" s="135">
        <f t="shared" si="37"/>
        <v>41</v>
      </c>
      <c r="F243" s="136" t="str">
        <f>CONCATENATE("Hora Cátedra Enseñanza Media ",D243," hs Esc Esp")</f>
        <v>Hora Cátedra Enseñanza Media 7 hs Esc Esp</v>
      </c>
      <c r="G243" s="137">
        <f t="shared" si="47"/>
        <v>553</v>
      </c>
      <c r="H243" s="138">
        <f>INT((G243*Valores!$C$2*100)+0.49)/100</f>
        <v>6871.97</v>
      </c>
      <c r="I243" s="156">
        <v>0</v>
      </c>
      <c r="J243" s="140">
        <f>INT((I243*Valores!$C$2*100)+0.5)/100</f>
        <v>0</v>
      </c>
      <c r="K243" s="155">
        <v>0</v>
      </c>
      <c r="L243" s="140">
        <f>INT((K243*Valores!$C$2*100)+0.5)/100</f>
        <v>0</v>
      </c>
      <c r="M243" s="153">
        <v>0</v>
      </c>
      <c r="N243" s="140">
        <f>INT((M243*Valores!$C$2*100)+0.5)/100</f>
        <v>0</v>
      </c>
      <c r="O243" s="140">
        <f t="shared" si="38"/>
        <v>1263.1395</v>
      </c>
      <c r="P243" s="140">
        <f t="shared" si="39"/>
        <v>0</v>
      </c>
      <c r="Q243" s="154">
        <f>Valores!$C$14*D243</f>
        <v>2949.94</v>
      </c>
      <c r="R243" s="154">
        <f>IF(D243&lt;15,(Valores!$E$4*D243),Valores!$D$4)</f>
        <v>2964.5130666666669</v>
      </c>
      <c r="S243" s="140">
        <v>0</v>
      </c>
      <c r="T243" s="143">
        <f>IF($H$5="NO",IF(Valores!$C$47*D243&gt;Valores!$C$45,Valores!$C$45,Valores!$C$47*D243),IF(Valores!$C$47*D243&gt;Valores!$C$45,Valores!$C$45,Valores!$C$47*D243)/2)</f>
        <v>621.11</v>
      </c>
      <c r="U243" s="154">
        <f>Valores!$C$24*D243</f>
        <v>927.85000000000014</v>
      </c>
      <c r="V243" s="140">
        <f t="shared" si="48"/>
        <v>927.85000000000014</v>
      </c>
      <c r="W243" s="140">
        <v>0</v>
      </c>
      <c r="X243" s="140">
        <v>0</v>
      </c>
      <c r="Y243" s="160">
        <v>0</v>
      </c>
      <c r="Z243" s="140">
        <f>Y243*Valores!$C$2</f>
        <v>0</v>
      </c>
      <c r="AA243" s="140">
        <v>0</v>
      </c>
      <c r="AB243" s="143">
        <f>IF(Valores!$C$93*D243&gt;Valores!$C$92,Valores!$C$92,Valores!$C$93*D243)</f>
        <v>790.23</v>
      </c>
      <c r="AC243" s="145">
        <f>IF((Valores!$C$34)*D243&gt;Valores!$F$34,Valores!$F$34,(Valores!$C$34)*D243)</f>
        <v>72.87</v>
      </c>
      <c r="AD243" s="140">
        <f t="shared" si="41"/>
        <v>0</v>
      </c>
      <c r="AE243" s="140">
        <f>IF(Valores!$C$35*D243&gt;Valores!$F$35,Valores!$F$35,Valores!$C$35*D243)</f>
        <v>60.69</v>
      </c>
      <c r="AF243" s="144">
        <v>94</v>
      </c>
      <c r="AG243" s="140">
        <f>INT(((AF243*Valores!$C$2)*100)+0.5)/100</f>
        <v>1168.1099999999999</v>
      </c>
      <c r="AH243" s="140">
        <f>IF($H$5="NO",IF(Valores!$D$60*'Escala Docente'!D243&gt;Valores!$F$60,Valores!$F$60,Valores!$D$60*'Escala Docente'!D243),IF(Valores!$D$60*'Escala Docente'!D243&gt;Valores!$F$60,Valores!$F$60,Valores!$D$60*'Escala Docente'!D243)/2)</f>
        <v>246.62866666666667</v>
      </c>
      <c r="AI243" s="140">
        <f>IF($H$5="NO",IF(Valores!$D$62*D243&gt;Valores!$F$62,Valores!$F$62,Valores!$D$62*D243),IF(Valores!$D$62*D243&gt;Valores!$F$62,Valores!$F$62,Valores!$D$62*D243)/2)</f>
        <v>70.536666666666662</v>
      </c>
      <c r="AJ243" s="146">
        <f t="shared" si="42"/>
        <v>18007.587900000002</v>
      </c>
      <c r="AK243" s="154">
        <f>IF(Valores!$C$38*D243&gt;Valores!$F$38,Valores!$F$38,Valores!$C$38*D243)</f>
        <v>635.11</v>
      </c>
      <c r="AL243" s="143">
        <f>IF(Valores!$C$88*D243&gt;Valores!$C$87,Valores!$C$87,Valores!$C$88*D243)</f>
        <v>796.24999999999989</v>
      </c>
      <c r="AM243" s="143"/>
      <c r="AN243" s="145">
        <f>IF($H$4="NO",0,IF(Valores!$C$59*D243&gt;Valores!$F$59,Valores!$F$59,Valores!$C$59*D243))</f>
        <v>0</v>
      </c>
      <c r="AO243" s="147">
        <f t="shared" si="43"/>
        <v>1431.36</v>
      </c>
      <c r="AP243" s="148">
        <f>AJ243*Valores!$C$69</f>
        <v>-1980.8346690000003</v>
      </c>
      <c r="AQ243" s="149">
        <f>AJ243*-Valores!$C$70</f>
        <v>0</v>
      </c>
      <c r="AR243" s="142">
        <f>AJ243*Valores!$C$71</f>
        <v>-810.34145550000005</v>
      </c>
      <c r="AS243" s="142">
        <f>Valores!$C$95</f>
        <v>-193.38</v>
      </c>
      <c r="AT243" s="142">
        <f>IF($H$6=0,Valores!$C$96,(Valores!$C$96+$H$6*(Valores!$C$96)))</f>
        <v>-129</v>
      </c>
      <c r="AU243" s="146">
        <f t="shared" si="44"/>
        <v>16325.391775500002</v>
      </c>
      <c r="AV243" s="199">
        <f t="shared" si="40"/>
        <v>-1980.8346690000003</v>
      </c>
      <c r="AW243" s="142">
        <f>AJ243*Valores!$C$72</f>
        <v>-486.20487330000003</v>
      </c>
      <c r="AX243" s="142">
        <f>AJ243*Valores!$C$73</f>
        <v>-54.022763700000006</v>
      </c>
      <c r="AY243" s="146">
        <f t="shared" si="45"/>
        <v>16917.885594000003</v>
      </c>
      <c r="AZ243" s="150"/>
      <c r="BA243" s="150">
        <f t="shared" si="46"/>
        <v>28</v>
      </c>
      <c r="BB243" s="135" t="s">
        <v>4</v>
      </c>
    </row>
    <row r="244" spans="1:54" s="114" customFormat="1" ht="11.25" customHeight="1" x14ac:dyDescent="0.15">
      <c r="A244" s="134">
        <v>242</v>
      </c>
      <c r="B244" s="134"/>
      <c r="C244" s="135" t="s">
        <v>497</v>
      </c>
      <c r="D244" s="135">
        <v>8</v>
      </c>
      <c r="E244" s="135">
        <f t="shared" si="37"/>
        <v>33</v>
      </c>
      <c r="F244" s="136" t="str">
        <f>CONCATENATE("Hora Cátedra Enseñanza Media ",D244," hs")</f>
        <v>Hora Cátedra Enseñanza Media 8 hs</v>
      </c>
      <c r="G244" s="137">
        <f t="shared" si="47"/>
        <v>632</v>
      </c>
      <c r="H244" s="138">
        <f>INT((G244*Valores!$C$2*100)+0.49)/100</f>
        <v>7853.67</v>
      </c>
      <c r="I244" s="156">
        <v>0</v>
      </c>
      <c r="J244" s="140">
        <f>INT((I244*Valores!$C$2*100)+0.5)/100</f>
        <v>0</v>
      </c>
      <c r="K244" s="155">
        <v>0</v>
      </c>
      <c r="L244" s="140">
        <f>INT((K244*Valores!$C$2*100)+0.5)/100</f>
        <v>0</v>
      </c>
      <c r="M244" s="153">
        <v>0</v>
      </c>
      <c r="N244" s="140">
        <f>INT((M244*Valores!$C$2*100)+0.5)/100</f>
        <v>0</v>
      </c>
      <c r="O244" s="140">
        <f t="shared" si="38"/>
        <v>1443.5864999999999</v>
      </c>
      <c r="P244" s="140">
        <f t="shared" si="39"/>
        <v>0</v>
      </c>
      <c r="Q244" s="154">
        <f>Valores!$C$14*D244</f>
        <v>3371.36</v>
      </c>
      <c r="R244" s="154">
        <f>IF(D244&lt;15,(Valores!$E$4*D244),Valores!$D$4)</f>
        <v>3388.0149333333334</v>
      </c>
      <c r="S244" s="140">
        <v>0</v>
      </c>
      <c r="T244" s="143">
        <f>IF($H$5="NO",IF(Valores!$C$47*D244&gt;Valores!$C$45,Valores!$C$45,Valores!$C$47*D244),IF(Valores!$C$47*D244&gt;Valores!$C$45,Valores!$C$45,Valores!$C$47*D244)/2)</f>
        <v>709.84</v>
      </c>
      <c r="U244" s="154">
        <f>Valores!$C$24*D244</f>
        <v>1060.4000000000001</v>
      </c>
      <c r="V244" s="140">
        <f t="shared" si="48"/>
        <v>1060.4000000000001</v>
      </c>
      <c r="W244" s="140">
        <v>0</v>
      </c>
      <c r="X244" s="140">
        <v>0</v>
      </c>
      <c r="Y244" s="160">
        <v>0</v>
      </c>
      <c r="Z244" s="140">
        <f>Y244*Valores!$C$2</f>
        <v>0</v>
      </c>
      <c r="AA244" s="140">
        <v>0</v>
      </c>
      <c r="AB244" s="143">
        <f>IF(Valores!$C$93*D244&gt;Valores!$C$92,Valores!$C$92,Valores!$C$93*D244)</f>
        <v>903.12</v>
      </c>
      <c r="AC244" s="145">
        <f>IF((Valores!$C$34)*D244&gt;Valores!$F$34,Valores!$F$34,(Valores!$C$34)*D244)</f>
        <v>83.28</v>
      </c>
      <c r="AD244" s="140">
        <f t="shared" si="41"/>
        <v>0</v>
      </c>
      <c r="AE244" s="140">
        <f>IF(Valores!$C$35*D244&gt;Valores!$F$35,Valores!$F$35,Valores!$C$35*D244)</f>
        <v>69.36</v>
      </c>
      <c r="AF244" s="144">
        <v>0</v>
      </c>
      <c r="AG244" s="140">
        <f>INT(((AF244*Valores!$C$2)*100)+0.5)/100</f>
        <v>0</v>
      </c>
      <c r="AH244" s="140">
        <f>IF($H$5="NO",IF(Valores!$D$60*'Escala Docente'!D244&gt;Valores!$F$60,Valores!$F$60,Valores!$D$60*'Escala Docente'!D244),IF(Valores!$D$60*'Escala Docente'!D244&gt;Valores!$F$60,Valores!$F$60,Valores!$D$60*'Escala Docente'!D244)/2)</f>
        <v>281.86133333333333</v>
      </c>
      <c r="AI244" s="140">
        <f>IF($H$5="NO",IF(Valores!$D$62*D244&gt;Valores!$F$62,Valores!$F$62,Valores!$D$62*D244),IF(Valores!$D$62*D244&gt;Valores!$F$62,Valores!$F$62,Valores!$D$62*D244)/2)</f>
        <v>80.61333333333333</v>
      </c>
      <c r="AJ244" s="146">
        <f t="shared" si="42"/>
        <v>19245.106100000001</v>
      </c>
      <c r="AK244" s="154">
        <f>IF(Valores!$C$38*D244&gt;Valores!$F$38,Valores!$F$38,Valores!$C$38*D244)</f>
        <v>725.84</v>
      </c>
      <c r="AL244" s="143">
        <f>IF(Valores!$C$88*D244&gt;Valores!$C$87,Valores!$C$87,Valores!$C$88*D244)</f>
        <v>909.99999999999989</v>
      </c>
      <c r="AM244" s="143"/>
      <c r="AN244" s="145">
        <f>IF($H$4="NO",0,IF(Valores!$C$59*D244&gt;Valores!$F$59,Valores!$F$59,Valores!$C$59*D244))</f>
        <v>0</v>
      </c>
      <c r="AO244" s="147">
        <f t="shared" si="43"/>
        <v>1635.84</v>
      </c>
      <c r="AP244" s="148">
        <f>AJ244*Valores!$C$69</f>
        <v>-2116.961671</v>
      </c>
      <c r="AQ244" s="149">
        <f>AJ244*-Valores!$C$70</f>
        <v>0</v>
      </c>
      <c r="AR244" s="142">
        <f>AJ244*Valores!$C$71</f>
        <v>-866.02977450000003</v>
      </c>
      <c r="AS244" s="142">
        <f>Valores!$C$95</f>
        <v>-193.38</v>
      </c>
      <c r="AT244" s="142">
        <f>IF($H$6=0,Valores!$C$96,(Valores!$C$96+$H$6*(Valores!$C$96)))</f>
        <v>-129</v>
      </c>
      <c r="AU244" s="146">
        <f t="shared" si="44"/>
        <v>17575.5746545</v>
      </c>
      <c r="AV244" s="199">
        <f t="shared" si="40"/>
        <v>-2116.961671</v>
      </c>
      <c r="AW244" s="142">
        <f>AJ244*Valores!$C$72</f>
        <v>-519.61786470000004</v>
      </c>
      <c r="AX244" s="142">
        <f>AJ244*Valores!$C$73</f>
        <v>-57.735318300000003</v>
      </c>
      <c r="AY244" s="146">
        <f t="shared" si="45"/>
        <v>18186.631246000001</v>
      </c>
      <c r="AZ244" s="150"/>
      <c r="BA244" s="150">
        <f t="shared" si="46"/>
        <v>32</v>
      </c>
      <c r="BB244" s="135" t="s">
        <v>4</v>
      </c>
    </row>
    <row r="245" spans="1:54" s="114" customFormat="1" ht="11.25" customHeight="1" x14ac:dyDescent="0.15">
      <c r="A245" s="134">
        <v>243</v>
      </c>
      <c r="B245" s="134"/>
      <c r="C245" s="135" t="s">
        <v>497</v>
      </c>
      <c r="D245" s="135">
        <v>8</v>
      </c>
      <c r="E245" s="135">
        <f t="shared" si="37"/>
        <v>41</v>
      </c>
      <c r="F245" s="136" t="str">
        <f>CONCATENATE("Hora Cátedra Enseñanza Media ",D245," hs Esc Esp")</f>
        <v>Hora Cátedra Enseñanza Media 8 hs Esc Esp</v>
      </c>
      <c r="G245" s="137">
        <f t="shared" si="47"/>
        <v>632</v>
      </c>
      <c r="H245" s="138">
        <f>INT((G245*Valores!$C$2*100)+0.49)/100</f>
        <v>7853.67</v>
      </c>
      <c r="I245" s="156">
        <v>0</v>
      </c>
      <c r="J245" s="140">
        <f>INT((I245*Valores!$C$2*100)+0.5)/100</f>
        <v>0</v>
      </c>
      <c r="K245" s="155">
        <v>0</v>
      </c>
      <c r="L245" s="140">
        <f>INT((K245*Valores!$C$2*100)+0.5)/100</f>
        <v>0</v>
      </c>
      <c r="M245" s="153">
        <v>0</v>
      </c>
      <c r="N245" s="140">
        <f>INT((M245*Valores!$C$2*100)+0.5)/100</f>
        <v>0</v>
      </c>
      <c r="O245" s="140">
        <f t="shared" si="38"/>
        <v>1443.5864999999999</v>
      </c>
      <c r="P245" s="140">
        <f t="shared" si="39"/>
        <v>0</v>
      </c>
      <c r="Q245" s="154">
        <f>Valores!$C$14*D245</f>
        <v>3371.36</v>
      </c>
      <c r="R245" s="154">
        <f>IF(D245&lt;15,(Valores!$E$4*D245),Valores!$D$4)</f>
        <v>3388.0149333333334</v>
      </c>
      <c r="S245" s="140">
        <v>0</v>
      </c>
      <c r="T245" s="143">
        <f>IF($H$5="NO",IF(Valores!$C$47*D245&gt;Valores!$C$45,Valores!$C$45,Valores!$C$47*D245),IF(Valores!$C$47*D245&gt;Valores!$C$45,Valores!$C$45,Valores!$C$47*D245)/2)</f>
        <v>709.84</v>
      </c>
      <c r="U245" s="154">
        <f>Valores!$C$24*D245</f>
        <v>1060.4000000000001</v>
      </c>
      <c r="V245" s="140">
        <f t="shared" si="48"/>
        <v>1060.4000000000001</v>
      </c>
      <c r="W245" s="140">
        <v>0</v>
      </c>
      <c r="X245" s="140">
        <v>0</v>
      </c>
      <c r="Y245" s="160">
        <v>0</v>
      </c>
      <c r="Z245" s="140">
        <f>Y245*Valores!$C$2</f>
        <v>0</v>
      </c>
      <c r="AA245" s="140">
        <v>0</v>
      </c>
      <c r="AB245" s="143">
        <f>IF(Valores!$C$93*D245&gt;Valores!$C$92,Valores!$C$92,Valores!$C$93*D245)</f>
        <v>903.12</v>
      </c>
      <c r="AC245" s="145">
        <f>IF((Valores!$C$34)*D245&gt;Valores!$F$34,Valores!$F$34,(Valores!$C$34)*D245)</f>
        <v>83.28</v>
      </c>
      <c r="AD245" s="140">
        <f t="shared" si="41"/>
        <v>0</v>
      </c>
      <c r="AE245" s="140">
        <f>IF(Valores!$C$35*D245&gt;Valores!$F$35,Valores!$F$35,Valores!$C$35*D245)</f>
        <v>69.36</v>
      </c>
      <c r="AF245" s="144">
        <v>94</v>
      </c>
      <c r="AG245" s="140">
        <f>INT(((AF245*Valores!$C$2)*100)+0.5)/100</f>
        <v>1168.1099999999999</v>
      </c>
      <c r="AH245" s="140">
        <f>IF($H$5="NO",IF(Valores!$D$60*'Escala Docente'!D245&gt;Valores!$F$60,Valores!$F$60,Valores!$D$60*'Escala Docente'!D245),IF(Valores!$D$60*'Escala Docente'!D245&gt;Valores!$F$60,Valores!$F$60,Valores!$D$60*'Escala Docente'!D245)/2)</f>
        <v>281.86133333333333</v>
      </c>
      <c r="AI245" s="140">
        <f>IF($H$5="NO",IF(Valores!$D$62*D245&gt;Valores!$F$62,Valores!$F$62,Valores!$D$62*D245),IF(Valores!$D$62*D245&gt;Valores!$F$62,Valores!$F$62,Valores!$D$62*D245)/2)</f>
        <v>80.61333333333333</v>
      </c>
      <c r="AJ245" s="146">
        <f t="shared" si="42"/>
        <v>20413.216100000001</v>
      </c>
      <c r="AK245" s="154">
        <f>IF(Valores!$C$38*D245&gt;Valores!$F$38,Valores!$F$38,Valores!$C$38*D245)</f>
        <v>725.84</v>
      </c>
      <c r="AL245" s="143">
        <f>IF(Valores!$C$88*D245&gt;Valores!$C$87,Valores!$C$87,Valores!$C$88*D245)</f>
        <v>909.99999999999989</v>
      </c>
      <c r="AM245" s="143"/>
      <c r="AN245" s="145">
        <f>IF($H$4="NO",0,IF(Valores!$C$59*D245&gt;Valores!$F$59,Valores!$F$59,Valores!$C$59*D245))</f>
        <v>0</v>
      </c>
      <c r="AO245" s="147">
        <f t="shared" si="43"/>
        <v>1635.84</v>
      </c>
      <c r="AP245" s="148">
        <f>AJ245*Valores!$C$69</f>
        <v>-2245.453771</v>
      </c>
      <c r="AQ245" s="149">
        <f>AJ245*-Valores!$C$70</f>
        <v>0</v>
      </c>
      <c r="AR245" s="142">
        <f>AJ245*Valores!$C$71</f>
        <v>-918.59472449999998</v>
      </c>
      <c r="AS245" s="142">
        <f>Valores!$C$95</f>
        <v>-193.38</v>
      </c>
      <c r="AT245" s="142">
        <f>IF($H$6=0,Valores!$C$96,(Valores!$C$96+$H$6*(Valores!$C$96)))</f>
        <v>-129</v>
      </c>
      <c r="AU245" s="146">
        <f t="shared" si="44"/>
        <v>18562.627604500001</v>
      </c>
      <c r="AV245" s="199">
        <f t="shared" si="40"/>
        <v>-2245.453771</v>
      </c>
      <c r="AW245" s="142">
        <f>AJ245*Valores!$C$72</f>
        <v>-551.15683469999999</v>
      </c>
      <c r="AX245" s="142">
        <f>AJ245*Valores!$C$73</f>
        <v>-61.239648300000006</v>
      </c>
      <c r="AY245" s="146">
        <f t="shared" si="45"/>
        <v>19191.205846000001</v>
      </c>
      <c r="AZ245" s="150"/>
      <c r="BA245" s="150">
        <f t="shared" si="46"/>
        <v>32</v>
      </c>
      <c r="BB245" s="135" t="s">
        <v>4</v>
      </c>
    </row>
    <row r="246" spans="1:54" s="114" customFormat="1" ht="11.25" customHeight="1" x14ac:dyDescent="0.15">
      <c r="A246" s="134">
        <v>244</v>
      </c>
      <c r="B246" s="134"/>
      <c r="C246" s="135" t="s">
        <v>497</v>
      </c>
      <c r="D246" s="135">
        <v>9</v>
      </c>
      <c r="E246" s="135">
        <f t="shared" si="37"/>
        <v>33</v>
      </c>
      <c r="F246" s="136" t="str">
        <f>CONCATENATE("Hora Cátedra Enseñanza Media ",D246," hs")</f>
        <v>Hora Cátedra Enseñanza Media 9 hs</v>
      </c>
      <c r="G246" s="137">
        <f t="shared" si="47"/>
        <v>711</v>
      </c>
      <c r="H246" s="138">
        <f>INT((G246*Valores!$C$2*100)+0.49)/100</f>
        <v>8835.3799999999992</v>
      </c>
      <c r="I246" s="156">
        <v>0</v>
      </c>
      <c r="J246" s="140">
        <f>INT((I246*Valores!$C$2*100)+0.5)/100</f>
        <v>0</v>
      </c>
      <c r="K246" s="155">
        <v>0</v>
      </c>
      <c r="L246" s="140">
        <f>INT((K246*Valores!$C$2*100)+0.5)/100</f>
        <v>0</v>
      </c>
      <c r="M246" s="153">
        <v>0</v>
      </c>
      <c r="N246" s="140">
        <f>INT((M246*Valores!$C$2*100)+0.5)/100</f>
        <v>0</v>
      </c>
      <c r="O246" s="140">
        <f t="shared" si="38"/>
        <v>1624.0349999999999</v>
      </c>
      <c r="P246" s="140">
        <f t="shared" si="39"/>
        <v>0</v>
      </c>
      <c r="Q246" s="154">
        <f>Valores!$C$14*D246</f>
        <v>3792.78</v>
      </c>
      <c r="R246" s="154">
        <f>IF(D246&lt;15,(Valores!$E$4*D246),Valores!$D$4)</f>
        <v>3811.5167999999999</v>
      </c>
      <c r="S246" s="140">
        <v>0</v>
      </c>
      <c r="T246" s="143">
        <f>IF($H$5="NO",IF(Valores!$C$47*D246&gt;Valores!$C$45,Valores!$C$45,Valores!$C$47*D246),IF(Valores!$C$47*D246&gt;Valores!$C$45,Valores!$C$45,Valores!$C$47*D246)/2)</f>
        <v>798.57</v>
      </c>
      <c r="U246" s="154">
        <f>Valores!$C$24*D246</f>
        <v>1192.95</v>
      </c>
      <c r="V246" s="140">
        <f t="shared" si="48"/>
        <v>1192.95</v>
      </c>
      <c r="W246" s="140">
        <v>0</v>
      </c>
      <c r="X246" s="140">
        <v>0</v>
      </c>
      <c r="Y246" s="160">
        <v>0</v>
      </c>
      <c r="Z246" s="140">
        <f>Y246*Valores!$C$2</f>
        <v>0</v>
      </c>
      <c r="AA246" s="140">
        <v>0</v>
      </c>
      <c r="AB246" s="143">
        <f>IF(Valores!$C$93*D246&gt;Valores!$C$92,Valores!$C$92,Valores!$C$93*D246)</f>
        <v>1016.01</v>
      </c>
      <c r="AC246" s="145">
        <f>IF((Valores!$C$34)*D246&gt;Valores!$F$34,Valores!$F$34,(Valores!$C$34)*D246)</f>
        <v>93.69</v>
      </c>
      <c r="AD246" s="140">
        <f t="shared" si="41"/>
        <v>0</v>
      </c>
      <c r="AE246" s="140">
        <f>IF(Valores!$C$35*D246&gt;Valores!$F$35,Valores!$F$35,Valores!$C$35*D246)</f>
        <v>78.03</v>
      </c>
      <c r="AF246" s="144">
        <v>0</v>
      </c>
      <c r="AG246" s="140">
        <f>INT(((AF246*Valores!$C$2)*100)+0.5)/100</f>
        <v>0</v>
      </c>
      <c r="AH246" s="140">
        <f>IF($H$5="NO",IF(Valores!$D$60*'Escala Docente'!D246&gt;Valores!$F$60,Valores!$F$60,Valores!$D$60*'Escala Docente'!D246),IF(Valores!$D$60*'Escala Docente'!D246&gt;Valores!$F$60,Valores!$F$60,Valores!$D$60*'Escala Docente'!D246)/2)</f>
        <v>317.09399999999999</v>
      </c>
      <c r="AI246" s="140">
        <f>IF($H$5="NO",IF(Valores!$D$62*D246&gt;Valores!$F$62,Valores!$F$62,Valores!$D$62*D246),IF(Valores!$D$62*D246&gt;Valores!$F$62,Valores!$F$62,Valores!$D$62*D246)/2)</f>
        <v>90.69</v>
      </c>
      <c r="AJ246" s="146">
        <f t="shared" si="42"/>
        <v>21650.745799999997</v>
      </c>
      <c r="AK246" s="154">
        <f>IF(Valores!$C$38*D246&gt;Valores!$F$38,Valores!$F$38,Valores!$C$38*D246)</f>
        <v>816.57</v>
      </c>
      <c r="AL246" s="143">
        <f>IF(Valores!$C$88*D246&gt;Valores!$C$87,Valores!$C$87,Valores!$C$88*D246)</f>
        <v>1023.7499999999999</v>
      </c>
      <c r="AM246" s="143"/>
      <c r="AN246" s="145">
        <f>IF($H$4="NO",0,IF(Valores!$C$59*D246&gt;Valores!$F$59,Valores!$F$59,Valores!$C$59*D246))</f>
        <v>0</v>
      </c>
      <c r="AO246" s="147">
        <f t="shared" si="43"/>
        <v>1840.32</v>
      </c>
      <c r="AP246" s="148">
        <f>AJ246*Valores!$C$69</f>
        <v>-2381.5820379999996</v>
      </c>
      <c r="AQ246" s="149">
        <f>AJ246*-Valores!$C$70</f>
        <v>0</v>
      </c>
      <c r="AR246" s="142">
        <f>AJ246*Valores!$C$71</f>
        <v>-974.28356099999985</v>
      </c>
      <c r="AS246" s="142">
        <f>Valores!$C$95</f>
        <v>-193.38</v>
      </c>
      <c r="AT246" s="142">
        <f>IF($H$6=0,Valores!$C$96,(Valores!$C$96+$H$6*(Valores!$C$96)))</f>
        <v>-129</v>
      </c>
      <c r="AU246" s="146">
        <f t="shared" si="44"/>
        <v>19812.820200999999</v>
      </c>
      <c r="AV246" s="199">
        <f t="shared" si="40"/>
        <v>-2381.5820379999996</v>
      </c>
      <c r="AW246" s="142">
        <f>AJ246*Valores!$C$72</f>
        <v>-584.57013659999996</v>
      </c>
      <c r="AX246" s="142">
        <f>AJ246*Valores!$C$73</f>
        <v>-64.952237399999987</v>
      </c>
      <c r="AY246" s="146">
        <f t="shared" si="45"/>
        <v>20459.961387999996</v>
      </c>
      <c r="AZ246" s="150"/>
      <c r="BA246" s="150">
        <f t="shared" si="46"/>
        <v>36</v>
      </c>
      <c r="BB246" s="135" t="s">
        <v>4</v>
      </c>
    </row>
    <row r="247" spans="1:54" s="114" customFormat="1" ht="11.25" customHeight="1" x14ac:dyDescent="0.15">
      <c r="A247" s="152">
        <v>245</v>
      </c>
      <c r="B247" s="152" t="s">
        <v>139</v>
      </c>
      <c r="C247" s="135" t="s">
        <v>497</v>
      </c>
      <c r="D247" s="135">
        <v>9</v>
      </c>
      <c r="E247" s="135">
        <f t="shared" si="37"/>
        <v>41</v>
      </c>
      <c r="F247" s="136" t="str">
        <f>CONCATENATE("Hora Cátedra Enseñanza Media ",D247," hs Esc Esp")</f>
        <v>Hora Cátedra Enseñanza Media 9 hs Esc Esp</v>
      </c>
      <c r="G247" s="137">
        <f t="shared" si="47"/>
        <v>711</v>
      </c>
      <c r="H247" s="138">
        <f>INT((G247*Valores!$C$2*100)+0.49)/100</f>
        <v>8835.3799999999992</v>
      </c>
      <c r="I247" s="156">
        <v>0</v>
      </c>
      <c r="J247" s="140">
        <f>INT((I247*Valores!$C$2*100)+0.5)/100</f>
        <v>0</v>
      </c>
      <c r="K247" s="155">
        <v>0</v>
      </c>
      <c r="L247" s="140">
        <f>INT((K247*Valores!$C$2*100)+0.5)/100</f>
        <v>0</v>
      </c>
      <c r="M247" s="153">
        <v>0</v>
      </c>
      <c r="N247" s="140">
        <f>INT((M247*Valores!$C$2*100)+0.5)/100</f>
        <v>0</v>
      </c>
      <c r="O247" s="140">
        <f t="shared" si="38"/>
        <v>1624.0349999999999</v>
      </c>
      <c r="P247" s="140">
        <f t="shared" si="39"/>
        <v>0</v>
      </c>
      <c r="Q247" s="154">
        <f>Valores!$C$14*D247</f>
        <v>3792.78</v>
      </c>
      <c r="R247" s="154">
        <f>IF(D247&lt;15,(Valores!$E$4*D247),Valores!$D$4)</f>
        <v>3811.5167999999999</v>
      </c>
      <c r="S247" s="140">
        <v>0</v>
      </c>
      <c r="T247" s="143">
        <f>IF($H$5="NO",IF(Valores!$C$47*D247&gt;Valores!$C$45,Valores!$C$45,Valores!$C$47*D247),IF(Valores!$C$47*D247&gt;Valores!$C$45,Valores!$C$45,Valores!$C$47*D247)/2)</f>
        <v>798.57</v>
      </c>
      <c r="U247" s="154">
        <f>Valores!$C$24*D247</f>
        <v>1192.95</v>
      </c>
      <c r="V247" s="140">
        <f t="shared" si="48"/>
        <v>1192.95</v>
      </c>
      <c r="W247" s="140">
        <v>0</v>
      </c>
      <c r="X247" s="140">
        <v>0</v>
      </c>
      <c r="Y247" s="160">
        <v>0</v>
      </c>
      <c r="Z247" s="140">
        <f>Y247*Valores!$C$2</f>
        <v>0</v>
      </c>
      <c r="AA247" s="140">
        <v>0</v>
      </c>
      <c r="AB247" s="143">
        <f>IF(Valores!$C$93*D247&gt;Valores!$C$92,Valores!$C$92,Valores!$C$93*D247)</f>
        <v>1016.01</v>
      </c>
      <c r="AC247" s="145">
        <f>IF((Valores!$C$34)*D247&gt;Valores!$F$34,Valores!$F$34,(Valores!$C$34)*D247)</f>
        <v>93.69</v>
      </c>
      <c r="AD247" s="140">
        <f t="shared" si="41"/>
        <v>0</v>
      </c>
      <c r="AE247" s="140">
        <f>IF(Valores!$C$35*D247&gt;Valores!$F$35,Valores!$F$35,Valores!$C$35*D247)</f>
        <v>78.03</v>
      </c>
      <c r="AF247" s="144">
        <v>94</v>
      </c>
      <c r="AG247" s="140">
        <f>INT(((AF247*Valores!$C$2)*100)+0.5)/100</f>
        <v>1168.1099999999999</v>
      </c>
      <c r="AH247" s="140">
        <f>IF($H$5="NO",IF(Valores!$D$60*'Escala Docente'!D247&gt;Valores!$F$60,Valores!$F$60,Valores!$D$60*'Escala Docente'!D247),IF(Valores!$D$60*'Escala Docente'!D247&gt;Valores!$F$60,Valores!$F$60,Valores!$D$60*'Escala Docente'!D247)/2)</f>
        <v>317.09399999999999</v>
      </c>
      <c r="AI247" s="140">
        <f>IF($H$5="NO",IF(Valores!$D$62*D247&gt;Valores!$F$62,Valores!$F$62,Valores!$D$62*D247),IF(Valores!$D$62*D247&gt;Valores!$F$62,Valores!$F$62,Valores!$D$62*D247)/2)</f>
        <v>90.69</v>
      </c>
      <c r="AJ247" s="146">
        <f t="shared" si="42"/>
        <v>22818.855799999998</v>
      </c>
      <c r="AK247" s="154">
        <f>IF(Valores!$C$38*D247&gt;Valores!$F$38,Valores!$F$38,Valores!$C$38*D247)</f>
        <v>816.57</v>
      </c>
      <c r="AL247" s="143">
        <f>IF(Valores!$C$88*D247&gt;Valores!$C$87,Valores!$C$87,Valores!$C$88*D247)</f>
        <v>1023.7499999999999</v>
      </c>
      <c r="AM247" s="143"/>
      <c r="AN247" s="145">
        <f>IF($H$4="NO",0,IF(Valores!$C$59*D247&gt;Valores!$F$59,Valores!$F$59,Valores!$C$59*D247))</f>
        <v>0</v>
      </c>
      <c r="AO247" s="147">
        <f t="shared" si="43"/>
        <v>1840.32</v>
      </c>
      <c r="AP247" s="148">
        <f>AJ247*Valores!$C$69</f>
        <v>-2510.0741379999999</v>
      </c>
      <c r="AQ247" s="149">
        <f>AJ247*-Valores!$C$70</f>
        <v>0</v>
      </c>
      <c r="AR247" s="142">
        <f>AJ247*Valores!$C$71</f>
        <v>-1026.8485109999999</v>
      </c>
      <c r="AS247" s="142">
        <f>Valores!$C$95</f>
        <v>-193.38</v>
      </c>
      <c r="AT247" s="142">
        <f>IF($H$6=0,Valores!$C$96,(Valores!$C$96+$H$6*(Valores!$C$96)))</f>
        <v>-129</v>
      </c>
      <c r="AU247" s="146">
        <f t="shared" si="44"/>
        <v>20799.873150999996</v>
      </c>
      <c r="AV247" s="199">
        <f t="shared" si="40"/>
        <v>-2510.0741379999999</v>
      </c>
      <c r="AW247" s="142">
        <f>AJ247*Valores!$C$72</f>
        <v>-616.1091065999999</v>
      </c>
      <c r="AX247" s="142">
        <f>AJ247*Valores!$C$73</f>
        <v>-68.456567399999997</v>
      </c>
      <c r="AY247" s="146">
        <f t="shared" si="45"/>
        <v>21464.535987999996</v>
      </c>
      <c r="AZ247" s="150"/>
      <c r="BA247" s="150">
        <f t="shared" si="46"/>
        <v>36</v>
      </c>
      <c r="BB247" s="135" t="s">
        <v>4</v>
      </c>
    </row>
    <row r="248" spans="1:54" s="114" customFormat="1" ht="11.25" customHeight="1" x14ac:dyDescent="0.15">
      <c r="A248" s="134">
        <v>246</v>
      </c>
      <c r="B248" s="134"/>
      <c r="C248" s="135" t="s">
        <v>497</v>
      </c>
      <c r="D248" s="135">
        <v>10</v>
      </c>
      <c r="E248" s="135">
        <f t="shared" si="37"/>
        <v>34</v>
      </c>
      <c r="F248" s="136" t="str">
        <f>CONCATENATE("Hora Cátedra Enseñanza Media ",D248," hs")</f>
        <v>Hora Cátedra Enseñanza Media 10 hs</v>
      </c>
      <c r="G248" s="137">
        <f t="shared" si="47"/>
        <v>790</v>
      </c>
      <c r="H248" s="138">
        <f>INT((G248*Valores!$C$2*100)+0.49)/100</f>
        <v>9817.09</v>
      </c>
      <c r="I248" s="156">
        <v>0</v>
      </c>
      <c r="J248" s="140">
        <f>INT((I248*Valores!$C$2*100)+0.5)/100</f>
        <v>0</v>
      </c>
      <c r="K248" s="155">
        <v>0</v>
      </c>
      <c r="L248" s="140">
        <f>INT((K248*Valores!$C$2*100)+0.5)/100</f>
        <v>0</v>
      </c>
      <c r="M248" s="153">
        <v>0</v>
      </c>
      <c r="N248" s="140">
        <f>INT((M248*Valores!$C$2*100)+0.5)/100</f>
        <v>0</v>
      </c>
      <c r="O248" s="140">
        <f t="shared" si="38"/>
        <v>1804.4834999999998</v>
      </c>
      <c r="P248" s="140">
        <f t="shared" si="39"/>
        <v>0</v>
      </c>
      <c r="Q248" s="154">
        <f>Valores!$C$14*D248</f>
        <v>4214.2</v>
      </c>
      <c r="R248" s="154">
        <f>IF(D248&lt;15,(Valores!$E$4*D248),Valores!$D$4)</f>
        <v>4235.0186666666668</v>
      </c>
      <c r="S248" s="140">
        <v>0</v>
      </c>
      <c r="T248" s="143">
        <f>IF($H$5="NO",IF(Valores!$C$47*D248&gt;Valores!$C$45,Valores!$C$45,Valores!$C$47*D248),IF(Valores!$C$47*D248&gt;Valores!$C$45,Valores!$C$45,Valores!$C$47*D248)/2)</f>
        <v>887.30000000000007</v>
      </c>
      <c r="U248" s="154">
        <f>Valores!$C$24*D248</f>
        <v>1325.5</v>
      </c>
      <c r="V248" s="140">
        <f t="shared" si="48"/>
        <v>1325.5</v>
      </c>
      <c r="W248" s="140">
        <v>0</v>
      </c>
      <c r="X248" s="140">
        <v>0</v>
      </c>
      <c r="Y248" s="160">
        <v>0</v>
      </c>
      <c r="Z248" s="140">
        <f>Y248*Valores!$C$2</f>
        <v>0</v>
      </c>
      <c r="AA248" s="140">
        <v>0</v>
      </c>
      <c r="AB248" s="143">
        <f>IF(Valores!$C$93*D248&gt;Valores!$C$92,Valores!$C$92,Valores!$C$93*D248)</f>
        <v>1128.9000000000001</v>
      </c>
      <c r="AC248" s="145">
        <f>IF((Valores!$C$34)*D248&gt;Valores!$F$34,Valores!$F$34,(Valores!$C$34)*D248)</f>
        <v>104.1</v>
      </c>
      <c r="AD248" s="140">
        <f t="shared" si="41"/>
        <v>0</v>
      </c>
      <c r="AE248" s="140">
        <f>IF(Valores!$C$35*D248&gt;Valores!$F$35,Valores!$F$35,Valores!$C$35*D248)</f>
        <v>86.7</v>
      </c>
      <c r="AF248" s="144">
        <v>0</v>
      </c>
      <c r="AG248" s="140">
        <f>INT(((AF248*Valores!$C$2)*100)+0.5)/100</f>
        <v>0</v>
      </c>
      <c r="AH248" s="140">
        <f>IF($H$5="NO",IF(Valores!$D$60*'Escala Docente'!D248&gt;Valores!$F$60,Valores!$F$60,Valores!$D$60*'Escala Docente'!D248),IF(Valores!$D$60*'Escala Docente'!D248&gt;Valores!$F$60,Valores!$F$60,Valores!$D$60*'Escala Docente'!D248)/2)</f>
        <v>352.32666666666665</v>
      </c>
      <c r="AI248" s="140">
        <f>IF($H$5="NO",IF(Valores!$D$62*D248&gt;Valores!$F$62,Valores!$F$62,Valores!$D$62*D248),IF(Valores!$D$62*D248&gt;Valores!$F$62,Valores!$F$62,Valores!$D$62*D248)/2)</f>
        <v>100.76666666666667</v>
      </c>
      <c r="AJ248" s="146">
        <f t="shared" si="42"/>
        <v>24056.3855</v>
      </c>
      <c r="AK248" s="154">
        <f>IF(Valores!$C$38*D248&gt;Valores!$F$38,Valores!$F$38,Valores!$C$38*D248)</f>
        <v>907.30000000000007</v>
      </c>
      <c r="AL248" s="143">
        <f>IF(Valores!$C$88*D248&gt;Valores!$C$87,Valores!$C$87,Valores!$C$88*D248)</f>
        <v>1137.4999999999998</v>
      </c>
      <c r="AM248" s="143"/>
      <c r="AN248" s="145">
        <f>IF($H$4="NO",0,IF(Valores!$C$59*D248&gt;Valores!$F$59,Valores!$F$59,Valores!$C$59*D248))</f>
        <v>0</v>
      </c>
      <c r="AO248" s="147">
        <f t="shared" si="43"/>
        <v>2044.7999999999997</v>
      </c>
      <c r="AP248" s="148">
        <f>AJ248*Valores!$C$69</f>
        <v>-2646.202405</v>
      </c>
      <c r="AQ248" s="149">
        <f>AJ248*-Valores!$C$70</f>
        <v>0</v>
      </c>
      <c r="AR248" s="142">
        <f>AJ248*Valores!$C$71</f>
        <v>-1082.5373474999999</v>
      </c>
      <c r="AS248" s="142">
        <f>Valores!$C$95</f>
        <v>-193.38</v>
      </c>
      <c r="AT248" s="142">
        <f>IF($H$6=0,Valores!$C$96,(Valores!$C$96+$H$6*(Valores!$C$96)))</f>
        <v>-129</v>
      </c>
      <c r="AU248" s="146">
        <f t="shared" si="44"/>
        <v>22050.065747500001</v>
      </c>
      <c r="AV248" s="199">
        <f t="shared" si="40"/>
        <v>-2646.202405</v>
      </c>
      <c r="AW248" s="142">
        <f>AJ248*Valores!$C$72</f>
        <v>-649.52240849999998</v>
      </c>
      <c r="AX248" s="142">
        <f>AJ248*Valores!$C$73</f>
        <v>-72.1691565</v>
      </c>
      <c r="AY248" s="146">
        <f t="shared" si="45"/>
        <v>22733.291529999999</v>
      </c>
      <c r="AZ248" s="150"/>
      <c r="BA248" s="150">
        <f t="shared" si="46"/>
        <v>40</v>
      </c>
      <c r="BB248" s="135" t="s">
        <v>4</v>
      </c>
    </row>
    <row r="249" spans="1:54" s="114" customFormat="1" ht="11.25" customHeight="1" x14ac:dyDescent="0.15">
      <c r="A249" s="134">
        <v>247</v>
      </c>
      <c r="B249" s="134"/>
      <c r="C249" s="135" t="s">
        <v>497</v>
      </c>
      <c r="D249" s="135">
        <v>10</v>
      </c>
      <c r="E249" s="135">
        <f t="shared" si="37"/>
        <v>42</v>
      </c>
      <c r="F249" s="136" t="str">
        <f>CONCATENATE("Hora Cátedra Enseñanza Media ",D249," hs Esc Esp")</f>
        <v>Hora Cátedra Enseñanza Media 10 hs Esc Esp</v>
      </c>
      <c r="G249" s="137">
        <f t="shared" si="47"/>
        <v>790</v>
      </c>
      <c r="H249" s="138">
        <f>INT((G249*Valores!$C$2*100)+0.49)/100</f>
        <v>9817.09</v>
      </c>
      <c r="I249" s="156">
        <v>0</v>
      </c>
      <c r="J249" s="140">
        <f>INT((I249*Valores!$C$2*100)+0.5)/100</f>
        <v>0</v>
      </c>
      <c r="K249" s="155">
        <v>0</v>
      </c>
      <c r="L249" s="140">
        <f>INT((K249*Valores!$C$2*100)+0.5)/100</f>
        <v>0</v>
      </c>
      <c r="M249" s="153">
        <v>0</v>
      </c>
      <c r="N249" s="140">
        <f>INT((M249*Valores!$C$2*100)+0.5)/100</f>
        <v>0</v>
      </c>
      <c r="O249" s="140">
        <f t="shared" si="38"/>
        <v>1804.4834999999998</v>
      </c>
      <c r="P249" s="140">
        <f t="shared" si="39"/>
        <v>0</v>
      </c>
      <c r="Q249" s="154">
        <f>Valores!$C$14*D249</f>
        <v>4214.2</v>
      </c>
      <c r="R249" s="154">
        <f>IF(D249&lt;15,(Valores!$E$4*D249),Valores!$D$4)</f>
        <v>4235.0186666666668</v>
      </c>
      <c r="S249" s="140">
        <v>0</v>
      </c>
      <c r="T249" s="143">
        <f>IF($H$5="NO",IF(Valores!$C$47*D249&gt;Valores!$C$45,Valores!$C$45,Valores!$C$47*D249),IF(Valores!$C$47*D249&gt;Valores!$C$45,Valores!$C$45,Valores!$C$47*D249)/2)</f>
        <v>887.30000000000007</v>
      </c>
      <c r="U249" s="154">
        <f>Valores!$C$24*D249</f>
        <v>1325.5</v>
      </c>
      <c r="V249" s="140">
        <f t="shared" si="48"/>
        <v>1325.5</v>
      </c>
      <c r="W249" s="140">
        <v>0</v>
      </c>
      <c r="X249" s="140">
        <v>0</v>
      </c>
      <c r="Y249" s="160">
        <v>0</v>
      </c>
      <c r="Z249" s="140">
        <f>Y249*Valores!$C$2</f>
        <v>0</v>
      </c>
      <c r="AA249" s="140">
        <v>0</v>
      </c>
      <c r="AB249" s="143">
        <f>IF(Valores!$C$93*D249&gt;Valores!$C$92,Valores!$C$92,Valores!$C$93*D249)</f>
        <v>1128.9000000000001</v>
      </c>
      <c r="AC249" s="145">
        <f>IF((Valores!$C$34)*D249&gt;Valores!$F$34,Valores!$F$34,(Valores!$C$34)*D249)</f>
        <v>104.1</v>
      </c>
      <c r="AD249" s="140">
        <f t="shared" si="41"/>
        <v>0</v>
      </c>
      <c r="AE249" s="140">
        <f>IF(Valores!$C$35*D249&gt;Valores!$F$35,Valores!$F$35,Valores!$C$35*D249)</f>
        <v>86.7</v>
      </c>
      <c r="AF249" s="144">
        <v>94</v>
      </c>
      <c r="AG249" s="140">
        <f>INT(((AF249*Valores!$C$2)*100)+0.5)/100</f>
        <v>1168.1099999999999</v>
      </c>
      <c r="AH249" s="140">
        <f>IF($H$5="NO",IF(Valores!$D$60*'Escala Docente'!D249&gt;Valores!$F$60,Valores!$F$60,Valores!$D$60*'Escala Docente'!D249),IF(Valores!$D$60*'Escala Docente'!D249&gt;Valores!$F$60,Valores!$F$60,Valores!$D$60*'Escala Docente'!D249)/2)</f>
        <v>352.32666666666665</v>
      </c>
      <c r="AI249" s="140">
        <f>IF($H$5="NO",IF(Valores!$D$62*D249&gt;Valores!$F$62,Valores!$F$62,Valores!$D$62*D249),IF(Valores!$D$62*D249&gt;Valores!$F$62,Valores!$F$62,Valores!$D$62*D249)/2)</f>
        <v>100.76666666666667</v>
      </c>
      <c r="AJ249" s="146">
        <f t="shared" si="42"/>
        <v>25224.495500000001</v>
      </c>
      <c r="AK249" s="154">
        <f>IF(Valores!$C$38*D249&gt;Valores!$F$38,Valores!$F$38,Valores!$C$38*D249)</f>
        <v>907.30000000000007</v>
      </c>
      <c r="AL249" s="143">
        <f>IF(Valores!$C$88*D249&gt;Valores!$C$87,Valores!$C$87,Valores!$C$88*D249)</f>
        <v>1137.4999999999998</v>
      </c>
      <c r="AM249" s="143"/>
      <c r="AN249" s="145">
        <f>IF($H$4="NO",0,IF(Valores!$C$59*D249&gt;Valores!$F$59,Valores!$F$59,Valores!$C$59*D249))</f>
        <v>0</v>
      </c>
      <c r="AO249" s="147">
        <f t="shared" si="43"/>
        <v>2044.7999999999997</v>
      </c>
      <c r="AP249" s="148">
        <f>AJ249*Valores!$C$69</f>
        <v>-2774.6945049999999</v>
      </c>
      <c r="AQ249" s="149">
        <f>AJ249*-Valores!$C$70</f>
        <v>0</v>
      </c>
      <c r="AR249" s="142">
        <f>AJ249*Valores!$C$71</f>
        <v>-1135.1022975000001</v>
      </c>
      <c r="AS249" s="142">
        <f>Valores!$C$95</f>
        <v>-193.38</v>
      </c>
      <c r="AT249" s="142">
        <f>IF($H$6=0,Valores!$C$96,(Valores!$C$96+$H$6*(Valores!$C$96)))</f>
        <v>-129</v>
      </c>
      <c r="AU249" s="146">
        <f t="shared" si="44"/>
        <v>23037.118697500002</v>
      </c>
      <c r="AV249" s="199">
        <f t="shared" si="40"/>
        <v>-2774.6945049999999</v>
      </c>
      <c r="AW249" s="142">
        <f>AJ249*Valores!$C$72</f>
        <v>-681.06137850000005</v>
      </c>
      <c r="AX249" s="142">
        <f>AJ249*Valores!$C$73</f>
        <v>-75.67348650000001</v>
      </c>
      <c r="AY249" s="146">
        <f t="shared" si="45"/>
        <v>23737.866130000002</v>
      </c>
      <c r="AZ249" s="150"/>
      <c r="BA249" s="150">
        <f t="shared" si="46"/>
        <v>40</v>
      </c>
      <c r="BB249" s="135" t="s">
        <v>4</v>
      </c>
    </row>
    <row r="250" spans="1:54" s="114" customFormat="1" ht="11.25" customHeight="1" x14ac:dyDescent="0.15">
      <c r="A250" s="134">
        <v>248</v>
      </c>
      <c r="B250" s="134"/>
      <c r="C250" s="135" t="s">
        <v>497</v>
      </c>
      <c r="D250" s="135">
        <v>11</v>
      </c>
      <c r="E250" s="135">
        <f t="shared" si="37"/>
        <v>34</v>
      </c>
      <c r="F250" s="136" t="str">
        <f>CONCATENATE("Hora Cátedra Enseñanza Media ",D250," hs")</f>
        <v>Hora Cátedra Enseñanza Media 11 hs</v>
      </c>
      <c r="G250" s="137">
        <f t="shared" si="47"/>
        <v>869</v>
      </c>
      <c r="H250" s="138">
        <f>INT((G250*Valores!$C$2*100)+0.49)/100</f>
        <v>10798.8</v>
      </c>
      <c r="I250" s="156">
        <v>0</v>
      </c>
      <c r="J250" s="140">
        <f>INT((I250*Valores!$C$2*100)+0.5)/100</f>
        <v>0</v>
      </c>
      <c r="K250" s="155">
        <v>0</v>
      </c>
      <c r="L250" s="140">
        <f>INT((K250*Valores!$C$2*100)+0.5)/100</f>
        <v>0</v>
      </c>
      <c r="M250" s="153">
        <v>0</v>
      </c>
      <c r="N250" s="140">
        <f>INT((M250*Valores!$C$2*100)+0.5)/100</f>
        <v>0</v>
      </c>
      <c r="O250" s="140">
        <f t="shared" si="38"/>
        <v>1984.9319999999998</v>
      </c>
      <c r="P250" s="140">
        <f t="shared" si="39"/>
        <v>0</v>
      </c>
      <c r="Q250" s="154">
        <f>Valores!$C$14*D250</f>
        <v>4635.62</v>
      </c>
      <c r="R250" s="154">
        <f>IF(D250&lt;15,(Valores!$E$4*D250),Valores!$D$4)</f>
        <v>4658.5205333333333</v>
      </c>
      <c r="S250" s="140">
        <v>0</v>
      </c>
      <c r="T250" s="143">
        <f>IF($H$5="NO",IF(Valores!$C$47*D250&gt;Valores!$C$45,Valores!$C$45,Valores!$C$47*D250),IF(Valores!$C$47*D250&gt;Valores!$C$45,Valores!$C$45,Valores!$C$47*D250)/2)</f>
        <v>976.03000000000009</v>
      </c>
      <c r="U250" s="154">
        <f>Valores!$C$24*D250</f>
        <v>1458.0500000000002</v>
      </c>
      <c r="V250" s="140">
        <f t="shared" si="48"/>
        <v>1458.0500000000002</v>
      </c>
      <c r="W250" s="140">
        <v>0</v>
      </c>
      <c r="X250" s="140">
        <v>0</v>
      </c>
      <c r="Y250" s="160">
        <v>0</v>
      </c>
      <c r="Z250" s="140">
        <f>Y250*Valores!$C$2</f>
        <v>0</v>
      </c>
      <c r="AA250" s="140">
        <v>0</v>
      </c>
      <c r="AB250" s="143">
        <f>IF(Valores!$C$93*D250&gt;Valores!$C$92,Valores!$C$92,Valores!$C$93*D250)</f>
        <v>1241.79</v>
      </c>
      <c r="AC250" s="145">
        <f>IF((Valores!$C$34)*D250&gt;Valores!$F$34,Valores!$F$34,(Valores!$C$34)*D250)</f>
        <v>114.51</v>
      </c>
      <c r="AD250" s="140">
        <f t="shared" si="41"/>
        <v>0</v>
      </c>
      <c r="AE250" s="140">
        <f>IF(Valores!$C$35*D250&gt;Valores!$F$35,Valores!$F$35,Valores!$C$35*D250)</f>
        <v>95.37</v>
      </c>
      <c r="AF250" s="144">
        <v>0</v>
      </c>
      <c r="AG250" s="140">
        <f>INT(((AF250*Valores!$C$2)*100)+0.5)/100</f>
        <v>0</v>
      </c>
      <c r="AH250" s="140">
        <f>IF($H$5="NO",IF(Valores!$D$60*'Escala Docente'!D250&gt;Valores!$F$60,Valores!$F$60,Valores!$D$60*'Escala Docente'!D250),IF(Valores!$D$60*'Escala Docente'!D250&gt;Valores!$F$60,Valores!$F$60,Valores!$D$60*'Escala Docente'!D250)/2)</f>
        <v>387.55933333333331</v>
      </c>
      <c r="AI250" s="140">
        <f>IF($H$5="NO",IF(Valores!$D$62*D250&gt;Valores!$F$62,Valores!$F$62,Valores!$D$62*D250),IF(Valores!$D$62*D250&gt;Valores!$F$62,Valores!$F$62,Valores!$D$62*D250)/2)</f>
        <v>110.84333333333333</v>
      </c>
      <c r="AJ250" s="146">
        <f t="shared" si="42"/>
        <v>26462.025199999996</v>
      </c>
      <c r="AK250" s="154">
        <f>IF(Valores!$C$38*D250&gt;Valores!$F$38,Valores!$F$38,Valores!$C$38*D250)</f>
        <v>998.03000000000009</v>
      </c>
      <c r="AL250" s="143">
        <f>IF(Valores!$C$88*D250&gt;Valores!$C$87,Valores!$C$87,Valores!$C$88*D250)</f>
        <v>1251.2499999999998</v>
      </c>
      <c r="AM250" s="143"/>
      <c r="AN250" s="145">
        <f>IF($H$4="NO",0,IF(Valores!$C$59*D250&gt;Valores!$F$59,Valores!$F$59,Valores!$C$59*D250))</f>
        <v>0</v>
      </c>
      <c r="AO250" s="147">
        <f t="shared" si="43"/>
        <v>2249.2799999999997</v>
      </c>
      <c r="AP250" s="148">
        <f>AJ250*Valores!$C$69</f>
        <v>-2910.8227719999995</v>
      </c>
      <c r="AQ250" s="149">
        <f>AJ250*-Valores!$C$70</f>
        <v>0</v>
      </c>
      <c r="AR250" s="142">
        <f>AJ250*Valores!$C$71</f>
        <v>-1190.7911339999998</v>
      </c>
      <c r="AS250" s="142">
        <f>Valores!$C$95</f>
        <v>-193.38</v>
      </c>
      <c r="AT250" s="142">
        <f>IF($H$6=0,Valores!$C$96,(Valores!$C$96+$H$6*(Valores!$C$96)))</f>
        <v>-129</v>
      </c>
      <c r="AU250" s="146">
        <f t="shared" si="44"/>
        <v>24287.311293999996</v>
      </c>
      <c r="AV250" s="199">
        <f t="shared" si="40"/>
        <v>-2910.8227719999995</v>
      </c>
      <c r="AW250" s="142">
        <f>AJ250*Valores!$C$72</f>
        <v>-714.4746803999999</v>
      </c>
      <c r="AX250" s="142">
        <f>AJ250*Valores!$C$73</f>
        <v>-79.386075599999984</v>
      </c>
      <c r="AY250" s="146">
        <f t="shared" si="45"/>
        <v>25006.621671999997</v>
      </c>
      <c r="AZ250" s="150"/>
      <c r="BA250" s="150">
        <f t="shared" si="46"/>
        <v>44</v>
      </c>
      <c r="BB250" s="135" t="s">
        <v>4</v>
      </c>
    </row>
    <row r="251" spans="1:54" s="114" customFormat="1" ht="11.25" customHeight="1" x14ac:dyDescent="0.15">
      <c r="A251" s="134">
        <v>249</v>
      </c>
      <c r="B251" s="134"/>
      <c r="C251" s="135" t="s">
        <v>497</v>
      </c>
      <c r="D251" s="135">
        <v>11</v>
      </c>
      <c r="E251" s="135">
        <f t="shared" si="37"/>
        <v>42</v>
      </c>
      <c r="F251" s="136" t="str">
        <f>CONCATENATE("Hora Cátedra Enseñanza Media ",D251," hs Esc Esp")</f>
        <v>Hora Cátedra Enseñanza Media 11 hs Esc Esp</v>
      </c>
      <c r="G251" s="137">
        <f t="shared" si="47"/>
        <v>869</v>
      </c>
      <c r="H251" s="138">
        <f>INT((G251*Valores!$C$2*100)+0.49)/100</f>
        <v>10798.8</v>
      </c>
      <c r="I251" s="156">
        <v>0</v>
      </c>
      <c r="J251" s="140">
        <f>INT((I251*Valores!$C$2*100)+0.5)/100</f>
        <v>0</v>
      </c>
      <c r="K251" s="155">
        <v>0</v>
      </c>
      <c r="L251" s="140">
        <f>INT((K251*Valores!$C$2*100)+0.5)/100</f>
        <v>0</v>
      </c>
      <c r="M251" s="153">
        <v>0</v>
      </c>
      <c r="N251" s="140">
        <f>INT((M251*Valores!$C$2*100)+0.5)/100</f>
        <v>0</v>
      </c>
      <c r="O251" s="140">
        <f t="shared" si="38"/>
        <v>1984.9319999999998</v>
      </c>
      <c r="P251" s="140">
        <f t="shared" si="39"/>
        <v>0</v>
      </c>
      <c r="Q251" s="154">
        <f>Valores!$C$14*D251</f>
        <v>4635.62</v>
      </c>
      <c r="R251" s="154">
        <f>IF(D251&lt;15,(Valores!$E$4*D251),Valores!$D$4)</f>
        <v>4658.5205333333333</v>
      </c>
      <c r="S251" s="140">
        <v>0</v>
      </c>
      <c r="T251" s="143">
        <f>IF($H$5="NO",IF(Valores!$C$47*D251&gt;Valores!$C$45,Valores!$C$45,Valores!$C$47*D251),IF(Valores!$C$47*D251&gt;Valores!$C$45,Valores!$C$45,Valores!$C$47*D251)/2)</f>
        <v>976.03000000000009</v>
      </c>
      <c r="U251" s="154">
        <f>Valores!$C$24*D251</f>
        <v>1458.0500000000002</v>
      </c>
      <c r="V251" s="140">
        <f t="shared" si="48"/>
        <v>1458.0500000000002</v>
      </c>
      <c r="W251" s="140">
        <v>0</v>
      </c>
      <c r="X251" s="140">
        <v>0</v>
      </c>
      <c r="Y251" s="160">
        <v>0</v>
      </c>
      <c r="Z251" s="140">
        <f>Y251*Valores!$C$2</f>
        <v>0</v>
      </c>
      <c r="AA251" s="140">
        <v>0</v>
      </c>
      <c r="AB251" s="143">
        <f>IF(Valores!$C$93*D251&gt;Valores!$C$92,Valores!$C$92,Valores!$C$93*D251)</f>
        <v>1241.79</v>
      </c>
      <c r="AC251" s="145">
        <f>IF((Valores!$C$34)*D251&gt;Valores!$F$34,Valores!$F$34,(Valores!$C$34)*D251)</f>
        <v>114.51</v>
      </c>
      <c r="AD251" s="140">
        <f t="shared" si="41"/>
        <v>0</v>
      </c>
      <c r="AE251" s="140">
        <f>IF(Valores!$C$35*D251&gt;Valores!$F$35,Valores!$F$35,Valores!$C$35*D251)</f>
        <v>95.37</v>
      </c>
      <c r="AF251" s="144">
        <v>94</v>
      </c>
      <c r="AG251" s="140">
        <f>INT(((AF251*Valores!$C$2)*100)+0.5)/100</f>
        <v>1168.1099999999999</v>
      </c>
      <c r="AH251" s="140">
        <f>IF($H$5="NO",IF(Valores!$D$60*'Escala Docente'!D251&gt;Valores!$F$60,Valores!$F$60,Valores!$D$60*'Escala Docente'!D251),IF(Valores!$D$60*'Escala Docente'!D251&gt;Valores!$F$60,Valores!$F$60,Valores!$D$60*'Escala Docente'!D251)/2)</f>
        <v>387.55933333333331</v>
      </c>
      <c r="AI251" s="140">
        <f>IF($H$5="NO",IF(Valores!$D$62*D251&gt;Valores!$F$62,Valores!$F$62,Valores!$D$62*D251),IF(Valores!$D$62*D251&gt;Valores!$F$62,Valores!$F$62,Valores!$D$62*D251)/2)</f>
        <v>110.84333333333333</v>
      </c>
      <c r="AJ251" s="146">
        <f t="shared" si="42"/>
        <v>27630.135199999997</v>
      </c>
      <c r="AK251" s="154">
        <f>IF(Valores!$C$38*D251&gt;Valores!$F$38,Valores!$F$38,Valores!$C$38*D251)</f>
        <v>998.03000000000009</v>
      </c>
      <c r="AL251" s="143">
        <f>IF(Valores!$C$88*D251&gt;Valores!$C$87,Valores!$C$87,Valores!$C$88*D251)</f>
        <v>1251.2499999999998</v>
      </c>
      <c r="AM251" s="143"/>
      <c r="AN251" s="145">
        <f>IF($H$4="NO",0,IF(Valores!$C$59*D251&gt;Valores!$F$59,Valores!$F$59,Valores!$C$59*D251))</f>
        <v>0</v>
      </c>
      <c r="AO251" s="147">
        <f t="shared" si="43"/>
        <v>2249.2799999999997</v>
      </c>
      <c r="AP251" s="148">
        <f>AJ251*Valores!$C$69</f>
        <v>-3039.3148719999995</v>
      </c>
      <c r="AQ251" s="149">
        <f>AJ251*-Valores!$C$70</f>
        <v>0</v>
      </c>
      <c r="AR251" s="142">
        <f>AJ251*Valores!$C$71</f>
        <v>-1243.3560839999998</v>
      </c>
      <c r="AS251" s="142">
        <f>Valores!$C$95</f>
        <v>-193.38</v>
      </c>
      <c r="AT251" s="142">
        <f>IF($H$6=0,Valores!$C$96,(Valores!$C$96+$H$6*(Valores!$C$96)))</f>
        <v>-129</v>
      </c>
      <c r="AU251" s="146">
        <f t="shared" si="44"/>
        <v>25274.364243999997</v>
      </c>
      <c r="AV251" s="199">
        <f t="shared" si="40"/>
        <v>-3039.3148719999995</v>
      </c>
      <c r="AW251" s="142">
        <f>AJ251*Valores!$C$72</f>
        <v>-746.01365039999996</v>
      </c>
      <c r="AX251" s="142">
        <f>AJ251*Valores!$C$73</f>
        <v>-82.890405599999994</v>
      </c>
      <c r="AY251" s="146">
        <f t="shared" si="45"/>
        <v>26011.196271999997</v>
      </c>
      <c r="AZ251" s="150"/>
      <c r="BA251" s="150">
        <f t="shared" si="46"/>
        <v>44</v>
      </c>
      <c r="BB251" s="135" t="s">
        <v>4</v>
      </c>
    </row>
    <row r="252" spans="1:54" s="114" customFormat="1" ht="11.25" customHeight="1" x14ac:dyDescent="0.15">
      <c r="A252" s="152">
        <v>250</v>
      </c>
      <c r="B252" s="152" t="s">
        <v>139</v>
      </c>
      <c r="C252" s="135" t="s">
        <v>497</v>
      </c>
      <c r="D252" s="135">
        <v>12</v>
      </c>
      <c r="E252" s="135">
        <f t="shared" si="37"/>
        <v>34</v>
      </c>
      <c r="F252" s="136" t="str">
        <f>CONCATENATE("Hora Cátedra Enseñanza Media ",D252," hs")</f>
        <v>Hora Cátedra Enseñanza Media 12 hs</v>
      </c>
      <c r="G252" s="137">
        <f t="shared" si="47"/>
        <v>948</v>
      </c>
      <c r="H252" s="138">
        <f>INT((G252*Valores!$C$2*100)+0.49)/100</f>
        <v>11780.51</v>
      </c>
      <c r="I252" s="156">
        <v>0</v>
      </c>
      <c r="J252" s="140">
        <f>INT((I252*Valores!$C$2*100)+0.5)/100</f>
        <v>0</v>
      </c>
      <c r="K252" s="155">
        <v>0</v>
      </c>
      <c r="L252" s="140">
        <f>INT((K252*Valores!$C$2*100)+0.5)/100</f>
        <v>0</v>
      </c>
      <c r="M252" s="153">
        <v>0</v>
      </c>
      <c r="N252" s="140">
        <f>INT((M252*Valores!$C$2*100)+0.5)/100</f>
        <v>0</v>
      </c>
      <c r="O252" s="140">
        <f t="shared" si="38"/>
        <v>2165.3805000000002</v>
      </c>
      <c r="P252" s="140">
        <f>SUM(H252,J252,L252,N252,Z252,T252)*$J$2</f>
        <v>0</v>
      </c>
      <c r="Q252" s="154">
        <f>Valores!$C$14*D252</f>
        <v>5057.04</v>
      </c>
      <c r="R252" s="154">
        <f>IF(D252&lt;15,(Valores!$E$4*D252),Valores!$D$4)</f>
        <v>5082.0223999999998</v>
      </c>
      <c r="S252" s="140">
        <v>0</v>
      </c>
      <c r="T252" s="143">
        <f>IF($H$5="NO",IF(Valores!$C$47*D252&gt;Valores!$C$45,Valores!$C$45,Valores!$C$47*D252),IF(Valores!$C$47*D252&gt;Valores!$C$45,Valores!$C$45,Valores!$C$47*D252)/2)</f>
        <v>1064.76</v>
      </c>
      <c r="U252" s="154">
        <f>Valores!$C$24*D252</f>
        <v>1590.6000000000001</v>
      </c>
      <c r="V252" s="140">
        <f t="shared" si="48"/>
        <v>1590.6000000000001</v>
      </c>
      <c r="W252" s="140">
        <v>0</v>
      </c>
      <c r="X252" s="140">
        <v>0</v>
      </c>
      <c r="Y252" s="160">
        <v>0</v>
      </c>
      <c r="Z252" s="140">
        <f>Y252*Valores!$C$2</f>
        <v>0</v>
      </c>
      <c r="AA252" s="140">
        <v>0</v>
      </c>
      <c r="AB252" s="143">
        <f>IF(Valores!$C$93*D252&gt;Valores!$C$92,Valores!$C$92,Valores!$C$93*D252)</f>
        <v>1354.68</v>
      </c>
      <c r="AC252" s="145">
        <f>IF((Valores!$C$34)*D252&gt;Valores!$F$34,Valores!$F$34,(Valores!$C$34)*D252)</f>
        <v>124.92</v>
      </c>
      <c r="AD252" s="140">
        <f t="shared" si="41"/>
        <v>0</v>
      </c>
      <c r="AE252" s="140">
        <f>IF(Valores!$C$35*D252&gt;Valores!$F$35,Valores!$F$35,Valores!$C$35*D252)</f>
        <v>104.03999999999999</v>
      </c>
      <c r="AF252" s="144">
        <v>0</v>
      </c>
      <c r="AG252" s="140">
        <f>INT(((AF252*Valores!$C$2)*100)+0.5)/100</f>
        <v>0</v>
      </c>
      <c r="AH252" s="140">
        <f>IF($H$5="NO",IF(Valores!$D$60*'Escala Docente'!D252&gt;Valores!$F$60,Valores!$F$60,Valores!$D$60*'Escala Docente'!D252),IF(Valores!$D$60*'Escala Docente'!D252&gt;Valores!$F$60,Valores!$F$60,Valores!$D$60*'Escala Docente'!D252)/2)</f>
        <v>422.79200000000003</v>
      </c>
      <c r="AI252" s="140">
        <f>IF($H$5="NO",IF(Valores!$D$62*D252&gt;Valores!$F$62,Valores!$F$62,Valores!$D$62*D252),IF(Valores!$D$62*D252&gt;Valores!$F$62,Valores!$F$62,Valores!$D$62*D252)/2)</f>
        <v>120.91999999999999</v>
      </c>
      <c r="AJ252" s="146">
        <f t="shared" si="42"/>
        <v>28867.6649</v>
      </c>
      <c r="AK252" s="154">
        <f>IF(Valores!$C$38*D252&gt;Valores!$F$38,Valores!$F$38,Valores!$C$38*D252)</f>
        <v>1088.76</v>
      </c>
      <c r="AL252" s="143">
        <f>IF(Valores!$C$88*D252&gt;Valores!$C$87,Valores!$C$87,Valores!$C$88*D252)</f>
        <v>1364.9999999999998</v>
      </c>
      <c r="AM252" s="143"/>
      <c r="AN252" s="145">
        <f>IF($H$4="NO",0,IF(Valores!$C$59*D252&gt;Valores!$F$59,Valores!$F$59,Valores!$C$59*D252))</f>
        <v>0</v>
      </c>
      <c r="AO252" s="147">
        <f t="shared" si="43"/>
        <v>2453.7599999999998</v>
      </c>
      <c r="AP252" s="148">
        <f>AJ252*Valores!$C$69</f>
        <v>-3175.443139</v>
      </c>
      <c r="AQ252" s="149">
        <f>AJ252*-Valores!$C$70</f>
        <v>0</v>
      </c>
      <c r="AR252" s="142">
        <f>AJ252*Valores!$C$71</f>
        <v>-1299.0449205</v>
      </c>
      <c r="AS252" s="142">
        <f>Valores!$C$95</f>
        <v>-193.38</v>
      </c>
      <c r="AT252" s="142">
        <f>IF($H$6=0,Valores!$C$96,(Valores!$C$96+$H$6*(Valores!$C$96)))</f>
        <v>-129</v>
      </c>
      <c r="AU252" s="146">
        <f t="shared" si="44"/>
        <v>26524.556840500001</v>
      </c>
      <c r="AV252" s="199">
        <f t="shared" si="40"/>
        <v>-3175.443139</v>
      </c>
      <c r="AW252" s="142">
        <f>AJ252*Valores!$C$72</f>
        <v>-779.42695230000004</v>
      </c>
      <c r="AX252" s="142">
        <f>AJ252*Valores!$C$73</f>
        <v>-86.602994699999996</v>
      </c>
      <c r="AY252" s="146">
        <f t="shared" si="45"/>
        <v>27279.951813999996</v>
      </c>
      <c r="AZ252" s="150"/>
      <c r="BA252" s="150">
        <f t="shared" si="46"/>
        <v>48</v>
      </c>
      <c r="BB252" s="135" t="s">
        <v>4</v>
      </c>
    </row>
    <row r="253" spans="1:54" s="114" customFormat="1" ht="11.25" customHeight="1" x14ac:dyDescent="0.15">
      <c r="A253" s="134">
        <v>251</v>
      </c>
      <c r="B253" s="134"/>
      <c r="C253" s="135" t="s">
        <v>497</v>
      </c>
      <c r="D253" s="135">
        <v>12</v>
      </c>
      <c r="E253" s="135">
        <f t="shared" si="37"/>
        <v>42</v>
      </c>
      <c r="F253" s="136" t="str">
        <f>CONCATENATE("Hora Cátedra Enseñanza Media ",D253," hs Esc Esp")</f>
        <v>Hora Cátedra Enseñanza Media 12 hs Esc Esp</v>
      </c>
      <c r="G253" s="137">
        <f t="shared" si="47"/>
        <v>948</v>
      </c>
      <c r="H253" s="138">
        <f>INT((G253*Valores!$C$2*100)+0.49)/100</f>
        <v>11780.51</v>
      </c>
      <c r="I253" s="156">
        <v>0</v>
      </c>
      <c r="J253" s="140">
        <f>INT((I253*Valores!$C$2*100)+0.5)/100</f>
        <v>0</v>
      </c>
      <c r="K253" s="155">
        <v>0</v>
      </c>
      <c r="L253" s="140">
        <f>INT((K253*Valores!$C$2*100)+0.5)/100</f>
        <v>0</v>
      </c>
      <c r="M253" s="153">
        <v>0</v>
      </c>
      <c r="N253" s="140">
        <f>INT((M253*Valores!$C$2*100)+0.5)/100</f>
        <v>0</v>
      </c>
      <c r="O253" s="140">
        <f t="shared" si="38"/>
        <v>2165.3805000000002</v>
      </c>
      <c r="P253" s="140">
        <f t="shared" si="39"/>
        <v>0</v>
      </c>
      <c r="Q253" s="154">
        <f>Valores!$C$14*D253</f>
        <v>5057.04</v>
      </c>
      <c r="R253" s="154">
        <f>IF(D253&lt;15,(Valores!$E$4*D253),Valores!$D$4)</f>
        <v>5082.0223999999998</v>
      </c>
      <c r="S253" s="140">
        <v>0</v>
      </c>
      <c r="T253" s="143">
        <f>IF($H$5="NO",IF(Valores!$C$47*D253&gt;Valores!$C$45,Valores!$C$45,Valores!$C$47*D253),IF(Valores!$C$47*D253&gt;Valores!$C$45,Valores!$C$45,Valores!$C$47*D253)/2)</f>
        <v>1064.76</v>
      </c>
      <c r="U253" s="154">
        <f>Valores!$C$24*D253</f>
        <v>1590.6000000000001</v>
      </c>
      <c r="V253" s="140">
        <f t="shared" si="48"/>
        <v>1590.6000000000001</v>
      </c>
      <c r="W253" s="140">
        <v>0</v>
      </c>
      <c r="X253" s="140">
        <v>0</v>
      </c>
      <c r="Y253" s="160">
        <v>0</v>
      </c>
      <c r="Z253" s="140">
        <f>Y253*Valores!$C$2</f>
        <v>0</v>
      </c>
      <c r="AA253" s="140">
        <v>0</v>
      </c>
      <c r="AB253" s="143">
        <f>IF(Valores!$C$93*D253&gt;Valores!$C$92,Valores!$C$92,Valores!$C$93*D253)</f>
        <v>1354.68</v>
      </c>
      <c r="AC253" s="145">
        <f>IF((Valores!$C$34)*D253&gt;Valores!$F$34,Valores!$F$34,(Valores!$C$34)*D253)</f>
        <v>124.92</v>
      </c>
      <c r="AD253" s="140">
        <f t="shared" si="41"/>
        <v>0</v>
      </c>
      <c r="AE253" s="140">
        <f>IF(Valores!$C$35*D253&gt;Valores!$F$35,Valores!$F$35,Valores!$C$35*D253)</f>
        <v>104.03999999999999</v>
      </c>
      <c r="AF253" s="144">
        <v>94</v>
      </c>
      <c r="AG253" s="140">
        <f>INT(((AF253*Valores!$C$2)*100)+0.5)/100</f>
        <v>1168.1099999999999</v>
      </c>
      <c r="AH253" s="140">
        <f>IF($H$5="NO",IF(Valores!$D$60*'Escala Docente'!D253&gt;Valores!$F$60,Valores!$F$60,Valores!$D$60*'Escala Docente'!D253),IF(Valores!$D$60*'Escala Docente'!D253&gt;Valores!$F$60,Valores!$F$60,Valores!$D$60*'Escala Docente'!D253)/2)</f>
        <v>422.79200000000003</v>
      </c>
      <c r="AI253" s="140">
        <f>IF($H$5="NO",IF(Valores!$D$62*D253&gt;Valores!$F$62,Valores!$F$62,Valores!$D$62*D253),IF(Valores!$D$62*D253&gt;Valores!$F$62,Valores!$F$62,Valores!$D$62*D253)/2)</f>
        <v>120.91999999999999</v>
      </c>
      <c r="AJ253" s="146">
        <f t="shared" si="42"/>
        <v>30035.7749</v>
      </c>
      <c r="AK253" s="154">
        <f>IF(Valores!$C$38*D253&gt;Valores!$F$38,Valores!$F$38,Valores!$C$38*D253)</f>
        <v>1088.76</v>
      </c>
      <c r="AL253" s="143">
        <f>IF(Valores!$C$88*D253&gt;Valores!$C$87,Valores!$C$87,Valores!$C$88*D253)</f>
        <v>1364.9999999999998</v>
      </c>
      <c r="AM253" s="143"/>
      <c r="AN253" s="145">
        <f>IF($H$4="NO",0,IF(Valores!$C$59*D253&gt;Valores!$F$59,Valores!$F$59,Valores!$C$59*D253))</f>
        <v>0</v>
      </c>
      <c r="AO253" s="147">
        <f t="shared" si="43"/>
        <v>2453.7599999999998</v>
      </c>
      <c r="AP253" s="148">
        <f>AJ253*Valores!$C$69</f>
        <v>-3303.9352389999999</v>
      </c>
      <c r="AQ253" s="149">
        <f>AJ253*-Valores!$C$70</f>
        <v>0</v>
      </c>
      <c r="AR253" s="142">
        <f>AJ253*Valores!$C$71</f>
        <v>-1351.6098704999999</v>
      </c>
      <c r="AS253" s="142">
        <f>Valores!$C$95</f>
        <v>-193.38</v>
      </c>
      <c r="AT253" s="142">
        <f>IF($H$6=0,Valores!$C$96,(Valores!$C$96+$H$6*(Valores!$C$96)))</f>
        <v>-129</v>
      </c>
      <c r="AU253" s="146">
        <f t="shared" si="44"/>
        <v>27511.609790499999</v>
      </c>
      <c r="AV253" s="199">
        <f t="shared" si="40"/>
        <v>-3303.9352389999999</v>
      </c>
      <c r="AW253" s="142">
        <f>AJ253*Valores!$C$72</f>
        <v>-810.96592229999999</v>
      </c>
      <c r="AX253" s="142">
        <f>AJ253*Valores!$C$73</f>
        <v>-90.107324700000007</v>
      </c>
      <c r="AY253" s="146">
        <f t="shared" si="45"/>
        <v>28284.526414</v>
      </c>
      <c r="AZ253" s="150"/>
      <c r="BA253" s="150">
        <f t="shared" si="46"/>
        <v>48</v>
      </c>
      <c r="BB253" s="135" t="s">
        <v>4</v>
      </c>
    </row>
    <row r="254" spans="1:54" s="114" customFormat="1" ht="11.25" customHeight="1" x14ac:dyDescent="0.15">
      <c r="A254" s="134">
        <v>252</v>
      </c>
      <c r="B254" s="134"/>
      <c r="C254" s="135" t="s">
        <v>497</v>
      </c>
      <c r="D254" s="135">
        <v>13</v>
      </c>
      <c r="E254" s="135">
        <f t="shared" si="37"/>
        <v>34</v>
      </c>
      <c r="F254" s="136" t="str">
        <f>CONCATENATE("Hora Cátedra Enseñanza Media ",D254," hs")</f>
        <v>Hora Cátedra Enseñanza Media 13 hs</v>
      </c>
      <c r="G254" s="137">
        <f t="shared" si="47"/>
        <v>1027</v>
      </c>
      <c r="H254" s="138">
        <f>INT((G254*Valores!$C$2*100)+0.49)/100</f>
        <v>12762.22</v>
      </c>
      <c r="I254" s="156">
        <v>0</v>
      </c>
      <c r="J254" s="140">
        <f>INT((I254*Valores!$C$2*100)+0.5)/100</f>
        <v>0</v>
      </c>
      <c r="K254" s="155">
        <v>0</v>
      </c>
      <c r="L254" s="140">
        <f>INT((K254*Valores!$C$2*100)+0.5)/100</f>
        <v>0</v>
      </c>
      <c r="M254" s="153">
        <v>0</v>
      </c>
      <c r="N254" s="140">
        <f>INT((M254*Valores!$C$2*100)+0.5)/100</f>
        <v>0</v>
      </c>
      <c r="O254" s="140">
        <f t="shared" si="38"/>
        <v>2345.8289999999997</v>
      </c>
      <c r="P254" s="140">
        <f t="shared" si="39"/>
        <v>0</v>
      </c>
      <c r="Q254" s="154">
        <f>Valores!$C$14*D254</f>
        <v>5478.46</v>
      </c>
      <c r="R254" s="154">
        <f>IF(D254&lt;15,(Valores!$E$4*D254),Valores!$D$4)</f>
        <v>5505.5242666666663</v>
      </c>
      <c r="S254" s="140">
        <v>0</v>
      </c>
      <c r="T254" s="143">
        <f>IF($H$5="NO",IF(Valores!$C$47*D254&gt;Valores!$C$45,Valores!$C$45,Valores!$C$47*D254),IF(Valores!$C$47*D254&gt;Valores!$C$45,Valores!$C$45,Valores!$C$47*D254)/2)</f>
        <v>1153.49</v>
      </c>
      <c r="U254" s="154">
        <f>Valores!$C$24*D254</f>
        <v>1723.15</v>
      </c>
      <c r="V254" s="140">
        <f t="shared" si="48"/>
        <v>1723.15</v>
      </c>
      <c r="W254" s="140">
        <v>0</v>
      </c>
      <c r="X254" s="140">
        <v>0</v>
      </c>
      <c r="Y254" s="160">
        <v>0</v>
      </c>
      <c r="Z254" s="140">
        <f>Y254*Valores!$C$2</f>
        <v>0</v>
      </c>
      <c r="AA254" s="140">
        <v>0</v>
      </c>
      <c r="AB254" s="143">
        <f>IF(Valores!$C$93*D254&gt;Valores!$C$92,Valores!$C$92,Valores!$C$93*D254)</f>
        <v>1467.57</v>
      </c>
      <c r="AC254" s="145">
        <f>IF((Valores!$C$34)*D254&gt;Valores!$F$34,Valores!$F$34,(Valores!$C$34)*D254)</f>
        <v>135.33000000000001</v>
      </c>
      <c r="AD254" s="140">
        <f t="shared" si="41"/>
        <v>0</v>
      </c>
      <c r="AE254" s="140">
        <f>IF(Valores!$C$35*D254&gt;Valores!$F$35,Valores!$F$35,Valores!$C$35*D254)</f>
        <v>112.71</v>
      </c>
      <c r="AF254" s="144">
        <v>0</v>
      </c>
      <c r="AG254" s="140">
        <f>INT(((AF254*Valores!$C$2)*100)+0.5)/100</f>
        <v>0</v>
      </c>
      <c r="AH254" s="140">
        <f>IF($H$5="NO",IF(Valores!$D$60*'Escala Docente'!D254&gt;Valores!$F$60,Valores!$F$60,Valores!$D$60*'Escala Docente'!D254),IF(Valores!$D$60*'Escala Docente'!D254&gt;Valores!$F$60,Valores!$F$60,Valores!$D$60*'Escala Docente'!D254)/2)</f>
        <v>458.02466666666669</v>
      </c>
      <c r="AI254" s="140">
        <f>IF($H$5="NO",IF(Valores!$D$62*D254&gt;Valores!$F$62,Valores!$F$62,Valores!$D$62*D254),IF(Valores!$D$62*D254&gt;Valores!$F$62,Valores!$F$62,Valores!$D$62*D254)/2)</f>
        <v>130.99666666666667</v>
      </c>
      <c r="AJ254" s="146">
        <f t="shared" si="42"/>
        <v>31273.304600000003</v>
      </c>
      <c r="AK254" s="154">
        <f>IF(Valores!$C$38*D254&gt;Valores!$F$38,Valores!$F$38,Valores!$C$38*D254)</f>
        <v>1179.49</v>
      </c>
      <c r="AL254" s="143">
        <f>IF(Valores!$C$88*D254&gt;Valores!$C$87,Valores!$C$87,Valores!$C$88*D254)</f>
        <v>1478.7499999999998</v>
      </c>
      <c r="AM254" s="143"/>
      <c r="AN254" s="145">
        <f>IF($H$4="NO",0,IF(Valores!$C$59*D254&gt;Valores!$F$59,Valores!$F$59,Valores!$C$59*D254))</f>
        <v>0</v>
      </c>
      <c r="AO254" s="147">
        <f t="shared" si="43"/>
        <v>2658.24</v>
      </c>
      <c r="AP254" s="148">
        <f>AJ254*Valores!$C$69</f>
        <v>-3440.0635060000004</v>
      </c>
      <c r="AQ254" s="149">
        <f>AJ254*-Valores!$C$70</f>
        <v>0</v>
      </c>
      <c r="AR254" s="142">
        <f>AJ254*Valores!$C$71</f>
        <v>-1407.2987070000001</v>
      </c>
      <c r="AS254" s="142">
        <f>Valores!$C$95</f>
        <v>-193.38</v>
      </c>
      <c r="AT254" s="142">
        <f>IF($H$6=0,Valores!$C$96,(Valores!$C$96+$H$6*(Valores!$C$96)))</f>
        <v>-129</v>
      </c>
      <c r="AU254" s="146">
        <f t="shared" si="44"/>
        <v>28761.802387000003</v>
      </c>
      <c r="AV254" s="199">
        <f t="shared" si="40"/>
        <v>-3440.0635060000004</v>
      </c>
      <c r="AW254" s="142">
        <f>AJ254*Valores!$C$72</f>
        <v>-844.37922420000007</v>
      </c>
      <c r="AX254" s="142">
        <f>AJ254*Valores!$C$73</f>
        <v>-93.819913800000009</v>
      </c>
      <c r="AY254" s="146">
        <f t="shared" si="45"/>
        <v>29553.281955999999</v>
      </c>
      <c r="AZ254" s="150"/>
      <c r="BA254" s="150">
        <f t="shared" si="46"/>
        <v>52</v>
      </c>
      <c r="BB254" s="135" t="s">
        <v>4</v>
      </c>
    </row>
    <row r="255" spans="1:54" s="114" customFormat="1" ht="11.25" customHeight="1" x14ac:dyDescent="0.15">
      <c r="A255" s="134">
        <v>253</v>
      </c>
      <c r="B255" s="134"/>
      <c r="C255" s="135" t="s">
        <v>497</v>
      </c>
      <c r="D255" s="135">
        <v>13</v>
      </c>
      <c r="E255" s="135">
        <f t="shared" si="37"/>
        <v>42</v>
      </c>
      <c r="F255" s="136" t="str">
        <f>CONCATENATE("Hora Cátedra Enseñanza Media ",D255," hs Esc Esp")</f>
        <v>Hora Cátedra Enseñanza Media 13 hs Esc Esp</v>
      </c>
      <c r="G255" s="137">
        <f t="shared" si="47"/>
        <v>1027</v>
      </c>
      <c r="H255" s="138">
        <f>INT((G255*Valores!$C$2*100)+0.49)/100</f>
        <v>12762.22</v>
      </c>
      <c r="I255" s="156">
        <v>0</v>
      </c>
      <c r="J255" s="140">
        <f>INT((I255*Valores!$C$2*100)+0.5)/100</f>
        <v>0</v>
      </c>
      <c r="K255" s="155">
        <v>0</v>
      </c>
      <c r="L255" s="140">
        <f>INT((K255*Valores!$C$2*100)+0.5)/100</f>
        <v>0</v>
      </c>
      <c r="M255" s="153">
        <v>0</v>
      </c>
      <c r="N255" s="140">
        <f>INT((M255*Valores!$C$2*100)+0.5)/100</f>
        <v>0</v>
      </c>
      <c r="O255" s="140">
        <f t="shared" si="38"/>
        <v>2345.8289999999997</v>
      </c>
      <c r="P255" s="140">
        <f t="shared" si="39"/>
        <v>0</v>
      </c>
      <c r="Q255" s="154">
        <f>Valores!$C$14*D255</f>
        <v>5478.46</v>
      </c>
      <c r="R255" s="154">
        <f>IF(D255&lt;15,(Valores!$E$4*D255),Valores!$D$4)</f>
        <v>5505.5242666666663</v>
      </c>
      <c r="S255" s="140">
        <v>0</v>
      </c>
      <c r="T255" s="143">
        <f>IF($H$5="NO",IF(Valores!$C$47*D255&gt;Valores!$C$45,Valores!$C$45,Valores!$C$47*D255),IF(Valores!$C$47*D255&gt;Valores!$C$45,Valores!$C$45,Valores!$C$47*D255)/2)</f>
        <v>1153.49</v>
      </c>
      <c r="U255" s="154">
        <f>Valores!$C$24*D255</f>
        <v>1723.15</v>
      </c>
      <c r="V255" s="140">
        <f t="shared" si="48"/>
        <v>1723.15</v>
      </c>
      <c r="W255" s="140">
        <v>0</v>
      </c>
      <c r="X255" s="140">
        <v>0</v>
      </c>
      <c r="Y255" s="160">
        <v>0</v>
      </c>
      <c r="Z255" s="140">
        <f>Y255*Valores!$C$2</f>
        <v>0</v>
      </c>
      <c r="AA255" s="140">
        <v>0</v>
      </c>
      <c r="AB255" s="143">
        <f>IF(Valores!$C$93*D255&gt;Valores!$C$92,Valores!$C$92,Valores!$C$93*D255)</f>
        <v>1467.57</v>
      </c>
      <c r="AC255" s="145">
        <f>IF((Valores!$C$34)*D255&gt;Valores!$F$34,Valores!$F$34,(Valores!$C$34)*D255)</f>
        <v>135.33000000000001</v>
      </c>
      <c r="AD255" s="140">
        <f t="shared" si="41"/>
        <v>0</v>
      </c>
      <c r="AE255" s="140">
        <f>IF(Valores!$C$35*D255&gt;Valores!$F$35,Valores!$F$35,Valores!$C$35*D255)</f>
        <v>112.71</v>
      </c>
      <c r="AF255" s="144">
        <v>94</v>
      </c>
      <c r="AG255" s="140">
        <f>INT(((AF255*Valores!$C$2)*100)+0.5)/100</f>
        <v>1168.1099999999999</v>
      </c>
      <c r="AH255" s="140">
        <f>IF($H$5="NO",IF(Valores!$D$60*'Escala Docente'!D255&gt;Valores!$F$60,Valores!$F$60,Valores!$D$60*'Escala Docente'!D255),IF(Valores!$D$60*'Escala Docente'!D255&gt;Valores!$F$60,Valores!$F$60,Valores!$D$60*'Escala Docente'!D255)/2)</f>
        <v>458.02466666666669</v>
      </c>
      <c r="AI255" s="140">
        <f>IF($H$5="NO",IF(Valores!$D$62*D255&gt;Valores!$F$62,Valores!$F$62,Valores!$D$62*D255),IF(Valores!$D$62*D255&gt;Valores!$F$62,Valores!$F$62,Valores!$D$62*D255)/2)</f>
        <v>130.99666666666667</v>
      </c>
      <c r="AJ255" s="146">
        <f t="shared" si="42"/>
        <v>32441.414600000004</v>
      </c>
      <c r="AK255" s="154">
        <f>IF(Valores!$C$38*D255&gt;Valores!$F$38,Valores!$F$38,Valores!$C$38*D255)</f>
        <v>1179.49</v>
      </c>
      <c r="AL255" s="143">
        <f>IF(Valores!$C$88*D255&gt;Valores!$C$87,Valores!$C$87,Valores!$C$88*D255)</f>
        <v>1478.7499999999998</v>
      </c>
      <c r="AM255" s="143"/>
      <c r="AN255" s="145">
        <f>IF($H$4="NO",0,IF(Valores!$C$59*D255&gt;Valores!$F$59,Valores!$F$59,Valores!$C$59*D255))</f>
        <v>0</v>
      </c>
      <c r="AO255" s="147">
        <f t="shared" si="43"/>
        <v>2658.24</v>
      </c>
      <c r="AP255" s="148">
        <f>AJ255*Valores!$C$69</f>
        <v>-3568.5556060000004</v>
      </c>
      <c r="AQ255" s="149">
        <f>AJ255*-Valores!$C$70</f>
        <v>0</v>
      </c>
      <c r="AR255" s="142">
        <f>AJ255*Valores!$C$71</f>
        <v>-1459.8636570000001</v>
      </c>
      <c r="AS255" s="142">
        <f>Valores!$C$95</f>
        <v>-193.38</v>
      </c>
      <c r="AT255" s="142">
        <f>IF($H$6=0,Valores!$C$96,(Valores!$C$96+$H$6*(Valores!$C$96)))</f>
        <v>-129</v>
      </c>
      <c r="AU255" s="146">
        <f t="shared" si="44"/>
        <v>29748.855337000001</v>
      </c>
      <c r="AV255" s="199">
        <f t="shared" si="40"/>
        <v>-3568.5556060000004</v>
      </c>
      <c r="AW255" s="142">
        <f>AJ255*Valores!$C$72</f>
        <v>-875.91819420000013</v>
      </c>
      <c r="AX255" s="142">
        <f>AJ255*Valores!$C$73</f>
        <v>-97.324243800000019</v>
      </c>
      <c r="AY255" s="146">
        <f t="shared" si="45"/>
        <v>30557.856556000002</v>
      </c>
      <c r="AZ255" s="150"/>
      <c r="BA255" s="150">
        <f t="shared" si="46"/>
        <v>52</v>
      </c>
      <c r="BB255" s="135" t="s">
        <v>4</v>
      </c>
    </row>
    <row r="256" spans="1:54" s="114" customFormat="1" ht="11.25" customHeight="1" x14ac:dyDescent="0.15">
      <c r="A256" s="134">
        <v>254</v>
      </c>
      <c r="B256" s="134"/>
      <c r="C256" s="135" t="s">
        <v>497</v>
      </c>
      <c r="D256" s="135">
        <v>14</v>
      </c>
      <c r="E256" s="135">
        <f t="shared" si="37"/>
        <v>34</v>
      </c>
      <c r="F256" s="136" t="str">
        <f>CONCATENATE("Hora Cátedra Enseñanza Media ",D256," hs")</f>
        <v>Hora Cátedra Enseñanza Media 14 hs</v>
      </c>
      <c r="G256" s="137">
        <f t="shared" si="47"/>
        <v>1106</v>
      </c>
      <c r="H256" s="138">
        <f>INT((G256*Valores!$C$2*100)+0.49)/100</f>
        <v>13743.93</v>
      </c>
      <c r="I256" s="156">
        <v>0</v>
      </c>
      <c r="J256" s="140">
        <f>INT((I256*Valores!$C$2*100)+0.5)/100</f>
        <v>0</v>
      </c>
      <c r="K256" s="155">
        <v>0</v>
      </c>
      <c r="L256" s="140">
        <f>INT((K256*Valores!$C$2*100)+0.5)/100</f>
        <v>0</v>
      </c>
      <c r="M256" s="153">
        <v>0</v>
      </c>
      <c r="N256" s="140">
        <f>INT((M256*Valores!$C$2*100)+0.5)/100</f>
        <v>0</v>
      </c>
      <c r="O256" s="140">
        <f t="shared" si="38"/>
        <v>2526.2775000000001</v>
      </c>
      <c r="P256" s="140">
        <f t="shared" si="39"/>
        <v>0</v>
      </c>
      <c r="Q256" s="154">
        <f>Valores!$C$14*D256</f>
        <v>5899.88</v>
      </c>
      <c r="R256" s="154">
        <f>IF(D256&lt;15,(Valores!$E$4*D256),Valores!$D$4)</f>
        <v>5929.0261333333337</v>
      </c>
      <c r="S256" s="140">
        <v>0</v>
      </c>
      <c r="T256" s="143">
        <f>IF($H$5="NO",IF(Valores!$C$47*D256&gt;Valores!$C$45,Valores!$C$45,Valores!$C$47*D256),IF(Valores!$C$47*D256&gt;Valores!$C$45,Valores!$C$45,Valores!$C$47*D256)/2)</f>
        <v>1242.22</v>
      </c>
      <c r="U256" s="154">
        <f>Valores!$C$24*D256</f>
        <v>1855.7000000000003</v>
      </c>
      <c r="V256" s="140">
        <f t="shared" si="48"/>
        <v>1855.7000000000003</v>
      </c>
      <c r="W256" s="140">
        <v>0</v>
      </c>
      <c r="X256" s="140">
        <v>0</v>
      </c>
      <c r="Y256" s="160">
        <v>0</v>
      </c>
      <c r="Z256" s="140">
        <f>Y256*Valores!$C$2</f>
        <v>0</v>
      </c>
      <c r="AA256" s="140">
        <v>0</v>
      </c>
      <c r="AB256" s="143">
        <f>IF(Valores!$C$93*D256&gt;Valores!$C$92,Valores!$C$92,Valores!$C$93*D256)</f>
        <v>1580.46</v>
      </c>
      <c r="AC256" s="145">
        <f>IF((Valores!$C$34)*D256&gt;Valores!$F$34,Valores!$F$34,(Valores!$C$34)*D256)</f>
        <v>145.74</v>
      </c>
      <c r="AD256" s="140">
        <f t="shared" si="41"/>
        <v>0</v>
      </c>
      <c r="AE256" s="140">
        <f>IF(Valores!$C$35*D256&gt;Valores!$F$35,Valores!$F$35,Valores!$C$35*D256)</f>
        <v>121.38</v>
      </c>
      <c r="AF256" s="144">
        <v>0</v>
      </c>
      <c r="AG256" s="140">
        <f>INT(((AF256*Valores!$C$2)*100)+0.5)/100</f>
        <v>0</v>
      </c>
      <c r="AH256" s="140">
        <f>IF($H$5="NO",IF(Valores!$D$60*'Escala Docente'!D256&gt;Valores!$F$60,Valores!$F$60,Valores!$D$60*'Escala Docente'!D256),IF(Valores!$D$60*'Escala Docente'!D256&gt;Valores!$F$60,Valores!$F$60,Valores!$D$60*'Escala Docente'!D256)/2)</f>
        <v>493.25733333333335</v>
      </c>
      <c r="AI256" s="140">
        <f>IF($H$5="NO",IF(Valores!$D$62*D256&gt;Valores!$F$62,Valores!$F$62,Valores!$D$62*D256),IF(Valores!$D$62*D256&gt;Valores!$F$62,Valores!$F$62,Valores!$D$62*D256)/2)</f>
        <v>141.07333333333332</v>
      </c>
      <c r="AJ256" s="146">
        <f t="shared" si="42"/>
        <v>33678.94430000001</v>
      </c>
      <c r="AK256" s="154">
        <f>IF(Valores!$C$38*D256&gt;Valores!$F$38,Valores!$F$38,Valores!$C$38*D256)</f>
        <v>1270.22</v>
      </c>
      <c r="AL256" s="143">
        <f>IF(Valores!$C$88*D256&gt;Valores!$C$87,Valores!$C$87,Valores!$C$88*D256)</f>
        <v>1592.4999999999998</v>
      </c>
      <c r="AM256" s="143"/>
      <c r="AN256" s="145">
        <f>IF($H$4="NO",0,IF(Valores!$C$59*D256&gt;Valores!$F$59,Valores!$F$59,Valores!$C$59*D256))</f>
        <v>0</v>
      </c>
      <c r="AO256" s="147">
        <f t="shared" si="43"/>
        <v>2862.72</v>
      </c>
      <c r="AP256" s="148">
        <f>AJ256*Valores!$C$69</f>
        <v>-3704.6838730000013</v>
      </c>
      <c r="AQ256" s="149">
        <f>AJ256*-Valores!$C$70</f>
        <v>0</v>
      </c>
      <c r="AR256" s="142">
        <f>AJ256*Valores!$C$71</f>
        <v>-1515.5524935000003</v>
      </c>
      <c r="AS256" s="142">
        <f>Valores!$C$95</f>
        <v>-193.38</v>
      </c>
      <c r="AT256" s="142">
        <f>IF($H$6=0,Valores!$C$96,(Valores!$C$96+$H$6*(Valores!$C$96)))</f>
        <v>-129</v>
      </c>
      <c r="AU256" s="146">
        <f t="shared" si="44"/>
        <v>30999.047933500009</v>
      </c>
      <c r="AV256" s="199">
        <f t="shared" si="40"/>
        <v>-3704.6838730000013</v>
      </c>
      <c r="AW256" s="142">
        <f>AJ256*Valores!$C$72</f>
        <v>-909.33149610000021</v>
      </c>
      <c r="AX256" s="142">
        <f>AJ256*Valores!$C$73</f>
        <v>-101.03683290000004</v>
      </c>
      <c r="AY256" s="146">
        <f t="shared" si="45"/>
        <v>31826.612098000009</v>
      </c>
      <c r="AZ256" s="150"/>
      <c r="BA256" s="150">
        <f t="shared" si="46"/>
        <v>56</v>
      </c>
      <c r="BB256" s="135" t="s">
        <v>4</v>
      </c>
    </row>
    <row r="257" spans="1:54" s="114" customFormat="1" ht="11.25" customHeight="1" x14ac:dyDescent="0.15">
      <c r="A257" s="152">
        <v>255</v>
      </c>
      <c r="B257" s="152" t="s">
        <v>139</v>
      </c>
      <c r="C257" s="135" t="s">
        <v>497</v>
      </c>
      <c r="D257" s="135">
        <v>14</v>
      </c>
      <c r="E257" s="135">
        <f t="shared" si="37"/>
        <v>42</v>
      </c>
      <c r="F257" s="136" t="str">
        <f>CONCATENATE("Hora Cátedra Enseñanza Media ",D257," hs Esc Esp")</f>
        <v>Hora Cátedra Enseñanza Media 14 hs Esc Esp</v>
      </c>
      <c r="G257" s="137">
        <f t="shared" si="47"/>
        <v>1106</v>
      </c>
      <c r="H257" s="138">
        <f>INT((G257*Valores!$C$2*100)+0.49)/100</f>
        <v>13743.93</v>
      </c>
      <c r="I257" s="156">
        <v>0</v>
      </c>
      <c r="J257" s="140">
        <f>INT((I257*Valores!$C$2*100)+0.5)/100</f>
        <v>0</v>
      </c>
      <c r="K257" s="155">
        <v>0</v>
      </c>
      <c r="L257" s="140">
        <f>INT((K257*Valores!$C$2*100)+0.5)/100</f>
        <v>0</v>
      </c>
      <c r="M257" s="153">
        <v>0</v>
      </c>
      <c r="N257" s="140">
        <f>INT((M257*Valores!$C$2*100)+0.5)/100</f>
        <v>0</v>
      </c>
      <c r="O257" s="140">
        <f t="shared" si="38"/>
        <v>2526.2775000000001</v>
      </c>
      <c r="P257" s="140">
        <f t="shared" si="39"/>
        <v>0</v>
      </c>
      <c r="Q257" s="154">
        <f>Valores!$C$14*D257</f>
        <v>5899.88</v>
      </c>
      <c r="R257" s="154">
        <f>IF(D257&lt;15,(Valores!$E$4*D257),Valores!$D$4)</f>
        <v>5929.0261333333337</v>
      </c>
      <c r="S257" s="140">
        <v>0</v>
      </c>
      <c r="T257" s="143">
        <f>IF($H$5="NO",IF(Valores!$C$47*D257&gt;Valores!$C$45,Valores!$C$45,Valores!$C$47*D257),IF(Valores!$C$47*D257&gt;Valores!$C$45,Valores!$C$45,Valores!$C$47*D257)/2)</f>
        <v>1242.22</v>
      </c>
      <c r="U257" s="154">
        <f>Valores!$C$24*D257</f>
        <v>1855.7000000000003</v>
      </c>
      <c r="V257" s="140">
        <f t="shared" si="48"/>
        <v>1855.7000000000003</v>
      </c>
      <c r="W257" s="140">
        <v>0</v>
      </c>
      <c r="X257" s="140">
        <v>0</v>
      </c>
      <c r="Y257" s="160">
        <v>0</v>
      </c>
      <c r="Z257" s="140">
        <f>Y257*Valores!$C$2</f>
        <v>0</v>
      </c>
      <c r="AA257" s="140">
        <v>0</v>
      </c>
      <c r="AB257" s="143">
        <f>IF(Valores!$C$93*D257&gt;Valores!$C$92,Valores!$C$92,Valores!$C$93*D257)</f>
        <v>1580.46</v>
      </c>
      <c r="AC257" s="145">
        <f>IF((Valores!$C$34)*D257&gt;Valores!$F$34,Valores!$F$34,(Valores!$C$34)*D257)</f>
        <v>145.74</v>
      </c>
      <c r="AD257" s="140">
        <f t="shared" si="41"/>
        <v>0</v>
      </c>
      <c r="AE257" s="140">
        <f>IF(Valores!$C$35*D257&gt;Valores!$F$35,Valores!$F$35,Valores!$C$35*D257)</f>
        <v>121.38</v>
      </c>
      <c r="AF257" s="144">
        <v>94</v>
      </c>
      <c r="AG257" s="140">
        <f>INT(((AF257*Valores!$C$2)*100)+0.5)/100</f>
        <v>1168.1099999999999</v>
      </c>
      <c r="AH257" s="140">
        <f>IF($H$5="NO",IF(Valores!$D$60*'Escala Docente'!D257&gt;Valores!$F$60,Valores!$F$60,Valores!$D$60*'Escala Docente'!D257),IF(Valores!$D$60*'Escala Docente'!D257&gt;Valores!$F$60,Valores!$F$60,Valores!$D$60*'Escala Docente'!D257)/2)</f>
        <v>493.25733333333335</v>
      </c>
      <c r="AI257" s="140">
        <f>IF($H$5="NO",IF(Valores!$D$62*D257&gt;Valores!$F$62,Valores!$F$62,Valores!$D$62*D257),IF(Valores!$D$62*D257&gt;Valores!$F$62,Valores!$F$62,Valores!$D$62*D257)/2)</f>
        <v>141.07333333333332</v>
      </c>
      <c r="AJ257" s="146">
        <f t="shared" si="42"/>
        <v>34847.054300000003</v>
      </c>
      <c r="AK257" s="154">
        <f>IF(Valores!$C$38*D257&gt;Valores!$F$38,Valores!$F$38,Valores!$C$38*D257)</f>
        <v>1270.22</v>
      </c>
      <c r="AL257" s="143">
        <f>IF(Valores!$C$88*D257&gt;Valores!$C$87,Valores!$C$87,Valores!$C$88*D257)</f>
        <v>1592.4999999999998</v>
      </c>
      <c r="AM257" s="143"/>
      <c r="AN257" s="145">
        <f>IF($H$4="NO",0,IF(Valores!$C$59*D257&gt;Valores!$F$59,Valores!$F$59,Valores!$C$59*D257))</f>
        <v>0</v>
      </c>
      <c r="AO257" s="147">
        <f t="shared" si="43"/>
        <v>2862.72</v>
      </c>
      <c r="AP257" s="148">
        <f>AJ257*Valores!$C$69</f>
        <v>-3833.1759730000003</v>
      </c>
      <c r="AQ257" s="149">
        <f>AJ257*-Valores!$C$70</f>
        <v>0</v>
      </c>
      <c r="AR257" s="142">
        <f>AJ257*Valores!$C$71</f>
        <v>-1568.1174435</v>
      </c>
      <c r="AS257" s="142">
        <f>Valores!$C$95</f>
        <v>-193.38</v>
      </c>
      <c r="AT257" s="142">
        <f>IF($H$6=0,Valores!$C$96,(Valores!$C$96+$H$6*(Valores!$C$96)))</f>
        <v>-129</v>
      </c>
      <c r="AU257" s="146">
        <f t="shared" si="44"/>
        <v>31986.100883500003</v>
      </c>
      <c r="AV257" s="199">
        <f t="shared" si="40"/>
        <v>-3833.1759730000003</v>
      </c>
      <c r="AW257" s="142">
        <f>AJ257*Valores!$C$72</f>
        <v>-940.87046610000004</v>
      </c>
      <c r="AX257" s="142">
        <f>AJ257*Valores!$C$73</f>
        <v>-104.54116290000002</v>
      </c>
      <c r="AY257" s="146">
        <f t="shared" si="45"/>
        <v>32831.186698000005</v>
      </c>
      <c r="AZ257" s="150"/>
      <c r="BA257" s="150">
        <f t="shared" si="46"/>
        <v>56</v>
      </c>
      <c r="BB257" s="135" t="s">
        <v>4</v>
      </c>
    </row>
    <row r="258" spans="1:54" s="114" customFormat="1" ht="11.25" customHeight="1" x14ac:dyDescent="0.15">
      <c r="A258" s="134">
        <v>256</v>
      </c>
      <c r="B258" s="134"/>
      <c r="C258" s="135" t="s">
        <v>497</v>
      </c>
      <c r="D258" s="135">
        <v>15</v>
      </c>
      <c r="E258" s="135">
        <f t="shared" si="37"/>
        <v>34</v>
      </c>
      <c r="F258" s="136" t="str">
        <f>CONCATENATE("Hora Cátedra Enseñanza Media ",D258," hs")</f>
        <v>Hora Cátedra Enseñanza Media 15 hs</v>
      </c>
      <c r="G258" s="137">
        <f t="shared" si="47"/>
        <v>1185</v>
      </c>
      <c r="H258" s="138">
        <f>INT((G258*Valores!$C$2*100)+0.49)/100</f>
        <v>14725.64</v>
      </c>
      <c r="I258" s="156">
        <v>0</v>
      </c>
      <c r="J258" s="140">
        <f>INT((I258*Valores!$C$2*100)+0.5)/100</f>
        <v>0</v>
      </c>
      <c r="K258" s="155">
        <v>0</v>
      </c>
      <c r="L258" s="140">
        <f>INT((K258*Valores!$C$2*100)+0.5)/100</f>
        <v>0</v>
      </c>
      <c r="M258" s="153">
        <v>0</v>
      </c>
      <c r="N258" s="140">
        <f>INT((M258*Valores!$C$2*100)+0.5)/100</f>
        <v>0</v>
      </c>
      <c r="O258" s="140">
        <f t="shared" si="38"/>
        <v>2706.7260000000001</v>
      </c>
      <c r="P258" s="140">
        <f t="shared" si="39"/>
        <v>0</v>
      </c>
      <c r="Q258" s="154">
        <f>Valores!$C$14*D258</f>
        <v>6321.3</v>
      </c>
      <c r="R258" s="154">
        <f>IF(D258&lt;15,(Valores!$E$4*D258),Valores!$D$4)</f>
        <v>6352.5280000000002</v>
      </c>
      <c r="S258" s="140">
        <v>0</v>
      </c>
      <c r="T258" s="143">
        <f>IF($H$5="NO",IF(Valores!$C$47*D258&gt;Valores!$C$45,Valores!$C$45,Valores!$C$47*D258),IF(Valores!$C$47*D258&gt;Valores!$C$45,Valores!$C$45,Valores!$C$47*D258)/2)</f>
        <v>1330.95</v>
      </c>
      <c r="U258" s="154">
        <f>Valores!$C$24*D258</f>
        <v>1988.2500000000002</v>
      </c>
      <c r="V258" s="140">
        <f t="shared" si="48"/>
        <v>1988.2500000000002</v>
      </c>
      <c r="W258" s="140">
        <v>0</v>
      </c>
      <c r="X258" s="140">
        <v>0</v>
      </c>
      <c r="Y258" s="160">
        <v>0</v>
      </c>
      <c r="Z258" s="140">
        <f>Y258*Valores!$C$2</f>
        <v>0</v>
      </c>
      <c r="AA258" s="140">
        <v>0</v>
      </c>
      <c r="AB258" s="143">
        <f>IF(Valores!$C$93*D258&gt;Valores!$C$92,Valores!$C$92,Valores!$C$93*D258)</f>
        <v>1693.35</v>
      </c>
      <c r="AC258" s="145">
        <f>IF((Valores!$C$34)*D258&gt;Valores!$F$34,Valores!$F$34,(Valores!$C$34)*D258)</f>
        <v>156.15</v>
      </c>
      <c r="AD258" s="140">
        <f t="shared" si="41"/>
        <v>0</v>
      </c>
      <c r="AE258" s="140">
        <f>IF(Valores!$C$35*D258&gt;Valores!$F$35,Valores!$F$35,Valores!$C$35*D258)</f>
        <v>130.05000000000001</v>
      </c>
      <c r="AF258" s="144">
        <v>0</v>
      </c>
      <c r="AG258" s="140">
        <f>INT(((AF258*Valores!$C$2)*100)+0.5)/100</f>
        <v>0</v>
      </c>
      <c r="AH258" s="140">
        <f>IF($H$5="NO",IF(Valores!$D$60*'Escala Docente'!D258&gt;Valores!$F$60,Valores!$F$60,Valores!$D$60*'Escala Docente'!D258),IF(Valores!$D$60*'Escala Docente'!D258&gt;Valores!$F$60,Valores!$F$60,Valores!$D$60*'Escala Docente'!D258)/2)</f>
        <v>528.49</v>
      </c>
      <c r="AI258" s="140">
        <f>IF($H$5="NO",IF(Valores!$D$62*D258&gt;Valores!$F$62,Valores!$F$62,Valores!$D$62*D258),IF(Valores!$D$62*D258&gt;Valores!$F$62,Valores!$F$62,Valores!$D$62*D258)/2)</f>
        <v>151.15</v>
      </c>
      <c r="AJ258" s="146">
        <f t="shared" si="42"/>
        <v>36084.583999999995</v>
      </c>
      <c r="AK258" s="154">
        <f>IF(Valores!$C$38*D258&gt;Valores!$F$38,Valores!$F$38,Valores!$C$38*D258)</f>
        <v>1360.95</v>
      </c>
      <c r="AL258" s="143">
        <f>IF(Valores!$C$88*D258&gt;Valores!$C$87,Valores!$C$87,Valores!$C$88*D258)</f>
        <v>1706.2499999999998</v>
      </c>
      <c r="AM258" s="143"/>
      <c r="AN258" s="145">
        <f>IF($H$4="NO",0,IF(Valores!$C$59*D258&gt;Valores!$F$59,Valores!$F$59,Valores!$C$59*D258))</f>
        <v>0</v>
      </c>
      <c r="AO258" s="147">
        <f t="shared" si="43"/>
        <v>3067.2</v>
      </c>
      <c r="AP258" s="148">
        <f>AJ258*Valores!$C$69</f>
        <v>-3969.3042399999995</v>
      </c>
      <c r="AQ258" s="149">
        <f>AJ258*-Valores!$C$70</f>
        <v>0</v>
      </c>
      <c r="AR258" s="142">
        <f>AJ258*Valores!$C$71</f>
        <v>-1623.8062799999998</v>
      </c>
      <c r="AS258" s="142">
        <f>Valores!$C$95</f>
        <v>-193.38</v>
      </c>
      <c r="AT258" s="142">
        <f>IF($H$6=0,Valores!$C$96,(Valores!$C$96+$H$6*(Valores!$C$96)))</f>
        <v>-129</v>
      </c>
      <c r="AU258" s="146">
        <f t="shared" si="44"/>
        <v>33236.293479999993</v>
      </c>
      <c r="AV258" s="199">
        <f t="shared" si="40"/>
        <v>-3969.3042399999995</v>
      </c>
      <c r="AW258" s="142">
        <f>AJ258*Valores!$C$72</f>
        <v>-974.2837679999999</v>
      </c>
      <c r="AX258" s="142">
        <f>AJ258*Valores!$C$73</f>
        <v>-108.25375199999999</v>
      </c>
      <c r="AY258" s="146">
        <f t="shared" si="45"/>
        <v>34099.942239999989</v>
      </c>
      <c r="AZ258" s="150"/>
      <c r="BA258" s="150">
        <f t="shared" ref="BA258:BA289" si="49">4*D258</f>
        <v>60</v>
      </c>
      <c r="BB258" s="135" t="s">
        <v>4</v>
      </c>
    </row>
    <row r="259" spans="1:54" s="114" customFormat="1" ht="11.25" customHeight="1" x14ac:dyDescent="0.15">
      <c r="A259" s="134">
        <v>257</v>
      </c>
      <c r="B259" s="134"/>
      <c r="C259" s="135" t="s">
        <v>497</v>
      </c>
      <c r="D259" s="135">
        <v>15</v>
      </c>
      <c r="E259" s="135">
        <f t="shared" si="37"/>
        <v>42</v>
      </c>
      <c r="F259" s="136" t="str">
        <f>CONCATENATE("Hora Cátedra Enseñanza Media ",D259," hs Esc Esp")</f>
        <v>Hora Cátedra Enseñanza Media 15 hs Esc Esp</v>
      </c>
      <c r="G259" s="137">
        <f t="shared" si="47"/>
        <v>1185</v>
      </c>
      <c r="H259" s="138">
        <f>INT((G259*Valores!$C$2*100)+0.49)/100</f>
        <v>14725.64</v>
      </c>
      <c r="I259" s="156">
        <v>0</v>
      </c>
      <c r="J259" s="140">
        <f>INT((I259*Valores!$C$2*100)+0.5)/100</f>
        <v>0</v>
      </c>
      <c r="K259" s="155">
        <v>0</v>
      </c>
      <c r="L259" s="140">
        <f>INT((K259*Valores!$C$2*100)+0.5)/100</f>
        <v>0</v>
      </c>
      <c r="M259" s="153">
        <v>0</v>
      </c>
      <c r="N259" s="140">
        <f>INT((M259*Valores!$C$2*100)+0.5)/100</f>
        <v>0</v>
      </c>
      <c r="O259" s="140">
        <f t="shared" si="38"/>
        <v>2706.7260000000001</v>
      </c>
      <c r="P259" s="140">
        <f t="shared" si="39"/>
        <v>0</v>
      </c>
      <c r="Q259" s="154">
        <f>Valores!$C$14*D259</f>
        <v>6321.3</v>
      </c>
      <c r="R259" s="154">
        <f>IF(D259&lt;15,(Valores!$E$4*D259),Valores!$D$4)</f>
        <v>6352.5280000000002</v>
      </c>
      <c r="S259" s="140">
        <v>0</v>
      </c>
      <c r="T259" s="143">
        <f>IF($H$5="NO",IF(Valores!$C$47*D259&gt;Valores!$C$45,Valores!$C$45,Valores!$C$47*D259),IF(Valores!$C$47*D259&gt;Valores!$C$45,Valores!$C$45,Valores!$C$47*D259)/2)</f>
        <v>1330.95</v>
      </c>
      <c r="U259" s="154">
        <f>Valores!$C$24*D259</f>
        <v>1988.2500000000002</v>
      </c>
      <c r="V259" s="140">
        <f t="shared" si="48"/>
        <v>1988.2500000000002</v>
      </c>
      <c r="W259" s="140">
        <v>0</v>
      </c>
      <c r="X259" s="140">
        <v>0</v>
      </c>
      <c r="Y259" s="160">
        <v>0</v>
      </c>
      <c r="Z259" s="140">
        <f>Y259*Valores!$C$2</f>
        <v>0</v>
      </c>
      <c r="AA259" s="140">
        <v>0</v>
      </c>
      <c r="AB259" s="143">
        <f>IF(Valores!$C$93*D259&gt;Valores!$C$92,Valores!$C$92,Valores!$C$93*D259)</f>
        <v>1693.35</v>
      </c>
      <c r="AC259" s="145">
        <f>IF((Valores!$C$34)*D259&gt;Valores!$F$34,Valores!$F$34,(Valores!$C$34)*D259)</f>
        <v>156.15</v>
      </c>
      <c r="AD259" s="140">
        <f t="shared" si="41"/>
        <v>0</v>
      </c>
      <c r="AE259" s="140">
        <f>IF(Valores!$C$35*D259&gt;Valores!$F$35,Valores!$F$35,Valores!$C$35*D259)</f>
        <v>130.05000000000001</v>
      </c>
      <c r="AF259" s="144">
        <v>94</v>
      </c>
      <c r="AG259" s="140">
        <f>INT(((AF259*Valores!$C$2)*100)+0.5)/100</f>
        <v>1168.1099999999999</v>
      </c>
      <c r="AH259" s="140">
        <f>IF($H$5="NO",IF(Valores!$D$60*'Escala Docente'!D259&gt;Valores!$F$60,Valores!$F$60,Valores!$D$60*'Escala Docente'!D259),IF(Valores!$D$60*'Escala Docente'!D259&gt;Valores!$F$60,Valores!$F$60,Valores!$D$60*'Escala Docente'!D259)/2)</f>
        <v>528.49</v>
      </c>
      <c r="AI259" s="140">
        <f>IF($H$5="NO",IF(Valores!$D$62*D259&gt;Valores!$F$62,Valores!$F$62,Valores!$D$62*D259),IF(Valores!$D$62*D259&gt;Valores!$F$62,Valores!$F$62,Valores!$D$62*D259)/2)</f>
        <v>151.15</v>
      </c>
      <c r="AJ259" s="146">
        <f t="shared" si="42"/>
        <v>37252.693999999989</v>
      </c>
      <c r="AK259" s="154">
        <f>IF(Valores!$C$38*D259&gt;Valores!$F$38,Valores!$F$38,Valores!$C$38*D259)</f>
        <v>1360.95</v>
      </c>
      <c r="AL259" s="143">
        <f>IF(Valores!$C$88*D259&gt;Valores!$C$87,Valores!$C$87,Valores!$C$88*D259)</f>
        <v>1706.2499999999998</v>
      </c>
      <c r="AM259" s="143"/>
      <c r="AN259" s="145">
        <f>IF($H$4="NO",0,IF(Valores!$C$59*D259&gt;Valores!$F$59,Valores!$F$59,Valores!$C$59*D259))</f>
        <v>0</v>
      </c>
      <c r="AO259" s="147">
        <f t="shared" si="43"/>
        <v>3067.2</v>
      </c>
      <c r="AP259" s="148">
        <f>AJ259*Valores!$C$69</f>
        <v>-4097.796339999999</v>
      </c>
      <c r="AQ259" s="149">
        <f>AJ259*-Valores!$C$70</f>
        <v>0</v>
      </c>
      <c r="AR259" s="142">
        <f>AJ259*Valores!$C$71</f>
        <v>-1676.3712299999995</v>
      </c>
      <c r="AS259" s="142">
        <f>Valores!$C$95</f>
        <v>-193.38</v>
      </c>
      <c r="AT259" s="142">
        <f>IF($H$6=0,Valores!$C$96,(Valores!$C$96+$H$6*(Valores!$C$96)))</f>
        <v>-129</v>
      </c>
      <c r="AU259" s="146">
        <f t="shared" si="44"/>
        <v>34223.346429999991</v>
      </c>
      <c r="AV259" s="199">
        <f t="shared" si="40"/>
        <v>-4097.796339999999</v>
      </c>
      <c r="AW259" s="142">
        <f>AJ259*Valores!$C$72</f>
        <v>-1005.8227379999997</v>
      </c>
      <c r="AX259" s="142">
        <f>AJ259*Valores!$C$73</f>
        <v>-111.75808199999997</v>
      </c>
      <c r="AY259" s="146">
        <f t="shared" si="45"/>
        <v>35104.516839999989</v>
      </c>
      <c r="AZ259" s="150"/>
      <c r="BA259" s="150">
        <f t="shared" si="49"/>
        <v>60</v>
      </c>
      <c r="BB259" s="135" t="s">
        <v>4</v>
      </c>
    </row>
    <row r="260" spans="1:54" s="114" customFormat="1" ht="11.25" customHeight="1" x14ac:dyDescent="0.15">
      <c r="A260" s="134">
        <v>258</v>
      </c>
      <c r="B260" s="134"/>
      <c r="C260" s="135" t="s">
        <v>497</v>
      </c>
      <c r="D260" s="135">
        <v>16</v>
      </c>
      <c r="E260" s="135">
        <f t="shared" si="37"/>
        <v>34</v>
      </c>
      <c r="F260" s="136" t="str">
        <f>CONCATENATE("Hora Cátedra Enseñanza Media ",D260," hs")</f>
        <v>Hora Cátedra Enseñanza Media 16 hs</v>
      </c>
      <c r="G260" s="137">
        <f t="shared" si="47"/>
        <v>1264</v>
      </c>
      <c r="H260" s="138">
        <f>INT((G260*Valores!$C$2*100)+0.49)/100</f>
        <v>15707.35</v>
      </c>
      <c r="I260" s="156">
        <v>0</v>
      </c>
      <c r="J260" s="140">
        <f>INT((I260*Valores!$C$2*100)+0.5)/100</f>
        <v>0</v>
      </c>
      <c r="K260" s="155">
        <v>0</v>
      </c>
      <c r="L260" s="140">
        <f>INT((K260*Valores!$C$2*100)+0.5)/100</f>
        <v>0</v>
      </c>
      <c r="M260" s="153">
        <v>0</v>
      </c>
      <c r="N260" s="140">
        <f>INT((M260*Valores!$C$2*100)+0.5)/100</f>
        <v>0</v>
      </c>
      <c r="O260" s="140">
        <f t="shared" si="38"/>
        <v>2887.1745000000001</v>
      </c>
      <c r="P260" s="140">
        <f t="shared" si="39"/>
        <v>0</v>
      </c>
      <c r="Q260" s="154">
        <f>Valores!$C$14*D260</f>
        <v>6742.72</v>
      </c>
      <c r="R260" s="154">
        <f>IF(D260&lt;15,(Valores!$E$4*D260),Valores!$D$4)</f>
        <v>6352.5280000000002</v>
      </c>
      <c r="S260" s="140">
        <v>0</v>
      </c>
      <c r="T260" s="143">
        <f>IF($H$5="NO",IF(Valores!$C$47*D260&gt;Valores!$C$45,Valores!$C$45,Valores!$C$47*D260),IF(Valores!$C$47*D260&gt;Valores!$C$45,Valores!$C$45,Valores!$C$47*D260)/2)</f>
        <v>1419.68</v>
      </c>
      <c r="U260" s="154">
        <f>Valores!$C$24*D260</f>
        <v>2120.8000000000002</v>
      </c>
      <c r="V260" s="140">
        <f t="shared" si="48"/>
        <v>2120.8000000000002</v>
      </c>
      <c r="W260" s="140">
        <v>0</v>
      </c>
      <c r="X260" s="140">
        <v>0</v>
      </c>
      <c r="Y260" s="160">
        <v>0</v>
      </c>
      <c r="Z260" s="140">
        <f>Y260*Valores!$C$2</f>
        <v>0</v>
      </c>
      <c r="AA260" s="140">
        <v>0</v>
      </c>
      <c r="AB260" s="143">
        <f>IF(Valores!$C$93*D260&gt;Valores!$C$92,Valores!$C$92,Valores!$C$93*D260)</f>
        <v>1806.24</v>
      </c>
      <c r="AC260" s="145">
        <f>IF((Valores!$C$34)*D260&gt;Valores!$F$34,Valores!$F$34,(Valores!$C$34)*D260)</f>
        <v>166.56</v>
      </c>
      <c r="AD260" s="140">
        <f t="shared" si="41"/>
        <v>0</v>
      </c>
      <c r="AE260" s="140">
        <f>IF(Valores!$C$35*D260&gt;Valores!$F$35,Valores!$F$35,Valores!$C$35*D260)</f>
        <v>138.72</v>
      </c>
      <c r="AF260" s="144">
        <v>0</v>
      </c>
      <c r="AG260" s="140">
        <f>INT(((AF260*Valores!$C$2)*100)+0.5)/100</f>
        <v>0</v>
      </c>
      <c r="AH260" s="140">
        <f>IF($H$5="NO",IF(Valores!$D$60*'Escala Docente'!D260&gt;Valores!$F$60,Valores!$F$60,Valores!$D$60*'Escala Docente'!D260),IF(Valores!$D$60*'Escala Docente'!D260&gt;Valores!$F$60,Valores!$F$60,Valores!$D$60*'Escala Docente'!D260)/2)</f>
        <v>563.72266666666667</v>
      </c>
      <c r="AI260" s="140">
        <f>IF($H$5="NO",IF(Valores!$D$62*D260&gt;Valores!$F$62,Valores!$F$62,Valores!$D$62*D260),IF(Valores!$D$62*D260&gt;Valores!$F$62,Valores!$F$62,Valores!$D$62*D260)/2)</f>
        <v>161.22666666666666</v>
      </c>
      <c r="AJ260" s="146">
        <f t="shared" si="42"/>
        <v>38066.721833333337</v>
      </c>
      <c r="AK260" s="154">
        <f>IF(Valores!$C$38*D260&gt;Valores!$F$38,Valores!$F$38,Valores!$C$38*D260)</f>
        <v>1451.68</v>
      </c>
      <c r="AL260" s="143">
        <f>IF(Valores!$C$88*D260&gt;Valores!$C$87,Valores!$C$87,Valores!$C$88*D260)</f>
        <v>1819.9999999999998</v>
      </c>
      <c r="AM260" s="143"/>
      <c r="AN260" s="145">
        <f>IF($H$4="NO",0,IF(Valores!$C$59*D260&gt;Valores!$F$59,Valores!$F$59,Valores!$C$59*D260))</f>
        <v>0</v>
      </c>
      <c r="AO260" s="147">
        <f t="shared" si="43"/>
        <v>3271.68</v>
      </c>
      <c r="AP260" s="148">
        <f>AJ260*Valores!$C$69</f>
        <v>-4187.3394016666671</v>
      </c>
      <c r="AQ260" s="149">
        <f>AJ260*-Valores!$C$70</f>
        <v>0</v>
      </c>
      <c r="AR260" s="142">
        <f>AJ260*Valores!$C$71</f>
        <v>-1713.0024825</v>
      </c>
      <c r="AS260" s="142">
        <f>Valores!$C$95</f>
        <v>-193.38</v>
      </c>
      <c r="AT260" s="142">
        <f>IF($H$6=0,Valores!$C$96,(Valores!$C$96+$H$6*(Valores!$C$96)))</f>
        <v>-129</v>
      </c>
      <c r="AU260" s="146">
        <f t="shared" si="44"/>
        <v>35115.679949166668</v>
      </c>
      <c r="AV260" s="199">
        <f t="shared" si="40"/>
        <v>-4187.3394016666671</v>
      </c>
      <c r="AW260" s="142">
        <f>AJ260*Valores!$C$72</f>
        <v>-1027.8014895000001</v>
      </c>
      <c r="AX260" s="142">
        <f>AJ260*Valores!$C$73</f>
        <v>-114.20016550000001</v>
      </c>
      <c r="AY260" s="146">
        <f t="shared" si="45"/>
        <v>36009.060776666665</v>
      </c>
      <c r="AZ260" s="150"/>
      <c r="BA260" s="150">
        <f t="shared" si="49"/>
        <v>64</v>
      </c>
      <c r="BB260" s="135" t="s">
        <v>4</v>
      </c>
    </row>
    <row r="261" spans="1:54" s="114" customFormat="1" ht="11.25" customHeight="1" x14ac:dyDescent="0.15">
      <c r="A261" s="134">
        <v>259</v>
      </c>
      <c r="B261" s="134"/>
      <c r="C261" s="135" t="s">
        <v>497</v>
      </c>
      <c r="D261" s="135">
        <v>16</v>
      </c>
      <c r="E261" s="135">
        <f t="shared" si="37"/>
        <v>42</v>
      </c>
      <c r="F261" s="136" t="str">
        <f>CONCATENATE("Hora Cátedra Enseñanza Media ",D261," hs Esc Esp")</f>
        <v>Hora Cátedra Enseñanza Media 16 hs Esc Esp</v>
      </c>
      <c r="G261" s="137">
        <f t="shared" si="47"/>
        <v>1264</v>
      </c>
      <c r="H261" s="138">
        <f>INT((G261*Valores!$C$2*100)+0.49)/100</f>
        <v>15707.35</v>
      </c>
      <c r="I261" s="156">
        <v>0</v>
      </c>
      <c r="J261" s="140">
        <f>INT((I261*Valores!$C$2*100)+0.5)/100</f>
        <v>0</v>
      </c>
      <c r="K261" s="155">
        <v>0</v>
      </c>
      <c r="L261" s="140">
        <f>INT((K261*Valores!$C$2*100)+0.5)/100</f>
        <v>0</v>
      </c>
      <c r="M261" s="153">
        <v>0</v>
      </c>
      <c r="N261" s="140">
        <f>INT((M261*Valores!$C$2*100)+0.5)/100</f>
        <v>0</v>
      </c>
      <c r="O261" s="140">
        <f t="shared" si="38"/>
        <v>2887.1745000000001</v>
      </c>
      <c r="P261" s="140">
        <f t="shared" si="39"/>
        <v>0</v>
      </c>
      <c r="Q261" s="154">
        <f>Valores!$C$14*D261</f>
        <v>6742.72</v>
      </c>
      <c r="R261" s="154">
        <f>IF(D261&lt;15,(Valores!$E$4*D261),Valores!$D$4)</f>
        <v>6352.5280000000002</v>
      </c>
      <c r="S261" s="140">
        <v>0</v>
      </c>
      <c r="T261" s="143">
        <f>IF($H$5="NO",IF(Valores!$C$47*D261&gt;Valores!$C$45,Valores!$C$45,Valores!$C$47*D261),IF(Valores!$C$47*D261&gt;Valores!$C$45,Valores!$C$45,Valores!$C$47*D261)/2)</f>
        <v>1419.68</v>
      </c>
      <c r="U261" s="154">
        <f>Valores!$C$24*D261</f>
        <v>2120.8000000000002</v>
      </c>
      <c r="V261" s="140">
        <f t="shared" si="48"/>
        <v>2120.8000000000002</v>
      </c>
      <c r="W261" s="140">
        <v>0</v>
      </c>
      <c r="X261" s="140">
        <v>0</v>
      </c>
      <c r="Y261" s="160">
        <v>0</v>
      </c>
      <c r="Z261" s="140">
        <f>Y261*Valores!$C$2</f>
        <v>0</v>
      </c>
      <c r="AA261" s="140">
        <v>0</v>
      </c>
      <c r="AB261" s="143">
        <f>IF(Valores!$C$93*D261&gt;Valores!$C$92,Valores!$C$92,Valores!$C$93*D261)</f>
        <v>1806.24</v>
      </c>
      <c r="AC261" s="145">
        <f>IF((Valores!$C$34)*D261&gt;Valores!$F$34,Valores!$F$34,(Valores!$C$34)*D261)</f>
        <v>166.56</v>
      </c>
      <c r="AD261" s="140">
        <f t="shared" si="41"/>
        <v>0</v>
      </c>
      <c r="AE261" s="140">
        <f>IF(Valores!$C$35*D261&gt;Valores!$F$35,Valores!$F$35,Valores!$C$35*D261)</f>
        <v>138.72</v>
      </c>
      <c r="AF261" s="144">
        <v>94</v>
      </c>
      <c r="AG261" s="140">
        <f>INT(((AF261*Valores!$C$2)*100)+0.5)/100</f>
        <v>1168.1099999999999</v>
      </c>
      <c r="AH261" s="140">
        <f>IF($H$5="NO",IF(Valores!$D$60*'Escala Docente'!D261&gt;Valores!$F$60,Valores!$F$60,Valores!$D$60*'Escala Docente'!D261),IF(Valores!$D$60*'Escala Docente'!D261&gt;Valores!$F$60,Valores!$F$60,Valores!$D$60*'Escala Docente'!D261)/2)</f>
        <v>563.72266666666667</v>
      </c>
      <c r="AI261" s="140">
        <f>IF($H$5="NO",IF(Valores!$D$62*D261&gt;Valores!$F$62,Valores!$F$62,Valores!$D$62*D261),IF(Valores!$D$62*D261&gt;Valores!$F$62,Valores!$F$62,Valores!$D$62*D261)/2)</f>
        <v>161.22666666666666</v>
      </c>
      <c r="AJ261" s="146">
        <f t="shared" si="42"/>
        <v>39234.831833333337</v>
      </c>
      <c r="AK261" s="154">
        <f>IF(Valores!$C$38*D261&gt;Valores!$F$38,Valores!$F$38,Valores!$C$38*D261)</f>
        <v>1451.68</v>
      </c>
      <c r="AL261" s="143">
        <f>IF(Valores!$C$88*D261&gt;Valores!$C$87,Valores!$C$87,Valores!$C$88*D261)</f>
        <v>1819.9999999999998</v>
      </c>
      <c r="AM261" s="143"/>
      <c r="AN261" s="145">
        <f>IF($H$4="NO",0,IF(Valores!$C$59*D261&gt;Valores!$F$59,Valores!$F$59,Valores!$C$59*D261))</f>
        <v>0</v>
      </c>
      <c r="AO261" s="147">
        <f t="shared" si="43"/>
        <v>3271.68</v>
      </c>
      <c r="AP261" s="148">
        <f>AJ261*Valores!$C$69</f>
        <v>-4315.8315016666675</v>
      </c>
      <c r="AQ261" s="149">
        <f>AJ261*-Valores!$C$70</f>
        <v>0</v>
      </c>
      <c r="AR261" s="142">
        <f>AJ261*Valores!$C$71</f>
        <v>-1765.5674325000002</v>
      </c>
      <c r="AS261" s="142">
        <f>Valores!$C$95</f>
        <v>-193.38</v>
      </c>
      <c r="AT261" s="142">
        <f>IF($H$6=0,Valores!$C$96,(Valores!$C$96+$H$6*(Valores!$C$96)))</f>
        <v>-129</v>
      </c>
      <c r="AU261" s="146">
        <f t="shared" si="44"/>
        <v>36102.732899166673</v>
      </c>
      <c r="AV261" s="199">
        <f t="shared" si="40"/>
        <v>-4315.8315016666675</v>
      </c>
      <c r="AW261" s="142">
        <f>AJ261*Valores!$C$72</f>
        <v>-1059.3404595000002</v>
      </c>
      <c r="AX261" s="142">
        <f>AJ261*Valores!$C$73</f>
        <v>-117.70449550000001</v>
      </c>
      <c r="AY261" s="146">
        <f t="shared" si="45"/>
        <v>37013.635376666673</v>
      </c>
      <c r="AZ261" s="150"/>
      <c r="BA261" s="150">
        <f t="shared" si="49"/>
        <v>64</v>
      </c>
      <c r="BB261" s="135" t="s">
        <v>4</v>
      </c>
    </row>
    <row r="262" spans="1:54" s="114" customFormat="1" ht="11.25" customHeight="1" x14ac:dyDescent="0.15">
      <c r="A262" s="152">
        <v>260</v>
      </c>
      <c r="B262" s="152" t="s">
        <v>139</v>
      </c>
      <c r="C262" s="135" t="s">
        <v>497</v>
      </c>
      <c r="D262" s="135">
        <v>17</v>
      </c>
      <c r="E262" s="135">
        <f t="shared" si="37"/>
        <v>34</v>
      </c>
      <c r="F262" s="136" t="str">
        <f>CONCATENATE("Hora Cátedra Enseñanza Media ",D262," hs")</f>
        <v>Hora Cátedra Enseñanza Media 17 hs</v>
      </c>
      <c r="G262" s="137">
        <f t="shared" ref="G262:G293" si="50">79*D262</f>
        <v>1343</v>
      </c>
      <c r="H262" s="138">
        <f>INT((G262*Valores!$C$2*100)+0.49)/100</f>
        <v>16689.060000000001</v>
      </c>
      <c r="I262" s="156">
        <v>0</v>
      </c>
      <c r="J262" s="140">
        <f>INT((I262*Valores!$C$2*100)+0.5)/100</f>
        <v>0</v>
      </c>
      <c r="K262" s="155">
        <v>0</v>
      </c>
      <c r="L262" s="140">
        <f>INT((K262*Valores!$C$2*100)+0.5)/100</f>
        <v>0</v>
      </c>
      <c r="M262" s="153">
        <v>0</v>
      </c>
      <c r="N262" s="140">
        <f>INT((M262*Valores!$C$2*100)+0.5)/100</f>
        <v>0</v>
      </c>
      <c r="O262" s="140">
        <f t="shared" si="38"/>
        <v>3067.6230000000005</v>
      </c>
      <c r="P262" s="140">
        <f t="shared" si="39"/>
        <v>0</v>
      </c>
      <c r="Q262" s="154">
        <f>Valores!$C$14*D262</f>
        <v>7164.14</v>
      </c>
      <c r="R262" s="154">
        <f>IF(D262&lt;15,(Valores!$E$4*D262),Valores!$D$4)</f>
        <v>6352.5280000000002</v>
      </c>
      <c r="S262" s="140">
        <v>0</v>
      </c>
      <c r="T262" s="143">
        <f>IF($H$5="NO",IF(Valores!$C$47*D262&gt;Valores!$C$45,Valores!$C$45,Valores!$C$47*D262),IF(Valores!$C$47*D262&gt;Valores!$C$45,Valores!$C$45,Valores!$C$47*D262)/2)</f>
        <v>1508.41</v>
      </c>
      <c r="U262" s="154">
        <f>Valores!$C$24*D262</f>
        <v>2253.3500000000004</v>
      </c>
      <c r="V262" s="140">
        <f t="shared" si="48"/>
        <v>2253.3500000000004</v>
      </c>
      <c r="W262" s="140">
        <v>0</v>
      </c>
      <c r="X262" s="140">
        <v>0</v>
      </c>
      <c r="Y262" s="160">
        <v>0</v>
      </c>
      <c r="Z262" s="140">
        <f>Y262*Valores!$C$2</f>
        <v>0</v>
      </c>
      <c r="AA262" s="140">
        <v>0</v>
      </c>
      <c r="AB262" s="143">
        <f>IF(Valores!$C$93*D262&gt;Valores!$C$92,Valores!$C$92,Valores!$C$93*D262)</f>
        <v>1919.13</v>
      </c>
      <c r="AC262" s="145">
        <f>IF((Valores!$C$34)*D262&gt;Valores!$F$34,Valores!$F$34,(Valores!$C$34)*D262)</f>
        <v>176.97</v>
      </c>
      <c r="AD262" s="140">
        <f t="shared" si="41"/>
        <v>0</v>
      </c>
      <c r="AE262" s="140">
        <f>IF(Valores!$C$35*D262&gt;Valores!$F$35,Valores!$F$35,Valores!$C$35*D262)</f>
        <v>147.38999999999999</v>
      </c>
      <c r="AF262" s="144">
        <v>0</v>
      </c>
      <c r="AG262" s="140">
        <f>INT(((AF262*Valores!$C$2)*100)+0.5)/100</f>
        <v>0</v>
      </c>
      <c r="AH262" s="140">
        <f>IF($H$5="NO",IF(Valores!$D$60*'Escala Docente'!D262&gt;Valores!$F$60,Valores!$F$60,Valores!$D$60*'Escala Docente'!D262),IF(Valores!$D$60*'Escala Docente'!D262&gt;Valores!$F$60,Valores!$F$60,Valores!$D$60*'Escala Docente'!D262)/2)</f>
        <v>598.95533333333333</v>
      </c>
      <c r="AI262" s="140">
        <f>IF($H$5="NO",IF(Valores!$D$62*D262&gt;Valores!$F$62,Valores!$F$62,Valores!$D$62*D262),IF(Valores!$D$62*D262&gt;Valores!$F$62,Valores!$F$62,Valores!$D$62*D262)/2)</f>
        <v>171.30333333333331</v>
      </c>
      <c r="AJ262" s="146">
        <f t="shared" si="42"/>
        <v>40048.859666666671</v>
      </c>
      <c r="AK262" s="154">
        <f>IF(Valores!$C$38*D262&gt;Valores!$F$38,Valores!$F$38,Valores!$C$38*D262)</f>
        <v>1542.41</v>
      </c>
      <c r="AL262" s="143">
        <f>IF(Valores!$C$88*D262&gt;Valores!$C$87,Valores!$C$87,Valores!$C$88*D262)</f>
        <v>1933.7499999999998</v>
      </c>
      <c r="AM262" s="143"/>
      <c r="AN262" s="145">
        <f>IF($H$4="NO",0,IF(Valores!$C$59*D262&gt;Valores!$F$59,Valores!$F$59,Valores!$C$59*D262))</f>
        <v>0</v>
      </c>
      <c r="AO262" s="147">
        <f t="shared" si="43"/>
        <v>3476.16</v>
      </c>
      <c r="AP262" s="148">
        <f>AJ262*Valores!$C$69</f>
        <v>-4405.3745633333338</v>
      </c>
      <c r="AQ262" s="149">
        <f>AJ262*-Valores!$C$70</f>
        <v>0</v>
      </c>
      <c r="AR262" s="142">
        <f>AJ262*Valores!$C$71</f>
        <v>-1802.1986850000001</v>
      </c>
      <c r="AS262" s="142">
        <f>Valores!$C$95</f>
        <v>-193.38</v>
      </c>
      <c r="AT262" s="142">
        <f>IF($H$6=0,Valores!$C$96,(Valores!$C$96+$H$6*(Valores!$C$96)))</f>
        <v>-129</v>
      </c>
      <c r="AU262" s="146">
        <f t="shared" si="44"/>
        <v>36995.066418333336</v>
      </c>
      <c r="AV262" s="199">
        <f t="shared" si="40"/>
        <v>-4405.3745633333338</v>
      </c>
      <c r="AW262" s="142">
        <f>AJ262*Valores!$C$72</f>
        <v>-1081.319211</v>
      </c>
      <c r="AX262" s="142">
        <f>AJ262*Valores!$C$73</f>
        <v>-120.14657900000002</v>
      </c>
      <c r="AY262" s="146">
        <f t="shared" si="45"/>
        <v>37918.179313333341</v>
      </c>
      <c r="AZ262" s="150"/>
      <c r="BA262" s="150">
        <f t="shared" si="49"/>
        <v>68</v>
      </c>
      <c r="BB262" s="135" t="s">
        <v>4</v>
      </c>
    </row>
    <row r="263" spans="1:54" s="114" customFormat="1" ht="11.25" customHeight="1" x14ac:dyDescent="0.15">
      <c r="A263" s="134">
        <v>261</v>
      </c>
      <c r="B263" s="134"/>
      <c r="C263" s="135" t="s">
        <v>497</v>
      </c>
      <c r="D263" s="135">
        <v>17</v>
      </c>
      <c r="E263" s="135">
        <f t="shared" si="37"/>
        <v>42</v>
      </c>
      <c r="F263" s="136" t="str">
        <f>CONCATENATE("Hora Cátedra Enseñanza Media ",D263," hs Esc Esp")</f>
        <v>Hora Cátedra Enseñanza Media 17 hs Esc Esp</v>
      </c>
      <c r="G263" s="137">
        <f t="shared" si="50"/>
        <v>1343</v>
      </c>
      <c r="H263" s="138">
        <f>INT((G263*Valores!$C$2*100)+0.49)/100</f>
        <v>16689.060000000001</v>
      </c>
      <c r="I263" s="156">
        <v>0</v>
      </c>
      <c r="J263" s="140">
        <f>INT((I263*Valores!$C$2*100)+0.5)/100</f>
        <v>0</v>
      </c>
      <c r="K263" s="155">
        <v>0</v>
      </c>
      <c r="L263" s="140">
        <f>INT((K263*Valores!$C$2*100)+0.5)/100</f>
        <v>0</v>
      </c>
      <c r="M263" s="153">
        <v>0</v>
      </c>
      <c r="N263" s="140">
        <f>INT((M263*Valores!$C$2*100)+0.5)/100</f>
        <v>0</v>
      </c>
      <c r="O263" s="140">
        <f t="shared" si="38"/>
        <v>3067.6230000000005</v>
      </c>
      <c r="P263" s="140">
        <f t="shared" si="39"/>
        <v>0</v>
      </c>
      <c r="Q263" s="154">
        <f>Valores!$C$14*D263</f>
        <v>7164.14</v>
      </c>
      <c r="R263" s="154">
        <f>IF(D263&lt;15,(Valores!$E$4*D263),Valores!$D$4)</f>
        <v>6352.5280000000002</v>
      </c>
      <c r="S263" s="140">
        <v>0</v>
      </c>
      <c r="T263" s="143">
        <f>IF($H$5="NO",IF(Valores!$C$47*D263&gt;Valores!$C$45,Valores!$C$45,Valores!$C$47*D263),IF(Valores!$C$47*D263&gt;Valores!$C$45,Valores!$C$45,Valores!$C$47*D263)/2)</f>
        <v>1508.41</v>
      </c>
      <c r="U263" s="154">
        <f>Valores!$C$24*D263</f>
        <v>2253.3500000000004</v>
      </c>
      <c r="V263" s="140">
        <f t="shared" si="48"/>
        <v>2253.3500000000004</v>
      </c>
      <c r="W263" s="140">
        <v>0</v>
      </c>
      <c r="X263" s="140">
        <v>0</v>
      </c>
      <c r="Y263" s="160">
        <v>0</v>
      </c>
      <c r="Z263" s="140">
        <f>Y263*Valores!$C$2</f>
        <v>0</v>
      </c>
      <c r="AA263" s="140">
        <v>0</v>
      </c>
      <c r="AB263" s="143">
        <f>IF(Valores!$C$93*D263&gt;Valores!$C$92,Valores!$C$92,Valores!$C$93*D263)</f>
        <v>1919.13</v>
      </c>
      <c r="AC263" s="145">
        <f>IF((Valores!$C$34)*D263&gt;Valores!$F$34,Valores!$F$34,(Valores!$C$34)*D263)</f>
        <v>176.97</v>
      </c>
      <c r="AD263" s="140">
        <f t="shared" si="41"/>
        <v>0</v>
      </c>
      <c r="AE263" s="140">
        <f>IF(Valores!$C$35*D263&gt;Valores!$F$35,Valores!$F$35,Valores!$C$35*D263)</f>
        <v>147.38999999999999</v>
      </c>
      <c r="AF263" s="144">
        <v>94</v>
      </c>
      <c r="AG263" s="140">
        <f>INT(((AF263*Valores!$C$2)*100)+0.5)/100</f>
        <v>1168.1099999999999</v>
      </c>
      <c r="AH263" s="140">
        <f>IF($H$5="NO",IF(Valores!$D$60*'Escala Docente'!D263&gt;Valores!$F$60,Valores!$F$60,Valores!$D$60*'Escala Docente'!D263),IF(Valores!$D$60*'Escala Docente'!D263&gt;Valores!$F$60,Valores!$F$60,Valores!$D$60*'Escala Docente'!D263)/2)</f>
        <v>598.95533333333333</v>
      </c>
      <c r="AI263" s="140">
        <f>IF($H$5="NO",IF(Valores!$D$62*D263&gt;Valores!$F$62,Valores!$F$62,Valores!$D$62*D263),IF(Valores!$D$62*D263&gt;Valores!$F$62,Valores!$F$62,Valores!$D$62*D263)/2)</f>
        <v>171.30333333333331</v>
      </c>
      <c r="AJ263" s="146">
        <f t="shared" si="42"/>
        <v>41216.969666666671</v>
      </c>
      <c r="AK263" s="154">
        <f>IF(Valores!$C$38*D263&gt;Valores!$F$38,Valores!$F$38,Valores!$C$38*D263)</f>
        <v>1542.41</v>
      </c>
      <c r="AL263" s="143">
        <f>IF(Valores!$C$88*D263&gt;Valores!$C$87,Valores!$C$87,Valores!$C$88*D263)</f>
        <v>1933.7499999999998</v>
      </c>
      <c r="AM263" s="143"/>
      <c r="AN263" s="145">
        <f>IF($H$4="NO",0,IF(Valores!$C$59*D263&gt;Valores!$F$59,Valores!$F$59,Valores!$C$59*D263))</f>
        <v>0</v>
      </c>
      <c r="AO263" s="147">
        <f t="shared" si="43"/>
        <v>3476.16</v>
      </c>
      <c r="AP263" s="148">
        <f>AJ263*Valores!$C$69</f>
        <v>-4533.8666633333341</v>
      </c>
      <c r="AQ263" s="149">
        <f>AJ263*-Valores!$C$70</f>
        <v>0</v>
      </c>
      <c r="AR263" s="142">
        <f>AJ263*Valores!$C$71</f>
        <v>-1854.7636350000002</v>
      </c>
      <c r="AS263" s="142">
        <f>Valores!$C$95</f>
        <v>-193.38</v>
      </c>
      <c r="AT263" s="142">
        <f>IF($H$6=0,Valores!$C$96,(Valores!$C$96+$H$6*(Valores!$C$96)))</f>
        <v>-129</v>
      </c>
      <c r="AU263" s="146">
        <f t="shared" si="44"/>
        <v>37982.11936833334</v>
      </c>
      <c r="AV263" s="199">
        <f t="shared" si="40"/>
        <v>-4533.8666633333341</v>
      </c>
      <c r="AW263" s="142">
        <f>AJ263*Valores!$C$72</f>
        <v>-1112.8581810000001</v>
      </c>
      <c r="AX263" s="142">
        <f>AJ263*Valores!$C$73</f>
        <v>-123.65090900000001</v>
      </c>
      <c r="AY263" s="146">
        <f t="shared" si="45"/>
        <v>38922.753913333341</v>
      </c>
      <c r="AZ263" s="150"/>
      <c r="BA263" s="150">
        <f t="shared" si="49"/>
        <v>68</v>
      </c>
      <c r="BB263" s="135" t="s">
        <v>4</v>
      </c>
    </row>
    <row r="264" spans="1:54" s="114" customFormat="1" ht="11.25" customHeight="1" x14ac:dyDescent="0.15">
      <c r="A264" s="134">
        <v>262</v>
      </c>
      <c r="B264" s="134"/>
      <c r="C264" s="135" t="s">
        <v>497</v>
      </c>
      <c r="D264" s="135">
        <v>18</v>
      </c>
      <c r="E264" s="135">
        <f t="shared" ref="E264:E327" si="51">LEN(F264)</f>
        <v>34</v>
      </c>
      <c r="F264" s="136" t="str">
        <f>CONCATENATE("Hora Cátedra Enseñanza Media ",D264," hs")</f>
        <v>Hora Cátedra Enseñanza Media 18 hs</v>
      </c>
      <c r="G264" s="137">
        <f t="shared" si="50"/>
        <v>1422</v>
      </c>
      <c r="H264" s="138">
        <f>INT((G264*Valores!$C$2*100)+0.49)/100</f>
        <v>17670.77</v>
      </c>
      <c r="I264" s="156">
        <v>0</v>
      </c>
      <c r="J264" s="140">
        <f>INT((I264*Valores!$C$2*100)+0.5)/100</f>
        <v>0</v>
      </c>
      <c r="K264" s="155">
        <v>0</v>
      </c>
      <c r="L264" s="140">
        <f>INT((K264*Valores!$C$2*100)+0.5)/100</f>
        <v>0</v>
      </c>
      <c r="M264" s="153">
        <v>0</v>
      </c>
      <c r="N264" s="140">
        <f>INT((M264*Valores!$C$2*100)+0.5)/100</f>
        <v>0</v>
      </c>
      <c r="O264" s="140">
        <f t="shared" ref="O264:O327" si="52">IF($J$2=0,IF(C264&lt;&gt;"13-930",(SUM(H264,J264,L264,N264,Z264,U264,T264)*$O$2),0),0)</f>
        <v>3248.0715</v>
      </c>
      <c r="P264" s="140">
        <f t="shared" ref="P264:P328" si="53">SUM(H264,J264,L264,N264,Z264,T264)*$J$2</f>
        <v>0</v>
      </c>
      <c r="Q264" s="154">
        <f>Valores!$C$14*D264</f>
        <v>7585.56</v>
      </c>
      <c r="R264" s="154">
        <f>IF(D264&lt;15,(Valores!$E$4*D264),Valores!$D$4)</f>
        <v>6352.5280000000002</v>
      </c>
      <c r="S264" s="140">
        <v>0</v>
      </c>
      <c r="T264" s="143">
        <f>IF($H$5="NO",IF(Valores!$C$47*D264&gt;Valores!$C$45,Valores!$C$45,Valores!$C$47*D264),IF(Valores!$C$47*D264&gt;Valores!$C$45,Valores!$C$45,Valores!$C$47*D264)/2)</f>
        <v>1597.14</v>
      </c>
      <c r="U264" s="154">
        <f>Valores!$C$24*D264</f>
        <v>2385.9</v>
      </c>
      <c r="V264" s="140">
        <f t="shared" si="48"/>
        <v>2385.9</v>
      </c>
      <c r="W264" s="140">
        <v>0</v>
      </c>
      <c r="X264" s="140">
        <v>0</v>
      </c>
      <c r="Y264" s="160">
        <v>0</v>
      </c>
      <c r="Z264" s="140">
        <f>Y264*Valores!$C$2</f>
        <v>0</v>
      </c>
      <c r="AA264" s="140">
        <v>0</v>
      </c>
      <c r="AB264" s="143">
        <f>IF(Valores!$C$93*D264&gt;Valores!$C$92,Valores!$C$92,Valores!$C$93*D264)</f>
        <v>2032.02</v>
      </c>
      <c r="AC264" s="145">
        <f>IF((Valores!$C$34)*D264&gt;Valores!$F$34,Valores!$F$34,(Valores!$C$34)*D264)</f>
        <v>187.38</v>
      </c>
      <c r="AD264" s="140">
        <f t="shared" si="41"/>
        <v>0</v>
      </c>
      <c r="AE264" s="140">
        <f>IF(Valores!$C$35*D264&gt;Valores!$F$35,Valores!$F$35,Valores!$C$35*D264)</f>
        <v>156.06</v>
      </c>
      <c r="AF264" s="144">
        <v>0</v>
      </c>
      <c r="AG264" s="140">
        <f>INT(((AF264*Valores!$C$2)*100)+0.5)/100</f>
        <v>0</v>
      </c>
      <c r="AH264" s="140">
        <f>IF($H$5="NO",IF(Valores!$D$60*'Escala Docente'!D264&gt;Valores!$F$60,Valores!$F$60,Valores!$D$60*'Escala Docente'!D264),IF(Valores!$D$60*'Escala Docente'!D264&gt;Valores!$F$60,Valores!$F$60,Valores!$D$60*'Escala Docente'!D264)/2)</f>
        <v>634.18799999999999</v>
      </c>
      <c r="AI264" s="140">
        <f>IF($H$5="NO",IF(Valores!$D$62*D264&gt;Valores!$F$62,Valores!$F$62,Valores!$D$62*D264),IF(Valores!$D$62*D264&gt;Valores!$F$62,Valores!$F$62,Valores!$D$62*D264)/2)</f>
        <v>181.38</v>
      </c>
      <c r="AJ264" s="146">
        <f t="shared" si="42"/>
        <v>42030.997499999998</v>
      </c>
      <c r="AK264" s="154">
        <f>IF(Valores!$C$38*D264&gt;Valores!$F$38,Valores!$F$38,Valores!$C$38*D264)</f>
        <v>1633.14</v>
      </c>
      <c r="AL264" s="143">
        <f>IF(Valores!$C$88*D264&gt;Valores!$C$87,Valores!$C$87,Valores!$C$88*D264)</f>
        <v>2047.4999999999998</v>
      </c>
      <c r="AM264" s="143"/>
      <c r="AN264" s="145">
        <f>IF($H$4="NO",0,IF(Valores!$C$59*D264&gt;Valores!$F$59,Valores!$F$59,Valores!$C$59*D264))</f>
        <v>0</v>
      </c>
      <c r="AO264" s="147">
        <f t="shared" si="43"/>
        <v>3680.64</v>
      </c>
      <c r="AP264" s="148">
        <f>AJ264*Valores!$C$69</f>
        <v>-4623.4097249999995</v>
      </c>
      <c r="AQ264" s="149">
        <f>AJ264*-Valores!$C$70</f>
        <v>0</v>
      </c>
      <c r="AR264" s="142">
        <f>AJ264*Valores!$C$71</f>
        <v>-1891.3948874999999</v>
      </c>
      <c r="AS264" s="142">
        <f>Valores!$C$95</f>
        <v>-193.38</v>
      </c>
      <c r="AT264" s="142">
        <f>IF($H$6=0,Valores!$C$96,(Valores!$C$96+$H$6*(Valores!$C$96)))</f>
        <v>-129</v>
      </c>
      <c r="AU264" s="146">
        <f t="shared" si="44"/>
        <v>38874.452887499996</v>
      </c>
      <c r="AV264" s="199">
        <f t="shared" ref="AV264:AV327" si="54">AP264</f>
        <v>-4623.4097249999995</v>
      </c>
      <c r="AW264" s="142">
        <f>AJ264*Valores!$C$72</f>
        <v>-1134.8369324999999</v>
      </c>
      <c r="AX264" s="142">
        <f>AJ264*Valores!$C$73</f>
        <v>-126.09299249999999</v>
      </c>
      <c r="AY264" s="146">
        <f t="shared" si="45"/>
        <v>39827.297849999995</v>
      </c>
      <c r="AZ264" s="150"/>
      <c r="BA264" s="150">
        <f t="shared" si="49"/>
        <v>72</v>
      </c>
      <c r="BB264" s="135" t="s">
        <v>4</v>
      </c>
    </row>
    <row r="265" spans="1:54" s="114" customFormat="1" ht="11.25" customHeight="1" x14ac:dyDescent="0.15">
      <c r="A265" s="134">
        <v>263</v>
      </c>
      <c r="B265" s="134"/>
      <c r="C265" s="135" t="s">
        <v>497</v>
      </c>
      <c r="D265" s="135">
        <v>18</v>
      </c>
      <c r="E265" s="135">
        <f t="shared" si="51"/>
        <v>42</v>
      </c>
      <c r="F265" s="136" t="str">
        <f>CONCATENATE("Hora Cátedra Enseñanza Media ",D265," hs Esc Esp")</f>
        <v>Hora Cátedra Enseñanza Media 18 hs Esc Esp</v>
      </c>
      <c r="G265" s="137">
        <f t="shared" si="50"/>
        <v>1422</v>
      </c>
      <c r="H265" s="138">
        <f>INT((G265*Valores!$C$2*100)+0.49)/100</f>
        <v>17670.77</v>
      </c>
      <c r="I265" s="156">
        <v>0</v>
      </c>
      <c r="J265" s="140">
        <f>INT((I265*Valores!$C$2*100)+0.5)/100</f>
        <v>0</v>
      </c>
      <c r="K265" s="155">
        <v>0</v>
      </c>
      <c r="L265" s="140">
        <f>INT((K265*Valores!$C$2*100)+0.5)/100</f>
        <v>0</v>
      </c>
      <c r="M265" s="153">
        <v>0</v>
      </c>
      <c r="N265" s="140">
        <f>INT((M265*Valores!$C$2*100)+0.5)/100</f>
        <v>0</v>
      </c>
      <c r="O265" s="140">
        <f t="shared" si="52"/>
        <v>3248.0715</v>
      </c>
      <c r="P265" s="140">
        <f t="shared" si="53"/>
        <v>0</v>
      </c>
      <c r="Q265" s="154">
        <f>Valores!$C$14*D265</f>
        <v>7585.56</v>
      </c>
      <c r="R265" s="154">
        <f>IF(D265&lt;15,(Valores!$E$4*D265),Valores!$D$4)</f>
        <v>6352.5280000000002</v>
      </c>
      <c r="S265" s="140">
        <v>0</v>
      </c>
      <c r="T265" s="143">
        <f>IF($H$5="NO",IF(Valores!$C$47*D265&gt;Valores!$C$45,Valores!$C$45,Valores!$C$47*D265),IF(Valores!$C$47*D265&gt;Valores!$C$45,Valores!$C$45,Valores!$C$47*D265)/2)</f>
        <v>1597.14</v>
      </c>
      <c r="U265" s="154">
        <f>Valores!$C$24*D265</f>
        <v>2385.9</v>
      </c>
      <c r="V265" s="140">
        <f t="shared" si="48"/>
        <v>2385.9</v>
      </c>
      <c r="W265" s="140">
        <v>0</v>
      </c>
      <c r="X265" s="140">
        <v>0</v>
      </c>
      <c r="Y265" s="160">
        <v>0</v>
      </c>
      <c r="Z265" s="140">
        <f>Y265*Valores!$C$2</f>
        <v>0</v>
      </c>
      <c r="AA265" s="140">
        <v>0</v>
      </c>
      <c r="AB265" s="143">
        <f>IF(Valores!$C$93*D265&gt;Valores!$C$92,Valores!$C$92,Valores!$C$93*D265)</f>
        <v>2032.02</v>
      </c>
      <c r="AC265" s="145">
        <f>IF((Valores!$C$34)*D265&gt;Valores!$F$34,Valores!$F$34,(Valores!$C$34)*D265)</f>
        <v>187.38</v>
      </c>
      <c r="AD265" s="140">
        <f t="shared" ref="AD265:AD328" si="55">SUM(H265,J265,L265,Z265,T265)*$H$3/100</f>
        <v>0</v>
      </c>
      <c r="AE265" s="140">
        <f>IF(Valores!$C$35*D265&gt;Valores!$F$35,Valores!$F$35,Valores!$C$35*D265)</f>
        <v>156.06</v>
      </c>
      <c r="AF265" s="144">
        <v>94</v>
      </c>
      <c r="AG265" s="140">
        <f>INT(((AF265*Valores!$C$2)*100)+0.5)/100</f>
        <v>1168.1099999999999</v>
      </c>
      <c r="AH265" s="140">
        <f>IF($H$5="NO",IF(Valores!$D$60*'Escala Docente'!D265&gt;Valores!$F$60,Valores!$F$60,Valores!$D$60*'Escala Docente'!D265),IF(Valores!$D$60*'Escala Docente'!D265&gt;Valores!$F$60,Valores!$F$60,Valores!$D$60*'Escala Docente'!D265)/2)</f>
        <v>634.18799999999999</v>
      </c>
      <c r="AI265" s="140">
        <f>IF($H$5="NO",IF(Valores!$D$62*D265&gt;Valores!$F$62,Valores!$F$62,Valores!$D$62*D265),IF(Valores!$D$62*D265&gt;Valores!$F$62,Valores!$F$62,Valores!$D$62*D265)/2)</f>
        <v>181.38</v>
      </c>
      <c r="AJ265" s="146">
        <f t="shared" ref="AJ265:AJ328" si="56">SUM(H265,J265,L265,N265,O265,P265,Q265,R265,S265,V265,W265,X265,Z265,AA265,AC265,AD265,AE265,AG265,T265,AH265,AI265,AB265)</f>
        <v>43199.107499999998</v>
      </c>
      <c r="AK265" s="154">
        <f>IF(Valores!$C$38*D265&gt;Valores!$F$38,Valores!$F$38,Valores!$C$38*D265)</f>
        <v>1633.14</v>
      </c>
      <c r="AL265" s="143">
        <f>IF(Valores!$C$88*D265&gt;Valores!$C$87,Valores!$C$87,Valores!$C$88*D265)</f>
        <v>2047.4999999999998</v>
      </c>
      <c r="AM265" s="143"/>
      <c r="AN265" s="145">
        <f>IF($H$4="NO",0,IF(Valores!$C$59*D265&gt;Valores!$F$59,Valores!$F$59,Valores!$C$59*D265))</f>
        <v>0</v>
      </c>
      <c r="AO265" s="147">
        <f t="shared" ref="AO265:AO328" si="57">IF($H$4="SI",SUM(AK265:AN265),SUM(AK265:AL265))</f>
        <v>3680.64</v>
      </c>
      <c r="AP265" s="148">
        <f>AJ265*Valores!$C$69</f>
        <v>-4751.9018249999999</v>
      </c>
      <c r="AQ265" s="149">
        <f>AJ265*-Valores!$C$70</f>
        <v>0</v>
      </c>
      <c r="AR265" s="142">
        <f>AJ265*Valores!$C$71</f>
        <v>-1943.9598374999998</v>
      </c>
      <c r="AS265" s="142">
        <f>Valores!$C$95</f>
        <v>-193.38</v>
      </c>
      <c r="AT265" s="142">
        <f>IF($H$6=0,Valores!$C$96,(Valores!$C$96+$H$6*(Valores!$C$96)))</f>
        <v>-129</v>
      </c>
      <c r="AU265" s="146">
        <f t="shared" si="44"/>
        <v>39861.505837500001</v>
      </c>
      <c r="AV265" s="199">
        <f t="shared" si="54"/>
        <v>-4751.9018249999999</v>
      </c>
      <c r="AW265" s="142">
        <f>AJ265*Valores!$C$72</f>
        <v>-1166.3759024999999</v>
      </c>
      <c r="AX265" s="142">
        <f>AJ265*Valores!$C$73</f>
        <v>-129.59732249999999</v>
      </c>
      <c r="AY265" s="146">
        <f t="shared" si="45"/>
        <v>40831.872449999995</v>
      </c>
      <c r="AZ265" s="150"/>
      <c r="BA265" s="150">
        <f t="shared" si="49"/>
        <v>72</v>
      </c>
      <c r="BB265" s="135" t="s">
        <v>4</v>
      </c>
    </row>
    <row r="266" spans="1:54" s="114" customFormat="1" ht="11.25" customHeight="1" x14ac:dyDescent="0.15">
      <c r="A266" s="134">
        <v>264</v>
      </c>
      <c r="B266" s="134"/>
      <c r="C266" s="135" t="s">
        <v>497</v>
      </c>
      <c r="D266" s="135">
        <v>19</v>
      </c>
      <c r="E266" s="135">
        <f t="shared" si="51"/>
        <v>34</v>
      </c>
      <c r="F266" s="136" t="str">
        <f>CONCATENATE("Hora Cátedra Enseñanza Media ",D266," hs")</f>
        <v>Hora Cátedra Enseñanza Media 19 hs</v>
      </c>
      <c r="G266" s="137">
        <f t="shared" si="50"/>
        <v>1501</v>
      </c>
      <c r="H266" s="138">
        <f>INT((G266*Valores!$C$2*100)+0.49)/100</f>
        <v>18652.48</v>
      </c>
      <c r="I266" s="156">
        <v>0</v>
      </c>
      <c r="J266" s="140">
        <f>INT((I266*Valores!$C$2*100)+0.5)/100</f>
        <v>0</v>
      </c>
      <c r="K266" s="155">
        <v>0</v>
      </c>
      <c r="L266" s="140">
        <f>INT((K266*Valores!$C$2*100)+0.5)/100</f>
        <v>0</v>
      </c>
      <c r="M266" s="153">
        <v>0</v>
      </c>
      <c r="N266" s="140">
        <f>INT((M266*Valores!$C$2*100)+0.5)/100</f>
        <v>0</v>
      </c>
      <c r="O266" s="140">
        <f t="shared" si="52"/>
        <v>3428.52</v>
      </c>
      <c r="P266" s="140">
        <f t="shared" si="53"/>
        <v>0</v>
      </c>
      <c r="Q266" s="154">
        <f>Valores!$C$14*D266</f>
        <v>8006.9800000000005</v>
      </c>
      <c r="R266" s="154">
        <f>IF(D266&lt;15,(Valores!$E$4*D266),Valores!$D$4)</f>
        <v>6352.5280000000002</v>
      </c>
      <c r="S266" s="140">
        <v>0</v>
      </c>
      <c r="T266" s="143">
        <f>IF($H$5="NO",IF(Valores!$C$47*D266&gt;Valores!$C$45,Valores!$C$45,Valores!$C$47*D266),IF(Valores!$C$47*D266&gt;Valores!$C$45,Valores!$C$45,Valores!$C$47*D266)/2)</f>
        <v>1685.8700000000001</v>
      </c>
      <c r="U266" s="154">
        <f>Valores!$C$24*D266</f>
        <v>2518.4500000000003</v>
      </c>
      <c r="V266" s="140">
        <f t="shared" si="48"/>
        <v>2518.4500000000003</v>
      </c>
      <c r="W266" s="140">
        <v>0</v>
      </c>
      <c r="X266" s="140">
        <v>0</v>
      </c>
      <c r="Y266" s="160">
        <v>0</v>
      </c>
      <c r="Z266" s="140">
        <f>Y266*Valores!$C$2</f>
        <v>0</v>
      </c>
      <c r="AA266" s="140">
        <v>0</v>
      </c>
      <c r="AB266" s="143">
        <f>IF(Valores!$C$93*D266&gt;Valores!$C$92,Valores!$C$92,Valores!$C$93*D266)</f>
        <v>2144.91</v>
      </c>
      <c r="AC266" s="145">
        <f>IF((Valores!$C$34)*D266&gt;Valores!$F$34,Valores!$F$34,(Valores!$C$34)*D266)</f>
        <v>197.79</v>
      </c>
      <c r="AD266" s="140">
        <f t="shared" si="55"/>
        <v>0</v>
      </c>
      <c r="AE266" s="140">
        <f>IF(Valores!$C$35*D266&gt;Valores!$F$35,Valores!$F$35,Valores!$C$35*D266)</f>
        <v>164.73</v>
      </c>
      <c r="AF266" s="144">
        <v>0</v>
      </c>
      <c r="AG266" s="140">
        <f>INT(((AF266*Valores!$C$2)*100)+0.5)/100</f>
        <v>0</v>
      </c>
      <c r="AH266" s="140">
        <f>IF($H$5="NO",IF(Valores!$D$60*'Escala Docente'!D266&gt;Valores!$F$60,Valores!$F$60,Valores!$D$60*'Escala Docente'!D266),IF(Valores!$D$60*'Escala Docente'!D266&gt;Valores!$F$60,Valores!$F$60,Valores!$D$60*'Escala Docente'!D266)/2)</f>
        <v>669.42066666666665</v>
      </c>
      <c r="AI266" s="140">
        <f>IF($H$5="NO",IF(Valores!$D$62*D266&gt;Valores!$F$62,Valores!$F$62,Valores!$D$62*D266),IF(Valores!$D$62*D266&gt;Valores!$F$62,Valores!$F$62,Valores!$D$62*D266)/2)</f>
        <v>191.45666666666665</v>
      </c>
      <c r="AJ266" s="146">
        <f t="shared" si="56"/>
        <v>44013.135333333339</v>
      </c>
      <c r="AK266" s="154">
        <f>IF(Valores!$C$38*D266&gt;Valores!$F$38,Valores!$F$38,Valores!$C$38*D266)</f>
        <v>1723.8700000000001</v>
      </c>
      <c r="AL266" s="143">
        <f>IF(Valores!$C$88*D266&gt;Valores!$C$87,Valores!$C$87,Valores!$C$88*D266)</f>
        <v>2161.2499999999995</v>
      </c>
      <c r="AM266" s="143"/>
      <c r="AN266" s="145">
        <f>IF($H$4="NO",0,IF(Valores!$C$59*D266&gt;Valores!$F$59,Valores!$F$59,Valores!$C$59*D266))</f>
        <v>0</v>
      </c>
      <c r="AO266" s="147">
        <f t="shared" si="57"/>
        <v>3885.12</v>
      </c>
      <c r="AP266" s="148">
        <f>AJ266*Valores!$C$69</f>
        <v>-4841.4448866666671</v>
      </c>
      <c r="AQ266" s="149">
        <f>AJ266*-Valores!$C$70</f>
        <v>0</v>
      </c>
      <c r="AR266" s="142">
        <f>AJ266*Valores!$C$71</f>
        <v>-1980.5910900000001</v>
      </c>
      <c r="AS266" s="142">
        <f>Valores!$C$95</f>
        <v>-193.38</v>
      </c>
      <c r="AT266" s="142">
        <f>IF($H$6=0,Valores!$C$96,(Valores!$C$96+$H$6*(Valores!$C$96)))</f>
        <v>-129</v>
      </c>
      <c r="AU266" s="146">
        <f t="shared" ref="AU266:AU328" si="58">AJ266+SUM(AO266:AT266)</f>
        <v>40753.839356666671</v>
      </c>
      <c r="AV266" s="199">
        <f t="shared" si="54"/>
        <v>-4841.4448866666671</v>
      </c>
      <c r="AW266" s="142">
        <f>AJ266*Valores!$C$72</f>
        <v>-1188.3546540000002</v>
      </c>
      <c r="AX266" s="142">
        <f>AJ266*Valores!$C$73</f>
        <v>-132.03940600000001</v>
      </c>
      <c r="AY266" s="146">
        <f t="shared" ref="AY266:AY328" si="59">AJ266+AO266+SUM(AV266:AX266)</f>
        <v>41736.416386666679</v>
      </c>
      <c r="AZ266" s="150"/>
      <c r="BA266" s="150">
        <f t="shared" si="49"/>
        <v>76</v>
      </c>
      <c r="BB266" s="135" t="s">
        <v>4</v>
      </c>
    </row>
    <row r="267" spans="1:54" s="114" customFormat="1" ht="11.25" customHeight="1" x14ac:dyDescent="0.15">
      <c r="A267" s="152">
        <v>265</v>
      </c>
      <c r="B267" s="152" t="s">
        <v>139</v>
      </c>
      <c r="C267" s="135" t="s">
        <v>497</v>
      </c>
      <c r="D267" s="135">
        <v>19</v>
      </c>
      <c r="E267" s="135">
        <f t="shared" si="51"/>
        <v>42</v>
      </c>
      <c r="F267" s="136" t="str">
        <f>CONCATENATE("Hora Cátedra Enseñanza Media ",D267," hs Esc Esp")</f>
        <v>Hora Cátedra Enseñanza Media 19 hs Esc Esp</v>
      </c>
      <c r="G267" s="137">
        <f t="shared" si="50"/>
        <v>1501</v>
      </c>
      <c r="H267" s="138">
        <f>INT((G267*Valores!$C$2*100)+0.49)/100</f>
        <v>18652.48</v>
      </c>
      <c r="I267" s="156">
        <v>0</v>
      </c>
      <c r="J267" s="140">
        <f>INT((I267*Valores!$C$2*100)+0.5)/100</f>
        <v>0</v>
      </c>
      <c r="K267" s="155">
        <v>0</v>
      </c>
      <c r="L267" s="140">
        <f>INT((K267*Valores!$C$2*100)+0.5)/100</f>
        <v>0</v>
      </c>
      <c r="M267" s="153">
        <v>0</v>
      </c>
      <c r="N267" s="140">
        <f>INT((M267*Valores!$C$2*100)+0.5)/100</f>
        <v>0</v>
      </c>
      <c r="O267" s="140">
        <f t="shared" si="52"/>
        <v>3428.52</v>
      </c>
      <c r="P267" s="140">
        <f t="shared" si="53"/>
        <v>0</v>
      </c>
      <c r="Q267" s="154">
        <f>Valores!$C$14*D267</f>
        <v>8006.9800000000005</v>
      </c>
      <c r="R267" s="154">
        <f>IF(D267&lt;15,(Valores!$E$4*D267),Valores!$D$4)</f>
        <v>6352.5280000000002</v>
      </c>
      <c r="S267" s="140">
        <v>0</v>
      </c>
      <c r="T267" s="143">
        <f>IF($H$5="NO",IF(Valores!$C$47*D267&gt;Valores!$C$45,Valores!$C$45,Valores!$C$47*D267),IF(Valores!$C$47*D267&gt;Valores!$C$45,Valores!$C$45,Valores!$C$47*D267)/2)</f>
        <v>1685.8700000000001</v>
      </c>
      <c r="U267" s="154">
        <f>Valores!$C$24*D267</f>
        <v>2518.4500000000003</v>
      </c>
      <c r="V267" s="140">
        <f t="shared" si="48"/>
        <v>2518.4500000000003</v>
      </c>
      <c r="W267" s="140">
        <v>0</v>
      </c>
      <c r="X267" s="140">
        <v>0</v>
      </c>
      <c r="Y267" s="160">
        <v>0</v>
      </c>
      <c r="Z267" s="140">
        <f>Y267*Valores!$C$2</f>
        <v>0</v>
      </c>
      <c r="AA267" s="140">
        <v>0</v>
      </c>
      <c r="AB267" s="143">
        <f>IF(Valores!$C$93*D267&gt;Valores!$C$92,Valores!$C$92,Valores!$C$93*D267)</f>
        <v>2144.91</v>
      </c>
      <c r="AC267" s="145">
        <f>IF((Valores!$C$34)*D267&gt;Valores!$F$34,Valores!$F$34,(Valores!$C$34)*D267)</f>
        <v>197.79</v>
      </c>
      <c r="AD267" s="140">
        <f t="shared" si="55"/>
        <v>0</v>
      </c>
      <c r="AE267" s="140">
        <f>IF(Valores!$C$35*D267&gt;Valores!$F$35,Valores!$F$35,Valores!$C$35*D267)</f>
        <v>164.73</v>
      </c>
      <c r="AF267" s="144">
        <v>94</v>
      </c>
      <c r="AG267" s="140">
        <f>INT(((AF267*Valores!$C$2)*100)+0.5)/100</f>
        <v>1168.1099999999999</v>
      </c>
      <c r="AH267" s="140">
        <f>IF($H$5="NO",IF(Valores!$D$60*'Escala Docente'!D267&gt;Valores!$F$60,Valores!$F$60,Valores!$D$60*'Escala Docente'!D267),IF(Valores!$D$60*'Escala Docente'!D267&gt;Valores!$F$60,Valores!$F$60,Valores!$D$60*'Escala Docente'!D267)/2)</f>
        <v>669.42066666666665</v>
      </c>
      <c r="AI267" s="140">
        <f>IF($H$5="NO",IF(Valores!$D$62*D267&gt;Valores!$F$62,Valores!$F$62,Valores!$D$62*D267),IF(Valores!$D$62*D267&gt;Valores!$F$62,Valores!$F$62,Valores!$D$62*D267)/2)</f>
        <v>191.45666666666665</v>
      </c>
      <c r="AJ267" s="146">
        <f t="shared" si="56"/>
        <v>45181.24533333334</v>
      </c>
      <c r="AK267" s="154">
        <f>IF(Valores!$C$38*D267&gt;Valores!$F$38,Valores!$F$38,Valores!$C$38*D267)</f>
        <v>1723.8700000000001</v>
      </c>
      <c r="AL267" s="143">
        <f>IF(Valores!$C$88*D267&gt;Valores!$C$87,Valores!$C$87,Valores!$C$88*D267)</f>
        <v>2161.2499999999995</v>
      </c>
      <c r="AM267" s="143"/>
      <c r="AN267" s="145">
        <f>IF($H$4="NO",0,IF(Valores!$C$59*D267&gt;Valores!$F$59,Valores!$F$59,Valores!$C$59*D267))</f>
        <v>0</v>
      </c>
      <c r="AO267" s="147">
        <f t="shared" si="57"/>
        <v>3885.12</v>
      </c>
      <c r="AP267" s="148">
        <f>AJ267*Valores!$C$69</f>
        <v>-4969.9369866666675</v>
      </c>
      <c r="AQ267" s="149">
        <f>AJ267*-Valores!$C$70</f>
        <v>0</v>
      </c>
      <c r="AR267" s="142">
        <f>AJ267*Valores!$C$71</f>
        <v>-2033.1560400000003</v>
      </c>
      <c r="AS267" s="142">
        <f>Valores!$C$95</f>
        <v>-193.38</v>
      </c>
      <c r="AT267" s="142">
        <f>IF($H$6=0,Valores!$C$96,(Valores!$C$96+$H$6*(Valores!$C$96)))</f>
        <v>-129</v>
      </c>
      <c r="AU267" s="146">
        <f t="shared" si="58"/>
        <v>41740.892306666668</v>
      </c>
      <c r="AV267" s="199">
        <f t="shared" si="54"/>
        <v>-4969.9369866666675</v>
      </c>
      <c r="AW267" s="142">
        <f>AJ267*Valores!$C$72</f>
        <v>-1219.893624</v>
      </c>
      <c r="AX267" s="142">
        <f>AJ267*Valores!$C$73</f>
        <v>-135.54373600000002</v>
      </c>
      <c r="AY267" s="146">
        <f t="shared" si="59"/>
        <v>42740.990986666671</v>
      </c>
      <c r="AZ267" s="150"/>
      <c r="BA267" s="150">
        <f t="shared" si="49"/>
        <v>76</v>
      </c>
      <c r="BB267" s="135" t="s">
        <v>4</v>
      </c>
    </row>
    <row r="268" spans="1:54" s="114" customFormat="1" ht="11.25" customHeight="1" x14ac:dyDescent="0.15">
      <c r="A268" s="134">
        <v>266</v>
      </c>
      <c r="B268" s="134"/>
      <c r="C268" s="135" t="s">
        <v>497</v>
      </c>
      <c r="D268" s="135">
        <v>20</v>
      </c>
      <c r="E268" s="135">
        <f t="shared" si="51"/>
        <v>34</v>
      </c>
      <c r="F268" s="136" t="str">
        <f>CONCATENATE("Hora Cátedra Enseñanza Media ",D268," hs")</f>
        <v>Hora Cátedra Enseñanza Media 20 hs</v>
      </c>
      <c r="G268" s="137">
        <f t="shared" si="50"/>
        <v>1580</v>
      </c>
      <c r="H268" s="138">
        <f>INT((G268*Valores!$C$2*100)+0.49)/100</f>
        <v>19634.189999999999</v>
      </c>
      <c r="I268" s="156">
        <v>0</v>
      </c>
      <c r="J268" s="140">
        <f>INT((I268*Valores!$C$2*100)+0.5)/100</f>
        <v>0</v>
      </c>
      <c r="K268" s="155">
        <v>0</v>
      </c>
      <c r="L268" s="140">
        <f>INT((K268*Valores!$C$2*100)+0.5)/100</f>
        <v>0</v>
      </c>
      <c r="M268" s="153">
        <v>0</v>
      </c>
      <c r="N268" s="140">
        <f>INT((M268*Valores!$C$2*100)+0.5)/100</f>
        <v>0</v>
      </c>
      <c r="O268" s="140">
        <f t="shared" si="52"/>
        <v>3608.9684999999995</v>
      </c>
      <c r="P268" s="140">
        <f t="shared" si="53"/>
        <v>0</v>
      </c>
      <c r="Q268" s="154">
        <f>Valores!$C$14*D268</f>
        <v>8428.4</v>
      </c>
      <c r="R268" s="154">
        <f>IF(D268&lt;15,(Valores!$E$4*D268),Valores!$D$4)</f>
        <v>6352.5280000000002</v>
      </c>
      <c r="S268" s="140">
        <v>0</v>
      </c>
      <c r="T268" s="143">
        <f>IF($H$5="NO",IF(Valores!$C$47*D268&gt;Valores!$C$45,Valores!$C$45,Valores!$C$47*D268),IF(Valores!$C$47*D268&gt;Valores!$C$45,Valores!$C$45,Valores!$C$47*D268)/2)</f>
        <v>1774.6000000000001</v>
      </c>
      <c r="U268" s="154">
        <f>Valores!$C$24*D268</f>
        <v>2651</v>
      </c>
      <c r="V268" s="140">
        <f t="shared" si="48"/>
        <v>2651</v>
      </c>
      <c r="W268" s="140">
        <v>0</v>
      </c>
      <c r="X268" s="140">
        <v>0</v>
      </c>
      <c r="Y268" s="160">
        <v>0</v>
      </c>
      <c r="Z268" s="140">
        <f>Y268*Valores!$C$2</f>
        <v>0</v>
      </c>
      <c r="AA268" s="140">
        <v>0</v>
      </c>
      <c r="AB268" s="143">
        <f>IF(Valores!$C$93*D268&gt;Valores!$C$92,Valores!$C$92,Valores!$C$93*D268)</f>
        <v>2257.8000000000002</v>
      </c>
      <c r="AC268" s="145">
        <f>IF((Valores!$C$34)*D268&gt;Valores!$F$34,Valores!$F$34,(Valores!$C$34)*D268)</f>
        <v>208.2</v>
      </c>
      <c r="AD268" s="140">
        <f t="shared" si="55"/>
        <v>0</v>
      </c>
      <c r="AE268" s="140">
        <f>IF(Valores!$C$35*D268&gt;Valores!$F$35,Valores!$F$35,Valores!$C$35*D268)</f>
        <v>173.4</v>
      </c>
      <c r="AF268" s="144">
        <v>0</v>
      </c>
      <c r="AG268" s="140">
        <f>INT(((AF268*Valores!$C$2)*100)+0.5)/100</f>
        <v>0</v>
      </c>
      <c r="AH268" s="140">
        <f>IF($H$5="NO",IF(Valores!$D$60*'Escala Docente'!D268&gt;Valores!$F$60,Valores!$F$60,Valores!$D$60*'Escala Docente'!D268),IF(Valores!$D$60*'Escala Docente'!D268&gt;Valores!$F$60,Valores!$F$60,Valores!$D$60*'Escala Docente'!D268)/2)</f>
        <v>704.65333333333331</v>
      </c>
      <c r="AI268" s="140">
        <f>IF($H$5="NO",IF(Valores!$D$62*D268&gt;Valores!$F$62,Valores!$F$62,Valores!$D$62*D268),IF(Valores!$D$62*D268&gt;Valores!$F$62,Valores!$F$62,Valores!$D$62*D268)/2)</f>
        <v>201.53333333333333</v>
      </c>
      <c r="AJ268" s="146">
        <f t="shared" si="56"/>
        <v>45995.273166666666</v>
      </c>
      <c r="AK268" s="154">
        <f>IF(Valores!$C$38*D268&gt;Valores!$F$38,Valores!$F$38,Valores!$C$38*D268)</f>
        <v>1814.6000000000001</v>
      </c>
      <c r="AL268" s="143">
        <f>IF(Valores!$C$88*D268&gt;Valores!$C$87,Valores!$C$87,Valores!$C$88*D268)</f>
        <v>2274.9999999999995</v>
      </c>
      <c r="AM268" s="143"/>
      <c r="AN268" s="145">
        <f>IF($H$4="NO",0,IF(Valores!$C$59*D268&gt;Valores!$F$59,Valores!$F$59,Valores!$C$59*D268))</f>
        <v>0</v>
      </c>
      <c r="AO268" s="147">
        <f t="shared" si="57"/>
        <v>4089.5999999999995</v>
      </c>
      <c r="AP268" s="148">
        <f>AJ268*Valores!$C$69</f>
        <v>-5059.4800483333329</v>
      </c>
      <c r="AQ268" s="149">
        <f>AJ268*-Valores!$C$70</f>
        <v>0</v>
      </c>
      <c r="AR268" s="142">
        <f>AJ268*Valores!$C$71</f>
        <v>-2069.7872924999997</v>
      </c>
      <c r="AS268" s="142">
        <f>Valores!$C$95</f>
        <v>-193.38</v>
      </c>
      <c r="AT268" s="142">
        <f>IF($H$6=0,Valores!$C$96,(Valores!$C$96+$H$6*(Valores!$C$96)))</f>
        <v>-129</v>
      </c>
      <c r="AU268" s="146">
        <f t="shared" si="58"/>
        <v>42633.225825833331</v>
      </c>
      <c r="AV268" s="199">
        <f t="shared" si="54"/>
        <v>-5059.4800483333329</v>
      </c>
      <c r="AW268" s="142">
        <f>AJ268*Valores!$C$72</f>
        <v>-1241.8723754999999</v>
      </c>
      <c r="AX268" s="142">
        <f>AJ268*Valores!$C$73</f>
        <v>-137.98581949999999</v>
      </c>
      <c r="AY268" s="146">
        <f t="shared" si="59"/>
        <v>43645.534923333333</v>
      </c>
      <c r="AZ268" s="150"/>
      <c r="BA268" s="150">
        <f t="shared" si="49"/>
        <v>80</v>
      </c>
      <c r="BB268" s="135" t="s">
        <v>4</v>
      </c>
    </row>
    <row r="269" spans="1:54" s="114" customFormat="1" ht="11.25" customHeight="1" x14ac:dyDescent="0.15">
      <c r="A269" s="134">
        <v>267</v>
      </c>
      <c r="B269" s="134"/>
      <c r="C269" s="135" t="s">
        <v>497</v>
      </c>
      <c r="D269" s="135">
        <v>20</v>
      </c>
      <c r="E269" s="135">
        <f t="shared" si="51"/>
        <v>42</v>
      </c>
      <c r="F269" s="136" t="str">
        <f>CONCATENATE("Hora Cátedra Enseñanza Media ",D269," hs Esc Esp")</f>
        <v>Hora Cátedra Enseñanza Media 20 hs Esc Esp</v>
      </c>
      <c r="G269" s="137">
        <f t="shared" si="50"/>
        <v>1580</v>
      </c>
      <c r="H269" s="138">
        <f>INT((G269*Valores!$C$2*100)+0.49)/100</f>
        <v>19634.189999999999</v>
      </c>
      <c r="I269" s="156">
        <v>0</v>
      </c>
      <c r="J269" s="140">
        <f>INT((I269*Valores!$C$2*100)+0.5)/100</f>
        <v>0</v>
      </c>
      <c r="K269" s="155">
        <v>0</v>
      </c>
      <c r="L269" s="140">
        <f>INT((K269*Valores!$C$2*100)+0.5)/100</f>
        <v>0</v>
      </c>
      <c r="M269" s="153">
        <v>0</v>
      </c>
      <c r="N269" s="140">
        <f>INT((M269*Valores!$C$2*100)+0.5)/100</f>
        <v>0</v>
      </c>
      <c r="O269" s="140">
        <f t="shared" si="52"/>
        <v>3608.9684999999995</v>
      </c>
      <c r="P269" s="140">
        <f t="shared" si="53"/>
        <v>0</v>
      </c>
      <c r="Q269" s="154">
        <f>Valores!$C$14*D269</f>
        <v>8428.4</v>
      </c>
      <c r="R269" s="154">
        <f>IF(D269&lt;15,(Valores!$E$4*D269),Valores!$D$4)</f>
        <v>6352.5280000000002</v>
      </c>
      <c r="S269" s="140">
        <v>0</v>
      </c>
      <c r="T269" s="143">
        <f>IF($H$5="NO",IF(Valores!$C$47*D269&gt;Valores!$C$45,Valores!$C$45,Valores!$C$47*D269),IF(Valores!$C$47*D269&gt;Valores!$C$45,Valores!$C$45,Valores!$C$47*D269)/2)</f>
        <v>1774.6000000000001</v>
      </c>
      <c r="U269" s="154">
        <f>Valores!$C$24*D269</f>
        <v>2651</v>
      </c>
      <c r="V269" s="140">
        <f t="shared" si="48"/>
        <v>2651</v>
      </c>
      <c r="W269" s="140">
        <v>0</v>
      </c>
      <c r="X269" s="140">
        <v>0</v>
      </c>
      <c r="Y269" s="160">
        <v>0</v>
      </c>
      <c r="Z269" s="140">
        <f>Y269*Valores!$C$2</f>
        <v>0</v>
      </c>
      <c r="AA269" s="140">
        <v>0</v>
      </c>
      <c r="AB269" s="143">
        <f>IF(Valores!$C$93*D269&gt;Valores!$C$92,Valores!$C$92,Valores!$C$93*D269)</f>
        <v>2257.8000000000002</v>
      </c>
      <c r="AC269" s="145">
        <f>IF((Valores!$C$34)*D269&gt;Valores!$F$34,Valores!$F$34,(Valores!$C$34)*D269)</f>
        <v>208.2</v>
      </c>
      <c r="AD269" s="140">
        <f t="shared" si="55"/>
        <v>0</v>
      </c>
      <c r="AE269" s="140">
        <f>IF(Valores!$C$35*D269&gt;Valores!$F$35,Valores!$F$35,Valores!$C$35*D269)</f>
        <v>173.4</v>
      </c>
      <c r="AF269" s="144">
        <v>94</v>
      </c>
      <c r="AG269" s="140">
        <f>INT(((AF269*Valores!$C$2)*100)+0.5)/100</f>
        <v>1168.1099999999999</v>
      </c>
      <c r="AH269" s="140">
        <f>IF($H$5="NO",IF(Valores!$D$60*'Escala Docente'!D269&gt;Valores!$F$60,Valores!$F$60,Valores!$D$60*'Escala Docente'!D269),IF(Valores!$D$60*'Escala Docente'!D269&gt;Valores!$F$60,Valores!$F$60,Valores!$D$60*'Escala Docente'!D269)/2)</f>
        <v>704.65333333333331</v>
      </c>
      <c r="AI269" s="140">
        <f>IF($H$5="NO",IF(Valores!$D$62*D269&gt;Valores!$F$62,Valores!$F$62,Valores!$D$62*D269),IF(Valores!$D$62*D269&gt;Valores!$F$62,Valores!$F$62,Valores!$D$62*D269)/2)</f>
        <v>201.53333333333333</v>
      </c>
      <c r="AJ269" s="146">
        <f t="shared" si="56"/>
        <v>47163.383166666667</v>
      </c>
      <c r="AK269" s="154">
        <f>IF(Valores!$C$38*D269&gt;Valores!$F$38,Valores!$F$38,Valores!$C$38*D269)</f>
        <v>1814.6000000000001</v>
      </c>
      <c r="AL269" s="143">
        <f>IF(Valores!$C$88*D269&gt;Valores!$C$87,Valores!$C$87,Valores!$C$88*D269)</f>
        <v>2274.9999999999995</v>
      </c>
      <c r="AM269" s="143"/>
      <c r="AN269" s="145">
        <f>IF($H$4="NO",0,IF(Valores!$C$59*D269&gt;Valores!$F$59,Valores!$F$59,Valores!$C$59*D269))</f>
        <v>0</v>
      </c>
      <c r="AO269" s="147">
        <f t="shared" si="57"/>
        <v>4089.5999999999995</v>
      </c>
      <c r="AP269" s="148">
        <f>AJ269*Valores!$C$69</f>
        <v>-5187.9721483333333</v>
      </c>
      <c r="AQ269" s="149">
        <f>AJ269*-Valores!$C$70</f>
        <v>0</v>
      </c>
      <c r="AR269" s="142">
        <f>AJ269*Valores!$C$71</f>
        <v>-2122.3522425000001</v>
      </c>
      <c r="AS269" s="142">
        <f>Valores!$C$95</f>
        <v>-193.38</v>
      </c>
      <c r="AT269" s="142">
        <f>IF($H$6=0,Valores!$C$96,(Valores!$C$96+$H$6*(Valores!$C$96)))</f>
        <v>-129</v>
      </c>
      <c r="AU269" s="146">
        <f t="shared" si="58"/>
        <v>43620.278775833329</v>
      </c>
      <c r="AV269" s="199">
        <f t="shared" si="54"/>
        <v>-5187.9721483333333</v>
      </c>
      <c r="AW269" s="142">
        <f>AJ269*Valores!$C$72</f>
        <v>-1273.4113454999999</v>
      </c>
      <c r="AX269" s="142">
        <f>AJ269*Valores!$C$73</f>
        <v>-141.4901495</v>
      </c>
      <c r="AY269" s="146">
        <f t="shared" si="59"/>
        <v>44650.109523333333</v>
      </c>
      <c r="AZ269" s="150"/>
      <c r="BA269" s="150">
        <f t="shared" si="49"/>
        <v>80</v>
      </c>
      <c r="BB269" s="135" t="s">
        <v>4</v>
      </c>
    </row>
    <row r="270" spans="1:54" s="114" customFormat="1" ht="11.25" customHeight="1" x14ac:dyDescent="0.15">
      <c r="A270" s="134">
        <v>268</v>
      </c>
      <c r="B270" s="134"/>
      <c r="C270" s="135" t="s">
        <v>497</v>
      </c>
      <c r="D270" s="135">
        <v>21</v>
      </c>
      <c r="E270" s="135">
        <f t="shared" si="51"/>
        <v>34</v>
      </c>
      <c r="F270" s="136" t="str">
        <f>CONCATENATE("Hora Cátedra Enseñanza Media ",D270," hs")</f>
        <v>Hora Cátedra Enseñanza Media 21 hs</v>
      </c>
      <c r="G270" s="137">
        <f t="shared" si="50"/>
        <v>1659</v>
      </c>
      <c r="H270" s="138">
        <f>INT((G270*Valores!$C$2*100)+0.49)/100</f>
        <v>20615.900000000001</v>
      </c>
      <c r="I270" s="156">
        <v>0</v>
      </c>
      <c r="J270" s="140">
        <f>INT((I270*Valores!$C$2*100)+0.5)/100</f>
        <v>0</v>
      </c>
      <c r="K270" s="155">
        <v>0</v>
      </c>
      <c r="L270" s="140">
        <f>INT((K270*Valores!$C$2*100)+0.5)/100</f>
        <v>0</v>
      </c>
      <c r="M270" s="153">
        <v>0</v>
      </c>
      <c r="N270" s="140">
        <f>INT((M270*Valores!$C$2*100)+0.5)/100</f>
        <v>0</v>
      </c>
      <c r="O270" s="140">
        <f t="shared" si="52"/>
        <v>3789.4170000000004</v>
      </c>
      <c r="P270" s="140">
        <f t="shared" si="53"/>
        <v>0</v>
      </c>
      <c r="Q270" s="154">
        <f>Valores!$C$14*D270</f>
        <v>8849.82</v>
      </c>
      <c r="R270" s="154">
        <f>IF(D270&lt;15,(Valores!$E$4*D270),Valores!$D$4)</f>
        <v>6352.5280000000002</v>
      </c>
      <c r="S270" s="140">
        <v>0</v>
      </c>
      <c r="T270" s="143">
        <f>IF($H$5="NO",IF(Valores!$C$47*D270&gt;Valores!$C$45,Valores!$C$45,Valores!$C$47*D270),IF(Valores!$C$47*D270&gt;Valores!$C$45,Valores!$C$45,Valores!$C$47*D270)/2)</f>
        <v>1863.3300000000002</v>
      </c>
      <c r="U270" s="154">
        <f>Valores!$C$24*D270</f>
        <v>2783.55</v>
      </c>
      <c r="V270" s="140">
        <f t="shared" si="48"/>
        <v>2783.55</v>
      </c>
      <c r="W270" s="140">
        <v>0</v>
      </c>
      <c r="X270" s="140">
        <v>0</v>
      </c>
      <c r="Y270" s="160">
        <v>0</v>
      </c>
      <c r="Z270" s="140">
        <f>Y270*Valores!$C$2</f>
        <v>0</v>
      </c>
      <c r="AA270" s="140">
        <v>0</v>
      </c>
      <c r="AB270" s="143">
        <f>IF(Valores!$C$93*D270&gt;Valores!$C$92,Valores!$C$92,Valores!$C$93*D270)</f>
        <v>2370.69</v>
      </c>
      <c r="AC270" s="145">
        <f>IF((Valores!$C$34)*D270&gt;Valores!$F$34,Valores!$F$34,(Valores!$C$34)*D270)</f>
        <v>218.61</v>
      </c>
      <c r="AD270" s="140">
        <f t="shared" si="55"/>
        <v>0</v>
      </c>
      <c r="AE270" s="140">
        <f>IF(Valores!$C$35*D270&gt;Valores!$F$35,Valores!$F$35,Valores!$C$35*D270)</f>
        <v>182.07</v>
      </c>
      <c r="AF270" s="144">
        <v>0</v>
      </c>
      <c r="AG270" s="140">
        <f>INT(((AF270*Valores!$C$2)*100)+0.5)/100</f>
        <v>0</v>
      </c>
      <c r="AH270" s="140">
        <f>IF($H$5="NO",IF(Valores!$D$60*'Escala Docente'!D270&gt;Valores!$F$60,Valores!$F$60,Valores!$D$60*'Escala Docente'!D270),IF(Valores!$D$60*'Escala Docente'!D270&gt;Valores!$F$60,Valores!$F$60,Valores!$D$60*'Escala Docente'!D270)/2)</f>
        <v>739.88599999999997</v>
      </c>
      <c r="AI270" s="140">
        <f>IF($H$5="NO",IF(Valores!$D$62*D270&gt;Valores!$F$62,Valores!$F$62,Valores!$D$62*D270),IF(Valores!$D$62*D270&gt;Valores!$F$62,Valores!$F$62,Valores!$D$62*D270)/2)</f>
        <v>211.60999999999999</v>
      </c>
      <c r="AJ270" s="146">
        <f t="shared" si="56"/>
        <v>47977.411000000007</v>
      </c>
      <c r="AK270" s="154">
        <f>IF(Valores!$C$38*D270&gt;Valores!$F$38,Valores!$F$38,Valores!$C$38*D270)</f>
        <v>1905.3300000000002</v>
      </c>
      <c r="AL270" s="143">
        <f>IF(Valores!$C$88*D270&gt;Valores!$C$87,Valores!$C$87,Valores!$C$88*D270)</f>
        <v>2388.7499999999995</v>
      </c>
      <c r="AM270" s="143"/>
      <c r="AN270" s="145">
        <f>IF($H$4="NO",0,IF(Valores!$C$59*D270&gt;Valores!$F$59,Valores!$F$59,Valores!$C$59*D270))</f>
        <v>0</v>
      </c>
      <c r="AO270" s="147">
        <f t="shared" si="57"/>
        <v>4294.08</v>
      </c>
      <c r="AP270" s="148">
        <f>AJ270*Valores!$C$69</f>
        <v>-5277.5152100000005</v>
      </c>
      <c r="AQ270" s="149">
        <f>AJ270*-Valores!$C$70</f>
        <v>0</v>
      </c>
      <c r="AR270" s="142">
        <f>AJ270*Valores!$C$71</f>
        <v>-2158.9834950000004</v>
      </c>
      <c r="AS270" s="142">
        <f>Valores!$C$95</f>
        <v>-193.38</v>
      </c>
      <c r="AT270" s="142">
        <f>IF($H$6=0,Valores!$C$96,(Valores!$C$96+$H$6*(Valores!$C$96)))</f>
        <v>-129</v>
      </c>
      <c r="AU270" s="146">
        <f t="shared" si="58"/>
        <v>44512.612295000006</v>
      </c>
      <c r="AV270" s="199">
        <f t="shared" si="54"/>
        <v>-5277.5152100000005</v>
      </c>
      <c r="AW270" s="142">
        <f>AJ270*Valores!$C$72</f>
        <v>-1295.3900970000002</v>
      </c>
      <c r="AX270" s="142">
        <f>AJ270*Valores!$C$73</f>
        <v>-143.93223300000002</v>
      </c>
      <c r="AY270" s="146">
        <f t="shared" si="59"/>
        <v>45554.653460000009</v>
      </c>
      <c r="AZ270" s="150"/>
      <c r="BA270" s="150">
        <f t="shared" si="49"/>
        <v>84</v>
      </c>
      <c r="BB270" s="135" t="s">
        <v>4</v>
      </c>
    </row>
    <row r="271" spans="1:54" s="114" customFormat="1" ht="11.25" customHeight="1" x14ac:dyDescent="0.15">
      <c r="A271" s="134">
        <v>269</v>
      </c>
      <c r="B271" s="134"/>
      <c r="C271" s="135" t="s">
        <v>497</v>
      </c>
      <c r="D271" s="135">
        <v>21</v>
      </c>
      <c r="E271" s="135">
        <f t="shared" si="51"/>
        <v>42</v>
      </c>
      <c r="F271" s="136" t="str">
        <f>CONCATENATE("Hora Cátedra Enseñanza Media ",D271," hs Esc Esp")</f>
        <v>Hora Cátedra Enseñanza Media 21 hs Esc Esp</v>
      </c>
      <c r="G271" s="137">
        <f t="shared" si="50"/>
        <v>1659</v>
      </c>
      <c r="H271" s="138">
        <f>INT((G271*Valores!$C$2*100)+0.49)/100</f>
        <v>20615.900000000001</v>
      </c>
      <c r="I271" s="156">
        <v>0</v>
      </c>
      <c r="J271" s="140">
        <f>INT((I271*Valores!$C$2*100)+0.5)/100</f>
        <v>0</v>
      </c>
      <c r="K271" s="155">
        <v>0</v>
      </c>
      <c r="L271" s="140">
        <f>INT((K271*Valores!$C$2*100)+0.5)/100</f>
        <v>0</v>
      </c>
      <c r="M271" s="153">
        <v>0</v>
      </c>
      <c r="N271" s="140">
        <f>INT((M271*Valores!$C$2*100)+0.5)/100</f>
        <v>0</v>
      </c>
      <c r="O271" s="140">
        <f t="shared" si="52"/>
        <v>3789.4170000000004</v>
      </c>
      <c r="P271" s="140">
        <f t="shared" si="53"/>
        <v>0</v>
      </c>
      <c r="Q271" s="154">
        <f>Valores!$C$14*D271</f>
        <v>8849.82</v>
      </c>
      <c r="R271" s="154">
        <f>IF(D271&lt;15,(Valores!$E$4*D271),Valores!$D$4)</f>
        <v>6352.5280000000002</v>
      </c>
      <c r="S271" s="140">
        <v>0</v>
      </c>
      <c r="T271" s="143">
        <f>IF($H$5="NO",IF(Valores!$C$47*D271&gt;Valores!$C$45,Valores!$C$45,Valores!$C$47*D271),IF(Valores!$C$47*D271&gt;Valores!$C$45,Valores!$C$45,Valores!$C$47*D271)/2)</f>
        <v>1863.3300000000002</v>
      </c>
      <c r="U271" s="154">
        <f>Valores!$C$24*D271</f>
        <v>2783.55</v>
      </c>
      <c r="V271" s="140">
        <f t="shared" si="48"/>
        <v>2783.55</v>
      </c>
      <c r="W271" s="140">
        <v>0</v>
      </c>
      <c r="X271" s="140">
        <v>0</v>
      </c>
      <c r="Y271" s="160">
        <v>0</v>
      </c>
      <c r="Z271" s="140">
        <f>Y271*Valores!$C$2</f>
        <v>0</v>
      </c>
      <c r="AA271" s="140">
        <v>0</v>
      </c>
      <c r="AB271" s="143">
        <f>IF(Valores!$C$93*D271&gt;Valores!$C$92,Valores!$C$92,Valores!$C$93*D271)</f>
        <v>2370.69</v>
      </c>
      <c r="AC271" s="145">
        <f>IF((Valores!$C$34)*D271&gt;Valores!$F$34,Valores!$F$34,(Valores!$C$34)*D271)</f>
        <v>218.61</v>
      </c>
      <c r="AD271" s="140">
        <f t="shared" si="55"/>
        <v>0</v>
      </c>
      <c r="AE271" s="140">
        <f>IF(Valores!$C$35*D271&gt;Valores!$F$35,Valores!$F$35,Valores!$C$35*D271)</f>
        <v>182.07</v>
      </c>
      <c r="AF271" s="144">
        <v>94</v>
      </c>
      <c r="AG271" s="140">
        <f>INT(((AF271*Valores!$C$2)*100)+0.5)/100</f>
        <v>1168.1099999999999</v>
      </c>
      <c r="AH271" s="140">
        <f>IF($H$5="NO",IF(Valores!$D$60*'Escala Docente'!D271&gt;Valores!$F$60,Valores!$F$60,Valores!$D$60*'Escala Docente'!D271),IF(Valores!$D$60*'Escala Docente'!D271&gt;Valores!$F$60,Valores!$F$60,Valores!$D$60*'Escala Docente'!D271)/2)</f>
        <v>739.88599999999997</v>
      </c>
      <c r="AI271" s="140">
        <f>IF($H$5="NO",IF(Valores!$D$62*D271&gt;Valores!$F$62,Valores!$F$62,Valores!$D$62*D271),IF(Valores!$D$62*D271&gt;Valores!$F$62,Valores!$F$62,Valores!$D$62*D271)/2)</f>
        <v>211.60999999999999</v>
      </c>
      <c r="AJ271" s="146">
        <f t="shared" si="56"/>
        <v>49145.521000000008</v>
      </c>
      <c r="AK271" s="154">
        <f>IF(Valores!$C$38*D271&gt;Valores!$F$38,Valores!$F$38,Valores!$C$38*D271)</f>
        <v>1905.3300000000002</v>
      </c>
      <c r="AL271" s="143">
        <f>IF(Valores!$C$88*D271&gt;Valores!$C$87,Valores!$C$87,Valores!$C$88*D271)</f>
        <v>2388.7499999999995</v>
      </c>
      <c r="AM271" s="143"/>
      <c r="AN271" s="145">
        <f>IF($H$4="NO",0,IF(Valores!$C$59*D271&gt;Valores!$F$59,Valores!$F$59,Valores!$C$59*D271))</f>
        <v>0</v>
      </c>
      <c r="AO271" s="147">
        <f t="shared" si="57"/>
        <v>4294.08</v>
      </c>
      <c r="AP271" s="148">
        <f>AJ271*Valores!$C$69</f>
        <v>-5406.0073100000009</v>
      </c>
      <c r="AQ271" s="149">
        <f>AJ271*-Valores!$C$70</f>
        <v>0</v>
      </c>
      <c r="AR271" s="142">
        <f>AJ271*Valores!$C$71</f>
        <v>-2211.5484450000004</v>
      </c>
      <c r="AS271" s="142">
        <f>Valores!$C$95</f>
        <v>-193.38</v>
      </c>
      <c r="AT271" s="142">
        <f>IF($H$6=0,Valores!$C$96,(Valores!$C$96+$H$6*(Valores!$C$96)))</f>
        <v>-129</v>
      </c>
      <c r="AU271" s="146">
        <f t="shared" si="58"/>
        <v>45499.665245000004</v>
      </c>
      <c r="AV271" s="199">
        <f t="shared" si="54"/>
        <v>-5406.0073100000009</v>
      </c>
      <c r="AW271" s="142">
        <f>AJ271*Valores!$C$72</f>
        <v>-1326.9290670000003</v>
      </c>
      <c r="AX271" s="142">
        <f>AJ271*Valores!$C$73</f>
        <v>-147.43656300000004</v>
      </c>
      <c r="AY271" s="146">
        <f t="shared" si="59"/>
        <v>46559.228060000009</v>
      </c>
      <c r="AZ271" s="150"/>
      <c r="BA271" s="150">
        <f t="shared" si="49"/>
        <v>84</v>
      </c>
      <c r="BB271" s="135" t="s">
        <v>4</v>
      </c>
    </row>
    <row r="272" spans="1:54" s="114" customFormat="1" ht="11.25" customHeight="1" x14ac:dyDescent="0.15">
      <c r="A272" s="152">
        <v>270</v>
      </c>
      <c r="B272" s="152" t="s">
        <v>139</v>
      </c>
      <c r="C272" s="135" t="s">
        <v>497</v>
      </c>
      <c r="D272" s="135">
        <v>22</v>
      </c>
      <c r="E272" s="135">
        <f t="shared" si="51"/>
        <v>34</v>
      </c>
      <c r="F272" s="136" t="str">
        <f>CONCATENATE("Hora Cátedra Enseñanza Media ",D272," hs")</f>
        <v>Hora Cátedra Enseñanza Media 22 hs</v>
      </c>
      <c r="G272" s="137">
        <f t="shared" si="50"/>
        <v>1738</v>
      </c>
      <c r="H272" s="138">
        <f>INT((G272*Valores!$C$2*100)+0.49)/100</f>
        <v>21597.599999999999</v>
      </c>
      <c r="I272" s="156">
        <v>0</v>
      </c>
      <c r="J272" s="140">
        <f>INT((I272*Valores!$C$2*100)+0.5)/100</f>
        <v>0</v>
      </c>
      <c r="K272" s="155">
        <v>0</v>
      </c>
      <c r="L272" s="140">
        <f>INT((K272*Valores!$C$2*100)+0.5)/100</f>
        <v>0</v>
      </c>
      <c r="M272" s="153">
        <v>0</v>
      </c>
      <c r="N272" s="140">
        <f>INT((M272*Valores!$C$2*100)+0.5)/100</f>
        <v>0</v>
      </c>
      <c r="O272" s="140">
        <f t="shared" si="52"/>
        <v>3969.8639999999996</v>
      </c>
      <c r="P272" s="140">
        <f t="shared" si="53"/>
        <v>0</v>
      </c>
      <c r="Q272" s="154">
        <f>Valores!$C$14*D272</f>
        <v>9271.24</v>
      </c>
      <c r="R272" s="154">
        <f>IF(D272&lt;15,(Valores!$E$4*D272),Valores!$D$4)</f>
        <v>6352.5280000000002</v>
      </c>
      <c r="S272" s="140">
        <v>0</v>
      </c>
      <c r="T272" s="143">
        <f>IF($H$5="NO",IF(Valores!$C$47*D272&gt;Valores!$C$45,Valores!$C$45,Valores!$C$47*D272),IF(Valores!$C$47*D272&gt;Valores!$C$45,Valores!$C$45,Valores!$C$47*D272)/2)</f>
        <v>1952.0600000000002</v>
      </c>
      <c r="U272" s="154">
        <f>Valores!$C$24*D272</f>
        <v>2916.1000000000004</v>
      </c>
      <c r="V272" s="140">
        <f t="shared" si="48"/>
        <v>2916.1000000000004</v>
      </c>
      <c r="W272" s="140">
        <v>0</v>
      </c>
      <c r="X272" s="140">
        <v>0</v>
      </c>
      <c r="Y272" s="160">
        <v>0</v>
      </c>
      <c r="Z272" s="140">
        <f>Y272*Valores!$C$2</f>
        <v>0</v>
      </c>
      <c r="AA272" s="140">
        <v>0</v>
      </c>
      <c r="AB272" s="143">
        <f>IF(Valores!$C$93*D272&gt;Valores!$C$92,Valores!$C$92,Valores!$C$93*D272)</f>
        <v>2483.58</v>
      </c>
      <c r="AC272" s="145">
        <f>IF((Valores!$C$34)*D272&gt;Valores!$F$34,Valores!$F$34,(Valores!$C$34)*D272)</f>
        <v>229.02</v>
      </c>
      <c r="AD272" s="140">
        <f t="shared" si="55"/>
        <v>0</v>
      </c>
      <c r="AE272" s="140">
        <f>IF(Valores!$C$35*D272&gt;Valores!$F$35,Valores!$F$35,Valores!$C$35*D272)</f>
        <v>190.74</v>
      </c>
      <c r="AF272" s="144">
        <v>0</v>
      </c>
      <c r="AG272" s="140">
        <f>INT(((AF272*Valores!$C$2)*100)+0.5)/100</f>
        <v>0</v>
      </c>
      <c r="AH272" s="140">
        <f>IF($H$5="NO",IF(Valores!$D$60*'Escala Docente'!D272&gt;Valores!$F$60,Valores!$F$60,Valores!$D$60*'Escala Docente'!D272),IF(Valores!$D$60*'Escala Docente'!D272&gt;Valores!$F$60,Valores!$F$60,Valores!$D$60*'Escala Docente'!D272)/2)</f>
        <v>775.11866666666663</v>
      </c>
      <c r="AI272" s="140">
        <f>IF($H$5="NO",IF(Valores!$D$62*D272&gt;Valores!$F$62,Valores!$F$62,Valores!$D$62*D272),IF(Valores!$D$62*D272&gt;Valores!$F$62,Valores!$F$62,Valores!$D$62*D272)/2)</f>
        <v>221.68666666666667</v>
      </c>
      <c r="AJ272" s="146">
        <f t="shared" si="56"/>
        <v>49959.537333333326</v>
      </c>
      <c r="AK272" s="154">
        <f>IF(Valores!$C$38*D272&gt;Valores!$F$38,Valores!$F$38,Valores!$C$38*D272)</f>
        <v>1996.0600000000002</v>
      </c>
      <c r="AL272" s="143">
        <f>IF(Valores!$C$88*D272&gt;Valores!$C$87,Valores!$C$87,Valores!$C$88*D272)</f>
        <v>2502.4999999999995</v>
      </c>
      <c r="AM272" s="143"/>
      <c r="AN272" s="145">
        <f>IF($H$4="NO",0,IF(Valores!$C$59*D272&gt;Valores!$F$59,Valores!$F$59,Valores!$C$59*D272))</f>
        <v>0</v>
      </c>
      <c r="AO272" s="147">
        <f t="shared" si="57"/>
        <v>4498.5599999999995</v>
      </c>
      <c r="AP272" s="148">
        <f>AJ272*Valores!$C$69</f>
        <v>-5495.5491066666664</v>
      </c>
      <c r="AQ272" s="149">
        <f>AJ272*-Valores!$C$70</f>
        <v>0</v>
      </c>
      <c r="AR272" s="142">
        <f>AJ272*Valores!$C$71</f>
        <v>-2248.1791799999996</v>
      </c>
      <c r="AS272" s="142">
        <f>Valores!$C$95</f>
        <v>-193.38</v>
      </c>
      <c r="AT272" s="142">
        <f>IF($H$6=0,Valores!$C$96,(Valores!$C$96+$H$6*(Valores!$C$96)))</f>
        <v>-129</v>
      </c>
      <c r="AU272" s="146">
        <f t="shared" si="58"/>
        <v>46391.989046666662</v>
      </c>
      <c r="AV272" s="199">
        <f t="shared" si="54"/>
        <v>-5495.5491066666664</v>
      </c>
      <c r="AW272" s="142">
        <f>AJ272*Valores!$C$72</f>
        <v>-1348.9075079999998</v>
      </c>
      <c r="AX272" s="142">
        <f>AJ272*Valores!$C$73</f>
        <v>-149.87861199999998</v>
      </c>
      <c r="AY272" s="146">
        <f t="shared" si="59"/>
        <v>47463.762106666662</v>
      </c>
      <c r="AZ272" s="150"/>
      <c r="BA272" s="150">
        <f t="shared" si="49"/>
        <v>88</v>
      </c>
      <c r="BB272" s="135" t="s">
        <v>4</v>
      </c>
    </row>
    <row r="273" spans="1:54" s="114" customFormat="1" ht="11.25" customHeight="1" x14ac:dyDescent="0.15">
      <c r="A273" s="134">
        <v>271</v>
      </c>
      <c r="B273" s="134"/>
      <c r="C273" s="135" t="s">
        <v>497</v>
      </c>
      <c r="D273" s="135">
        <v>22</v>
      </c>
      <c r="E273" s="135">
        <f t="shared" si="51"/>
        <v>42</v>
      </c>
      <c r="F273" s="136" t="str">
        <f>CONCATENATE("Hora Cátedra Enseñanza Media ",D273," hs Esc Esp")</f>
        <v>Hora Cátedra Enseñanza Media 22 hs Esc Esp</v>
      </c>
      <c r="G273" s="137">
        <f t="shared" si="50"/>
        <v>1738</v>
      </c>
      <c r="H273" s="138">
        <f>INT((G273*Valores!$C$2*100)+0.49)/100</f>
        <v>21597.599999999999</v>
      </c>
      <c r="I273" s="156">
        <v>0</v>
      </c>
      <c r="J273" s="140">
        <f>INT((I273*Valores!$C$2*100)+0.5)/100</f>
        <v>0</v>
      </c>
      <c r="K273" s="155">
        <v>0</v>
      </c>
      <c r="L273" s="140">
        <f>INT((K273*Valores!$C$2*100)+0.5)/100</f>
        <v>0</v>
      </c>
      <c r="M273" s="153">
        <v>0</v>
      </c>
      <c r="N273" s="140">
        <f>INT((M273*Valores!$C$2*100)+0.5)/100</f>
        <v>0</v>
      </c>
      <c r="O273" s="140">
        <f t="shared" si="52"/>
        <v>3969.8639999999996</v>
      </c>
      <c r="P273" s="140">
        <f t="shared" si="53"/>
        <v>0</v>
      </c>
      <c r="Q273" s="154">
        <f>Valores!$C$14*D273</f>
        <v>9271.24</v>
      </c>
      <c r="R273" s="154">
        <f>IF(D273&lt;15,(Valores!$E$4*D273),Valores!$D$4)</f>
        <v>6352.5280000000002</v>
      </c>
      <c r="S273" s="140">
        <v>0</v>
      </c>
      <c r="T273" s="143">
        <f>IF($H$5="NO",IF(Valores!$C$47*D273&gt;Valores!$C$45,Valores!$C$45,Valores!$C$47*D273),IF(Valores!$C$47*D273&gt;Valores!$C$45,Valores!$C$45,Valores!$C$47*D273)/2)</f>
        <v>1952.0600000000002</v>
      </c>
      <c r="U273" s="154">
        <f>Valores!$C$24*D273</f>
        <v>2916.1000000000004</v>
      </c>
      <c r="V273" s="140">
        <f t="shared" si="48"/>
        <v>2916.1000000000004</v>
      </c>
      <c r="W273" s="140">
        <v>0</v>
      </c>
      <c r="X273" s="140">
        <v>0</v>
      </c>
      <c r="Y273" s="160">
        <v>0</v>
      </c>
      <c r="Z273" s="140">
        <f>Y273*Valores!$C$2</f>
        <v>0</v>
      </c>
      <c r="AA273" s="140">
        <v>0</v>
      </c>
      <c r="AB273" s="143">
        <f>IF(Valores!$C$93*D273&gt;Valores!$C$92,Valores!$C$92,Valores!$C$93*D273)</f>
        <v>2483.58</v>
      </c>
      <c r="AC273" s="145">
        <f>IF((Valores!$C$34)*D273&gt;Valores!$F$34,Valores!$F$34,(Valores!$C$34)*D273)</f>
        <v>229.02</v>
      </c>
      <c r="AD273" s="140">
        <f t="shared" si="55"/>
        <v>0</v>
      </c>
      <c r="AE273" s="140">
        <f>IF(Valores!$C$35*D273&gt;Valores!$F$35,Valores!$F$35,Valores!$C$35*D273)</f>
        <v>190.74</v>
      </c>
      <c r="AF273" s="144">
        <v>94</v>
      </c>
      <c r="AG273" s="140">
        <f>INT(((AF273*Valores!$C$2)*100)+0.5)/100</f>
        <v>1168.1099999999999</v>
      </c>
      <c r="AH273" s="140">
        <f>IF($H$5="NO",IF(Valores!$D$60*'Escala Docente'!D273&gt;Valores!$F$60,Valores!$F$60,Valores!$D$60*'Escala Docente'!D273),IF(Valores!$D$60*'Escala Docente'!D273&gt;Valores!$F$60,Valores!$F$60,Valores!$D$60*'Escala Docente'!D273)/2)</f>
        <v>775.11866666666663</v>
      </c>
      <c r="AI273" s="140">
        <f>IF($H$5="NO",IF(Valores!$D$62*D273&gt;Valores!$F$62,Valores!$F$62,Valores!$D$62*D273),IF(Valores!$D$62*D273&gt;Valores!$F$62,Valores!$F$62,Valores!$D$62*D273)/2)</f>
        <v>221.68666666666667</v>
      </c>
      <c r="AJ273" s="146">
        <f t="shared" si="56"/>
        <v>51127.647333333327</v>
      </c>
      <c r="AK273" s="154">
        <f>IF(Valores!$C$38*D273&gt;Valores!$F$38,Valores!$F$38,Valores!$C$38*D273)</f>
        <v>1996.0600000000002</v>
      </c>
      <c r="AL273" s="143">
        <f>IF(Valores!$C$88*D273&gt;Valores!$C$87,Valores!$C$87,Valores!$C$88*D273)</f>
        <v>2502.4999999999995</v>
      </c>
      <c r="AM273" s="143"/>
      <c r="AN273" s="145">
        <f>IF($H$4="NO",0,IF(Valores!$C$59*D273&gt;Valores!$F$59,Valores!$F$59,Valores!$C$59*D273))</f>
        <v>0</v>
      </c>
      <c r="AO273" s="147">
        <f t="shared" si="57"/>
        <v>4498.5599999999995</v>
      </c>
      <c r="AP273" s="148">
        <f>AJ273*Valores!$C$69</f>
        <v>-5624.0412066666659</v>
      </c>
      <c r="AQ273" s="149">
        <f>AJ273*-Valores!$C$70</f>
        <v>0</v>
      </c>
      <c r="AR273" s="142">
        <f>AJ273*Valores!$C$71</f>
        <v>-2300.7441299999996</v>
      </c>
      <c r="AS273" s="142">
        <f>Valores!$C$95</f>
        <v>-193.38</v>
      </c>
      <c r="AT273" s="142">
        <f>IF($H$6=0,Valores!$C$96,(Valores!$C$96+$H$6*(Valores!$C$96)))</f>
        <v>-129</v>
      </c>
      <c r="AU273" s="146">
        <f t="shared" si="58"/>
        <v>47379.04199666666</v>
      </c>
      <c r="AV273" s="199">
        <f t="shared" si="54"/>
        <v>-5624.0412066666659</v>
      </c>
      <c r="AW273" s="142">
        <f>AJ273*Valores!$C$72</f>
        <v>-1380.4464779999998</v>
      </c>
      <c r="AX273" s="142">
        <f>AJ273*Valores!$C$73</f>
        <v>-153.38294199999999</v>
      </c>
      <c r="AY273" s="146">
        <f t="shared" si="59"/>
        <v>48468.336706666661</v>
      </c>
      <c r="AZ273" s="150"/>
      <c r="BA273" s="150">
        <f t="shared" si="49"/>
        <v>88</v>
      </c>
      <c r="BB273" s="135" t="s">
        <v>4</v>
      </c>
    </row>
    <row r="274" spans="1:54" s="114" customFormat="1" ht="11.25" customHeight="1" x14ac:dyDescent="0.15">
      <c r="A274" s="134">
        <v>272</v>
      </c>
      <c r="B274" s="134"/>
      <c r="C274" s="135" t="s">
        <v>497</v>
      </c>
      <c r="D274" s="135">
        <v>23</v>
      </c>
      <c r="E274" s="135">
        <f t="shared" si="51"/>
        <v>34</v>
      </c>
      <c r="F274" s="136" t="str">
        <f>CONCATENATE("Hora Cátedra Enseñanza Media ",D274," hs")</f>
        <v>Hora Cátedra Enseñanza Media 23 hs</v>
      </c>
      <c r="G274" s="137">
        <f t="shared" si="50"/>
        <v>1817</v>
      </c>
      <c r="H274" s="138">
        <f>INT((G274*Valores!$C$2*100)+0.49)/100</f>
        <v>22579.31</v>
      </c>
      <c r="I274" s="156">
        <v>0</v>
      </c>
      <c r="J274" s="140">
        <f>INT((I274*Valores!$C$2*100)+0.5)/100</f>
        <v>0</v>
      </c>
      <c r="K274" s="155">
        <v>0</v>
      </c>
      <c r="L274" s="140">
        <f>INT((K274*Valores!$C$2*100)+0.5)/100</f>
        <v>0</v>
      </c>
      <c r="M274" s="153">
        <v>0</v>
      </c>
      <c r="N274" s="140">
        <f>INT((M274*Valores!$C$2*100)+0.5)/100</f>
        <v>0</v>
      </c>
      <c r="O274" s="140">
        <f t="shared" si="52"/>
        <v>4150.3125</v>
      </c>
      <c r="P274" s="140">
        <f t="shared" si="53"/>
        <v>0</v>
      </c>
      <c r="Q274" s="154">
        <f>Valores!$C$14*D274</f>
        <v>9692.66</v>
      </c>
      <c r="R274" s="154">
        <f>IF(D274&lt;15,(Valores!$E$4*D274),Valores!$D$4)</f>
        <v>6352.5280000000002</v>
      </c>
      <c r="S274" s="140">
        <v>0</v>
      </c>
      <c r="T274" s="143">
        <f>IF($H$5="NO",IF(Valores!$C$47*D274&gt;Valores!$C$45,Valores!$C$45,Valores!$C$47*D274),IF(Valores!$C$47*D274&gt;Valores!$C$45,Valores!$C$45,Valores!$C$47*D274)/2)</f>
        <v>2040.7900000000002</v>
      </c>
      <c r="U274" s="154">
        <f>Valores!$C$24*D274</f>
        <v>3048.65</v>
      </c>
      <c r="V274" s="140">
        <f t="shared" si="48"/>
        <v>3048.65</v>
      </c>
      <c r="W274" s="140">
        <v>0</v>
      </c>
      <c r="X274" s="140">
        <v>0</v>
      </c>
      <c r="Y274" s="160">
        <v>0</v>
      </c>
      <c r="Z274" s="140">
        <f>Y274*Valores!$C$2</f>
        <v>0</v>
      </c>
      <c r="AA274" s="140">
        <v>0</v>
      </c>
      <c r="AB274" s="143">
        <f>IF(Valores!$C$93*D274&gt;Valores!$C$92,Valores!$C$92,Valores!$C$93*D274)</f>
        <v>2596.4699999999998</v>
      </c>
      <c r="AC274" s="145">
        <f>IF((Valores!$C$34)*D274&gt;Valores!$F$34,Valores!$F$34,(Valores!$C$34)*D274)</f>
        <v>239.43</v>
      </c>
      <c r="AD274" s="140">
        <f t="shared" si="55"/>
        <v>0</v>
      </c>
      <c r="AE274" s="140">
        <f>IF(Valores!$C$35*D274&gt;Valores!$F$35,Valores!$F$35,Valores!$C$35*D274)</f>
        <v>199.41</v>
      </c>
      <c r="AF274" s="144">
        <v>0</v>
      </c>
      <c r="AG274" s="140">
        <f>INT(((AF274*Valores!$C$2)*100)+0.5)/100</f>
        <v>0</v>
      </c>
      <c r="AH274" s="140">
        <f>IF($H$5="NO",IF(Valores!$D$60*'Escala Docente'!D274&gt;Valores!$F$60,Valores!$F$60,Valores!$D$60*'Escala Docente'!D274),IF(Valores!$D$60*'Escala Docente'!D274&gt;Valores!$F$60,Valores!$F$60,Valores!$D$60*'Escala Docente'!D274)/2)</f>
        <v>810.35133333333329</v>
      </c>
      <c r="AI274" s="140">
        <f>IF($H$5="NO",IF(Valores!$D$62*D274&gt;Valores!$F$62,Valores!$F$62,Valores!$D$62*D274),IF(Valores!$D$62*D274&gt;Valores!$F$62,Valores!$F$62,Valores!$D$62*D274)/2)</f>
        <v>231.76333333333332</v>
      </c>
      <c r="AJ274" s="146">
        <f t="shared" si="56"/>
        <v>51941.675166666675</v>
      </c>
      <c r="AK274" s="154">
        <f>IF(Valores!$C$38*D274&gt;Valores!$F$38,Valores!$F$38,Valores!$C$38*D274)</f>
        <v>2086.79</v>
      </c>
      <c r="AL274" s="143">
        <f>IF(Valores!$C$88*D274&gt;Valores!$C$87,Valores!$C$87,Valores!$C$88*D274)</f>
        <v>2616.2499999999995</v>
      </c>
      <c r="AM274" s="143"/>
      <c r="AN274" s="145">
        <f>IF($H$4="NO",0,IF(Valores!$C$59*D274&gt;Valores!$F$59,Valores!$F$59,Valores!$C$59*D274))</f>
        <v>0</v>
      </c>
      <c r="AO274" s="147">
        <f t="shared" si="57"/>
        <v>4703.0399999999991</v>
      </c>
      <c r="AP274" s="148">
        <f>AJ274*Valores!$C$69</f>
        <v>-5713.584268333334</v>
      </c>
      <c r="AQ274" s="149">
        <f>AJ274*-Valores!$C$70</f>
        <v>0</v>
      </c>
      <c r="AR274" s="142">
        <f>AJ274*Valores!$C$71</f>
        <v>-2337.3753825000003</v>
      </c>
      <c r="AS274" s="142">
        <f>Valores!$C$95</f>
        <v>-193.38</v>
      </c>
      <c r="AT274" s="142">
        <f>IF($H$6=0,Valores!$C$96,(Valores!$C$96+$H$6*(Valores!$C$96)))</f>
        <v>-129</v>
      </c>
      <c r="AU274" s="146">
        <f t="shared" si="58"/>
        <v>48271.375515833337</v>
      </c>
      <c r="AV274" s="199">
        <f t="shared" si="54"/>
        <v>-5713.584268333334</v>
      </c>
      <c r="AW274" s="142">
        <f>AJ274*Valores!$C$72</f>
        <v>-1402.4252295000001</v>
      </c>
      <c r="AX274" s="142">
        <f>AJ274*Valores!$C$73</f>
        <v>-155.82502550000004</v>
      </c>
      <c r="AY274" s="146">
        <f t="shared" si="59"/>
        <v>49372.880643333338</v>
      </c>
      <c r="AZ274" s="150"/>
      <c r="BA274" s="150">
        <f t="shared" si="49"/>
        <v>92</v>
      </c>
      <c r="BB274" s="135" t="s">
        <v>8</v>
      </c>
    </row>
    <row r="275" spans="1:54" s="114" customFormat="1" ht="11.25" customHeight="1" x14ac:dyDescent="0.15">
      <c r="A275" s="134">
        <v>273</v>
      </c>
      <c r="B275" s="134"/>
      <c r="C275" s="135" t="s">
        <v>497</v>
      </c>
      <c r="D275" s="135">
        <v>23</v>
      </c>
      <c r="E275" s="135">
        <f t="shared" si="51"/>
        <v>42</v>
      </c>
      <c r="F275" s="136" t="str">
        <f>CONCATENATE("Hora Cátedra Enseñanza Media ",D275," hs Esc Esp")</f>
        <v>Hora Cátedra Enseñanza Media 23 hs Esc Esp</v>
      </c>
      <c r="G275" s="137">
        <f t="shared" si="50"/>
        <v>1817</v>
      </c>
      <c r="H275" s="138">
        <f>INT((G275*Valores!$C$2*100)+0.49)/100</f>
        <v>22579.31</v>
      </c>
      <c r="I275" s="156">
        <v>0</v>
      </c>
      <c r="J275" s="140">
        <f>INT((I275*Valores!$C$2*100)+0.5)/100</f>
        <v>0</v>
      </c>
      <c r="K275" s="155">
        <v>0</v>
      </c>
      <c r="L275" s="140">
        <f>INT((K275*Valores!$C$2*100)+0.5)/100</f>
        <v>0</v>
      </c>
      <c r="M275" s="153">
        <v>0</v>
      </c>
      <c r="N275" s="140">
        <f>INT((M275*Valores!$C$2*100)+0.5)/100</f>
        <v>0</v>
      </c>
      <c r="O275" s="140">
        <f t="shared" si="52"/>
        <v>4150.3125</v>
      </c>
      <c r="P275" s="140">
        <f t="shared" si="53"/>
        <v>0</v>
      </c>
      <c r="Q275" s="154">
        <f>Valores!$C$14*D275</f>
        <v>9692.66</v>
      </c>
      <c r="R275" s="154">
        <f>IF(D275&lt;15,(Valores!$E$4*D275),Valores!$D$4)</f>
        <v>6352.5280000000002</v>
      </c>
      <c r="S275" s="140">
        <v>0</v>
      </c>
      <c r="T275" s="143">
        <f>IF($H$5="NO",IF(Valores!$C$47*D275&gt;Valores!$C$45,Valores!$C$45,Valores!$C$47*D275),IF(Valores!$C$47*D275&gt;Valores!$C$45,Valores!$C$45,Valores!$C$47*D275)/2)</f>
        <v>2040.7900000000002</v>
      </c>
      <c r="U275" s="154">
        <f>Valores!$C$24*D275</f>
        <v>3048.65</v>
      </c>
      <c r="V275" s="140">
        <f t="shared" si="48"/>
        <v>3048.65</v>
      </c>
      <c r="W275" s="140">
        <v>0</v>
      </c>
      <c r="X275" s="140">
        <v>0</v>
      </c>
      <c r="Y275" s="160">
        <v>0</v>
      </c>
      <c r="Z275" s="140">
        <f>Y275*Valores!$C$2</f>
        <v>0</v>
      </c>
      <c r="AA275" s="140">
        <v>0</v>
      </c>
      <c r="AB275" s="143">
        <f>IF(Valores!$C$93*D275&gt;Valores!$C$92,Valores!$C$92,Valores!$C$93*D275)</f>
        <v>2596.4699999999998</v>
      </c>
      <c r="AC275" s="145">
        <f>IF((Valores!$C$34)*D275&gt;Valores!$F$34,Valores!$F$34,(Valores!$C$34)*D275)</f>
        <v>239.43</v>
      </c>
      <c r="AD275" s="140">
        <f t="shared" si="55"/>
        <v>0</v>
      </c>
      <c r="AE275" s="140">
        <f>IF(Valores!$C$35*D275&gt;Valores!$F$35,Valores!$F$35,Valores!$C$35*D275)</f>
        <v>199.41</v>
      </c>
      <c r="AF275" s="144">
        <v>94</v>
      </c>
      <c r="AG275" s="140">
        <f>INT(((AF275*Valores!$C$2)*100)+0.5)/100</f>
        <v>1168.1099999999999</v>
      </c>
      <c r="AH275" s="140">
        <f>IF($H$5="NO",IF(Valores!$D$60*'Escala Docente'!D275&gt;Valores!$F$60,Valores!$F$60,Valores!$D$60*'Escala Docente'!D275),IF(Valores!$D$60*'Escala Docente'!D275&gt;Valores!$F$60,Valores!$F$60,Valores!$D$60*'Escala Docente'!D275)/2)</f>
        <v>810.35133333333329</v>
      </c>
      <c r="AI275" s="140">
        <f>IF($H$5="NO",IF(Valores!$D$62*D275&gt;Valores!$F$62,Valores!$F$62,Valores!$D$62*D275),IF(Valores!$D$62*D275&gt;Valores!$F$62,Valores!$F$62,Valores!$D$62*D275)/2)</f>
        <v>231.76333333333332</v>
      </c>
      <c r="AJ275" s="146">
        <f t="shared" si="56"/>
        <v>53109.785166666676</v>
      </c>
      <c r="AK275" s="154">
        <f>IF(Valores!$C$38*D275&gt;Valores!$F$38,Valores!$F$38,Valores!$C$38*D275)</f>
        <v>2086.79</v>
      </c>
      <c r="AL275" s="143">
        <f>IF(Valores!$C$88*D275&gt;Valores!$C$87,Valores!$C$87,Valores!$C$88*D275)</f>
        <v>2616.2499999999995</v>
      </c>
      <c r="AM275" s="143"/>
      <c r="AN275" s="145">
        <f>IF($H$4="NO",0,IF(Valores!$C$59*D275&gt;Valores!$F$59,Valores!$F$59,Valores!$C$59*D275))</f>
        <v>0</v>
      </c>
      <c r="AO275" s="147">
        <f t="shared" si="57"/>
        <v>4703.0399999999991</v>
      </c>
      <c r="AP275" s="148">
        <f>AJ275*Valores!$C$69</f>
        <v>-5842.0763683333344</v>
      </c>
      <c r="AQ275" s="149">
        <f>AJ275*-Valores!$C$70</f>
        <v>0</v>
      </c>
      <c r="AR275" s="142">
        <f>AJ275*Valores!$C$71</f>
        <v>-2389.9403325000003</v>
      </c>
      <c r="AS275" s="142">
        <f>Valores!$C$95</f>
        <v>-193.38</v>
      </c>
      <c r="AT275" s="142">
        <f>IF($H$6=0,Valores!$C$96,(Valores!$C$96+$H$6*(Valores!$C$96)))</f>
        <v>-129</v>
      </c>
      <c r="AU275" s="146">
        <f t="shared" si="58"/>
        <v>49258.428465833342</v>
      </c>
      <c r="AV275" s="199">
        <f t="shared" si="54"/>
        <v>-5842.0763683333344</v>
      </c>
      <c r="AW275" s="142">
        <f>AJ275*Valores!$C$72</f>
        <v>-1433.9641995000002</v>
      </c>
      <c r="AX275" s="142">
        <f>AJ275*Valores!$C$73</f>
        <v>-159.32935550000002</v>
      </c>
      <c r="AY275" s="146">
        <f t="shared" si="59"/>
        <v>50377.455243333345</v>
      </c>
      <c r="AZ275" s="150"/>
      <c r="BA275" s="150">
        <f t="shared" si="49"/>
        <v>92</v>
      </c>
      <c r="BB275" s="135" t="s">
        <v>8</v>
      </c>
    </row>
    <row r="276" spans="1:54" s="114" customFormat="1" ht="11.25" customHeight="1" x14ac:dyDescent="0.15">
      <c r="A276" s="134">
        <v>274</v>
      </c>
      <c r="B276" s="134"/>
      <c r="C276" s="135" t="s">
        <v>497</v>
      </c>
      <c r="D276" s="135">
        <v>24</v>
      </c>
      <c r="E276" s="135">
        <f t="shared" si="51"/>
        <v>34</v>
      </c>
      <c r="F276" s="136" t="str">
        <f>CONCATENATE("Hora Cátedra Enseñanza Media ",D276," hs")</f>
        <v>Hora Cátedra Enseñanza Media 24 hs</v>
      </c>
      <c r="G276" s="137">
        <f t="shared" si="50"/>
        <v>1896</v>
      </c>
      <c r="H276" s="138">
        <f>INT((G276*Valores!$C$2*100)+0.49)/100</f>
        <v>23561.02</v>
      </c>
      <c r="I276" s="156">
        <v>0</v>
      </c>
      <c r="J276" s="140">
        <f>INT((I276*Valores!$C$2*100)+0.5)/100</f>
        <v>0</v>
      </c>
      <c r="K276" s="155">
        <v>0</v>
      </c>
      <c r="L276" s="140">
        <f>INT((K276*Valores!$C$2*100)+0.5)/100</f>
        <v>0</v>
      </c>
      <c r="M276" s="153">
        <v>0</v>
      </c>
      <c r="N276" s="140">
        <f>INT((M276*Valores!$C$2*100)+0.5)/100</f>
        <v>0</v>
      </c>
      <c r="O276" s="140">
        <f t="shared" si="52"/>
        <v>4330.7610000000004</v>
      </c>
      <c r="P276" s="140">
        <f t="shared" si="53"/>
        <v>0</v>
      </c>
      <c r="Q276" s="154">
        <f>Valores!$C$14*D276</f>
        <v>10114.08</v>
      </c>
      <c r="R276" s="154">
        <f>IF(D276&lt;15,(Valores!$E$4*D276),Valores!$D$4)</f>
        <v>6352.5280000000002</v>
      </c>
      <c r="S276" s="140">
        <v>0</v>
      </c>
      <c r="T276" s="143">
        <f>IF($H$5="NO",IF(Valores!$C$47*D276&gt;Valores!$C$45,Valores!$C$45,Valores!$C$47*D276),IF(Valores!$C$47*D276&gt;Valores!$C$45,Valores!$C$45,Valores!$C$47*D276)/2)</f>
        <v>2129.52</v>
      </c>
      <c r="U276" s="154">
        <f>Valores!$C$24*D276</f>
        <v>3181.2000000000003</v>
      </c>
      <c r="V276" s="140">
        <f t="shared" si="48"/>
        <v>3181.2000000000003</v>
      </c>
      <c r="W276" s="140">
        <v>0</v>
      </c>
      <c r="X276" s="140">
        <v>0</v>
      </c>
      <c r="Y276" s="160">
        <v>0</v>
      </c>
      <c r="Z276" s="140">
        <f>Y276*Valores!$C$2</f>
        <v>0</v>
      </c>
      <c r="AA276" s="140">
        <v>0</v>
      </c>
      <c r="AB276" s="143">
        <f>IF(Valores!$C$93*D276&gt;Valores!$C$92,Valores!$C$92,Valores!$C$93*D276)</f>
        <v>2709.36</v>
      </c>
      <c r="AC276" s="145">
        <f>IF((Valores!$C$34)*D276&gt;Valores!$F$34,Valores!$F$34,(Valores!$C$34)*D276)</f>
        <v>249.84</v>
      </c>
      <c r="AD276" s="140">
        <f t="shared" si="55"/>
        <v>0</v>
      </c>
      <c r="AE276" s="140">
        <f>IF(Valores!$C$35*D276&gt;Valores!$F$35,Valores!$F$35,Valores!$C$35*D276)</f>
        <v>208.07999999999998</v>
      </c>
      <c r="AF276" s="144">
        <v>0</v>
      </c>
      <c r="AG276" s="140">
        <f>INT(((AF276*Valores!$C$2)*100)+0.5)/100</f>
        <v>0</v>
      </c>
      <c r="AH276" s="140">
        <f>IF($H$5="NO",IF(Valores!$D$60*'Escala Docente'!D276&gt;Valores!$F$60,Valores!$F$60,Valores!$D$60*'Escala Docente'!D276),IF(Valores!$D$60*'Escala Docente'!D276&gt;Valores!$F$60,Valores!$F$60,Valores!$D$60*'Escala Docente'!D276)/2)</f>
        <v>845.58400000000006</v>
      </c>
      <c r="AI276" s="140">
        <f>IF($H$5="NO",IF(Valores!$D$62*D276&gt;Valores!$F$62,Valores!$F$62,Valores!$D$62*D276),IF(Valores!$D$62*D276&gt;Valores!$F$62,Valores!$F$62,Valores!$D$62*D276)/2)</f>
        <v>241.83999999999997</v>
      </c>
      <c r="AJ276" s="146">
        <f t="shared" si="56"/>
        <v>53923.812999999995</v>
      </c>
      <c r="AK276" s="154">
        <f>IF(Valores!$C$38*D276&gt;Valores!$F$38,Valores!$F$38,Valores!$C$38*D276)</f>
        <v>2177.52</v>
      </c>
      <c r="AL276" s="143">
        <f>IF(Valores!$C$88*D276&gt;Valores!$C$87,Valores!$C$87,Valores!$C$88*D276)</f>
        <v>2729.9999999999995</v>
      </c>
      <c r="AM276" s="143"/>
      <c r="AN276" s="145">
        <f>IF($H$4="NO",0,IF(Valores!$C$59*D276&gt;Valores!$F$59,Valores!$F$59,Valores!$C$59*D276))</f>
        <v>0</v>
      </c>
      <c r="AO276" s="147">
        <f t="shared" si="57"/>
        <v>4907.5199999999995</v>
      </c>
      <c r="AP276" s="148">
        <f>AJ276*Valores!$C$69</f>
        <v>-5931.6194299999997</v>
      </c>
      <c r="AQ276" s="149">
        <f>AJ276*-Valores!$C$70</f>
        <v>0</v>
      </c>
      <c r="AR276" s="142">
        <f>AJ276*Valores!$C$71</f>
        <v>-2426.5715849999997</v>
      </c>
      <c r="AS276" s="142">
        <f>Valores!$C$95</f>
        <v>-193.38</v>
      </c>
      <c r="AT276" s="142">
        <f>IF($H$6=0,Valores!$C$96,(Valores!$C$96+$H$6*(Valores!$C$96)))</f>
        <v>-129</v>
      </c>
      <c r="AU276" s="146">
        <f t="shared" si="58"/>
        <v>50150.761984999997</v>
      </c>
      <c r="AV276" s="199">
        <f t="shared" si="54"/>
        <v>-5931.6194299999997</v>
      </c>
      <c r="AW276" s="142">
        <f>AJ276*Valores!$C$72</f>
        <v>-1455.9429509999998</v>
      </c>
      <c r="AX276" s="142">
        <f>AJ276*Valores!$C$73</f>
        <v>-161.77143899999999</v>
      </c>
      <c r="AY276" s="146">
        <f t="shared" si="59"/>
        <v>51281.999179999992</v>
      </c>
      <c r="AZ276" s="150"/>
      <c r="BA276" s="150">
        <f t="shared" si="49"/>
        <v>96</v>
      </c>
      <c r="BB276" s="135" t="s">
        <v>8</v>
      </c>
    </row>
    <row r="277" spans="1:54" s="114" customFormat="1" ht="11.25" customHeight="1" x14ac:dyDescent="0.15">
      <c r="A277" s="152">
        <v>275</v>
      </c>
      <c r="B277" s="152" t="s">
        <v>139</v>
      </c>
      <c r="C277" s="135" t="s">
        <v>497</v>
      </c>
      <c r="D277" s="135">
        <v>24</v>
      </c>
      <c r="E277" s="135">
        <f t="shared" si="51"/>
        <v>42</v>
      </c>
      <c r="F277" s="136" t="str">
        <f>CONCATENATE("Hora Cátedra Enseñanza Media ",D277," hs Esc Esp")</f>
        <v>Hora Cátedra Enseñanza Media 24 hs Esc Esp</v>
      </c>
      <c r="G277" s="137">
        <f t="shared" si="50"/>
        <v>1896</v>
      </c>
      <c r="H277" s="138">
        <f>INT((G277*Valores!$C$2*100)+0.49)/100</f>
        <v>23561.02</v>
      </c>
      <c r="I277" s="156">
        <v>0</v>
      </c>
      <c r="J277" s="140">
        <f>INT((I277*Valores!$C$2*100)+0.5)/100</f>
        <v>0</v>
      </c>
      <c r="K277" s="155">
        <v>0</v>
      </c>
      <c r="L277" s="140">
        <f>INT((K277*Valores!$C$2*100)+0.5)/100</f>
        <v>0</v>
      </c>
      <c r="M277" s="153">
        <v>0</v>
      </c>
      <c r="N277" s="140">
        <f>INT((M277*Valores!$C$2*100)+0.5)/100</f>
        <v>0</v>
      </c>
      <c r="O277" s="140">
        <f t="shared" si="52"/>
        <v>4330.7610000000004</v>
      </c>
      <c r="P277" s="140">
        <f t="shared" si="53"/>
        <v>0</v>
      </c>
      <c r="Q277" s="154">
        <f>Valores!$C$14*D277</f>
        <v>10114.08</v>
      </c>
      <c r="R277" s="154">
        <f>IF(D277&lt;15,(Valores!$E$4*D277),Valores!$D$4)</f>
        <v>6352.5280000000002</v>
      </c>
      <c r="S277" s="140">
        <v>0</v>
      </c>
      <c r="T277" s="143">
        <f>IF($H$5="NO",IF(Valores!$C$47*D277&gt;Valores!$C$45,Valores!$C$45,Valores!$C$47*D277),IF(Valores!$C$47*D277&gt;Valores!$C$45,Valores!$C$45,Valores!$C$47*D277)/2)</f>
        <v>2129.52</v>
      </c>
      <c r="U277" s="154">
        <f>Valores!$C$24*D277</f>
        <v>3181.2000000000003</v>
      </c>
      <c r="V277" s="140">
        <f t="shared" si="48"/>
        <v>3181.2000000000003</v>
      </c>
      <c r="W277" s="140">
        <v>0</v>
      </c>
      <c r="X277" s="140">
        <v>0</v>
      </c>
      <c r="Y277" s="160">
        <v>0</v>
      </c>
      <c r="Z277" s="140">
        <f>Y277*Valores!$C$2</f>
        <v>0</v>
      </c>
      <c r="AA277" s="140">
        <v>0</v>
      </c>
      <c r="AB277" s="143">
        <f>IF(Valores!$C$93*D277&gt;Valores!$C$92,Valores!$C$92,Valores!$C$93*D277)</f>
        <v>2709.36</v>
      </c>
      <c r="AC277" s="145">
        <f>IF((Valores!$C$34)*D277&gt;Valores!$F$34,Valores!$F$34,(Valores!$C$34)*D277)</f>
        <v>249.84</v>
      </c>
      <c r="AD277" s="140">
        <f t="shared" si="55"/>
        <v>0</v>
      </c>
      <c r="AE277" s="140">
        <f>IF(Valores!$C$35*D277&gt;Valores!$F$35,Valores!$F$35,Valores!$C$35*D277)</f>
        <v>208.07999999999998</v>
      </c>
      <c r="AF277" s="144">
        <v>94</v>
      </c>
      <c r="AG277" s="140">
        <f>INT(((AF277*Valores!$C$2)*100)+0.5)/100</f>
        <v>1168.1099999999999</v>
      </c>
      <c r="AH277" s="140">
        <f>IF($H$5="NO",IF(Valores!$D$60*'Escala Docente'!D277&gt;Valores!$F$60,Valores!$F$60,Valores!$D$60*'Escala Docente'!D277),IF(Valores!$D$60*'Escala Docente'!D277&gt;Valores!$F$60,Valores!$F$60,Valores!$D$60*'Escala Docente'!D277)/2)</f>
        <v>845.58400000000006</v>
      </c>
      <c r="AI277" s="140">
        <f>IF($H$5="NO",IF(Valores!$D$62*D277&gt;Valores!$F$62,Valores!$F$62,Valores!$D$62*D277),IF(Valores!$D$62*D277&gt;Valores!$F$62,Valores!$F$62,Valores!$D$62*D277)/2)</f>
        <v>241.83999999999997</v>
      </c>
      <c r="AJ277" s="146">
        <f t="shared" si="56"/>
        <v>55091.922999999995</v>
      </c>
      <c r="AK277" s="154">
        <f>IF(Valores!$C$38*D277&gt;Valores!$F$38,Valores!$F$38,Valores!$C$38*D277)</f>
        <v>2177.52</v>
      </c>
      <c r="AL277" s="143">
        <f>IF(Valores!$C$88*D277&gt;Valores!$C$87,Valores!$C$87,Valores!$C$88*D277)</f>
        <v>2729.9999999999995</v>
      </c>
      <c r="AM277" s="143"/>
      <c r="AN277" s="145">
        <f>IF($H$4="NO",0,IF(Valores!$C$59*D277&gt;Valores!$F$59,Valores!$F$59,Valores!$C$59*D277))</f>
        <v>0</v>
      </c>
      <c r="AO277" s="147">
        <f t="shared" si="57"/>
        <v>4907.5199999999995</v>
      </c>
      <c r="AP277" s="148">
        <f>AJ277*Valores!$C$69</f>
        <v>-6060.1115299999992</v>
      </c>
      <c r="AQ277" s="149">
        <f>AJ277*-Valores!$C$70</f>
        <v>0</v>
      </c>
      <c r="AR277" s="142">
        <f>AJ277*Valores!$C$71</f>
        <v>-2479.1365349999996</v>
      </c>
      <c r="AS277" s="142">
        <f>Valores!$C$95</f>
        <v>-193.38</v>
      </c>
      <c r="AT277" s="142">
        <f>IF($H$6=0,Valores!$C$96,(Valores!$C$96+$H$6*(Valores!$C$96)))</f>
        <v>-129</v>
      </c>
      <c r="AU277" s="146">
        <f t="shared" si="58"/>
        <v>51137.814934999995</v>
      </c>
      <c r="AV277" s="199">
        <f t="shared" si="54"/>
        <v>-6060.1115299999992</v>
      </c>
      <c r="AW277" s="142">
        <f>AJ277*Valores!$C$72</f>
        <v>-1487.4819209999998</v>
      </c>
      <c r="AX277" s="142">
        <f>AJ277*Valores!$C$73</f>
        <v>-165.275769</v>
      </c>
      <c r="AY277" s="146">
        <f t="shared" si="59"/>
        <v>52286.573779999992</v>
      </c>
      <c r="AZ277" s="150"/>
      <c r="BA277" s="150">
        <f t="shared" si="49"/>
        <v>96</v>
      </c>
      <c r="BB277" s="135" t="s">
        <v>8</v>
      </c>
    </row>
    <row r="278" spans="1:54" s="114" customFormat="1" ht="11.25" customHeight="1" x14ac:dyDescent="0.15">
      <c r="A278" s="134">
        <v>276</v>
      </c>
      <c r="B278" s="134"/>
      <c r="C278" s="135" t="s">
        <v>497</v>
      </c>
      <c r="D278" s="135">
        <v>25</v>
      </c>
      <c r="E278" s="135">
        <f t="shared" si="51"/>
        <v>34</v>
      </c>
      <c r="F278" s="136" t="str">
        <f>CONCATENATE("Hora Cátedra Enseñanza Media ",D278," hs")</f>
        <v>Hora Cátedra Enseñanza Media 25 hs</v>
      </c>
      <c r="G278" s="137">
        <f t="shared" si="50"/>
        <v>1975</v>
      </c>
      <c r="H278" s="138">
        <f>INT((G278*Valores!$C$2*100)+0.49)/100</f>
        <v>24542.73</v>
      </c>
      <c r="I278" s="156">
        <v>0</v>
      </c>
      <c r="J278" s="140">
        <f>INT((I278*Valores!$C$2*100)+0.5)/100</f>
        <v>0</v>
      </c>
      <c r="K278" s="155">
        <v>0</v>
      </c>
      <c r="L278" s="140">
        <f>INT((K278*Valores!$C$2*100)+0.5)/100</f>
        <v>0</v>
      </c>
      <c r="M278" s="153">
        <v>0</v>
      </c>
      <c r="N278" s="140">
        <f>INT((M278*Valores!$C$2*100)+0.5)/100</f>
        <v>0</v>
      </c>
      <c r="O278" s="140">
        <f t="shared" si="52"/>
        <v>4511.2094999999999</v>
      </c>
      <c r="P278" s="140">
        <f t="shared" si="53"/>
        <v>0</v>
      </c>
      <c r="Q278" s="154">
        <f>Valores!$C$14*D278</f>
        <v>10535.5</v>
      </c>
      <c r="R278" s="154">
        <f>IF(D278&lt;15,(Valores!$E$4*D278),Valores!$D$4)</f>
        <v>6352.5280000000002</v>
      </c>
      <c r="S278" s="140">
        <v>0</v>
      </c>
      <c r="T278" s="143">
        <f>IF($H$5="NO",IF(Valores!$C$47*D278&gt;Valores!$C$45,Valores!$C$45,Valores!$C$47*D278),IF(Valores!$C$47*D278&gt;Valores!$C$45,Valores!$C$45,Valores!$C$47*D278)/2)</f>
        <v>2218.25</v>
      </c>
      <c r="U278" s="154">
        <f>Valores!$C$24*D278</f>
        <v>3313.7500000000005</v>
      </c>
      <c r="V278" s="140">
        <f t="shared" si="48"/>
        <v>3313.7500000000005</v>
      </c>
      <c r="W278" s="140">
        <v>0</v>
      </c>
      <c r="X278" s="140">
        <v>0</v>
      </c>
      <c r="Y278" s="160">
        <v>0</v>
      </c>
      <c r="Z278" s="140">
        <f>Y278*Valores!$C$2</f>
        <v>0</v>
      </c>
      <c r="AA278" s="140">
        <v>0</v>
      </c>
      <c r="AB278" s="143">
        <f>IF(Valores!$C$93*D278&gt;Valores!$C$92,Valores!$C$92,Valores!$C$93*D278)</f>
        <v>2822.25</v>
      </c>
      <c r="AC278" s="145">
        <f>IF((Valores!$C$34)*D278&gt;Valores!$F$34,Valores!$F$34,(Valores!$C$34)*D278)</f>
        <v>260.25</v>
      </c>
      <c r="AD278" s="140">
        <f t="shared" si="55"/>
        <v>0</v>
      </c>
      <c r="AE278" s="140">
        <f>IF(Valores!$C$35*D278&gt;Valores!$F$35,Valores!$F$35,Valores!$C$35*D278)</f>
        <v>216.75</v>
      </c>
      <c r="AF278" s="144">
        <v>0</v>
      </c>
      <c r="AG278" s="140">
        <f>INT(((AF278*Valores!$C$2)*100)+0.5)/100</f>
        <v>0</v>
      </c>
      <c r="AH278" s="140">
        <f>IF($H$5="NO",IF(Valores!$D$60*'Escala Docente'!D278&gt;Valores!$F$60,Valores!$F$60,Valores!$D$60*'Escala Docente'!D278),IF(Valores!$D$60*'Escala Docente'!D278&gt;Valores!$F$60,Valores!$F$60,Valores!$D$60*'Escala Docente'!D278)/2)</f>
        <v>880.81666666666672</v>
      </c>
      <c r="AI278" s="140">
        <f>IF($H$5="NO",IF(Valores!$D$62*D278&gt;Valores!$F$62,Valores!$F$62,Valores!$D$62*D278),IF(Valores!$D$62*D278&gt;Valores!$F$62,Valores!$F$62,Valores!$D$62*D278)/2)</f>
        <v>251.91666666666666</v>
      </c>
      <c r="AJ278" s="146">
        <f t="shared" si="56"/>
        <v>55905.950833333329</v>
      </c>
      <c r="AK278" s="154">
        <f>IF(Valores!$C$38*D278&gt;Valores!$F$38,Valores!$F$38,Valores!$C$38*D278)</f>
        <v>2268.25</v>
      </c>
      <c r="AL278" s="143">
        <f>IF(Valores!$C$88*D278&gt;Valores!$C$87,Valores!$C$87,Valores!$C$88*D278)</f>
        <v>2843.7499999999995</v>
      </c>
      <c r="AM278" s="143"/>
      <c r="AN278" s="145">
        <f>IF($H$4="NO",0,IF(Valores!$C$59*D278&gt;Valores!$F$59,Valores!$F$59,Valores!$C$59*D278))</f>
        <v>0</v>
      </c>
      <c r="AO278" s="147">
        <f t="shared" si="57"/>
        <v>5112</v>
      </c>
      <c r="AP278" s="148">
        <f>AJ278*Valores!$C$69</f>
        <v>-6149.6545916666664</v>
      </c>
      <c r="AQ278" s="149">
        <f>AJ278*-Valores!$C$70</f>
        <v>0</v>
      </c>
      <c r="AR278" s="142">
        <f>AJ278*Valores!$C$71</f>
        <v>-2515.7677874999995</v>
      </c>
      <c r="AS278" s="142">
        <f>Valores!$C$95</f>
        <v>-193.38</v>
      </c>
      <c r="AT278" s="142">
        <f>IF($H$6=0,Valores!$C$96,(Valores!$C$96+$H$6*(Valores!$C$96)))</f>
        <v>-129</v>
      </c>
      <c r="AU278" s="146">
        <f t="shared" si="58"/>
        <v>52030.148454166665</v>
      </c>
      <c r="AV278" s="199">
        <f t="shared" si="54"/>
        <v>-6149.6545916666664</v>
      </c>
      <c r="AW278" s="142">
        <f>AJ278*Valores!$C$72</f>
        <v>-1509.4606724999999</v>
      </c>
      <c r="AX278" s="142">
        <f>AJ278*Valores!$C$73</f>
        <v>-167.71785249999999</v>
      </c>
      <c r="AY278" s="146">
        <f t="shared" si="59"/>
        <v>53191.11771666666</v>
      </c>
      <c r="AZ278" s="150"/>
      <c r="BA278" s="150">
        <f t="shared" si="49"/>
        <v>100</v>
      </c>
      <c r="BB278" s="135" t="s">
        <v>4</v>
      </c>
    </row>
    <row r="279" spans="1:54" s="114" customFormat="1" ht="11.25" customHeight="1" x14ac:dyDescent="0.15">
      <c r="A279" s="134">
        <v>277</v>
      </c>
      <c r="B279" s="134"/>
      <c r="C279" s="135" t="s">
        <v>497</v>
      </c>
      <c r="D279" s="135">
        <v>25</v>
      </c>
      <c r="E279" s="135">
        <f t="shared" si="51"/>
        <v>42</v>
      </c>
      <c r="F279" s="136" t="str">
        <f>CONCATENATE("Hora Cátedra Enseñanza Media ",D279," hs Esc Esp")</f>
        <v>Hora Cátedra Enseñanza Media 25 hs Esc Esp</v>
      </c>
      <c r="G279" s="137">
        <f t="shared" si="50"/>
        <v>1975</v>
      </c>
      <c r="H279" s="138">
        <f>INT((G279*Valores!$C$2*100)+0.49)/100</f>
        <v>24542.73</v>
      </c>
      <c r="I279" s="156">
        <v>0</v>
      </c>
      <c r="J279" s="140">
        <f>INT((I279*Valores!$C$2*100)+0.5)/100</f>
        <v>0</v>
      </c>
      <c r="K279" s="155">
        <v>0</v>
      </c>
      <c r="L279" s="140">
        <f>INT((K279*Valores!$C$2*100)+0.5)/100</f>
        <v>0</v>
      </c>
      <c r="M279" s="153">
        <v>0</v>
      </c>
      <c r="N279" s="140">
        <f>INT((M279*Valores!$C$2*100)+0.5)/100</f>
        <v>0</v>
      </c>
      <c r="O279" s="140">
        <f t="shared" si="52"/>
        <v>4511.2094999999999</v>
      </c>
      <c r="P279" s="140">
        <f t="shared" si="53"/>
        <v>0</v>
      </c>
      <c r="Q279" s="154">
        <f>Valores!$C$14*D279</f>
        <v>10535.5</v>
      </c>
      <c r="R279" s="154">
        <f>IF(D279&lt;15,(Valores!$E$4*D279),Valores!$D$4)</f>
        <v>6352.5280000000002</v>
      </c>
      <c r="S279" s="140">
        <v>0</v>
      </c>
      <c r="T279" s="143">
        <f>IF($H$5="NO",IF(Valores!$C$47*D279&gt;Valores!$C$45,Valores!$C$45,Valores!$C$47*D279),IF(Valores!$C$47*D279&gt;Valores!$C$45,Valores!$C$45,Valores!$C$47*D279)/2)</f>
        <v>2218.25</v>
      </c>
      <c r="U279" s="154">
        <f>Valores!$C$24*D279</f>
        <v>3313.7500000000005</v>
      </c>
      <c r="V279" s="140">
        <f t="shared" si="48"/>
        <v>3313.7500000000005</v>
      </c>
      <c r="W279" s="140">
        <v>0</v>
      </c>
      <c r="X279" s="140">
        <v>0</v>
      </c>
      <c r="Y279" s="160">
        <v>0</v>
      </c>
      <c r="Z279" s="140">
        <f>Y279*Valores!$C$2</f>
        <v>0</v>
      </c>
      <c r="AA279" s="140">
        <v>0</v>
      </c>
      <c r="AB279" s="143">
        <f>IF(Valores!$C$93*D279&gt;Valores!$C$92,Valores!$C$92,Valores!$C$93*D279)</f>
        <v>2822.25</v>
      </c>
      <c r="AC279" s="145">
        <f>IF((Valores!$C$34)*D279&gt;Valores!$F$34,Valores!$F$34,(Valores!$C$34)*D279)</f>
        <v>260.25</v>
      </c>
      <c r="AD279" s="140">
        <f t="shared" si="55"/>
        <v>0</v>
      </c>
      <c r="AE279" s="140">
        <f>IF(Valores!$C$35*D279&gt;Valores!$F$35,Valores!$F$35,Valores!$C$35*D279)</f>
        <v>216.75</v>
      </c>
      <c r="AF279" s="144">
        <v>94</v>
      </c>
      <c r="AG279" s="140">
        <f>INT(((AF279*Valores!$C$2)*100)+0.5)/100</f>
        <v>1168.1099999999999</v>
      </c>
      <c r="AH279" s="140">
        <f>IF($H$5="NO",IF(Valores!$D$60*'Escala Docente'!D279&gt;Valores!$F$60,Valores!$F$60,Valores!$D$60*'Escala Docente'!D279),IF(Valores!$D$60*'Escala Docente'!D279&gt;Valores!$F$60,Valores!$F$60,Valores!$D$60*'Escala Docente'!D279)/2)</f>
        <v>880.81666666666672</v>
      </c>
      <c r="AI279" s="140">
        <f>IF($H$5="NO",IF(Valores!$D$62*D279&gt;Valores!$F$62,Valores!$F$62,Valores!$D$62*D279),IF(Valores!$D$62*D279&gt;Valores!$F$62,Valores!$F$62,Valores!$D$62*D279)/2)</f>
        <v>251.91666666666666</v>
      </c>
      <c r="AJ279" s="146">
        <f t="shared" si="56"/>
        <v>57074.060833333329</v>
      </c>
      <c r="AK279" s="154">
        <f>IF(Valores!$C$38*D279&gt;Valores!$F$38,Valores!$F$38,Valores!$C$38*D279)</f>
        <v>2268.25</v>
      </c>
      <c r="AL279" s="143">
        <f>IF(Valores!$C$88*D279&gt;Valores!$C$87,Valores!$C$87,Valores!$C$88*D279)</f>
        <v>2843.7499999999995</v>
      </c>
      <c r="AM279" s="143"/>
      <c r="AN279" s="145">
        <f>IF($H$4="NO",0,IF(Valores!$C$59*D279&gt;Valores!$F$59,Valores!$F$59,Valores!$C$59*D279))</f>
        <v>0</v>
      </c>
      <c r="AO279" s="147">
        <f t="shared" si="57"/>
        <v>5112</v>
      </c>
      <c r="AP279" s="148">
        <f>AJ279*Valores!$C$69</f>
        <v>-6278.1466916666659</v>
      </c>
      <c r="AQ279" s="149">
        <f>AJ279*-Valores!$C$70</f>
        <v>0</v>
      </c>
      <c r="AR279" s="142">
        <f>AJ279*Valores!$C$71</f>
        <v>-2568.3327374999999</v>
      </c>
      <c r="AS279" s="142">
        <f>Valores!$C$95</f>
        <v>-193.38</v>
      </c>
      <c r="AT279" s="142">
        <f>IF($H$6=0,Valores!$C$96,(Valores!$C$96+$H$6*(Valores!$C$96)))</f>
        <v>-129</v>
      </c>
      <c r="AU279" s="146">
        <f t="shared" si="58"/>
        <v>53017.201404166663</v>
      </c>
      <c r="AV279" s="199">
        <f t="shared" si="54"/>
        <v>-6278.1466916666659</v>
      </c>
      <c r="AW279" s="142">
        <f>AJ279*Valores!$C$72</f>
        <v>-1540.9996424999999</v>
      </c>
      <c r="AX279" s="142">
        <f>AJ279*Valores!$C$73</f>
        <v>-171.2221825</v>
      </c>
      <c r="AY279" s="146">
        <f t="shared" si="59"/>
        <v>54195.692316666667</v>
      </c>
      <c r="AZ279" s="150"/>
      <c r="BA279" s="150">
        <f t="shared" si="49"/>
        <v>100</v>
      </c>
      <c r="BB279" s="135" t="s">
        <v>4</v>
      </c>
    </row>
    <row r="280" spans="1:54" s="114" customFormat="1" ht="11.25" customHeight="1" x14ac:dyDescent="0.15">
      <c r="A280" s="134">
        <v>278</v>
      </c>
      <c r="B280" s="134"/>
      <c r="C280" s="135" t="s">
        <v>497</v>
      </c>
      <c r="D280" s="135">
        <v>26</v>
      </c>
      <c r="E280" s="135">
        <f t="shared" si="51"/>
        <v>34</v>
      </c>
      <c r="F280" s="136" t="str">
        <f>CONCATENATE("Hora Cátedra Enseñanza Media ",D280," hs")</f>
        <v>Hora Cátedra Enseñanza Media 26 hs</v>
      </c>
      <c r="G280" s="137">
        <f t="shared" si="50"/>
        <v>2054</v>
      </c>
      <c r="H280" s="138">
        <f>INT((G280*Valores!$C$2*100)+0.49)/100</f>
        <v>25524.44</v>
      </c>
      <c r="I280" s="156">
        <v>0</v>
      </c>
      <c r="J280" s="140">
        <f>INT((I280*Valores!$C$2*100)+0.5)/100</f>
        <v>0</v>
      </c>
      <c r="K280" s="155">
        <v>0</v>
      </c>
      <c r="L280" s="140">
        <f>INT((K280*Valores!$C$2*100)+0.5)/100</f>
        <v>0</v>
      </c>
      <c r="M280" s="153">
        <v>0</v>
      </c>
      <c r="N280" s="140">
        <f>INT((M280*Valores!$C$2*100)+0.5)/100</f>
        <v>0</v>
      </c>
      <c r="O280" s="140">
        <f t="shared" si="52"/>
        <v>4691.6579999999994</v>
      </c>
      <c r="P280" s="140">
        <f t="shared" si="53"/>
        <v>0</v>
      </c>
      <c r="Q280" s="154">
        <f>Valores!$C$14*D280</f>
        <v>10956.92</v>
      </c>
      <c r="R280" s="154">
        <f>IF(D280&lt;15,(Valores!$E$4*D280),Valores!$D$4)</f>
        <v>6352.5280000000002</v>
      </c>
      <c r="S280" s="140">
        <v>0</v>
      </c>
      <c r="T280" s="143">
        <f>IF($H$5="NO",IF(Valores!$C$47*D280&gt;Valores!$C$45,Valores!$C$45,Valores!$C$47*D280),IF(Valores!$C$47*D280&gt;Valores!$C$45,Valores!$C$45,Valores!$C$47*D280)/2)</f>
        <v>2306.98</v>
      </c>
      <c r="U280" s="154">
        <f>Valores!$C$24*D280</f>
        <v>3446.3</v>
      </c>
      <c r="V280" s="140">
        <f t="shared" si="48"/>
        <v>3446.3</v>
      </c>
      <c r="W280" s="140">
        <v>0</v>
      </c>
      <c r="X280" s="140">
        <v>0</v>
      </c>
      <c r="Y280" s="160">
        <v>0</v>
      </c>
      <c r="Z280" s="140">
        <f>Y280*Valores!$C$2</f>
        <v>0</v>
      </c>
      <c r="AA280" s="140">
        <v>0</v>
      </c>
      <c r="AB280" s="143">
        <f>IF(Valores!$C$93*D280&gt;Valores!$C$92,Valores!$C$92,Valores!$C$93*D280)</f>
        <v>2935.14</v>
      </c>
      <c r="AC280" s="145">
        <f>IF((Valores!$C$34)*D280&gt;Valores!$F$34,Valores!$F$34,(Valores!$C$34)*D280)</f>
        <v>270.66000000000003</v>
      </c>
      <c r="AD280" s="140">
        <f t="shared" si="55"/>
        <v>0</v>
      </c>
      <c r="AE280" s="140">
        <f>IF(Valores!$C$35*D280&gt;Valores!$F$35,Valores!$F$35,Valores!$C$35*D280)</f>
        <v>225.42</v>
      </c>
      <c r="AF280" s="144">
        <v>0</v>
      </c>
      <c r="AG280" s="140">
        <f>INT(((AF280*Valores!$C$2)*100)+0.5)/100</f>
        <v>0</v>
      </c>
      <c r="AH280" s="140">
        <f>IF($H$5="NO",IF(Valores!$D$60*'Escala Docente'!D280&gt;Valores!$F$60,Valores!$F$60,Valores!$D$60*'Escala Docente'!D280),IF(Valores!$D$60*'Escala Docente'!D280&gt;Valores!$F$60,Valores!$F$60,Valores!$D$60*'Escala Docente'!D280)/2)</f>
        <v>916.04933333333338</v>
      </c>
      <c r="AI280" s="140">
        <f>IF($H$5="NO",IF(Valores!$D$62*D280&gt;Valores!$F$62,Valores!$F$62,Valores!$D$62*D280),IF(Valores!$D$62*D280&gt;Valores!$F$62,Valores!$F$62,Valores!$D$62*D280)/2)</f>
        <v>261.99333333333334</v>
      </c>
      <c r="AJ280" s="146">
        <f t="shared" si="56"/>
        <v>57888.08866666667</v>
      </c>
      <c r="AK280" s="154">
        <f>IF(Valores!$C$38*D280&gt;Valores!$F$38,Valores!$F$38,Valores!$C$38*D280)</f>
        <v>2358.98</v>
      </c>
      <c r="AL280" s="143">
        <f>IF(Valores!$C$88*D280&gt;Valores!$C$87,Valores!$C$87,Valores!$C$88*D280)</f>
        <v>2957.4999999999995</v>
      </c>
      <c r="AM280" s="143"/>
      <c r="AN280" s="145">
        <f>IF($H$4="NO",0,IF(Valores!$C$59*D280&gt;Valores!$F$59,Valores!$F$59,Valores!$C$59*D280))</f>
        <v>0</v>
      </c>
      <c r="AO280" s="147">
        <f t="shared" si="57"/>
        <v>5316.48</v>
      </c>
      <c r="AP280" s="148">
        <f>AJ280*Valores!$C$69</f>
        <v>-6367.689753333334</v>
      </c>
      <c r="AQ280" s="149">
        <f>AJ280*-Valores!$C$70</f>
        <v>0</v>
      </c>
      <c r="AR280" s="142">
        <f>AJ280*Valores!$C$71</f>
        <v>-2604.9639900000002</v>
      </c>
      <c r="AS280" s="142">
        <f>Valores!$C$95</f>
        <v>-193.38</v>
      </c>
      <c r="AT280" s="142">
        <f>IF($H$6=0,Valores!$C$96,(Valores!$C$96+$H$6*(Valores!$C$96)))</f>
        <v>-129</v>
      </c>
      <c r="AU280" s="146">
        <f t="shared" si="58"/>
        <v>53909.534923333333</v>
      </c>
      <c r="AV280" s="199">
        <f t="shared" si="54"/>
        <v>-6367.689753333334</v>
      </c>
      <c r="AW280" s="142">
        <f>AJ280*Valores!$C$72</f>
        <v>-1562.978394</v>
      </c>
      <c r="AX280" s="142">
        <f>AJ280*Valores!$C$73</f>
        <v>-173.66426600000003</v>
      </c>
      <c r="AY280" s="146">
        <f t="shared" si="59"/>
        <v>55100.236253333336</v>
      </c>
      <c r="AZ280" s="150"/>
      <c r="BA280" s="150">
        <f t="shared" si="49"/>
        <v>104</v>
      </c>
      <c r="BB280" s="135" t="s">
        <v>4</v>
      </c>
    </row>
    <row r="281" spans="1:54" s="114" customFormat="1" ht="11.25" customHeight="1" x14ac:dyDescent="0.15">
      <c r="A281" s="134">
        <v>279</v>
      </c>
      <c r="B281" s="134"/>
      <c r="C281" s="135" t="s">
        <v>497</v>
      </c>
      <c r="D281" s="135">
        <v>26</v>
      </c>
      <c r="E281" s="135">
        <f t="shared" si="51"/>
        <v>42</v>
      </c>
      <c r="F281" s="136" t="str">
        <f>CONCATENATE("Hora Cátedra Enseñanza Media ",D281," hs Esc Esp")</f>
        <v>Hora Cátedra Enseñanza Media 26 hs Esc Esp</v>
      </c>
      <c r="G281" s="137">
        <f t="shared" si="50"/>
        <v>2054</v>
      </c>
      <c r="H281" s="138">
        <f>INT((G281*Valores!$C$2*100)+0.49)/100</f>
        <v>25524.44</v>
      </c>
      <c r="I281" s="156">
        <v>0</v>
      </c>
      <c r="J281" s="140">
        <f>INT((I281*Valores!$C$2*100)+0.5)/100</f>
        <v>0</v>
      </c>
      <c r="K281" s="155">
        <v>0</v>
      </c>
      <c r="L281" s="140">
        <f>INT((K281*Valores!$C$2*100)+0.5)/100</f>
        <v>0</v>
      </c>
      <c r="M281" s="153">
        <v>0</v>
      </c>
      <c r="N281" s="140">
        <f>INT((M281*Valores!$C$2*100)+0.5)/100</f>
        <v>0</v>
      </c>
      <c r="O281" s="140">
        <f t="shared" si="52"/>
        <v>4691.6579999999994</v>
      </c>
      <c r="P281" s="140">
        <f t="shared" si="53"/>
        <v>0</v>
      </c>
      <c r="Q281" s="154">
        <f>Valores!$C$14*D281</f>
        <v>10956.92</v>
      </c>
      <c r="R281" s="154">
        <f>IF(D281&lt;15,(Valores!$E$4*D281),Valores!$D$4)</f>
        <v>6352.5280000000002</v>
      </c>
      <c r="S281" s="140">
        <v>0</v>
      </c>
      <c r="T281" s="143">
        <f>IF($H$5="NO",IF(Valores!$C$47*D281&gt;Valores!$C$45,Valores!$C$45,Valores!$C$47*D281),IF(Valores!$C$47*D281&gt;Valores!$C$45,Valores!$C$45,Valores!$C$47*D281)/2)</f>
        <v>2306.98</v>
      </c>
      <c r="U281" s="154">
        <f>Valores!$C$24*D281</f>
        <v>3446.3</v>
      </c>
      <c r="V281" s="140">
        <f t="shared" si="48"/>
        <v>3446.3</v>
      </c>
      <c r="W281" s="140">
        <v>0</v>
      </c>
      <c r="X281" s="140">
        <v>0</v>
      </c>
      <c r="Y281" s="160">
        <v>0</v>
      </c>
      <c r="Z281" s="140">
        <f>Y281*Valores!$C$2</f>
        <v>0</v>
      </c>
      <c r="AA281" s="140">
        <v>0</v>
      </c>
      <c r="AB281" s="143">
        <f>IF(Valores!$C$93*D281&gt;Valores!$C$92,Valores!$C$92,Valores!$C$93*D281)</f>
        <v>2935.14</v>
      </c>
      <c r="AC281" s="145">
        <f>IF((Valores!$C$34)*D281&gt;Valores!$F$34,Valores!$F$34,(Valores!$C$34)*D281)</f>
        <v>270.66000000000003</v>
      </c>
      <c r="AD281" s="140">
        <f t="shared" si="55"/>
        <v>0</v>
      </c>
      <c r="AE281" s="140">
        <f>IF(Valores!$C$35*D281&gt;Valores!$F$35,Valores!$F$35,Valores!$C$35*D281)</f>
        <v>225.42</v>
      </c>
      <c r="AF281" s="144">
        <v>94</v>
      </c>
      <c r="AG281" s="140">
        <f>INT(((AF281*Valores!$C$2)*100)+0.5)/100</f>
        <v>1168.1099999999999</v>
      </c>
      <c r="AH281" s="140">
        <f>IF($H$5="NO",IF(Valores!$D$60*'Escala Docente'!D281&gt;Valores!$F$60,Valores!$F$60,Valores!$D$60*'Escala Docente'!D281),IF(Valores!$D$60*'Escala Docente'!D281&gt;Valores!$F$60,Valores!$F$60,Valores!$D$60*'Escala Docente'!D281)/2)</f>
        <v>916.04933333333338</v>
      </c>
      <c r="AI281" s="140">
        <f>IF($H$5="NO",IF(Valores!$D$62*D281&gt;Valores!$F$62,Valores!$F$62,Valores!$D$62*D281),IF(Valores!$D$62*D281&gt;Valores!$F$62,Valores!$F$62,Valores!$D$62*D281)/2)</f>
        <v>261.99333333333334</v>
      </c>
      <c r="AJ281" s="146">
        <f t="shared" si="56"/>
        <v>59056.198666666671</v>
      </c>
      <c r="AK281" s="154">
        <f>IF(Valores!$C$38*D281&gt;Valores!$F$38,Valores!$F$38,Valores!$C$38*D281)</f>
        <v>2358.98</v>
      </c>
      <c r="AL281" s="143">
        <f>IF(Valores!$C$88*D281&gt;Valores!$C$87,Valores!$C$87,Valores!$C$88*D281)</f>
        <v>2957.4999999999995</v>
      </c>
      <c r="AM281" s="143"/>
      <c r="AN281" s="145">
        <f>IF($H$4="NO",0,IF(Valores!$C$59*D281&gt;Valores!$F$59,Valores!$F$59,Valores!$C$59*D281))</f>
        <v>0</v>
      </c>
      <c r="AO281" s="147">
        <f t="shared" si="57"/>
        <v>5316.48</v>
      </c>
      <c r="AP281" s="148">
        <f>AJ281*Valores!$C$69</f>
        <v>-6496.1818533333335</v>
      </c>
      <c r="AQ281" s="149">
        <f>AJ281*-Valores!$C$70</f>
        <v>0</v>
      </c>
      <c r="AR281" s="142">
        <f>AJ281*Valores!$C$71</f>
        <v>-2657.5289400000001</v>
      </c>
      <c r="AS281" s="142">
        <f>Valores!$C$95</f>
        <v>-193.38</v>
      </c>
      <c r="AT281" s="142">
        <f>IF($H$6=0,Valores!$C$96,(Valores!$C$96+$H$6*(Valores!$C$96)))</f>
        <v>-129</v>
      </c>
      <c r="AU281" s="146">
        <f t="shared" si="58"/>
        <v>54896.587873333337</v>
      </c>
      <c r="AV281" s="199">
        <f t="shared" si="54"/>
        <v>-6496.1818533333335</v>
      </c>
      <c r="AW281" s="142">
        <f>AJ281*Valores!$C$72</f>
        <v>-1594.517364</v>
      </c>
      <c r="AX281" s="142">
        <f>AJ281*Valores!$C$73</f>
        <v>-177.16859600000001</v>
      </c>
      <c r="AY281" s="146">
        <f t="shared" si="59"/>
        <v>56104.810853333343</v>
      </c>
      <c r="AZ281" s="150"/>
      <c r="BA281" s="150">
        <f t="shared" si="49"/>
        <v>104</v>
      </c>
      <c r="BB281" s="135" t="s">
        <v>4</v>
      </c>
    </row>
    <row r="282" spans="1:54" s="114" customFormat="1" ht="11.25" customHeight="1" x14ac:dyDescent="0.15">
      <c r="A282" s="152">
        <v>280</v>
      </c>
      <c r="B282" s="152" t="s">
        <v>139</v>
      </c>
      <c r="C282" s="135" t="s">
        <v>497</v>
      </c>
      <c r="D282" s="135">
        <v>27</v>
      </c>
      <c r="E282" s="135">
        <f t="shared" si="51"/>
        <v>34</v>
      </c>
      <c r="F282" s="136" t="str">
        <f>CONCATENATE("Hora Cátedra Enseñanza Media ",D282," hs")</f>
        <v>Hora Cátedra Enseñanza Media 27 hs</v>
      </c>
      <c r="G282" s="137">
        <f t="shared" si="50"/>
        <v>2133</v>
      </c>
      <c r="H282" s="138">
        <f>INT((G282*Valores!$C$2*100)+0.49)/100</f>
        <v>26506.15</v>
      </c>
      <c r="I282" s="156">
        <v>0</v>
      </c>
      <c r="J282" s="140">
        <f>INT((I282*Valores!$C$2*100)+0.5)/100</f>
        <v>0</v>
      </c>
      <c r="K282" s="155">
        <v>0</v>
      </c>
      <c r="L282" s="140">
        <f>INT((K282*Valores!$C$2*100)+0.5)/100</f>
        <v>0</v>
      </c>
      <c r="M282" s="153">
        <v>0</v>
      </c>
      <c r="N282" s="140">
        <f>INT((M282*Valores!$C$2*100)+0.5)/100</f>
        <v>0</v>
      </c>
      <c r="O282" s="140">
        <f t="shared" si="52"/>
        <v>4872.1064999999999</v>
      </c>
      <c r="P282" s="140">
        <f t="shared" si="53"/>
        <v>0</v>
      </c>
      <c r="Q282" s="154">
        <f>Valores!$C$14*D282</f>
        <v>11378.34</v>
      </c>
      <c r="R282" s="154">
        <f>IF(D282&lt;15,(Valores!$E$4*D282),Valores!$D$4)</f>
        <v>6352.5280000000002</v>
      </c>
      <c r="S282" s="140">
        <v>0</v>
      </c>
      <c r="T282" s="143">
        <f>IF($H$5="NO",IF(Valores!$C$47*D282&gt;Valores!$C$45,Valores!$C$45,Valores!$C$47*D282),IF(Valores!$C$47*D282&gt;Valores!$C$45,Valores!$C$45,Valores!$C$47*D282)/2)</f>
        <v>2395.71</v>
      </c>
      <c r="U282" s="154">
        <f>Valores!$C$24*D282</f>
        <v>3578.8500000000004</v>
      </c>
      <c r="V282" s="140">
        <f t="shared" si="48"/>
        <v>3578.8500000000004</v>
      </c>
      <c r="W282" s="140">
        <v>0</v>
      </c>
      <c r="X282" s="140">
        <v>0</v>
      </c>
      <c r="Y282" s="160">
        <v>0</v>
      </c>
      <c r="Z282" s="140">
        <f>Y282*Valores!$C$2</f>
        <v>0</v>
      </c>
      <c r="AA282" s="140">
        <v>0</v>
      </c>
      <c r="AB282" s="143">
        <f>IF(Valores!$C$93*D282&gt;Valores!$C$92,Valores!$C$92,Valores!$C$93*D282)</f>
        <v>3048.03</v>
      </c>
      <c r="AC282" s="145">
        <f>IF((Valores!$C$34)*D282&gt;Valores!$F$34,Valores!$F$34,(Valores!$C$34)*D282)</f>
        <v>281.07</v>
      </c>
      <c r="AD282" s="140">
        <f t="shared" si="55"/>
        <v>0</v>
      </c>
      <c r="AE282" s="140">
        <f>IF(Valores!$C$35*D282&gt;Valores!$F$35,Valores!$F$35,Valores!$C$35*D282)</f>
        <v>234.09</v>
      </c>
      <c r="AF282" s="144">
        <v>0</v>
      </c>
      <c r="AG282" s="140">
        <f>INT(((AF282*Valores!$C$2)*100)+0.5)/100</f>
        <v>0</v>
      </c>
      <c r="AH282" s="140">
        <f>IF($H$5="NO",IF(Valores!$D$60*'Escala Docente'!D282&gt;Valores!$F$60,Valores!$F$60,Valores!$D$60*'Escala Docente'!D282),IF(Valores!$D$60*'Escala Docente'!D282&gt;Valores!$F$60,Valores!$F$60,Valores!$D$60*'Escala Docente'!D282)/2)</f>
        <v>951.28200000000004</v>
      </c>
      <c r="AI282" s="140">
        <f>IF($H$5="NO",IF(Valores!$D$62*D282&gt;Valores!$F$62,Valores!$F$62,Valores!$D$62*D282),IF(Valores!$D$62*D282&gt;Valores!$F$62,Valores!$F$62,Valores!$D$62*D282)/2)</f>
        <v>272.07</v>
      </c>
      <c r="AJ282" s="146">
        <f t="shared" si="56"/>
        <v>59870.22649999999</v>
      </c>
      <c r="AK282" s="154">
        <f>IF(Valores!$C$38*D282&gt;Valores!$F$38,Valores!$F$38,Valores!$C$38*D282)</f>
        <v>2449.71</v>
      </c>
      <c r="AL282" s="143">
        <f>IF(Valores!$C$88*D282&gt;Valores!$C$87,Valores!$C$87,Valores!$C$88*D282)</f>
        <v>3071.2499999999995</v>
      </c>
      <c r="AM282" s="143"/>
      <c r="AN282" s="145">
        <f>IF($H$4="NO",0,IF(Valores!$C$59*D282&gt;Valores!$F$59,Valores!$F$59,Valores!$C$59*D282))</f>
        <v>0</v>
      </c>
      <c r="AO282" s="147">
        <f t="shared" si="57"/>
        <v>5520.9599999999991</v>
      </c>
      <c r="AP282" s="148">
        <f>AJ282*Valores!$C$69</f>
        <v>-6585.7249149999989</v>
      </c>
      <c r="AQ282" s="149">
        <f>AJ282*-Valores!$C$70</f>
        <v>0</v>
      </c>
      <c r="AR282" s="142">
        <f>AJ282*Valores!$C$71</f>
        <v>-2694.1601924999995</v>
      </c>
      <c r="AS282" s="142">
        <f>Valores!$C$95</f>
        <v>-193.38</v>
      </c>
      <c r="AT282" s="142">
        <f>IF($H$6=0,Valores!$C$96,(Valores!$C$96+$H$6*(Valores!$C$96)))</f>
        <v>-129</v>
      </c>
      <c r="AU282" s="146">
        <f t="shared" si="58"/>
        <v>55788.921392499993</v>
      </c>
      <c r="AV282" s="199">
        <f t="shared" si="54"/>
        <v>-6585.7249149999989</v>
      </c>
      <c r="AW282" s="142">
        <f>AJ282*Valores!$C$72</f>
        <v>-1616.4961154999996</v>
      </c>
      <c r="AX282" s="142">
        <f>AJ282*Valores!$C$73</f>
        <v>-179.61067949999997</v>
      </c>
      <c r="AY282" s="146">
        <f t="shared" si="59"/>
        <v>57009.35478999999</v>
      </c>
      <c r="AZ282" s="150"/>
      <c r="BA282" s="150">
        <f t="shared" si="49"/>
        <v>108</v>
      </c>
      <c r="BB282" s="135" t="s">
        <v>8</v>
      </c>
    </row>
    <row r="283" spans="1:54" s="114" customFormat="1" ht="11.25" customHeight="1" x14ac:dyDescent="0.15">
      <c r="A283" s="134">
        <v>281</v>
      </c>
      <c r="B283" s="134"/>
      <c r="C283" s="135" t="s">
        <v>497</v>
      </c>
      <c r="D283" s="135">
        <v>27</v>
      </c>
      <c r="E283" s="135">
        <f t="shared" si="51"/>
        <v>42</v>
      </c>
      <c r="F283" s="136" t="str">
        <f>CONCATENATE("Hora Cátedra Enseñanza Media ",D283," hs Esc Esp")</f>
        <v>Hora Cátedra Enseñanza Media 27 hs Esc Esp</v>
      </c>
      <c r="G283" s="137">
        <f t="shared" si="50"/>
        <v>2133</v>
      </c>
      <c r="H283" s="138">
        <f>INT((G283*Valores!$C$2*100)+0.49)/100</f>
        <v>26506.15</v>
      </c>
      <c r="I283" s="156">
        <v>0</v>
      </c>
      <c r="J283" s="140">
        <f>INT((I283*Valores!$C$2*100)+0.5)/100</f>
        <v>0</v>
      </c>
      <c r="K283" s="155">
        <v>0</v>
      </c>
      <c r="L283" s="140">
        <f>INT((K283*Valores!$C$2*100)+0.5)/100</f>
        <v>0</v>
      </c>
      <c r="M283" s="153">
        <v>0</v>
      </c>
      <c r="N283" s="140">
        <f>INT((M283*Valores!$C$2*100)+0.5)/100</f>
        <v>0</v>
      </c>
      <c r="O283" s="140">
        <f t="shared" si="52"/>
        <v>4872.1064999999999</v>
      </c>
      <c r="P283" s="140">
        <f t="shared" si="53"/>
        <v>0</v>
      </c>
      <c r="Q283" s="154">
        <f>Valores!$C$14*D283</f>
        <v>11378.34</v>
      </c>
      <c r="R283" s="154">
        <f>IF(D283&lt;15,(Valores!$E$4*D283),Valores!$D$4)</f>
        <v>6352.5280000000002</v>
      </c>
      <c r="S283" s="140">
        <v>0</v>
      </c>
      <c r="T283" s="143">
        <f>IF($H$5="NO",IF(Valores!$C$47*D283&gt;Valores!$C$45,Valores!$C$45,Valores!$C$47*D283),IF(Valores!$C$47*D283&gt;Valores!$C$45,Valores!$C$45,Valores!$C$47*D283)/2)</f>
        <v>2395.71</v>
      </c>
      <c r="U283" s="154">
        <f>Valores!$C$24*D283</f>
        <v>3578.8500000000004</v>
      </c>
      <c r="V283" s="140">
        <f t="shared" si="48"/>
        <v>3578.8500000000004</v>
      </c>
      <c r="W283" s="140">
        <v>0</v>
      </c>
      <c r="X283" s="140">
        <v>0</v>
      </c>
      <c r="Y283" s="160">
        <v>0</v>
      </c>
      <c r="Z283" s="140">
        <f>Y283*Valores!$C$2</f>
        <v>0</v>
      </c>
      <c r="AA283" s="140">
        <v>0</v>
      </c>
      <c r="AB283" s="143">
        <f>IF(Valores!$C$93*D283&gt;Valores!$C$92,Valores!$C$92,Valores!$C$93*D283)</f>
        <v>3048.03</v>
      </c>
      <c r="AC283" s="145">
        <f>IF((Valores!$C$34)*D283&gt;Valores!$F$34,Valores!$F$34,(Valores!$C$34)*D283)</f>
        <v>281.07</v>
      </c>
      <c r="AD283" s="140">
        <f t="shared" si="55"/>
        <v>0</v>
      </c>
      <c r="AE283" s="140">
        <f>IF(Valores!$C$35*D283&gt;Valores!$F$35,Valores!$F$35,Valores!$C$35*D283)</f>
        <v>234.09</v>
      </c>
      <c r="AF283" s="144">
        <v>94</v>
      </c>
      <c r="AG283" s="140">
        <f>INT(((AF283*Valores!$C$2)*100)+0.5)/100</f>
        <v>1168.1099999999999</v>
      </c>
      <c r="AH283" s="140">
        <f>IF($H$5="NO",IF(Valores!$D$60*'Escala Docente'!D283&gt;Valores!$F$60,Valores!$F$60,Valores!$D$60*'Escala Docente'!D283),IF(Valores!$D$60*'Escala Docente'!D283&gt;Valores!$F$60,Valores!$F$60,Valores!$D$60*'Escala Docente'!D283)/2)</f>
        <v>951.28200000000004</v>
      </c>
      <c r="AI283" s="140">
        <f>IF($H$5="NO",IF(Valores!$D$62*D283&gt;Valores!$F$62,Valores!$F$62,Valores!$D$62*D283),IF(Valores!$D$62*D283&gt;Valores!$F$62,Valores!$F$62,Valores!$D$62*D283)/2)</f>
        <v>272.07</v>
      </c>
      <c r="AJ283" s="146">
        <f t="shared" si="56"/>
        <v>61038.33649999999</v>
      </c>
      <c r="AK283" s="154">
        <f>IF(Valores!$C$38*D283&gt;Valores!$F$38,Valores!$F$38,Valores!$C$38*D283)</f>
        <v>2449.71</v>
      </c>
      <c r="AL283" s="143">
        <f>IF(Valores!$C$88*D283&gt;Valores!$C$87,Valores!$C$87,Valores!$C$88*D283)</f>
        <v>3071.2499999999995</v>
      </c>
      <c r="AM283" s="143"/>
      <c r="AN283" s="145">
        <f>IF($H$4="NO",0,IF(Valores!$C$59*D283&gt;Valores!$F$59,Valores!$F$59,Valores!$C$59*D283))</f>
        <v>0</v>
      </c>
      <c r="AO283" s="147">
        <f t="shared" si="57"/>
        <v>5520.9599999999991</v>
      </c>
      <c r="AP283" s="148">
        <f>AJ283*Valores!$C$69</f>
        <v>-6714.2170149999993</v>
      </c>
      <c r="AQ283" s="149">
        <f>AJ283*-Valores!$C$70</f>
        <v>0</v>
      </c>
      <c r="AR283" s="142">
        <f>AJ283*Valores!$C$71</f>
        <v>-2746.7251424999995</v>
      </c>
      <c r="AS283" s="142">
        <f>Valores!$C$95</f>
        <v>-193.38</v>
      </c>
      <c r="AT283" s="142">
        <f>IF($H$6=0,Valores!$C$96,(Valores!$C$96+$H$6*(Valores!$C$96)))</f>
        <v>-129</v>
      </c>
      <c r="AU283" s="146">
        <f t="shared" si="58"/>
        <v>56775.974342499991</v>
      </c>
      <c r="AV283" s="199">
        <f t="shared" si="54"/>
        <v>-6714.2170149999993</v>
      </c>
      <c r="AW283" s="142">
        <f>AJ283*Valores!$C$72</f>
        <v>-1648.0350854999997</v>
      </c>
      <c r="AX283" s="142">
        <f>AJ283*Valores!$C$73</f>
        <v>-183.11500949999999</v>
      </c>
      <c r="AY283" s="146">
        <f t="shared" si="59"/>
        <v>58013.929389999998</v>
      </c>
      <c r="AZ283" s="150"/>
      <c r="BA283" s="150">
        <f t="shared" si="49"/>
        <v>108</v>
      </c>
      <c r="BB283" s="135" t="s">
        <v>8</v>
      </c>
    </row>
    <row r="284" spans="1:54" s="114" customFormat="1" ht="11.25" customHeight="1" x14ac:dyDescent="0.15">
      <c r="A284" s="134">
        <v>282</v>
      </c>
      <c r="B284" s="134"/>
      <c r="C284" s="135" t="s">
        <v>497</v>
      </c>
      <c r="D284" s="135">
        <v>28</v>
      </c>
      <c r="E284" s="135">
        <f t="shared" si="51"/>
        <v>34</v>
      </c>
      <c r="F284" s="136" t="str">
        <f>CONCATENATE("Hora Cátedra Enseñanza Media ",D284," hs")</f>
        <v>Hora Cátedra Enseñanza Media 28 hs</v>
      </c>
      <c r="G284" s="137">
        <f t="shared" si="50"/>
        <v>2212</v>
      </c>
      <c r="H284" s="138">
        <f>INT((G284*Valores!$C$2*100)+0.49)/100</f>
        <v>27487.86</v>
      </c>
      <c r="I284" s="156">
        <v>0</v>
      </c>
      <c r="J284" s="140">
        <f>INT((I284*Valores!$C$2*100)+0.5)/100</f>
        <v>0</v>
      </c>
      <c r="K284" s="155">
        <v>0</v>
      </c>
      <c r="L284" s="140">
        <f>INT((K284*Valores!$C$2*100)+0.5)/100</f>
        <v>0</v>
      </c>
      <c r="M284" s="153">
        <v>0</v>
      </c>
      <c r="N284" s="140">
        <f>INT((M284*Valores!$C$2*100)+0.5)/100</f>
        <v>0</v>
      </c>
      <c r="O284" s="140">
        <f t="shared" si="52"/>
        <v>5052.5550000000003</v>
      </c>
      <c r="P284" s="140">
        <f t="shared" si="53"/>
        <v>0</v>
      </c>
      <c r="Q284" s="154">
        <f>Valores!$C$14*D284</f>
        <v>11799.76</v>
      </c>
      <c r="R284" s="154">
        <f>IF(D284&lt;15,(Valores!$E$4*D284),Valores!$D$4)</f>
        <v>6352.5280000000002</v>
      </c>
      <c r="S284" s="140">
        <v>0</v>
      </c>
      <c r="T284" s="143">
        <f>IF($H$5="NO",IF(Valores!$C$47*D284&gt;Valores!$C$45,Valores!$C$45,Valores!$C$47*D284),IF(Valores!$C$47*D284&gt;Valores!$C$45,Valores!$C$45,Valores!$C$47*D284)/2)</f>
        <v>2484.44</v>
      </c>
      <c r="U284" s="154">
        <f>Valores!$C$24*D284</f>
        <v>3711.4000000000005</v>
      </c>
      <c r="V284" s="140">
        <f t="shared" si="48"/>
        <v>3711.4000000000005</v>
      </c>
      <c r="W284" s="140">
        <v>0</v>
      </c>
      <c r="X284" s="140">
        <v>0</v>
      </c>
      <c r="Y284" s="160">
        <v>0</v>
      </c>
      <c r="Z284" s="140">
        <f>Y284*Valores!$C$2</f>
        <v>0</v>
      </c>
      <c r="AA284" s="140">
        <v>0</v>
      </c>
      <c r="AB284" s="143">
        <f>IF(Valores!$C$93*D284&gt;Valores!$C$92,Valores!$C$92,Valores!$C$93*D284)</f>
        <v>3160.92</v>
      </c>
      <c r="AC284" s="145">
        <f>IF((Valores!$C$34)*D284&gt;Valores!$F$34,Valores!$F$34,(Valores!$C$34)*D284)</f>
        <v>291.48</v>
      </c>
      <c r="AD284" s="140">
        <f t="shared" si="55"/>
        <v>0</v>
      </c>
      <c r="AE284" s="140">
        <f>IF(Valores!$C$35*D284&gt;Valores!$F$35,Valores!$F$35,Valores!$C$35*D284)</f>
        <v>242.76</v>
      </c>
      <c r="AF284" s="144">
        <v>0</v>
      </c>
      <c r="AG284" s="140">
        <f>INT(((AF284*Valores!$C$2)*100)+0.5)/100</f>
        <v>0</v>
      </c>
      <c r="AH284" s="140">
        <f>IF($H$5="NO",IF(Valores!$D$60*'Escala Docente'!D284&gt;Valores!$F$60,Valores!$F$60,Valores!$D$60*'Escala Docente'!D284),IF(Valores!$D$60*'Escala Docente'!D284&gt;Valores!$F$60,Valores!$F$60,Valores!$D$60*'Escala Docente'!D284)/2)</f>
        <v>986.5146666666667</v>
      </c>
      <c r="AI284" s="140">
        <f>IF($H$5="NO",IF(Valores!$D$62*D284&gt;Valores!$F$62,Valores!$F$62,Valores!$D$62*D284),IF(Valores!$D$62*D284&gt;Valores!$F$62,Valores!$F$62,Valores!$D$62*D284)/2)</f>
        <v>282.14666666666665</v>
      </c>
      <c r="AJ284" s="146">
        <f t="shared" si="56"/>
        <v>61852.364333333346</v>
      </c>
      <c r="AK284" s="154">
        <f>IF(Valores!$C$38*D284&gt;Valores!$F$38,Valores!$F$38,Valores!$C$38*D284)</f>
        <v>2540.44</v>
      </c>
      <c r="AL284" s="143">
        <f>IF(Valores!$C$88*D284&gt;Valores!$C$87,Valores!$C$87,Valores!$C$88*D284)</f>
        <v>3184.9999999999995</v>
      </c>
      <c r="AM284" s="143"/>
      <c r="AN284" s="145">
        <f>IF($H$4="NO",0,IF(Valores!$C$59*D284&gt;Valores!$F$59,Valores!$F$59,Valores!$C$59*D284))</f>
        <v>0</v>
      </c>
      <c r="AO284" s="147">
        <f t="shared" si="57"/>
        <v>5725.44</v>
      </c>
      <c r="AP284" s="148">
        <f>AJ284*Valores!$C$69</f>
        <v>-6803.7600766666683</v>
      </c>
      <c r="AQ284" s="149">
        <f>AJ284*-Valores!$C$70</f>
        <v>0</v>
      </c>
      <c r="AR284" s="142">
        <f>AJ284*Valores!$C$71</f>
        <v>-2783.3563950000002</v>
      </c>
      <c r="AS284" s="142">
        <f>Valores!$C$95</f>
        <v>-193.38</v>
      </c>
      <c r="AT284" s="142">
        <f>IF($H$6=0,Valores!$C$96,(Valores!$C$96+$H$6*(Valores!$C$96)))</f>
        <v>-129</v>
      </c>
      <c r="AU284" s="146">
        <f t="shared" si="58"/>
        <v>57668.307861666675</v>
      </c>
      <c r="AV284" s="199">
        <f t="shared" si="54"/>
        <v>-6803.7600766666683</v>
      </c>
      <c r="AW284" s="142">
        <f>AJ284*Valores!$C$72</f>
        <v>-1670.0138370000004</v>
      </c>
      <c r="AX284" s="142">
        <f>AJ284*Valores!$C$73</f>
        <v>-185.55709300000004</v>
      </c>
      <c r="AY284" s="146">
        <f t="shared" si="59"/>
        <v>58918.473326666681</v>
      </c>
      <c r="AZ284" s="150"/>
      <c r="BA284" s="150">
        <f t="shared" si="49"/>
        <v>112</v>
      </c>
      <c r="BB284" s="135" t="s">
        <v>4</v>
      </c>
    </row>
    <row r="285" spans="1:54" s="114" customFormat="1" ht="11.25" customHeight="1" x14ac:dyDescent="0.15">
      <c r="A285" s="134">
        <v>283</v>
      </c>
      <c r="B285" s="134"/>
      <c r="C285" s="135" t="s">
        <v>497</v>
      </c>
      <c r="D285" s="135">
        <v>28</v>
      </c>
      <c r="E285" s="135">
        <f t="shared" si="51"/>
        <v>42</v>
      </c>
      <c r="F285" s="136" t="str">
        <f>CONCATENATE("Hora Cátedra Enseñanza Media ",D285," hs Esc Esp")</f>
        <v>Hora Cátedra Enseñanza Media 28 hs Esc Esp</v>
      </c>
      <c r="G285" s="137">
        <f t="shared" si="50"/>
        <v>2212</v>
      </c>
      <c r="H285" s="138">
        <f>INT((G285*Valores!$C$2*100)+0.49)/100</f>
        <v>27487.86</v>
      </c>
      <c r="I285" s="156">
        <v>0</v>
      </c>
      <c r="J285" s="140">
        <f>INT((I285*Valores!$C$2*100)+0.5)/100</f>
        <v>0</v>
      </c>
      <c r="K285" s="155">
        <v>0</v>
      </c>
      <c r="L285" s="140">
        <f>INT((K285*Valores!$C$2*100)+0.5)/100</f>
        <v>0</v>
      </c>
      <c r="M285" s="153">
        <v>0</v>
      </c>
      <c r="N285" s="140">
        <f>INT((M285*Valores!$C$2*100)+0.5)/100</f>
        <v>0</v>
      </c>
      <c r="O285" s="140">
        <f t="shared" si="52"/>
        <v>5052.5550000000003</v>
      </c>
      <c r="P285" s="140">
        <f t="shared" si="53"/>
        <v>0</v>
      </c>
      <c r="Q285" s="154">
        <f>Valores!$C$14*D285</f>
        <v>11799.76</v>
      </c>
      <c r="R285" s="154">
        <f>IF(D285&lt;15,(Valores!$E$4*D285),Valores!$D$4)</f>
        <v>6352.5280000000002</v>
      </c>
      <c r="S285" s="140">
        <v>0</v>
      </c>
      <c r="T285" s="143">
        <f>IF($H$5="NO",IF(Valores!$C$47*D285&gt;Valores!$C$45,Valores!$C$45,Valores!$C$47*D285),IF(Valores!$C$47*D285&gt;Valores!$C$45,Valores!$C$45,Valores!$C$47*D285)/2)</f>
        <v>2484.44</v>
      </c>
      <c r="U285" s="154">
        <f>Valores!$C$24*D285</f>
        <v>3711.4000000000005</v>
      </c>
      <c r="V285" s="140">
        <f t="shared" si="48"/>
        <v>3711.4000000000005</v>
      </c>
      <c r="W285" s="140">
        <v>0</v>
      </c>
      <c r="X285" s="140">
        <v>0</v>
      </c>
      <c r="Y285" s="160">
        <v>0</v>
      </c>
      <c r="Z285" s="140">
        <f>Y285*Valores!$C$2</f>
        <v>0</v>
      </c>
      <c r="AA285" s="140">
        <v>0</v>
      </c>
      <c r="AB285" s="143">
        <f>IF(Valores!$C$93*D285&gt;Valores!$C$92,Valores!$C$92,Valores!$C$93*D285)</f>
        <v>3160.92</v>
      </c>
      <c r="AC285" s="145">
        <f>IF((Valores!$C$34)*D285&gt;Valores!$F$34,Valores!$F$34,(Valores!$C$34)*D285)</f>
        <v>291.48</v>
      </c>
      <c r="AD285" s="140">
        <f t="shared" si="55"/>
        <v>0</v>
      </c>
      <c r="AE285" s="140">
        <f>IF(Valores!$C$35*D285&gt;Valores!$F$35,Valores!$F$35,Valores!$C$35*D285)</f>
        <v>242.76</v>
      </c>
      <c r="AF285" s="144">
        <v>94</v>
      </c>
      <c r="AG285" s="140">
        <f>INT(((AF285*Valores!$C$2)*100)+0.5)/100</f>
        <v>1168.1099999999999</v>
      </c>
      <c r="AH285" s="140">
        <f>IF($H$5="NO",IF(Valores!$D$60*'Escala Docente'!D285&gt;Valores!$F$60,Valores!$F$60,Valores!$D$60*'Escala Docente'!D285),IF(Valores!$D$60*'Escala Docente'!D285&gt;Valores!$F$60,Valores!$F$60,Valores!$D$60*'Escala Docente'!D285)/2)</f>
        <v>986.5146666666667</v>
      </c>
      <c r="AI285" s="140">
        <f>IF($H$5="NO",IF(Valores!$D$62*D285&gt;Valores!$F$62,Valores!$F$62,Valores!$D$62*D285),IF(Valores!$D$62*D285&gt;Valores!$F$62,Valores!$F$62,Valores!$D$62*D285)/2)</f>
        <v>282.14666666666665</v>
      </c>
      <c r="AJ285" s="146">
        <f t="shared" si="56"/>
        <v>63020.474333333346</v>
      </c>
      <c r="AK285" s="154">
        <f>IF(Valores!$C$38*D285&gt;Valores!$F$38,Valores!$F$38,Valores!$C$38*D285)</f>
        <v>2540.44</v>
      </c>
      <c r="AL285" s="143">
        <f>IF(Valores!$C$88*D285&gt;Valores!$C$87,Valores!$C$87,Valores!$C$88*D285)</f>
        <v>3184.9999999999995</v>
      </c>
      <c r="AM285" s="143"/>
      <c r="AN285" s="145">
        <f>IF($H$4="NO",0,IF(Valores!$C$59*D285&gt;Valores!$F$59,Valores!$F$59,Valores!$C$59*D285))</f>
        <v>0</v>
      </c>
      <c r="AO285" s="147">
        <f t="shared" si="57"/>
        <v>5725.44</v>
      </c>
      <c r="AP285" s="148">
        <f>AJ285*Valores!$C$69</f>
        <v>-6932.2521766666678</v>
      </c>
      <c r="AQ285" s="149">
        <f>AJ285*-Valores!$C$70</f>
        <v>0</v>
      </c>
      <c r="AR285" s="142">
        <f>AJ285*Valores!$C$71</f>
        <v>-2835.9213450000007</v>
      </c>
      <c r="AS285" s="142">
        <f>Valores!$C$95</f>
        <v>-193.38</v>
      </c>
      <c r="AT285" s="142">
        <f>IF($H$6=0,Valores!$C$96,(Valores!$C$96+$H$6*(Valores!$C$96)))</f>
        <v>-129</v>
      </c>
      <c r="AU285" s="146">
        <f t="shared" si="58"/>
        <v>58655.36081166668</v>
      </c>
      <c r="AV285" s="199">
        <f t="shared" si="54"/>
        <v>-6932.2521766666678</v>
      </c>
      <c r="AW285" s="142">
        <f>AJ285*Valores!$C$72</f>
        <v>-1701.5528070000003</v>
      </c>
      <c r="AX285" s="142">
        <f>AJ285*Valores!$C$73</f>
        <v>-189.06142300000005</v>
      </c>
      <c r="AY285" s="146">
        <f t="shared" si="59"/>
        <v>59923.047926666681</v>
      </c>
      <c r="AZ285" s="150"/>
      <c r="BA285" s="150">
        <f t="shared" si="49"/>
        <v>112</v>
      </c>
      <c r="BB285" s="135" t="s">
        <v>4</v>
      </c>
    </row>
    <row r="286" spans="1:54" s="114" customFormat="1" ht="11.25" customHeight="1" x14ac:dyDescent="0.15">
      <c r="A286" s="134">
        <v>284</v>
      </c>
      <c r="B286" s="134"/>
      <c r="C286" s="135" t="s">
        <v>497</v>
      </c>
      <c r="D286" s="135">
        <v>29</v>
      </c>
      <c r="E286" s="135">
        <f t="shared" si="51"/>
        <v>34</v>
      </c>
      <c r="F286" s="136" t="str">
        <f>CONCATENATE("Hora Cátedra Enseñanza Media ",D286," hs")</f>
        <v>Hora Cátedra Enseñanza Media 29 hs</v>
      </c>
      <c r="G286" s="137">
        <f t="shared" si="50"/>
        <v>2291</v>
      </c>
      <c r="H286" s="138">
        <f>INT((G286*Valores!$C$2*100)+0.49)/100</f>
        <v>28469.57</v>
      </c>
      <c r="I286" s="156">
        <v>0</v>
      </c>
      <c r="J286" s="140">
        <f>INT((I286*Valores!$C$2*100)+0.5)/100</f>
        <v>0</v>
      </c>
      <c r="K286" s="155">
        <v>0</v>
      </c>
      <c r="L286" s="140">
        <f>INT((K286*Valores!$C$2*100)+0.5)/100</f>
        <v>0</v>
      </c>
      <c r="M286" s="153">
        <v>0</v>
      </c>
      <c r="N286" s="140">
        <f>INT((M286*Valores!$C$2*100)+0.5)/100</f>
        <v>0</v>
      </c>
      <c r="O286" s="140">
        <f t="shared" si="52"/>
        <v>5233.0034999999998</v>
      </c>
      <c r="P286" s="140">
        <f t="shared" si="53"/>
        <v>0</v>
      </c>
      <c r="Q286" s="154">
        <f>Valores!$C$14*D286</f>
        <v>12221.18</v>
      </c>
      <c r="R286" s="154">
        <f>IF(D286&lt;15,(Valores!$E$4*D286),Valores!$D$4)</f>
        <v>6352.5280000000002</v>
      </c>
      <c r="S286" s="140">
        <v>0</v>
      </c>
      <c r="T286" s="143">
        <f>IF($H$5="NO",IF(Valores!$C$47*D286&gt;Valores!$C$45,Valores!$C$45,Valores!$C$47*D286),IF(Valores!$C$47*D286&gt;Valores!$C$45,Valores!$C$45,Valores!$C$47*D286)/2)</f>
        <v>2573.17</v>
      </c>
      <c r="U286" s="154">
        <f>Valores!$C$24*D286</f>
        <v>3843.9500000000003</v>
      </c>
      <c r="V286" s="140">
        <f t="shared" si="48"/>
        <v>3843.9500000000003</v>
      </c>
      <c r="W286" s="140">
        <v>0</v>
      </c>
      <c r="X286" s="140">
        <v>0</v>
      </c>
      <c r="Y286" s="160">
        <v>0</v>
      </c>
      <c r="Z286" s="140">
        <f>Y286*Valores!$C$2</f>
        <v>0</v>
      </c>
      <c r="AA286" s="140">
        <v>0</v>
      </c>
      <c r="AB286" s="143">
        <f>IF(Valores!$C$93*D286&gt;Valores!$C$92,Valores!$C$92,Valores!$C$93*D286)</f>
        <v>3273.81</v>
      </c>
      <c r="AC286" s="145">
        <f>IF((Valores!$C$34)*D286&gt;Valores!$F$34,Valores!$F$34,(Valores!$C$34)*D286)</f>
        <v>301.89</v>
      </c>
      <c r="AD286" s="140">
        <f t="shared" si="55"/>
        <v>0</v>
      </c>
      <c r="AE286" s="140">
        <f>IF(Valores!$C$35*D286&gt;Valores!$F$35,Valores!$F$35,Valores!$C$35*D286)</f>
        <v>251.43</v>
      </c>
      <c r="AF286" s="144">
        <v>0</v>
      </c>
      <c r="AG286" s="140">
        <f>INT(((AF286*Valores!$C$2)*100)+0.5)/100</f>
        <v>0</v>
      </c>
      <c r="AH286" s="140">
        <f>IF($H$5="NO",IF(Valores!$D$60*'Escala Docente'!D286&gt;Valores!$F$60,Valores!$F$60,Valores!$D$60*'Escala Docente'!D286),IF(Valores!$D$60*'Escala Docente'!D286&gt;Valores!$F$60,Valores!$F$60,Valores!$D$60*'Escala Docente'!D286)/2)</f>
        <v>1021.7473333333334</v>
      </c>
      <c r="AI286" s="140">
        <f>IF($H$5="NO",IF(Valores!$D$62*D286&gt;Valores!$F$62,Valores!$F$62,Valores!$D$62*D286),IF(Valores!$D$62*D286&gt;Valores!$F$62,Valores!$F$62,Valores!$D$62*D286)/2)</f>
        <v>292.2233333333333</v>
      </c>
      <c r="AJ286" s="146">
        <f t="shared" si="56"/>
        <v>63834.502166666658</v>
      </c>
      <c r="AK286" s="154">
        <f>IF(Valores!$C$38*D286&gt;Valores!$F$38,Valores!$F$38,Valores!$C$38*D286)</f>
        <v>2631.17</v>
      </c>
      <c r="AL286" s="143">
        <f>IF(Valores!$C$88*D286&gt;Valores!$C$87,Valores!$C$87,Valores!$C$88*D286)</f>
        <v>3298.7499999999995</v>
      </c>
      <c r="AM286" s="143"/>
      <c r="AN286" s="145">
        <f>IF($H$4="NO",0,IF(Valores!$C$59*D286&gt;Valores!$F$59,Valores!$F$59,Valores!$C$59*D286))</f>
        <v>0</v>
      </c>
      <c r="AO286" s="147">
        <f t="shared" si="57"/>
        <v>5929.92</v>
      </c>
      <c r="AP286" s="148">
        <f>AJ286*Valores!$C$69</f>
        <v>-7021.7952383333322</v>
      </c>
      <c r="AQ286" s="149">
        <f>AJ286*-Valores!$C$70</f>
        <v>0</v>
      </c>
      <c r="AR286" s="142">
        <f>AJ286*Valores!$C$71</f>
        <v>-2872.5525974999996</v>
      </c>
      <c r="AS286" s="142">
        <f>Valores!$C$95</f>
        <v>-193.38</v>
      </c>
      <c r="AT286" s="142">
        <f>IF($H$6=0,Valores!$C$96,(Valores!$C$96+$H$6*(Valores!$C$96)))</f>
        <v>-129</v>
      </c>
      <c r="AU286" s="146">
        <f t="shared" si="58"/>
        <v>59547.694330833328</v>
      </c>
      <c r="AV286" s="199">
        <f t="shared" si="54"/>
        <v>-7021.7952383333322</v>
      </c>
      <c r="AW286" s="142">
        <f>AJ286*Valores!$C$72</f>
        <v>-1723.5315584999998</v>
      </c>
      <c r="AX286" s="142">
        <f>AJ286*Valores!$C$73</f>
        <v>-191.50350649999999</v>
      </c>
      <c r="AY286" s="146">
        <f t="shared" si="59"/>
        <v>60827.591863333328</v>
      </c>
      <c r="AZ286" s="150"/>
      <c r="BA286" s="150">
        <f t="shared" si="49"/>
        <v>116</v>
      </c>
      <c r="BB286" s="135" t="s">
        <v>8</v>
      </c>
    </row>
    <row r="287" spans="1:54" s="114" customFormat="1" ht="11.25" customHeight="1" x14ac:dyDescent="0.15">
      <c r="A287" s="152">
        <v>285</v>
      </c>
      <c r="B287" s="152" t="s">
        <v>139</v>
      </c>
      <c r="C287" s="135" t="s">
        <v>497</v>
      </c>
      <c r="D287" s="135">
        <v>29</v>
      </c>
      <c r="E287" s="135">
        <f t="shared" si="51"/>
        <v>42</v>
      </c>
      <c r="F287" s="136" t="str">
        <f>CONCATENATE("Hora Cátedra Enseñanza Media ",D287," hs Esc Esp")</f>
        <v>Hora Cátedra Enseñanza Media 29 hs Esc Esp</v>
      </c>
      <c r="G287" s="137">
        <f t="shared" si="50"/>
        <v>2291</v>
      </c>
      <c r="H287" s="138">
        <f>INT((G287*Valores!$C$2*100)+0.49)/100</f>
        <v>28469.57</v>
      </c>
      <c r="I287" s="156">
        <v>0</v>
      </c>
      <c r="J287" s="140">
        <f>INT((I287*Valores!$C$2*100)+0.5)/100</f>
        <v>0</v>
      </c>
      <c r="K287" s="155">
        <v>0</v>
      </c>
      <c r="L287" s="140">
        <f>INT((K287*Valores!$C$2*100)+0.5)/100</f>
        <v>0</v>
      </c>
      <c r="M287" s="153">
        <v>0</v>
      </c>
      <c r="N287" s="140">
        <f>INT((M287*Valores!$C$2*100)+0.5)/100</f>
        <v>0</v>
      </c>
      <c r="O287" s="140">
        <f t="shared" si="52"/>
        <v>5233.0034999999998</v>
      </c>
      <c r="P287" s="140">
        <f t="shared" si="53"/>
        <v>0</v>
      </c>
      <c r="Q287" s="154">
        <f>Valores!$C$14*D287</f>
        <v>12221.18</v>
      </c>
      <c r="R287" s="154">
        <f>IF(D287&lt;15,(Valores!$E$4*D287),Valores!$D$4)</f>
        <v>6352.5280000000002</v>
      </c>
      <c r="S287" s="140">
        <v>0</v>
      </c>
      <c r="T287" s="143">
        <f>IF($H$5="NO",IF(Valores!$C$47*D287&gt;Valores!$C$45,Valores!$C$45,Valores!$C$47*D287),IF(Valores!$C$47*D287&gt;Valores!$C$45,Valores!$C$45,Valores!$C$47*D287)/2)</f>
        <v>2573.17</v>
      </c>
      <c r="U287" s="154">
        <f>Valores!$C$24*D287</f>
        <v>3843.9500000000003</v>
      </c>
      <c r="V287" s="140">
        <f t="shared" si="48"/>
        <v>3843.9500000000003</v>
      </c>
      <c r="W287" s="140">
        <v>0</v>
      </c>
      <c r="X287" s="140">
        <v>0</v>
      </c>
      <c r="Y287" s="160">
        <v>0</v>
      </c>
      <c r="Z287" s="140">
        <f>Y287*Valores!$C$2</f>
        <v>0</v>
      </c>
      <c r="AA287" s="140">
        <v>0</v>
      </c>
      <c r="AB287" s="143">
        <f>IF(Valores!$C$93*D287&gt;Valores!$C$92,Valores!$C$92,Valores!$C$93*D287)</f>
        <v>3273.81</v>
      </c>
      <c r="AC287" s="145">
        <f>IF((Valores!$C$34)*D287&gt;Valores!$F$34,Valores!$F$34,(Valores!$C$34)*D287)</f>
        <v>301.89</v>
      </c>
      <c r="AD287" s="140">
        <f t="shared" si="55"/>
        <v>0</v>
      </c>
      <c r="AE287" s="140">
        <f>IF(Valores!$C$35*D287&gt;Valores!$F$35,Valores!$F$35,Valores!$C$35*D287)</f>
        <v>251.43</v>
      </c>
      <c r="AF287" s="144">
        <v>94</v>
      </c>
      <c r="AG287" s="140">
        <f>INT(((AF287*Valores!$C$2)*100)+0.5)/100</f>
        <v>1168.1099999999999</v>
      </c>
      <c r="AH287" s="140">
        <f>IF($H$5="NO",IF(Valores!$D$60*'Escala Docente'!D287&gt;Valores!$F$60,Valores!$F$60,Valores!$D$60*'Escala Docente'!D287),IF(Valores!$D$60*'Escala Docente'!D287&gt;Valores!$F$60,Valores!$F$60,Valores!$D$60*'Escala Docente'!D287)/2)</f>
        <v>1021.7473333333334</v>
      </c>
      <c r="AI287" s="140">
        <f>IF($H$5="NO",IF(Valores!$D$62*D287&gt;Valores!$F$62,Valores!$F$62,Valores!$D$62*D287),IF(Valores!$D$62*D287&gt;Valores!$F$62,Valores!$F$62,Valores!$D$62*D287)/2)</f>
        <v>292.2233333333333</v>
      </c>
      <c r="AJ287" s="146">
        <f t="shared" si="56"/>
        <v>65002.612166666659</v>
      </c>
      <c r="AK287" s="154">
        <f>IF(Valores!$C$38*D287&gt;Valores!$F$38,Valores!$F$38,Valores!$C$38*D287)</f>
        <v>2631.17</v>
      </c>
      <c r="AL287" s="143">
        <f>IF(Valores!$C$88*D287&gt;Valores!$C$87,Valores!$C$87,Valores!$C$88*D287)</f>
        <v>3298.7499999999995</v>
      </c>
      <c r="AM287" s="143"/>
      <c r="AN287" s="145">
        <f>IF($H$4="NO",0,IF(Valores!$C$59*D287&gt;Valores!$F$59,Valores!$F$59,Valores!$C$59*D287))</f>
        <v>0</v>
      </c>
      <c r="AO287" s="147">
        <f t="shared" si="57"/>
        <v>5929.92</v>
      </c>
      <c r="AP287" s="148">
        <f>AJ287*Valores!$C$69</f>
        <v>-7150.2873383333326</v>
      </c>
      <c r="AQ287" s="149">
        <f>AJ287*-Valores!$C$70</f>
        <v>0</v>
      </c>
      <c r="AR287" s="142">
        <f>AJ287*Valores!$C$71</f>
        <v>-2925.1175474999995</v>
      </c>
      <c r="AS287" s="142">
        <f>Valores!$C$95</f>
        <v>-193.38</v>
      </c>
      <c r="AT287" s="142">
        <f>IF($H$6=0,Valores!$C$96,(Valores!$C$96+$H$6*(Valores!$C$96)))</f>
        <v>-129</v>
      </c>
      <c r="AU287" s="146">
        <f t="shared" si="58"/>
        <v>60534.747280833326</v>
      </c>
      <c r="AV287" s="199">
        <f t="shared" si="54"/>
        <v>-7150.2873383333326</v>
      </c>
      <c r="AW287" s="142">
        <f>AJ287*Valores!$C$72</f>
        <v>-1755.0705284999997</v>
      </c>
      <c r="AX287" s="142">
        <f>AJ287*Valores!$C$73</f>
        <v>-195.00783649999997</v>
      </c>
      <c r="AY287" s="146">
        <f t="shared" si="59"/>
        <v>61832.166463333328</v>
      </c>
      <c r="AZ287" s="150"/>
      <c r="BA287" s="150">
        <f t="shared" si="49"/>
        <v>116</v>
      </c>
      <c r="BB287" s="135" t="s">
        <v>8</v>
      </c>
    </row>
    <row r="288" spans="1:54" s="114" customFormat="1" ht="11.25" customHeight="1" x14ac:dyDescent="0.15">
      <c r="A288" s="134">
        <v>286</v>
      </c>
      <c r="B288" s="134"/>
      <c r="C288" s="135" t="s">
        <v>497</v>
      </c>
      <c r="D288" s="135">
        <v>30</v>
      </c>
      <c r="E288" s="135">
        <f t="shared" si="51"/>
        <v>34</v>
      </c>
      <c r="F288" s="136" t="str">
        <f>CONCATENATE("Hora Cátedra Enseñanza Media ",D288," hs")</f>
        <v>Hora Cátedra Enseñanza Media 30 hs</v>
      </c>
      <c r="G288" s="137">
        <f t="shared" si="50"/>
        <v>2370</v>
      </c>
      <c r="H288" s="138">
        <f>INT((G288*Valores!$C$2*100)+0.49)/100</f>
        <v>29451.279999999999</v>
      </c>
      <c r="I288" s="156">
        <v>0</v>
      </c>
      <c r="J288" s="140">
        <f>INT((I288*Valores!$C$2*100)+0.5)/100</f>
        <v>0</v>
      </c>
      <c r="K288" s="155">
        <v>0</v>
      </c>
      <c r="L288" s="140">
        <f>INT((K288*Valores!$C$2*100)+0.5)/100</f>
        <v>0</v>
      </c>
      <c r="M288" s="153">
        <v>0</v>
      </c>
      <c r="N288" s="140">
        <f>INT((M288*Valores!$C$2*100)+0.5)/100</f>
        <v>0</v>
      </c>
      <c r="O288" s="140">
        <f t="shared" si="52"/>
        <v>5413.4520000000002</v>
      </c>
      <c r="P288" s="140">
        <f t="shared" si="53"/>
        <v>0</v>
      </c>
      <c r="Q288" s="154">
        <f>Valores!$C$14*D288</f>
        <v>12642.6</v>
      </c>
      <c r="R288" s="154">
        <f>IF(D288&lt;15,(Valores!$E$4*D288),Valores!$D$4)</f>
        <v>6352.5280000000002</v>
      </c>
      <c r="S288" s="140">
        <v>0</v>
      </c>
      <c r="T288" s="143">
        <f>IF($H$5="NO",IF(Valores!$C$47*D288&gt;Valores!$C$45,Valores!$C$45,Valores!$C$47*D288),IF(Valores!$C$47*D288&gt;Valores!$C$45,Valores!$C$45,Valores!$C$47*D288)/2)</f>
        <v>2661.9</v>
      </c>
      <c r="U288" s="154">
        <f>Valores!$C$24*D288</f>
        <v>3976.5000000000005</v>
      </c>
      <c r="V288" s="140">
        <f t="shared" si="48"/>
        <v>3976.5000000000005</v>
      </c>
      <c r="W288" s="140">
        <v>0</v>
      </c>
      <c r="X288" s="140">
        <v>0</v>
      </c>
      <c r="Y288" s="160">
        <v>0</v>
      </c>
      <c r="Z288" s="140">
        <f>Y288*Valores!$C$2</f>
        <v>0</v>
      </c>
      <c r="AA288" s="140">
        <v>0</v>
      </c>
      <c r="AB288" s="143">
        <f>IF(Valores!$C$93*D288&gt;Valores!$C$92,Valores!$C$92,Valores!$C$93*D288)</f>
        <v>3386.7</v>
      </c>
      <c r="AC288" s="145">
        <f>IF((Valores!$C$34)*D288&gt;Valores!$F$34,Valores!$F$34,(Valores!$C$34)*D288)</f>
        <v>312.3</v>
      </c>
      <c r="AD288" s="140">
        <f t="shared" si="55"/>
        <v>0</v>
      </c>
      <c r="AE288" s="140">
        <f>IF(Valores!$C$35*D288&gt;Valores!$F$35,Valores!$F$35,Valores!$C$35*D288)</f>
        <v>259.82</v>
      </c>
      <c r="AF288" s="144">
        <v>0</v>
      </c>
      <c r="AG288" s="140">
        <f>INT(((AF288*Valores!$C$2)*100)+0.5)/100</f>
        <v>0</v>
      </c>
      <c r="AH288" s="140">
        <f>IF($H$5="NO",IF(Valores!$D$60*'Escala Docente'!D288&gt;Valores!$F$60,Valores!$F$60,Valores!$D$60*'Escala Docente'!D288),IF(Valores!$D$60*'Escala Docente'!D288&gt;Valores!$F$60,Valores!$F$60,Valores!$D$60*'Escala Docente'!D288)/2)</f>
        <v>1056.98</v>
      </c>
      <c r="AI288" s="140">
        <f>IF($H$5="NO",IF(Valores!$D$62*D288&gt;Valores!$F$62,Valores!$F$62,Valores!$D$62*D288),IF(Valores!$D$62*D288&gt;Valores!$F$62,Valores!$F$62,Valores!$D$62*D288)/2)</f>
        <v>302</v>
      </c>
      <c r="AJ288" s="146">
        <f t="shared" si="56"/>
        <v>65816.06</v>
      </c>
      <c r="AK288" s="154">
        <f>IF(Valores!$C$38*D288&gt;Valores!$F$38,Valores!$F$38,Valores!$C$38*D288)</f>
        <v>2721.7700000000004</v>
      </c>
      <c r="AL288" s="143">
        <f>IF(Valores!$C$88*D288&gt;Valores!$C$87,Valores!$C$87,Valores!$C$88*D288)</f>
        <v>3412.4999999999995</v>
      </c>
      <c r="AM288" s="143"/>
      <c r="AN288" s="145">
        <f>IF($H$4="NO",0,IF(Valores!$C$59*D288&gt;Valores!$F$59,Valores!$F$59,Valores!$C$59*D288))</f>
        <v>0</v>
      </c>
      <c r="AO288" s="147">
        <f t="shared" si="57"/>
        <v>6134.27</v>
      </c>
      <c r="AP288" s="148">
        <f>AJ288*Valores!$C$69</f>
        <v>-7239.7665999999999</v>
      </c>
      <c r="AQ288" s="149">
        <f>AJ288*-Valores!$C$70</f>
        <v>0</v>
      </c>
      <c r="AR288" s="142">
        <f>AJ288*Valores!$C$71</f>
        <v>-2961.7226999999998</v>
      </c>
      <c r="AS288" s="142">
        <f>Valores!$C$95</f>
        <v>-193.38</v>
      </c>
      <c r="AT288" s="142">
        <f>IF($H$6=0,Valores!$C$96,(Valores!$C$96+$H$6*(Valores!$C$96)))</f>
        <v>-129</v>
      </c>
      <c r="AU288" s="146">
        <f t="shared" si="58"/>
        <v>61426.460699999996</v>
      </c>
      <c r="AV288" s="199">
        <f t="shared" si="54"/>
        <v>-7239.7665999999999</v>
      </c>
      <c r="AW288" s="142">
        <f>AJ288*Valores!$C$72</f>
        <v>-1777.0336199999999</v>
      </c>
      <c r="AX288" s="142">
        <f>AJ288*Valores!$C$73</f>
        <v>-197.44818000000001</v>
      </c>
      <c r="AY288" s="146">
        <f t="shared" si="59"/>
        <v>62736.081600000005</v>
      </c>
      <c r="AZ288" s="150"/>
      <c r="BA288" s="150">
        <f t="shared" si="49"/>
        <v>120</v>
      </c>
      <c r="BB288" s="135" t="s">
        <v>4</v>
      </c>
    </row>
    <row r="289" spans="1:1022" s="114" customFormat="1" ht="11.25" customHeight="1" x14ac:dyDescent="0.15">
      <c r="A289" s="134">
        <v>287</v>
      </c>
      <c r="B289" s="134"/>
      <c r="C289" s="135" t="s">
        <v>497</v>
      </c>
      <c r="D289" s="135">
        <v>30</v>
      </c>
      <c r="E289" s="135">
        <f t="shared" si="51"/>
        <v>42</v>
      </c>
      <c r="F289" s="136" t="str">
        <f>CONCATENATE("Hora Cátedra Enseñanza Media ",D289," hs Esc Esp")</f>
        <v>Hora Cátedra Enseñanza Media 30 hs Esc Esp</v>
      </c>
      <c r="G289" s="137">
        <f t="shared" si="50"/>
        <v>2370</v>
      </c>
      <c r="H289" s="138">
        <f>INT((G289*Valores!$C$2*100)+0.49)/100</f>
        <v>29451.279999999999</v>
      </c>
      <c r="I289" s="156">
        <v>0</v>
      </c>
      <c r="J289" s="140">
        <f>INT((I289*Valores!$C$2*100)+0.5)/100</f>
        <v>0</v>
      </c>
      <c r="K289" s="155">
        <v>0</v>
      </c>
      <c r="L289" s="140">
        <f>INT((K289*Valores!$C$2*100)+0.5)/100</f>
        <v>0</v>
      </c>
      <c r="M289" s="153">
        <v>0</v>
      </c>
      <c r="N289" s="140">
        <f>INT((M289*Valores!$C$2*100)+0.5)/100</f>
        <v>0</v>
      </c>
      <c r="O289" s="140">
        <f t="shared" si="52"/>
        <v>5413.4520000000002</v>
      </c>
      <c r="P289" s="140">
        <f t="shared" si="53"/>
        <v>0</v>
      </c>
      <c r="Q289" s="154">
        <f>Valores!$C$14*D289</f>
        <v>12642.6</v>
      </c>
      <c r="R289" s="154">
        <f>IF(D289&lt;15,(Valores!$E$4*D289),Valores!$D$4)</f>
        <v>6352.5280000000002</v>
      </c>
      <c r="S289" s="140">
        <v>0</v>
      </c>
      <c r="T289" s="143">
        <f>IF($H$5="NO",IF(Valores!$C$47*D289&gt;Valores!$C$45,Valores!$C$45,Valores!$C$47*D289),IF(Valores!$C$47*D289&gt;Valores!$C$45,Valores!$C$45,Valores!$C$47*D289)/2)</f>
        <v>2661.9</v>
      </c>
      <c r="U289" s="154">
        <f>Valores!$C$24*D289</f>
        <v>3976.5000000000005</v>
      </c>
      <c r="V289" s="140">
        <f t="shared" si="48"/>
        <v>3976.5000000000005</v>
      </c>
      <c r="W289" s="140">
        <v>0</v>
      </c>
      <c r="X289" s="140">
        <v>0</v>
      </c>
      <c r="Y289" s="160">
        <v>0</v>
      </c>
      <c r="Z289" s="140">
        <f>Y289*Valores!$C$2</f>
        <v>0</v>
      </c>
      <c r="AA289" s="140">
        <v>0</v>
      </c>
      <c r="AB289" s="143">
        <f>IF(Valores!$C$93*D289&gt;Valores!$C$92,Valores!$C$92,Valores!$C$93*D289)</f>
        <v>3386.7</v>
      </c>
      <c r="AC289" s="145">
        <f>IF((Valores!$C$34)*D289&gt;Valores!$F$34,Valores!$F$34,(Valores!$C$34)*D289)</f>
        <v>312.3</v>
      </c>
      <c r="AD289" s="140">
        <f t="shared" si="55"/>
        <v>0</v>
      </c>
      <c r="AE289" s="140">
        <f>IF(Valores!$C$35*D289&gt;Valores!$F$35,Valores!$F$35,Valores!$C$35*D289)</f>
        <v>259.82</v>
      </c>
      <c r="AF289" s="144">
        <v>94</v>
      </c>
      <c r="AG289" s="140">
        <f>INT(((AF289*Valores!$C$2)*100)+0.5)/100</f>
        <v>1168.1099999999999</v>
      </c>
      <c r="AH289" s="140">
        <f>IF($H$5="NO",IF(Valores!$D$60*'Escala Docente'!D289&gt;Valores!$F$60,Valores!$F$60,Valores!$D$60*'Escala Docente'!D289),IF(Valores!$D$60*'Escala Docente'!D289&gt;Valores!$F$60,Valores!$F$60,Valores!$D$60*'Escala Docente'!D289)/2)</f>
        <v>1056.98</v>
      </c>
      <c r="AI289" s="140">
        <f>IF($H$5="NO",IF(Valores!$D$62*D289&gt;Valores!$F$62,Valores!$F$62,Valores!$D$62*D289),IF(Valores!$D$62*D289&gt;Valores!$F$62,Valores!$F$62,Valores!$D$62*D289)/2)</f>
        <v>302</v>
      </c>
      <c r="AJ289" s="146">
        <f t="shared" si="56"/>
        <v>66984.17</v>
      </c>
      <c r="AK289" s="154">
        <f>IF(Valores!$C$38*D289&gt;Valores!$F$38,Valores!$F$38,Valores!$C$38*D289)</f>
        <v>2721.7700000000004</v>
      </c>
      <c r="AL289" s="143">
        <f>IF(Valores!$C$88*D289&gt;Valores!$C$87,Valores!$C$87,Valores!$C$88*D289)</f>
        <v>3412.4999999999995</v>
      </c>
      <c r="AM289" s="143"/>
      <c r="AN289" s="145">
        <f>IF($H$4="NO",0,IF(Valores!$C$59*D289&gt;Valores!$F$59,Valores!$F$59,Valores!$C$59*D289))</f>
        <v>0</v>
      </c>
      <c r="AO289" s="147">
        <f t="shared" si="57"/>
        <v>6134.27</v>
      </c>
      <c r="AP289" s="148">
        <f>AJ289*Valores!$C$69</f>
        <v>-7368.2586999999994</v>
      </c>
      <c r="AQ289" s="149">
        <f>AJ289*-Valores!$C$70</f>
        <v>0</v>
      </c>
      <c r="AR289" s="142">
        <f>AJ289*Valores!$C$71</f>
        <v>-3014.2876499999998</v>
      </c>
      <c r="AS289" s="142">
        <f>Valores!$C$95</f>
        <v>-193.38</v>
      </c>
      <c r="AT289" s="142">
        <f>IF($H$6=0,Valores!$C$96,(Valores!$C$96+$H$6*(Valores!$C$96)))</f>
        <v>-129</v>
      </c>
      <c r="AU289" s="146">
        <f t="shared" si="58"/>
        <v>62413.513650000001</v>
      </c>
      <c r="AV289" s="199">
        <f t="shared" si="54"/>
        <v>-7368.2586999999994</v>
      </c>
      <c r="AW289" s="142">
        <f>AJ289*Valores!$C$72</f>
        <v>-1808.57259</v>
      </c>
      <c r="AX289" s="142">
        <f>AJ289*Valores!$C$73</f>
        <v>-200.95250999999999</v>
      </c>
      <c r="AY289" s="146">
        <f t="shared" si="59"/>
        <v>63740.656200000005</v>
      </c>
      <c r="AZ289" s="150"/>
      <c r="BA289" s="150">
        <f t="shared" si="49"/>
        <v>120</v>
      </c>
      <c r="BB289" s="135" t="s">
        <v>4</v>
      </c>
    </row>
    <row r="290" spans="1:1022" s="114" customFormat="1" ht="11.25" customHeight="1" x14ac:dyDescent="0.15">
      <c r="A290" s="134">
        <v>288</v>
      </c>
      <c r="B290" s="134"/>
      <c r="C290" s="135" t="s">
        <v>497</v>
      </c>
      <c r="D290" s="135">
        <v>31</v>
      </c>
      <c r="E290" s="135">
        <f t="shared" si="51"/>
        <v>34</v>
      </c>
      <c r="F290" s="136" t="str">
        <f>CONCATENATE("Hora Cátedra Enseñanza Media ",D290," hs")</f>
        <v>Hora Cátedra Enseñanza Media 31 hs</v>
      </c>
      <c r="G290" s="137">
        <f t="shared" si="50"/>
        <v>2449</v>
      </c>
      <c r="H290" s="138">
        <f>INT((G290*Valores!$C$2*100)+0.49)/100</f>
        <v>30432.99</v>
      </c>
      <c r="I290" s="156">
        <v>0</v>
      </c>
      <c r="J290" s="140">
        <f>INT((I290*Valores!$C$2*100)+0.5)/100</f>
        <v>0</v>
      </c>
      <c r="K290" s="155">
        <v>0</v>
      </c>
      <c r="L290" s="140">
        <f>INT((K290*Valores!$C$2*100)+0.5)/100</f>
        <v>0</v>
      </c>
      <c r="M290" s="153">
        <v>0</v>
      </c>
      <c r="N290" s="140">
        <f>INT((M290*Valores!$C$2*100)+0.5)/100</f>
        <v>0</v>
      </c>
      <c r="O290" s="140">
        <f t="shared" si="52"/>
        <v>5593.9004999999997</v>
      </c>
      <c r="P290" s="140">
        <f t="shared" si="53"/>
        <v>0</v>
      </c>
      <c r="Q290" s="154">
        <f>Valores!$C$14*D290</f>
        <v>13064.02</v>
      </c>
      <c r="R290" s="154">
        <f>IF(D290&lt;15,(Valores!$E$4*D290),Valores!$D$4)</f>
        <v>6352.5280000000002</v>
      </c>
      <c r="S290" s="140">
        <v>0</v>
      </c>
      <c r="T290" s="143">
        <f>IF($H$5="NO",IF(Valores!$C$47*D290&gt;Valores!$C$45,Valores!$C$45,Valores!$C$47*D290),IF(Valores!$C$47*D290&gt;Valores!$C$45,Valores!$C$45,Valores!$C$47*D290)/2)</f>
        <v>2750.63</v>
      </c>
      <c r="U290" s="154">
        <f>Valores!$C$24*D290</f>
        <v>4109.05</v>
      </c>
      <c r="V290" s="140">
        <f t="shared" si="48"/>
        <v>4109.05</v>
      </c>
      <c r="W290" s="140">
        <v>0</v>
      </c>
      <c r="X290" s="140">
        <v>0</v>
      </c>
      <c r="Y290" s="160">
        <v>0</v>
      </c>
      <c r="Z290" s="140">
        <f>Y290*Valores!$C$2</f>
        <v>0</v>
      </c>
      <c r="AA290" s="140">
        <v>0</v>
      </c>
      <c r="AB290" s="143">
        <f>IF(Valores!$C$93*D290&gt;Valores!$C$92,Valores!$C$92,Valores!$C$93*D290)</f>
        <v>3499.59</v>
      </c>
      <c r="AC290" s="145">
        <f>IF((Valores!$C$34)*D290&gt;Valores!$F$34,Valores!$F$34,(Valores!$C$34)*D290)</f>
        <v>322.70999999999998</v>
      </c>
      <c r="AD290" s="140">
        <f t="shared" si="55"/>
        <v>0</v>
      </c>
      <c r="AE290" s="140">
        <f>IF(Valores!$C$35*D290&gt;Valores!$F$35,Valores!$F$35,Valores!$C$35*D290)</f>
        <v>259.82</v>
      </c>
      <c r="AF290" s="144">
        <v>0</v>
      </c>
      <c r="AG290" s="140">
        <f>INT(((AF290*Valores!$C$2)*100)+0.5)/100</f>
        <v>0</v>
      </c>
      <c r="AH290" s="140">
        <f>IF($H$5="NO",IF(Valores!$D$60*'Escala Docente'!D290&gt;Valores!$F$60,Valores!$F$60,Valores!$D$60*'Escala Docente'!D290),IF(Valores!$D$60*'Escala Docente'!D290&gt;Valores!$F$60,Valores!$F$60,Valores!$D$60*'Escala Docente'!D290)/2)</f>
        <v>1056.98</v>
      </c>
      <c r="AI290" s="140">
        <f>IF($H$5="NO",IF(Valores!$D$62*D290&gt;Valores!$F$62,Valores!$F$62,Valores!$D$62*D290),IF(Valores!$D$62*D290&gt;Valores!$F$62,Valores!$F$62,Valores!$D$62*D290)/2)</f>
        <v>302</v>
      </c>
      <c r="AJ290" s="146">
        <f t="shared" si="56"/>
        <v>67744.218500000003</v>
      </c>
      <c r="AK290" s="154">
        <f>IF(Valores!$C$38*D290&gt;Valores!$F$38,Valores!$F$38,Valores!$C$38*D290)</f>
        <v>2721.7700000000004</v>
      </c>
      <c r="AL290" s="143">
        <f>IF(Valores!$C$88*D290&gt;Valores!$C$87,Valores!$C$87,Valores!$C$88*D290)</f>
        <v>3526.2499999999995</v>
      </c>
      <c r="AM290" s="143"/>
      <c r="AN290" s="145">
        <f>IF($H$4="NO",0,IF(Valores!$C$59*D290&gt;Valores!$F$59,Valores!$F$59,Valores!$C$59*D290))</f>
        <v>0</v>
      </c>
      <c r="AO290" s="147">
        <f t="shared" si="57"/>
        <v>6248.02</v>
      </c>
      <c r="AP290" s="148">
        <f>AJ290*Valores!$C$69</f>
        <v>-7451.8640350000005</v>
      </c>
      <c r="AQ290" s="149">
        <f>AJ290*-Valores!$C$70</f>
        <v>0</v>
      </c>
      <c r="AR290" s="142">
        <f>AJ290*Valores!$C$71</f>
        <v>-3048.4898324999999</v>
      </c>
      <c r="AS290" s="142">
        <f>Valores!$C$95</f>
        <v>-193.38</v>
      </c>
      <c r="AT290" s="142">
        <f>IF($H$6=0,Valores!$C$96,(Valores!$C$96+$H$6*(Valores!$C$96)))</f>
        <v>-129</v>
      </c>
      <c r="AU290" s="146">
        <f t="shared" si="58"/>
        <v>63169.5046325</v>
      </c>
      <c r="AV290" s="199">
        <f t="shared" si="54"/>
        <v>-7451.8640350000005</v>
      </c>
      <c r="AW290" s="142">
        <f>AJ290*Valores!$C$72</f>
        <v>-1829.0938995000001</v>
      </c>
      <c r="AX290" s="142">
        <f>AJ290*Valores!$C$73</f>
        <v>-203.23265550000002</v>
      </c>
      <c r="AY290" s="146">
        <f t="shared" si="59"/>
        <v>64508.047910000008</v>
      </c>
      <c r="AZ290" s="150"/>
      <c r="BA290" s="150">
        <f t="shared" ref="BA290:BA303" si="60">4*D290</f>
        <v>124</v>
      </c>
      <c r="BB290" s="135" t="s">
        <v>8</v>
      </c>
    </row>
    <row r="291" spans="1:1022" s="114" customFormat="1" ht="11.25" customHeight="1" x14ac:dyDescent="0.15">
      <c r="A291" s="134">
        <v>289</v>
      </c>
      <c r="B291" s="134"/>
      <c r="C291" s="135" t="s">
        <v>497</v>
      </c>
      <c r="D291" s="135">
        <v>31</v>
      </c>
      <c r="E291" s="135">
        <f t="shared" si="51"/>
        <v>42</v>
      </c>
      <c r="F291" s="136" t="str">
        <f>CONCATENATE("Hora Cátedra Enseñanza Media ",D291," hs Esc Esp")</f>
        <v>Hora Cátedra Enseñanza Media 31 hs Esc Esp</v>
      </c>
      <c r="G291" s="137">
        <f t="shared" si="50"/>
        <v>2449</v>
      </c>
      <c r="H291" s="138">
        <f>INT((G291*Valores!$C$2*100)+0.49)/100</f>
        <v>30432.99</v>
      </c>
      <c r="I291" s="156">
        <v>0</v>
      </c>
      <c r="J291" s="140">
        <f>INT((I291*Valores!$C$2*100)+0.5)/100</f>
        <v>0</v>
      </c>
      <c r="K291" s="155">
        <v>0</v>
      </c>
      <c r="L291" s="140">
        <f>INT((K291*Valores!$C$2*100)+0.5)/100</f>
        <v>0</v>
      </c>
      <c r="M291" s="153">
        <v>0</v>
      </c>
      <c r="N291" s="140">
        <f>INT((M291*Valores!$C$2*100)+0.5)/100</f>
        <v>0</v>
      </c>
      <c r="O291" s="140">
        <f t="shared" si="52"/>
        <v>5593.9004999999997</v>
      </c>
      <c r="P291" s="140">
        <f t="shared" si="53"/>
        <v>0</v>
      </c>
      <c r="Q291" s="154">
        <f>Valores!$C$14*D291</f>
        <v>13064.02</v>
      </c>
      <c r="R291" s="154">
        <f>IF(D291&lt;15,(Valores!$E$4*D291),Valores!$D$4)</f>
        <v>6352.5280000000002</v>
      </c>
      <c r="S291" s="140">
        <v>0</v>
      </c>
      <c r="T291" s="143">
        <f>IF($H$5="NO",IF(Valores!$C$47*D291&gt;Valores!$C$45,Valores!$C$45,Valores!$C$47*D291),IF(Valores!$C$47*D291&gt;Valores!$C$45,Valores!$C$45,Valores!$C$47*D291)/2)</f>
        <v>2750.63</v>
      </c>
      <c r="U291" s="154">
        <f>Valores!$C$24*D291</f>
        <v>4109.05</v>
      </c>
      <c r="V291" s="140">
        <f t="shared" si="48"/>
        <v>4109.05</v>
      </c>
      <c r="W291" s="140">
        <v>0</v>
      </c>
      <c r="X291" s="140">
        <v>0</v>
      </c>
      <c r="Y291" s="160">
        <v>0</v>
      </c>
      <c r="Z291" s="140">
        <f>Y291*Valores!$C$2</f>
        <v>0</v>
      </c>
      <c r="AA291" s="140">
        <v>0</v>
      </c>
      <c r="AB291" s="143">
        <f>IF(Valores!$C$93*D291&gt;Valores!$C$92,Valores!$C$92,Valores!$C$93*D291)</f>
        <v>3499.59</v>
      </c>
      <c r="AC291" s="145">
        <f>IF((Valores!$C$34)*D291&gt;Valores!$F$34,Valores!$F$34,(Valores!$C$34)*D291)</f>
        <v>322.70999999999998</v>
      </c>
      <c r="AD291" s="140">
        <f t="shared" si="55"/>
        <v>0</v>
      </c>
      <c r="AE291" s="140">
        <f>IF(Valores!$C$35*D291&gt;Valores!$F$35,Valores!$F$35,Valores!$C$35*D291)</f>
        <v>259.82</v>
      </c>
      <c r="AF291" s="144">
        <v>94</v>
      </c>
      <c r="AG291" s="140">
        <f>INT(((AF291*Valores!$C$2)*100)+0.5)/100</f>
        <v>1168.1099999999999</v>
      </c>
      <c r="AH291" s="140">
        <f>IF($H$5="NO",IF(Valores!$D$60*'Escala Docente'!D291&gt;Valores!$F$60,Valores!$F$60,Valores!$D$60*'Escala Docente'!D291),IF(Valores!$D$60*'Escala Docente'!D291&gt;Valores!$F$60,Valores!$F$60,Valores!$D$60*'Escala Docente'!D291)/2)</f>
        <v>1056.98</v>
      </c>
      <c r="AI291" s="140">
        <f>IF($H$5="NO",IF(Valores!$D$62*D291&gt;Valores!$F$62,Valores!$F$62,Valores!$D$62*D291),IF(Valores!$D$62*D291&gt;Valores!$F$62,Valores!$F$62,Valores!$D$62*D291)/2)</f>
        <v>302</v>
      </c>
      <c r="AJ291" s="146">
        <f t="shared" si="56"/>
        <v>68912.328500000003</v>
      </c>
      <c r="AK291" s="154">
        <f>IF(Valores!$C$38*D291&gt;Valores!$F$38,Valores!$F$38,Valores!$C$38*D291)</f>
        <v>2721.7700000000004</v>
      </c>
      <c r="AL291" s="143">
        <f>IF(Valores!$C$88*D291&gt;Valores!$C$87,Valores!$C$87,Valores!$C$88*D291)</f>
        <v>3526.2499999999995</v>
      </c>
      <c r="AM291" s="143"/>
      <c r="AN291" s="145">
        <f>IF($H$4="NO",0,IF(Valores!$C$59*D291&gt;Valores!$F$59,Valores!$F$59,Valores!$C$59*D291))</f>
        <v>0</v>
      </c>
      <c r="AO291" s="147">
        <f t="shared" si="57"/>
        <v>6248.02</v>
      </c>
      <c r="AP291" s="148">
        <f>AJ291*Valores!$C$69</f>
        <v>-7580.356135</v>
      </c>
      <c r="AQ291" s="149">
        <f>AJ291*-Valores!$C$70</f>
        <v>0</v>
      </c>
      <c r="AR291" s="142">
        <f>AJ291*Valores!$C$71</f>
        <v>-3101.0547824999999</v>
      </c>
      <c r="AS291" s="142">
        <f>Valores!$C$95</f>
        <v>-193.38</v>
      </c>
      <c r="AT291" s="142">
        <f>IF($H$6=0,Valores!$C$96,(Valores!$C$96+$H$6*(Valores!$C$96)))</f>
        <v>-129</v>
      </c>
      <c r="AU291" s="146">
        <f t="shared" si="58"/>
        <v>64156.557582500005</v>
      </c>
      <c r="AV291" s="199">
        <f t="shared" si="54"/>
        <v>-7580.356135</v>
      </c>
      <c r="AW291" s="142">
        <f>AJ291*Valores!$C$72</f>
        <v>-1860.6328695</v>
      </c>
      <c r="AX291" s="142">
        <f>AJ291*Valores!$C$73</f>
        <v>-206.7369855</v>
      </c>
      <c r="AY291" s="146">
        <f t="shared" si="59"/>
        <v>65512.622510000008</v>
      </c>
      <c r="AZ291" s="150"/>
      <c r="BA291" s="150">
        <f t="shared" si="60"/>
        <v>124</v>
      </c>
      <c r="BB291" s="135" t="s">
        <v>8</v>
      </c>
    </row>
    <row r="292" spans="1:1022" s="114" customFormat="1" ht="11.25" customHeight="1" x14ac:dyDescent="0.15">
      <c r="A292" s="152">
        <v>290</v>
      </c>
      <c r="B292" s="152" t="s">
        <v>139</v>
      </c>
      <c r="C292" s="135" t="s">
        <v>497</v>
      </c>
      <c r="D292" s="135">
        <v>32</v>
      </c>
      <c r="E292" s="135">
        <f t="shared" si="51"/>
        <v>34</v>
      </c>
      <c r="F292" s="136" t="str">
        <f>CONCATENATE("Hora Cátedra Enseñanza Media ",D292," hs")</f>
        <v>Hora Cátedra Enseñanza Media 32 hs</v>
      </c>
      <c r="G292" s="137">
        <f t="shared" si="50"/>
        <v>2528</v>
      </c>
      <c r="H292" s="138">
        <f>INT((G292*Valores!$C$2*100)+0.49)/100</f>
        <v>31414.7</v>
      </c>
      <c r="I292" s="156">
        <v>0</v>
      </c>
      <c r="J292" s="140">
        <f>INT((I292*Valores!$C$2*100)+0.5)/100</f>
        <v>0</v>
      </c>
      <c r="K292" s="155">
        <v>0</v>
      </c>
      <c r="L292" s="140">
        <f>INT((K292*Valores!$C$2*100)+0.5)/100</f>
        <v>0</v>
      </c>
      <c r="M292" s="153">
        <v>0</v>
      </c>
      <c r="N292" s="140">
        <f>INT((M292*Valores!$C$2*100)+0.5)/100</f>
        <v>0</v>
      </c>
      <c r="O292" s="140">
        <f t="shared" si="52"/>
        <v>5774.3490000000002</v>
      </c>
      <c r="P292" s="140">
        <f t="shared" si="53"/>
        <v>0</v>
      </c>
      <c r="Q292" s="154">
        <f>Valores!$C$14*D292</f>
        <v>13485.44</v>
      </c>
      <c r="R292" s="154">
        <f>IF(D292&lt;15,(Valores!$E$4*D292),Valores!$D$4)</f>
        <v>6352.5280000000002</v>
      </c>
      <c r="S292" s="140">
        <v>0</v>
      </c>
      <c r="T292" s="143">
        <f>IF($H$5="NO",IF(Valores!$C$47*D292&gt;Valores!$C$45,Valores!$C$45,Valores!$C$47*D292),IF(Valores!$C$47*D292&gt;Valores!$C$45,Valores!$C$45,Valores!$C$47*D292)/2)</f>
        <v>2839.36</v>
      </c>
      <c r="U292" s="154">
        <f>Valores!$C$24*D292</f>
        <v>4241.6000000000004</v>
      </c>
      <c r="V292" s="140">
        <f t="shared" si="48"/>
        <v>4241.6000000000004</v>
      </c>
      <c r="W292" s="140">
        <v>0</v>
      </c>
      <c r="X292" s="140">
        <v>0</v>
      </c>
      <c r="Y292" s="160">
        <v>0</v>
      </c>
      <c r="Z292" s="140">
        <f>Y292*Valores!$C$2</f>
        <v>0</v>
      </c>
      <c r="AA292" s="140">
        <v>0</v>
      </c>
      <c r="AB292" s="143">
        <f>IF(Valores!$C$93*D292&gt;Valores!$C$92,Valores!$C$92,Valores!$C$93*D292)</f>
        <v>3612.48</v>
      </c>
      <c r="AC292" s="145">
        <f>IF((Valores!$C$34)*D292&gt;Valores!$F$34,Valores!$F$34,(Valores!$C$34)*D292)</f>
        <v>333.12</v>
      </c>
      <c r="AD292" s="140">
        <f t="shared" si="55"/>
        <v>0</v>
      </c>
      <c r="AE292" s="140">
        <f>IF(Valores!$C$35*D292&gt;Valores!$F$35,Valores!$F$35,Valores!$C$35*D292)</f>
        <v>259.82</v>
      </c>
      <c r="AF292" s="144">
        <v>0</v>
      </c>
      <c r="AG292" s="140">
        <f>INT(((AF292*Valores!$C$2)*100)+0.5)/100</f>
        <v>0</v>
      </c>
      <c r="AH292" s="140">
        <f>IF($H$5="NO",IF(Valores!$D$60*'Escala Docente'!D292&gt;Valores!$F$60,Valores!$F$60,Valores!$D$60*'Escala Docente'!D292),IF(Valores!$D$60*'Escala Docente'!D292&gt;Valores!$F$60,Valores!$F$60,Valores!$D$60*'Escala Docente'!D292)/2)</f>
        <v>1056.98</v>
      </c>
      <c r="AI292" s="140">
        <f>IF($H$5="NO",IF(Valores!$D$62*D292&gt;Valores!$F$62,Valores!$F$62,Valores!$D$62*D292),IF(Valores!$D$62*D292&gt;Valores!$F$62,Valores!$F$62,Valores!$D$62*D292)/2)</f>
        <v>302</v>
      </c>
      <c r="AJ292" s="146">
        <f>SUM(H292,J292,L292,N292,O292,P292,Q292,R292,S292,V292,W292,X292,Z292,AA292,AC292,AD292,AE292,AG292,T292,AH292,AI292,AB292)</f>
        <v>69672.376999999993</v>
      </c>
      <c r="AK292" s="154">
        <f>IF(Valores!$C$38*D292&gt;Valores!$F$38,Valores!$F$38,Valores!$C$38*D292)</f>
        <v>2721.7700000000004</v>
      </c>
      <c r="AL292" s="143">
        <f>IF(Valores!$C$88*D292&gt;Valores!$C$87,Valores!$C$87,Valores!$C$88*D292)</f>
        <v>3639.9999999999995</v>
      </c>
      <c r="AM292" s="143"/>
      <c r="AN292" s="145">
        <f>IF($H$4="NO",0,IF(Valores!$C$59*D292&gt;Valores!$F$59,Valores!$F$59,Valores!$C$59*D292))</f>
        <v>0</v>
      </c>
      <c r="AO292" s="147">
        <f t="shared" si="57"/>
        <v>6361.77</v>
      </c>
      <c r="AP292" s="148">
        <f>AJ292*Valores!$C$69</f>
        <v>-7663.9614699999993</v>
      </c>
      <c r="AQ292" s="149">
        <f>AJ292*-Valores!$C$70</f>
        <v>0</v>
      </c>
      <c r="AR292" s="142">
        <f>AJ292*Valores!$C$71</f>
        <v>-3135.2569649999996</v>
      </c>
      <c r="AS292" s="142">
        <f>Valores!$C$95</f>
        <v>-193.38</v>
      </c>
      <c r="AT292" s="142">
        <f>IF($H$6=0,Valores!$C$96,(Valores!$C$96+$H$6*(Valores!$C$96)))</f>
        <v>-129</v>
      </c>
      <c r="AU292" s="146">
        <f t="shared" si="58"/>
        <v>64912.548564999997</v>
      </c>
      <c r="AV292" s="199">
        <f t="shared" si="54"/>
        <v>-7663.9614699999993</v>
      </c>
      <c r="AW292" s="142">
        <f>AJ292*Valores!$C$72</f>
        <v>-1881.1541789999999</v>
      </c>
      <c r="AX292" s="142">
        <f>AJ292*Valores!$C$73</f>
        <v>-209.01713099999998</v>
      </c>
      <c r="AY292" s="146">
        <f t="shared" si="59"/>
        <v>66280.014219999997</v>
      </c>
      <c r="AZ292" s="150"/>
      <c r="BA292" s="150">
        <f t="shared" si="60"/>
        <v>128</v>
      </c>
      <c r="BB292" s="135" t="s">
        <v>8</v>
      </c>
    </row>
    <row r="293" spans="1:1022" s="114" customFormat="1" ht="11.25" customHeight="1" x14ac:dyDescent="0.15">
      <c r="A293" s="134">
        <v>291</v>
      </c>
      <c r="B293" s="134"/>
      <c r="C293" s="135" t="s">
        <v>497</v>
      </c>
      <c r="D293" s="135">
        <v>32</v>
      </c>
      <c r="E293" s="135">
        <f t="shared" si="51"/>
        <v>42</v>
      </c>
      <c r="F293" s="136" t="str">
        <f>CONCATENATE("Hora Cátedra Enseñanza Media ",D293," hs Esc Esp")</f>
        <v>Hora Cátedra Enseñanza Media 32 hs Esc Esp</v>
      </c>
      <c r="G293" s="137">
        <f t="shared" si="50"/>
        <v>2528</v>
      </c>
      <c r="H293" s="138">
        <f>INT((G293*Valores!$C$2*100)+0.49)/100</f>
        <v>31414.7</v>
      </c>
      <c r="I293" s="156">
        <v>0</v>
      </c>
      <c r="J293" s="140">
        <f>INT((I293*Valores!$C$2*100)+0.5)/100</f>
        <v>0</v>
      </c>
      <c r="K293" s="155">
        <v>0</v>
      </c>
      <c r="L293" s="140">
        <f>INT((K293*Valores!$C$2*100)+0.5)/100</f>
        <v>0</v>
      </c>
      <c r="M293" s="153">
        <v>0</v>
      </c>
      <c r="N293" s="140">
        <f>INT((M293*Valores!$C$2*100)+0.5)/100</f>
        <v>0</v>
      </c>
      <c r="O293" s="140">
        <f t="shared" si="52"/>
        <v>5774.3490000000002</v>
      </c>
      <c r="P293" s="140">
        <f t="shared" si="53"/>
        <v>0</v>
      </c>
      <c r="Q293" s="154">
        <f>Valores!$C$14*D293</f>
        <v>13485.44</v>
      </c>
      <c r="R293" s="154">
        <f>IF(D293&lt;15,(Valores!$E$4*D293),Valores!$D$4)</f>
        <v>6352.5280000000002</v>
      </c>
      <c r="S293" s="140">
        <v>0</v>
      </c>
      <c r="T293" s="143">
        <f>IF($H$5="NO",IF(Valores!$C$47*D293&gt;Valores!$C$45,Valores!$C$45,Valores!$C$47*D293),IF(Valores!$C$47*D293&gt;Valores!$C$45,Valores!$C$45,Valores!$C$47*D293)/2)</f>
        <v>2839.36</v>
      </c>
      <c r="U293" s="154">
        <f>Valores!$C$24*D293</f>
        <v>4241.6000000000004</v>
      </c>
      <c r="V293" s="140">
        <f t="shared" si="48"/>
        <v>4241.6000000000004</v>
      </c>
      <c r="W293" s="140">
        <v>0</v>
      </c>
      <c r="X293" s="140">
        <v>0</v>
      </c>
      <c r="Y293" s="160">
        <v>0</v>
      </c>
      <c r="Z293" s="140">
        <f>Y293*Valores!$C$2</f>
        <v>0</v>
      </c>
      <c r="AA293" s="140">
        <v>0</v>
      </c>
      <c r="AB293" s="143">
        <f>IF(Valores!$C$93*D293&gt;Valores!$C$92,Valores!$C$92,Valores!$C$93*D293)</f>
        <v>3612.48</v>
      </c>
      <c r="AC293" s="145">
        <f>IF((Valores!$C$34)*D293&gt;Valores!$F$34,Valores!$F$34,(Valores!$C$34)*D293)</f>
        <v>333.12</v>
      </c>
      <c r="AD293" s="140">
        <f t="shared" si="55"/>
        <v>0</v>
      </c>
      <c r="AE293" s="140">
        <f>IF(Valores!$C$35*D293&gt;Valores!$F$35,Valores!$F$35,Valores!$C$35*D293)</f>
        <v>259.82</v>
      </c>
      <c r="AF293" s="144">
        <v>94</v>
      </c>
      <c r="AG293" s="140">
        <f>INT(((AF293*Valores!$C$2)*100)+0.5)/100</f>
        <v>1168.1099999999999</v>
      </c>
      <c r="AH293" s="140">
        <f>IF($H$5="NO",IF(Valores!$D$60*'Escala Docente'!D293&gt;Valores!$F$60,Valores!$F$60,Valores!$D$60*'Escala Docente'!D293),IF(Valores!$D$60*'Escala Docente'!D293&gt;Valores!$F$60,Valores!$F$60,Valores!$D$60*'Escala Docente'!D293)/2)</f>
        <v>1056.98</v>
      </c>
      <c r="AI293" s="140">
        <f>IF($H$5="NO",IF(Valores!$D$62*D293&gt;Valores!$F$62,Valores!$F$62,Valores!$D$62*D293),IF(Valores!$D$62*D293&gt;Valores!$F$62,Valores!$F$62,Valores!$D$62*D293)/2)</f>
        <v>302</v>
      </c>
      <c r="AJ293" s="146">
        <f t="shared" si="56"/>
        <v>70840.486999999994</v>
      </c>
      <c r="AK293" s="154">
        <f>IF(Valores!$C$38*D293&gt;Valores!$F$38,Valores!$F$38,Valores!$C$38*D293)</f>
        <v>2721.7700000000004</v>
      </c>
      <c r="AL293" s="143">
        <f>IF(Valores!$C$88*D293&gt;Valores!$C$87,Valores!$C$87,Valores!$C$88*D293)</f>
        <v>3639.9999999999995</v>
      </c>
      <c r="AM293" s="143"/>
      <c r="AN293" s="145">
        <f>IF($H$4="NO",0,IF(Valores!$C$59*D293&gt;Valores!$F$59,Valores!$F$59,Valores!$C$59*D293))</f>
        <v>0</v>
      </c>
      <c r="AO293" s="147">
        <f t="shared" si="57"/>
        <v>6361.77</v>
      </c>
      <c r="AP293" s="148">
        <f>AJ293*Valores!$C$69</f>
        <v>-7792.4535699999997</v>
      </c>
      <c r="AQ293" s="149">
        <f>AJ293*-Valores!$C$70</f>
        <v>0</v>
      </c>
      <c r="AR293" s="142">
        <f>AJ293*Valores!$C$71</f>
        <v>-3187.8219149999995</v>
      </c>
      <c r="AS293" s="142">
        <f>Valores!$C$95</f>
        <v>-193.38</v>
      </c>
      <c r="AT293" s="142">
        <f>IF($H$6=0,Valores!$C$96,(Valores!$C$96+$H$6*(Valores!$C$96)))</f>
        <v>-129</v>
      </c>
      <c r="AU293" s="146">
        <f t="shared" si="58"/>
        <v>65899.601514999988</v>
      </c>
      <c r="AV293" s="199">
        <f t="shared" si="54"/>
        <v>-7792.4535699999997</v>
      </c>
      <c r="AW293" s="142">
        <f>AJ293*Valores!$C$72</f>
        <v>-1912.6931489999997</v>
      </c>
      <c r="AX293" s="142">
        <f>AJ293*Valores!$C$73</f>
        <v>-212.52146099999999</v>
      </c>
      <c r="AY293" s="146">
        <f t="shared" si="59"/>
        <v>67284.588820000004</v>
      </c>
      <c r="AZ293" s="150"/>
      <c r="BA293" s="150">
        <f t="shared" si="60"/>
        <v>128</v>
      </c>
      <c r="BB293" s="135" t="s">
        <v>8</v>
      </c>
    </row>
    <row r="294" spans="1:1022" s="114" customFormat="1" ht="11.25" customHeight="1" x14ac:dyDescent="0.15">
      <c r="A294" s="134">
        <v>292</v>
      </c>
      <c r="B294" s="134"/>
      <c r="C294" s="135" t="s">
        <v>497</v>
      </c>
      <c r="D294" s="135">
        <v>33</v>
      </c>
      <c r="E294" s="135">
        <f t="shared" si="51"/>
        <v>34</v>
      </c>
      <c r="F294" s="136" t="str">
        <f>CONCATENATE("Hora Cátedra Enseñanza Media ",D294," hs")</f>
        <v>Hora Cátedra Enseñanza Media 33 hs</v>
      </c>
      <c r="G294" s="137">
        <f t="shared" ref="G294:G301" si="61">79*D294</f>
        <v>2607</v>
      </c>
      <c r="H294" s="138">
        <f>INT((G294*Valores!$C$2*100)+0.49)/100</f>
        <v>32396.41</v>
      </c>
      <c r="I294" s="156">
        <v>0</v>
      </c>
      <c r="J294" s="140">
        <f>INT((I294*Valores!$C$2*100)+0.5)/100</f>
        <v>0</v>
      </c>
      <c r="K294" s="155">
        <v>0</v>
      </c>
      <c r="L294" s="140">
        <f>INT((K294*Valores!$C$2*100)+0.5)/100</f>
        <v>0</v>
      </c>
      <c r="M294" s="153">
        <v>0</v>
      </c>
      <c r="N294" s="140">
        <f>INT((M294*Valores!$C$2*100)+0.5)/100</f>
        <v>0</v>
      </c>
      <c r="O294" s="140">
        <f t="shared" si="52"/>
        <v>5954.7974999999988</v>
      </c>
      <c r="P294" s="140">
        <f t="shared" si="53"/>
        <v>0</v>
      </c>
      <c r="Q294" s="154">
        <f>Valores!$C$14*D294</f>
        <v>13906.86</v>
      </c>
      <c r="R294" s="154">
        <f>IF(D294&lt;15,(Valores!$E$4*D294),Valores!$D$4)</f>
        <v>6352.5280000000002</v>
      </c>
      <c r="S294" s="140">
        <v>0</v>
      </c>
      <c r="T294" s="143">
        <f>IF($H$5="NO",IF(Valores!$C$47*D294&gt;Valores!$C$45,Valores!$C$45,Valores!$C$47*D294),IF(Valores!$C$47*D294&gt;Valores!$C$45,Valores!$C$45,Valores!$C$47*D294)/2)</f>
        <v>2928.09</v>
      </c>
      <c r="U294" s="154">
        <f>Valores!$C$24*D294</f>
        <v>4374.1500000000005</v>
      </c>
      <c r="V294" s="140">
        <f t="shared" si="48"/>
        <v>4374.1500000000005</v>
      </c>
      <c r="W294" s="140">
        <v>0</v>
      </c>
      <c r="X294" s="140">
        <v>0</v>
      </c>
      <c r="Y294" s="160">
        <v>0</v>
      </c>
      <c r="Z294" s="140">
        <f>Y294*Valores!$C$2</f>
        <v>0</v>
      </c>
      <c r="AA294" s="140">
        <v>0</v>
      </c>
      <c r="AB294" s="143">
        <f>IF(Valores!$C$93*D294&gt;Valores!$C$92,Valores!$C$92,Valores!$C$93*D294)</f>
        <v>3725.37</v>
      </c>
      <c r="AC294" s="145">
        <f>IF((Valores!$C$34)*D294&gt;Valores!$F$34,Valores!$F$34,(Valores!$C$34)*D294)</f>
        <v>343.53000000000003</v>
      </c>
      <c r="AD294" s="140">
        <f t="shared" si="55"/>
        <v>0</v>
      </c>
      <c r="AE294" s="140">
        <f>IF(Valores!$C$35*D294&gt;Valores!$F$35,Valores!$F$35,Valores!$C$35*D294)</f>
        <v>259.82</v>
      </c>
      <c r="AF294" s="144">
        <v>0</v>
      </c>
      <c r="AG294" s="140">
        <f>INT(((AF294*Valores!$C$2)*100)+0.5)/100</f>
        <v>0</v>
      </c>
      <c r="AH294" s="140">
        <f>IF($H$5="NO",IF(Valores!$D$60*'Escala Docente'!D294&gt;Valores!$F$60,Valores!$F$60,Valores!$D$60*'Escala Docente'!D294),IF(Valores!$D$60*'Escala Docente'!D294&gt;Valores!$F$60,Valores!$F$60,Valores!$D$60*'Escala Docente'!D294)/2)</f>
        <v>1056.98</v>
      </c>
      <c r="AI294" s="140">
        <f>IF($H$5="NO",IF(Valores!$D$62*D294&gt;Valores!$F$62,Valores!$F$62,Valores!$D$62*D294),IF(Valores!$D$62*D294&gt;Valores!$F$62,Valores!$F$62,Valores!$D$62*D294)/2)</f>
        <v>302</v>
      </c>
      <c r="AJ294" s="146">
        <f t="shared" si="56"/>
        <v>71600.535499999984</v>
      </c>
      <c r="AK294" s="154">
        <f>IF(Valores!$C$38*D294&gt;Valores!$F$38,Valores!$F$38,Valores!$C$38*D294)</f>
        <v>2721.7700000000004</v>
      </c>
      <c r="AL294" s="143">
        <f>IF(Valores!$C$88*D294&gt;Valores!$C$87,Valores!$C$87,Valores!$C$88*D294)</f>
        <v>3753.7499999999995</v>
      </c>
      <c r="AM294" s="143"/>
      <c r="AN294" s="145">
        <f>IF($H$4="NO",0,IF(Valores!$C$59*D294&gt;Valores!$F$59,Valores!$F$59,Valores!$C$59*D294))</f>
        <v>0</v>
      </c>
      <c r="AO294" s="147">
        <f t="shared" si="57"/>
        <v>6475.52</v>
      </c>
      <c r="AP294" s="148">
        <f>AJ294*Valores!$C$69</f>
        <v>-7876.058904999998</v>
      </c>
      <c r="AQ294" s="149">
        <f>AJ294*-Valores!$C$70</f>
        <v>0</v>
      </c>
      <c r="AR294" s="142">
        <f>AJ294*Valores!$C$71</f>
        <v>-3222.0240974999992</v>
      </c>
      <c r="AS294" s="142">
        <f>Valores!$C$95</f>
        <v>-193.38</v>
      </c>
      <c r="AT294" s="142">
        <f>IF($H$6=0,Valores!$C$96,(Valores!$C$96+$H$6*(Valores!$C$96)))</f>
        <v>-129</v>
      </c>
      <c r="AU294" s="146">
        <f t="shared" si="58"/>
        <v>66655.59249749998</v>
      </c>
      <c r="AV294" s="199">
        <f t="shared" si="54"/>
        <v>-7876.058904999998</v>
      </c>
      <c r="AW294" s="142">
        <f>AJ294*Valores!$C$72</f>
        <v>-1933.2144584999996</v>
      </c>
      <c r="AX294" s="142">
        <f>AJ294*Valores!$C$73</f>
        <v>-214.80160649999996</v>
      </c>
      <c r="AY294" s="146">
        <f t="shared" si="59"/>
        <v>68051.980529999986</v>
      </c>
      <c r="AZ294" s="150"/>
      <c r="BA294" s="150">
        <f t="shared" si="60"/>
        <v>132</v>
      </c>
      <c r="BB294" s="135" t="s">
        <v>8</v>
      </c>
    </row>
    <row r="295" spans="1:1022" s="114" customFormat="1" ht="11.25" customHeight="1" x14ac:dyDescent="0.15">
      <c r="A295" s="134">
        <v>293</v>
      </c>
      <c r="B295" s="134"/>
      <c r="C295" s="135" t="s">
        <v>497</v>
      </c>
      <c r="D295" s="135">
        <v>33</v>
      </c>
      <c r="E295" s="135">
        <f t="shared" si="51"/>
        <v>42</v>
      </c>
      <c r="F295" s="135" t="str">
        <f>CONCATENATE("Hora Cátedra Enseñanza Media ",D295," hs Esc Esp")</f>
        <v>Hora Cátedra Enseñanza Media 33 hs Esc Esp</v>
      </c>
      <c r="G295" s="161">
        <f t="shared" si="61"/>
        <v>2607</v>
      </c>
      <c r="H295" s="149">
        <f>INT((G295*Valores!$C$2*100)+0.49)/100</f>
        <v>32396.41</v>
      </c>
      <c r="I295" s="162">
        <v>0</v>
      </c>
      <c r="J295" s="154">
        <f>INT((I295*Valores!$C$2*100)+0.5)/100</f>
        <v>0</v>
      </c>
      <c r="K295" s="163">
        <v>0</v>
      </c>
      <c r="L295" s="154">
        <f>INT((K295*Valores!$C$2*100)+0.5)/100</f>
        <v>0</v>
      </c>
      <c r="M295" s="164">
        <v>0</v>
      </c>
      <c r="N295" s="154">
        <f>INT((M295*Valores!$C$2*100)+0.5)/100</f>
        <v>0</v>
      </c>
      <c r="O295" s="154">
        <f t="shared" si="52"/>
        <v>5954.7974999999988</v>
      </c>
      <c r="P295" s="154">
        <f t="shared" si="53"/>
        <v>0</v>
      </c>
      <c r="Q295" s="154">
        <f>Valores!$C$14*D295</f>
        <v>13906.86</v>
      </c>
      <c r="R295" s="154">
        <f>IF(D295&lt;15,(Valores!$E$4*D295),Valores!$D$4)</f>
        <v>6352.5280000000002</v>
      </c>
      <c r="S295" s="154">
        <v>0</v>
      </c>
      <c r="T295" s="143">
        <f>IF($H$5="NO",IF(Valores!$C$47*D295&gt;Valores!$C$45,Valores!$C$45,Valores!$C$47*D295),IF(Valores!$C$47*D295&gt;Valores!$C$45,Valores!$C$45,Valores!$C$47*D295)/2)</f>
        <v>2928.09</v>
      </c>
      <c r="U295" s="154">
        <f>Valores!$C$24*D295</f>
        <v>4374.1500000000005</v>
      </c>
      <c r="V295" s="154">
        <f t="shared" si="48"/>
        <v>4374.1500000000005</v>
      </c>
      <c r="W295" s="154">
        <v>0</v>
      </c>
      <c r="X295" s="154">
        <v>0</v>
      </c>
      <c r="Y295" s="154">
        <v>0</v>
      </c>
      <c r="Z295" s="154">
        <f>Y295*Valores!$C$2</f>
        <v>0</v>
      </c>
      <c r="AA295" s="154">
        <v>0</v>
      </c>
      <c r="AB295" s="143">
        <f>IF(Valores!$C$93*D295&gt;Valores!$C$92,Valores!$C$92,Valores!$C$93*D295)</f>
        <v>3725.37</v>
      </c>
      <c r="AC295" s="154">
        <f>IF((Valores!$C$34)*D295&gt;Valores!$F$34,Valores!$F$34,(Valores!$C$34)*D295)</f>
        <v>343.53000000000003</v>
      </c>
      <c r="AD295" s="154">
        <f t="shared" si="55"/>
        <v>0</v>
      </c>
      <c r="AE295" s="154">
        <f>IF(Valores!$C$35*D295&gt;Valores!$F$35,Valores!$F$35,Valores!$C$35*D295)</f>
        <v>259.82</v>
      </c>
      <c r="AF295" s="165">
        <v>94</v>
      </c>
      <c r="AG295" s="154">
        <f>INT(((AF295*Valores!$C$2)*100)+0.5)/100</f>
        <v>1168.1099999999999</v>
      </c>
      <c r="AH295" s="140">
        <f>IF($H$5="NO",IF(Valores!$D$60*'Escala Docente'!D295&gt;Valores!$F$60,Valores!$F$60,Valores!$D$60*'Escala Docente'!D295),IF(Valores!$D$60*'Escala Docente'!D295&gt;Valores!$F$60,Valores!$F$60,Valores!$D$60*'Escala Docente'!D295)/2)</f>
        <v>1056.98</v>
      </c>
      <c r="AI295" s="140">
        <f>IF($H$5="NO",IF(Valores!$D$62*D295&gt;Valores!$F$62,Valores!$F$62,Valores!$D$62*D295),IF(Valores!$D$62*D295&gt;Valores!$F$62,Valores!$F$62,Valores!$D$62*D295)/2)</f>
        <v>302</v>
      </c>
      <c r="AJ295" s="146">
        <f t="shared" si="56"/>
        <v>72768.645499999984</v>
      </c>
      <c r="AK295" s="149">
        <f>IF(Valores!$C$38*D295&gt;Valores!$F$38,Valores!$F$38,Valores!$C$38*D295)</f>
        <v>2721.7700000000004</v>
      </c>
      <c r="AL295" s="143">
        <f>IF(Valores!$C$88*D295&gt;Valores!$C$87,Valores!$C$87,Valores!$C$88*D295)</f>
        <v>3753.7499999999995</v>
      </c>
      <c r="AM295" s="143"/>
      <c r="AN295" s="145">
        <f>IF($H$4="NO",0,IF(Valores!$C$59*D295&gt;Valores!$F$59,Valores!$F$59,Valores!$C$59*D295))</f>
        <v>0</v>
      </c>
      <c r="AO295" s="147">
        <f t="shared" si="57"/>
        <v>6475.52</v>
      </c>
      <c r="AP295" s="148">
        <f>AJ295*Valores!$C$69</f>
        <v>-8004.5510049999984</v>
      </c>
      <c r="AQ295" s="149">
        <f>AJ295*-Valores!$C$70</f>
        <v>0</v>
      </c>
      <c r="AR295" s="142">
        <f>AJ295*Valores!$C$71</f>
        <v>-3274.5890474999992</v>
      </c>
      <c r="AS295" s="142">
        <f>Valores!$C$95</f>
        <v>-193.38</v>
      </c>
      <c r="AT295" s="142">
        <f>IF($H$6=0,Valores!$C$96,(Valores!$C$96+$H$6*(Valores!$C$96)))</f>
        <v>-129</v>
      </c>
      <c r="AU295" s="146">
        <f t="shared" si="58"/>
        <v>67642.645447499992</v>
      </c>
      <c r="AV295" s="199">
        <f t="shared" si="54"/>
        <v>-8004.5510049999984</v>
      </c>
      <c r="AW295" s="142">
        <f>AJ295*Valores!$C$72</f>
        <v>-1964.7534284999995</v>
      </c>
      <c r="AX295" s="142">
        <f>AJ295*Valores!$C$73</f>
        <v>-218.30593649999994</v>
      </c>
      <c r="AY295" s="146">
        <f t="shared" si="59"/>
        <v>69056.555129999993</v>
      </c>
      <c r="AZ295" s="135"/>
      <c r="BA295" s="135">
        <f t="shared" si="60"/>
        <v>132</v>
      </c>
      <c r="BB295" s="135" t="s">
        <v>8</v>
      </c>
    </row>
    <row r="296" spans="1:1022" s="114" customFormat="1" ht="11.25" customHeight="1" x14ac:dyDescent="0.15">
      <c r="A296" s="134">
        <v>294</v>
      </c>
      <c r="B296" s="134"/>
      <c r="C296" s="135" t="s">
        <v>497</v>
      </c>
      <c r="D296" s="135">
        <v>34</v>
      </c>
      <c r="E296" s="135">
        <f t="shared" si="51"/>
        <v>34</v>
      </c>
      <c r="F296" s="136" t="str">
        <f>CONCATENATE("Hora Cátedra Enseñanza Media ",D296," hs")</f>
        <v>Hora Cátedra Enseñanza Media 34 hs</v>
      </c>
      <c r="G296" s="137">
        <f t="shared" si="61"/>
        <v>2686</v>
      </c>
      <c r="H296" s="138">
        <f>INT((G296*Valores!$C$2*100)+0.49)/100</f>
        <v>33378.120000000003</v>
      </c>
      <c r="I296" s="156">
        <v>0</v>
      </c>
      <c r="J296" s="140">
        <f>INT((I296*Valores!$C$2*100)+0.5)/100</f>
        <v>0</v>
      </c>
      <c r="K296" s="155">
        <v>0</v>
      </c>
      <c r="L296" s="140">
        <f>INT((K296*Valores!$C$2*100)+0.5)/100</f>
        <v>0</v>
      </c>
      <c r="M296" s="153">
        <v>0</v>
      </c>
      <c r="N296" s="140">
        <f>INT((M296*Valores!$C$2*100)+0.5)/100</f>
        <v>0</v>
      </c>
      <c r="O296" s="140">
        <f t="shared" si="52"/>
        <v>6135.246000000001</v>
      </c>
      <c r="P296" s="140">
        <f t="shared" si="53"/>
        <v>0</v>
      </c>
      <c r="Q296" s="154">
        <f>Valores!$C$14*D296</f>
        <v>14328.28</v>
      </c>
      <c r="R296" s="154">
        <f>IF(D296&lt;15,(Valores!$E$4*D296),Valores!$D$4)</f>
        <v>6352.5280000000002</v>
      </c>
      <c r="S296" s="140">
        <v>0</v>
      </c>
      <c r="T296" s="143">
        <f>IF($H$5="NO",IF(Valores!$C$47*D296&gt;Valores!$C$45,Valores!$C$45,Valores!$C$47*D296),IF(Valores!$C$47*D296&gt;Valores!$C$45,Valores!$C$45,Valores!$C$47*D296)/2)</f>
        <v>3016.82</v>
      </c>
      <c r="U296" s="154">
        <f>Valores!$C$24*D296</f>
        <v>4506.7000000000007</v>
      </c>
      <c r="V296" s="140">
        <f t="shared" si="48"/>
        <v>4506.7000000000007</v>
      </c>
      <c r="W296" s="140">
        <v>0</v>
      </c>
      <c r="X296" s="140">
        <v>0</v>
      </c>
      <c r="Y296" s="160">
        <v>0</v>
      </c>
      <c r="Z296" s="140">
        <f>Y296*Valores!$C$2</f>
        <v>0</v>
      </c>
      <c r="AA296" s="140">
        <v>0</v>
      </c>
      <c r="AB296" s="143">
        <f>IF(Valores!$C$93*D296&gt;Valores!$C$92,Valores!$C$92,Valores!$C$93*D296)</f>
        <v>3838.26</v>
      </c>
      <c r="AC296" s="145">
        <f>IF((Valores!$C$34)*D296&gt;Valores!$F$34,Valores!$F$34,(Valores!$C$34)*D296)</f>
        <v>353.94</v>
      </c>
      <c r="AD296" s="140">
        <f t="shared" si="55"/>
        <v>0</v>
      </c>
      <c r="AE296" s="140">
        <f>IF(Valores!$C$35*D296&gt;Valores!$F$35,Valores!$F$35,Valores!$C$35*D296)</f>
        <v>259.82</v>
      </c>
      <c r="AF296" s="144">
        <v>0</v>
      </c>
      <c r="AG296" s="140">
        <f>INT(((AF296*Valores!$C$2)*100)+0.5)/100</f>
        <v>0</v>
      </c>
      <c r="AH296" s="140">
        <f>IF($H$5="NO",IF(Valores!$D$60*'Escala Docente'!D296&gt;Valores!$F$60,Valores!$F$60,Valores!$D$60*'Escala Docente'!D296),IF(Valores!$D$60*'Escala Docente'!D296&gt;Valores!$F$60,Valores!$F$60,Valores!$D$60*'Escala Docente'!D296)/2)</f>
        <v>1056.98</v>
      </c>
      <c r="AI296" s="140">
        <f>IF($H$5="NO",IF(Valores!$D$62*D296&gt;Valores!$F$62,Valores!$F$62,Valores!$D$62*D296),IF(Valores!$D$62*D296&gt;Valores!$F$62,Valores!$F$62,Valores!$D$62*D296)/2)</f>
        <v>302</v>
      </c>
      <c r="AJ296" s="146">
        <f t="shared" si="56"/>
        <v>73528.693999999989</v>
      </c>
      <c r="AK296" s="154">
        <f>IF(Valores!$C$38*D296&gt;Valores!$F$38,Valores!$F$38,Valores!$C$38*D296)</f>
        <v>2721.7700000000004</v>
      </c>
      <c r="AL296" s="143">
        <f>IF(Valores!$C$88*D296&gt;Valores!$C$87,Valores!$C$87,Valores!$C$88*D296)</f>
        <v>3867.4999999999995</v>
      </c>
      <c r="AM296" s="143"/>
      <c r="AN296" s="145">
        <f>IF($H$4="NO",0,IF(Valores!$C$59*D296&gt;Valores!$F$59,Valores!$F$59,Valores!$C$59*D296))</f>
        <v>0</v>
      </c>
      <c r="AO296" s="147">
        <f t="shared" si="57"/>
        <v>6589.27</v>
      </c>
      <c r="AP296" s="148">
        <f>AJ296*Valores!$C$69</f>
        <v>-8088.1563399999986</v>
      </c>
      <c r="AQ296" s="149">
        <f>AJ296*-Valores!$C$70</f>
        <v>0</v>
      </c>
      <c r="AR296" s="142">
        <f>AJ296*Valores!$C$71</f>
        <v>-3308.7912299999994</v>
      </c>
      <c r="AS296" s="142">
        <f>Valores!$C$95</f>
        <v>-193.38</v>
      </c>
      <c r="AT296" s="142">
        <f>IF($H$6=0,Valores!$C$96,(Valores!$C$96+$H$6*(Valores!$C$96)))</f>
        <v>-129</v>
      </c>
      <c r="AU296" s="146">
        <f t="shared" si="58"/>
        <v>68398.636429999984</v>
      </c>
      <c r="AV296" s="199">
        <f t="shared" si="54"/>
        <v>-8088.1563399999986</v>
      </c>
      <c r="AW296" s="142">
        <f>AJ296*Valores!$C$72</f>
        <v>-1985.2747379999996</v>
      </c>
      <c r="AX296" s="142">
        <f>AJ296*Valores!$C$73</f>
        <v>-220.58608199999998</v>
      </c>
      <c r="AY296" s="146">
        <f t="shared" si="59"/>
        <v>69823.94683999999</v>
      </c>
      <c r="AZ296" s="150"/>
      <c r="BA296" s="150">
        <f t="shared" si="60"/>
        <v>136</v>
      </c>
      <c r="BB296" s="135" t="s">
        <v>8</v>
      </c>
    </row>
    <row r="297" spans="1:1022" s="114" customFormat="1" ht="11.25" customHeight="1" x14ac:dyDescent="0.15">
      <c r="A297" s="152">
        <v>295</v>
      </c>
      <c r="B297" s="152" t="s">
        <v>139</v>
      </c>
      <c r="C297" s="135" t="s">
        <v>497</v>
      </c>
      <c r="D297" s="135">
        <v>34</v>
      </c>
      <c r="E297" s="135">
        <f t="shared" si="51"/>
        <v>42</v>
      </c>
      <c r="F297" s="136" t="str">
        <f>CONCATENATE("Hora Cátedra Enseñanza Media ",D297," hs Esc Esp")</f>
        <v>Hora Cátedra Enseñanza Media 34 hs Esc Esp</v>
      </c>
      <c r="G297" s="137">
        <f t="shared" si="61"/>
        <v>2686</v>
      </c>
      <c r="H297" s="138">
        <f>INT((G297*Valores!$C$2*100)+0.49)/100</f>
        <v>33378.120000000003</v>
      </c>
      <c r="I297" s="156">
        <v>0</v>
      </c>
      <c r="J297" s="140">
        <f>INT((I297*Valores!$C$2*100)+0.5)/100</f>
        <v>0</v>
      </c>
      <c r="K297" s="155">
        <v>0</v>
      </c>
      <c r="L297" s="140">
        <f>INT((K297*Valores!$C$2*100)+0.5)/100</f>
        <v>0</v>
      </c>
      <c r="M297" s="153">
        <v>0</v>
      </c>
      <c r="N297" s="140">
        <f>INT((M297*Valores!$C$2*100)+0.5)/100</f>
        <v>0</v>
      </c>
      <c r="O297" s="140">
        <f t="shared" si="52"/>
        <v>6135.246000000001</v>
      </c>
      <c r="P297" s="140">
        <f t="shared" si="53"/>
        <v>0</v>
      </c>
      <c r="Q297" s="154">
        <f>Valores!$C$14*D297</f>
        <v>14328.28</v>
      </c>
      <c r="R297" s="154">
        <f>IF(D297&lt;15,(Valores!$E$4*D297),Valores!$D$4)</f>
        <v>6352.5280000000002</v>
      </c>
      <c r="S297" s="140">
        <v>0</v>
      </c>
      <c r="T297" s="143">
        <f>IF($H$5="NO",IF(Valores!$C$47*D297&gt;Valores!$C$45,Valores!$C$45,Valores!$C$47*D297),IF(Valores!$C$47*D297&gt;Valores!$C$45,Valores!$C$45,Valores!$C$47*D297)/2)</f>
        <v>3016.82</v>
      </c>
      <c r="U297" s="154">
        <f>Valores!$C$24*D297</f>
        <v>4506.7000000000007</v>
      </c>
      <c r="V297" s="140">
        <f t="shared" si="48"/>
        <v>4506.7000000000007</v>
      </c>
      <c r="W297" s="140">
        <v>0</v>
      </c>
      <c r="X297" s="140">
        <v>0</v>
      </c>
      <c r="Y297" s="160">
        <v>0</v>
      </c>
      <c r="Z297" s="140">
        <f>Y297*Valores!$C$2</f>
        <v>0</v>
      </c>
      <c r="AA297" s="140">
        <v>0</v>
      </c>
      <c r="AB297" s="143">
        <f>IF(Valores!$C$93*D297&gt;Valores!$C$92,Valores!$C$92,Valores!$C$93*D297)</f>
        <v>3838.26</v>
      </c>
      <c r="AC297" s="145">
        <f>IF((Valores!$C$34)*D297&gt;Valores!$F$34,Valores!$F$34,(Valores!$C$34)*D297)</f>
        <v>353.94</v>
      </c>
      <c r="AD297" s="140">
        <f t="shared" si="55"/>
        <v>0</v>
      </c>
      <c r="AE297" s="140">
        <f>IF(Valores!$C$35*D297&gt;Valores!$F$35,Valores!$F$35,Valores!$C$35*D297)</f>
        <v>259.82</v>
      </c>
      <c r="AF297" s="144">
        <v>94</v>
      </c>
      <c r="AG297" s="140">
        <f>INT(((AF297*Valores!$C$2)*100)+0.5)/100</f>
        <v>1168.1099999999999</v>
      </c>
      <c r="AH297" s="140">
        <f>IF($H$5="NO",IF(Valores!$D$60*'Escala Docente'!D297&gt;Valores!$F$60,Valores!$F$60,Valores!$D$60*'Escala Docente'!D297),IF(Valores!$D$60*'Escala Docente'!D297&gt;Valores!$F$60,Valores!$F$60,Valores!$D$60*'Escala Docente'!D297)/2)</f>
        <v>1056.98</v>
      </c>
      <c r="AI297" s="140">
        <f>IF($H$5="NO",IF(Valores!$D$62*D297&gt;Valores!$F$62,Valores!$F$62,Valores!$D$62*D297),IF(Valores!$D$62*D297&gt;Valores!$F$62,Valores!$F$62,Valores!$D$62*D297)/2)</f>
        <v>302</v>
      </c>
      <c r="AJ297" s="146">
        <f t="shared" si="56"/>
        <v>74696.803999999989</v>
      </c>
      <c r="AK297" s="154">
        <f>IF(Valores!$C$38*D297&gt;Valores!$F$38,Valores!$F$38,Valores!$C$38*D297)</f>
        <v>2721.7700000000004</v>
      </c>
      <c r="AL297" s="143">
        <f>IF(Valores!$C$88*D297&gt;Valores!$C$87,Valores!$C$87,Valores!$C$88*D297)</f>
        <v>3867.4999999999995</v>
      </c>
      <c r="AM297" s="143"/>
      <c r="AN297" s="145">
        <f>IF($H$4="NO",0,IF(Valores!$C$59*D297&gt;Valores!$F$59,Valores!$F$59,Valores!$C$59*D297))</f>
        <v>0</v>
      </c>
      <c r="AO297" s="147">
        <f t="shared" si="57"/>
        <v>6589.27</v>
      </c>
      <c r="AP297" s="148">
        <f>AJ297*Valores!$C$69</f>
        <v>-8216.648439999999</v>
      </c>
      <c r="AQ297" s="149">
        <f>AJ297*-Valores!$C$70</f>
        <v>0</v>
      </c>
      <c r="AR297" s="142">
        <f>AJ297*Valores!$C$71</f>
        <v>-3361.3561799999993</v>
      </c>
      <c r="AS297" s="142">
        <f>Valores!$C$95</f>
        <v>-193.38</v>
      </c>
      <c r="AT297" s="142">
        <f>IF($H$6=0,Valores!$C$96,(Valores!$C$96+$H$6*(Valores!$C$96)))</f>
        <v>-129</v>
      </c>
      <c r="AU297" s="146">
        <f t="shared" si="58"/>
        <v>69385.689379999996</v>
      </c>
      <c r="AV297" s="199">
        <f t="shared" si="54"/>
        <v>-8216.648439999999</v>
      </c>
      <c r="AW297" s="142">
        <f>AJ297*Valores!$C$72</f>
        <v>-2016.8137079999997</v>
      </c>
      <c r="AX297" s="142">
        <f>AJ297*Valores!$C$73</f>
        <v>-224.09041199999996</v>
      </c>
      <c r="AY297" s="146">
        <f t="shared" si="59"/>
        <v>70828.521439999997</v>
      </c>
      <c r="AZ297" s="150"/>
      <c r="BA297" s="150">
        <f t="shared" si="60"/>
        <v>136</v>
      </c>
      <c r="BB297" s="135" t="s">
        <v>8</v>
      </c>
    </row>
    <row r="298" spans="1:1022" s="114" customFormat="1" ht="11.25" customHeight="1" x14ac:dyDescent="0.15">
      <c r="A298" s="134">
        <v>296</v>
      </c>
      <c r="B298" s="134"/>
      <c r="C298" s="135" t="s">
        <v>497</v>
      </c>
      <c r="D298" s="135">
        <v>35</v>
      </c>
      <c r="E298" s="135">
        <f t="shared" si="51"/>
        <v>34</v>
      </c>
      <c r="F298" s="136" t="str">
        <f>CONCATENATE("Hora Cátedra Enseñanza Media ",D298," hs")</f>
        <v>Hora Cátedra Enseñanza Media 35 hs</v>
      </c>
      <c r="G298" s="137">
        <f t="shared" si="61"/>
        <v>2765</v>
      </c>
      <c r="H298" s="138">
        <f>INT((G298*Valores!$C$2*100)+0.49)/100</f>
        <v>34359.83</v>
      </c>
      <c r="I298" s="156">
        <v>0</v>
      </c>
      <c r="J298" s="140">
        <f>INT((I298*Valores!$C$2*100)+0.5)/100</f>
        <v>0</v>
      </c>
      <c r="K298" s="155">
        <v>0</v>
      </c>
      <c r="L298" s="140">
        <f>INT((K298*Valores!$C$2*100)+0.5)/100</f>
        <v>0</v>
      </c>
      <c r="M298" s="153">
        <v>0</v>
      </c>
      <c r="N298" s="140">
        <f>INT((M298*Valores!$C$2*100)+0.5)/100</f>
        <v>0</v>
      </c>
      <c r="O298" s="140">
        <f t="shared" si="52"/>
        <v>6314.8769999999995</v>
      </c>
      <c r="P298" s="140">
        <f t="shared" si="53"/>
        <v>0</v>
      </c>
      <c r="Q298" s="154">
        <f>Valores!$C$14*D298</f>
        <v>14749.7</v>
      </c>
      <c r="R298" s="154">
        <f>IF(D298&lt;15,(Valores!$E$4*D298),Valores!$D$4)</f>
        <v>6352.5280000000002</v>
      </c>
      <c r="S298" s="140">
        <v>0</v>
      </c>
      <c r="T298" s="143">
        <f>IF($H$5="NO",IF(Valores!$C$47*D298&gt;Valores!$C$45,Valores!$C$45,Valores!$C$47*D298),IF(Valores!$C$47*D298&gt;Valores!$C$45,Valores!$C$45,Valores!$C$47*D298)/2)</f>
        <v>3100.1</v>
      </c>
      <c r="U298" s="154">
        <f>Valores!$C$24*D298</f>
        <v>4639.25</v>
      </c>
      <c r="V298" s="140">
        <f t="shared" si="48"/>
        <v>4639.25</v>
      </c>
      <c r="W298" s="140">
        <v>0</v>
      </c>
      <c r="X298" s="140">
        <v>0</v>
      </c>
      <c r="Y298" s="160">
        <v>0</v>
      </c>
      <c r="Z298" s="140">
        <f>Y298*Valores!$C$2</f>
        <v>0</v>
      </c>
      <c r="AA298" s="140">
        <v>0</v>
      </c>
      <c r="AB298" s="143">
        <f>IF(Valores!$C$93*D298&gt;Valores!$C$92,Valores!$C$92,Valores!$C$93*D298)</f>
        <v>3951.15</v>
      </c>
      <c r="AC298" s="145">
        <f>IF((Valores!$C$34)*D298&gt;Valores!$F$34,Valores!$F$34,(Valores!$C$34)*D298)</f>
        <v>364.35</v>
      </c>
      <c r="AD298" s="140">
        <f t="shared" si="55"/>
        <v>0</v>
      </c>
      <c r="AE298" s="140">
        <f>IF(Valores!$C$35*D298&gt;Valores!$F$35,Valores!$F$35,Valores!$C$35*D298)</f>
        <v>259.82</v>
      </c>
      <c r="AF298" s="144">
        <v>0</v>
      </c>
      <c r="AG298" s="140">
        <f>INT(((AF298*Valores!$C$2)*100)+0.5)/100</f>
        <v>0</v>
      </c>
      <c r="AH298" s="140">
        <f>IF($H$5="NO",IF(Valores!$D$60*'Escala Docente'!D298&gt;Valores!$F$60,Valores!$F$60,Valores!$D$60*'Escala Docente'!D298),IF(Valores!$D$60*'Escala Docente'!D298&gt;Valores!$F$60,Valores!$F$60,Valores!$D$60*'Escala Docente'!D298)/2)</f>
        <v>1056.98</v>
      </c>
      <c r="AI298" s="140">
        <f>IF($H$5="NO",IF(Valores!$D$62*D298&gt;Valores!$F$62,Valores!$F$62,Valores!$D$62*D298),IF(Valores!$D$62*D298&gt;Valores!$F$62,Valores!$F$62,Valores!$D$62*D298)/2)</f>
        <v>302</v>
      </c>
      <c r="AJ298" s="146">
        <f t="shared" si="56"/>
        <v>75450.585000000006</v>
      </c>
      <c r="AK298" s="154">
        <f>IF(Valores!$C$38*D298&gt;Valores!$F$38,Valores!$F$38,Valores!$C$38*D298)</f>
        <v>2721.7700000000004</v>
      </c>
      <c r="AL298" s="143">
        <f>IF(Valores!$C$88*D298&gt;Valores!$C$87,Valores!$C$87,Valores!$C$88*D298)</f>
        <v>3981.2499999999995</v>
      </c>
      <c r="AM298" s="143"/>
      <c r="AN298" s="145">
        <f>IF($H$4="NO",0,IF(Valores!$C$59*D298&gt;Valores!$F$59,Valores!$F$59,Valores!$C$59*D298))</f>
        <v>0</v>
      </c>
      <c r="AO298" s="147">
        <f t="shared" si="57"/>
        <v>6703.02</v>
      </c>
      <c r="AP298" s="148">
        <f>AJ298*Valores!$C$69</f>
        <v>-8299.5643500000006</v>
      </c>
      <c r="AQ298" s="149">
        <f>AJ298*-Valores!$C$70</f>
        <v>0</v>
      </c>
      <c r="AR298" s="142">
        <f>AJ298*Valores!$C$71</f>
        <v>-3395.2763250000003</v>
      </c>
      <c r="AS298" s="142">
        <f>Valores!$C$95</f>
        <v>-193.38</v>
      </c>
      <c r="AT298" s="142">
        <f>IF($H$6=0,Valores!$C$96,(Valores!$C$96+$H$6*(Valores!$C$96)))</f>
        <v>-129</v>
      </c>
      <c r="AU298" s="146">
        <f t="shared" si="58"/>
        <v>70136.384325000006</v>
      </c>
      <c r="AV298" s="199">
        <f t="shared" si="54"/>
        <v>-8299.5643500000006</v>
      </c>
      <c r="AW298" s="142">
        <f>AJ298*Valores!$C$72</f>
        <v>-2037.1657950000001</v>
      </c>
      <c r="AX298" s="142">
        <f>AJ298*Valores!$C$73</f>
        <v>-226.35175500000003</v>
      </c>
      <c r="AY298" s="146">
        <f t="shared" si="59"/>
        <v>71590.523100000006</v>
      </c>
      <c r="AZ298" s="150"/>
      <c r="BA298" s="150">
        <f t="shared" si="60"/>
        <v>140</v>
      </c>
      <c r="BB298" s="135" t="s">
        <v>8</v>
      </c>
    </row>
    <row r="299" spans="1:1022" s="114" customFormat="1" ht="11.25" customHeight="1" x14ac:dyDescent="0.15">
      <c r="A299" s="134">
        <v>297</v>
      </c>
      <c r="B299" s="134"/>
      <c r="C299" s="135" t="s">
        <v>497</v>
      </c>
      <c r="D299" s="135">
        <v>35</v>
      </c>
      <c r="E299" s="135">
        <f t="shared" si="51"/>
        <v>42</v>
      </c>
      <c r="F299" s="136" t="str">
        <f>CONCATENATE("Hora Cátedra Enseñanza Media ",D299," hs Esc Esp")</f>
        <v>Hora Cátedra Enseñanza Media 35 hs Esc Esp</v>
      </c>
      <c r="G299" s="137">
        <f t="shared" si="61"/>
        <v>2765</v>
      </c>
      <c r="H299" s="138">
        <f>INT((G299*Valores!$C$2*100)+0.49)/100</f>
        <v>34359.83</v>
      </c>
      <c r="I299" s="156">
        <v>0</v>
      </c>
      <c r="J299" s="140">
        <f>INT((I299*Valores!$C$2*100)+0.5)/100</f>
        <v>0</v>
      </c>
      <c r="K299" s="155">
        <v>0</v>
      </c>
      <c r="L299" s="140">
        <f>INT((K299*Valores!$C$2*100)+0.5)/100</f>
        <v>0</v>
      </c>
      <c r="M299" s="153">
        <v>0</v>
      </c>
      <c r="N299" s="140">
        <f>INT((M299*Valores!$C$2*100)+0.5)/100</f>
        <v>0</v>
      </c>
      <c r="O299" s="140">
        <f t="shared" si="52"/>
        <v>6314.8769999999995</v>
      </c>
      <c r="P299" s="140">
        <f t="shared" si="53"/>
        <v>0</v>
      </c>
      <c r="Q299" s="154">
        <f>Valores!$C$14*D299</f>
        <v>14749.7</v>
      </c>
      <c r="R299" s="154">
        <f>IF(D299&lt;15,(Valores!$E$4*D299),Valores!$D$4)</f>
        <v>6352.5280000000002</v>
      </c>
      <c r="S299" s="140">
        <v>0</v>
      </c>
      <c r="T299" s="143">
        <f>IF($H$5="NO",IF(Valores!$C$47*D299&gt;Valores!$C$45,Valores!$C$45,Valores!$C$47*D299),IF(Valores!$C$47*D299&gt;Valores!$C$45,Valores!$C$45,Valores!$C$47*D299)/2)</f>
        <v>3100.1</v>
      </c>
      <c r="U299" s="154">
        <f>Valores!$C$24*D299</f>
        <v>4639.25</v>
      </c>
      <c r="V299" s="140">
        <f t="shared" si="48"/>
        <v>4639.25</v>
      </c>
      <c r="W299" s="140">
        <v>0</v>
      </c>
      <c r="X299" s="140">
        <v>0</v>
      </c>
      <c r="Y299" s="160">
        <v>0</v>
      </c>
      <c r="Z299" s="140">
        <f>Y299*Valores!$C$2</f>
        <v>0</v>
      </c>
      <c r="AA299" s="140">
        <v>0</v>
      </c>
      <c r="AB299" s="143">
        <f>IF(Valores!$C$93*D299&gt;Valores!$C$92,Valores!$C$92,Valores!$C$93*D299)</f>
        <v>3951.15</v>
      </c>
      <c r="AC299" s="145">
        <f>IF((Valores!$C$34)*D299&gt;Valores!$F$34,Valores!$F$34,(Valores!$C$34)*D299)</f>
        <v>364.35</v>
      </c>
      <c r="AD299" s="140">
        <f t="shared" si="55"/>
        <v>0</v>
      </c>
      <c r="AE299" s="140">
        <f>IF(Valores!$C$35*D299&gt;Valores!$F$35,Valores!$F$35,Valores!$C$35*D299)</f>
        <v>259.82</v>
      </c>
      <c r="AF299" s="144">
        <v>94</v>
      </c>
      <c r="AG299" s="140">
        <f>INT(((AF299*Valores!$C$2)*100)+0.5)/100</f>
        <v>1168.1099999999999</v>
      </c>
      <c r="AH299" s="140">
        <f>IF($H$5="NO",IF(Valores!$D$60*'Escala Docente'!D299&gt;Valores!$F$60,Valores!$F$60,Valores!$D$60*'Escala Docente'!D299),IF(Valores!$D$60*'Escala Docente'!D299&gt;Valores!$F$60,Valores!$F$60,Valores!$D$60*'Escala Docente'!D299)/2)</f>
        <v>1056.98</v>
      </c>
      <c r="AI299" s="140">
        <f>IF($H$5="NO",IF(Valores!$D$62*D299&gt;Valores!$F$62,Valores!$F$62,Valores!$D$62*D299),IF(Valores!$D$62*D299&gt;Valores!$F$62,Valores!$F$62,Valores!$D$62*D299)/2)</f>
        <v>302</v>
      </c>
      <c r="AJ299" s="146">
        <f t="shared" si="56"/>
        <v>76618.695000000007</v>
      </c>
      <c r="AK299" s="154">
        <f>IF(Valores!$C$38*D299&gt;Valores!$F$38,Valores!$F$38,Valores!$C$38*D299)</f>
        <v>2721.7700000000004</v>
      </c>
      <c r="AL299" s="143">
        <f>IF(Valores!$C$88*D299&gt;Valores!$C$87,Valores!$C$87,Valores!$C$88*D299)</f>
        <v>3981.2499999999995</v>
      </c>
      <c r="AM299" s="143"/>
      <c r="AN299" s="145">
        <f>IF($H$4="NO",0,IF(Valores!$C$59*D299&gt;Valores!$F$59,Valores!$F$59,Valores!$C$59*D299))</f>
        <v>0</v>
      </c>
      <c r="AO299" s="147">
        <f t="shared" si="57"/>
        <v>6703.02</v>
      </c>
      <c r="AP299" s="148">
        <f>AJ299*Valores!$C$69</f>
        <v>-8428.05645</v>
      </c>
      <c r="AQ299" s="149">
        <f>AJ299*-Valores!$C$70</f>
        <v>0</v>
      </c>
      <c r="AR299" s="142">
        <f>AJ299*Valores!$C$71</f>
        <v>-3447.8412750000002</v>
      </c>
      <c r="AS299" s="142">
        <f>Valores!$C$95</f>
        <v>-193.38</v>
      </c>
      <c r="AT299" s="142">
        <f>IF($H$6=0,Valores!$C$96,(Valores!$C$96+$H$6*(Valores!$C$96)))</f>
        <v>-129</v>
      </c>
      <c r="AU299" s="146">
        <f t="shared" si="58"/>
        <v>71123.437275000004</v>
      </c>
      <c r="AV299" s="199">
        <f t="shared" si="54"/>
        <v>-8428.05645</v>
      </c>
      <c r="AW299" s="142">
        <f>AJ299*Valores!$C$72</f>
        <v>-2068.704765</v>
      </c>
      <c r="AX299" s="142">
        <f>AJ299*Valores!$C$73</f>
        <v>-229.85608500000004</v>
      </c>
      <c r="AY299" s="146">
        <f t="shared" si="59"/>
        <v>72595.097700000013</v>
      </c>
      <c r="AZ299" s="150"/>
      <c r="BA299" s="150">
        <f t="shared" si="60"/>
        <v>140</v>
      </c>
      <c r="BB299" s="135" t="s">
        <v>8</v>
      </c>
    </row>
    <row r="300" spans="1:1022" s="114" customFormat="1" ht="11.25" customHeight="1" x14ac:dyDescent="0.15">
      <c r="A300" s="134">
        <v>298</v>
      </c>
      <c r="B300" s="134"/>
      <c r="C300" s="135" t="s">
        <v>497</v>
      </c>
      <c r="D300" s="135">
        <v>36</v>
      </c>
      <c r="E300" s="135">
        <f t="shared" si="51"/>
        <v>34</v>
      </c>
      <c r="F300" s="136" t="str">
        <f>CONCATENATE("Hora Cátedra Enseñanza Media ",D300," hs")</f>
        <v>Hora Cátedra Enseñanza Media 36 hs</v>
      </c>
      <c r="G300" s="137">
        <f t="shared" si="61"/>
        <v>2844</v>
      </c>
      <c r="H300" s="138">
        <f>INT((G300*Valores!$C$2*100)+0.49)/100</f>
        <v>35341.53</v>
      </c>
      <c r="I300" s="156">
        <v>0</v>
      </c>
      <c r="J300" s="140">
        <f>INT((I300*Valores!$C$2*100)+0.5)/100</f>
        <v>0</v>
      </c>
      <c r="K300" s="155">
        <v>0</v>
      </c>
      <c r="L300" s="140">
        <f>INT((K300*Valores!$C$2*100)+0.5)/100</f>
        <v>0</v>
      </c>
      <c r="M300" s="153">
        <v>0</v>
      </c>
      <c r="N300" s="140">
        <f>INT((M300*Valores!$C$2*100)+0.5)/100</f>
        <v>0</v>
      </c>
      <c r="O300" s="140">
        <f t="shared" si="52"/>
        <v>6482.0145000000002</v>
      </c>
      <c r="P300" s="140">
        <f t="shared" si="53"/>
        <v>0</v>
      </c>
      <c r="Q300" s="154">
        <f>Valores!$C$14*D300</f>
        <v>15171.12</v>
      </c>
      <c r="R300" s="154">
        <f>IF(D300&lt;15,(Valores!$E$4*D300),Valores!$D$4)</f>
        <v>6352.5280000000002</v>
      </c>
      <c r="S300" s="140">
        <v>0</v>
      </c>
      <c r="T300" s="143">
        <f>IF($H$5="NO",IF(Valores!$C$47*D300&gt;Valores!$C$45,Valores!$C$45,Valores!$C$47*D300),IF(Valores!$C$47*D300&gt;Valores!$C$45,Valores!$C$45,Valores!$C$47*D300)/2)</f>
        <v>3100.1</v>
      </c>
      <c r="U300" s="154">
        <f>Valores!$C$24*D300</f>
        <v>4771.8</v>
      </c>
      <c r="V300" s="140">
        <f t="shared" si="48"/>
        <v>4771.8</v>
      </c>
      <c r="W300" s="140">
        <v>0</v>
      </c>
      <c r="X300" s="140">
        <v>0</v>
      </c>
      <c r="Y300" s="160">
        <v>0</v>
      </c>
      <c r="Z300" s="140">
        <f>Y300*Valores!$C$2</f>
        <v>0</v>
      </c>
      <c r="AA300" s="140">
        <v>0</v>
      </c>
      <c r="AB300" s="143">
        <f>IF(Valores!$C$93*D300&gt;Valores!$C$92,Valores!$C$92,Valores!$C$93*D300)</f>
        <v>4064.04</v>
      </c>
      <c r="AC300" s="145">
        <f>IF((Valores!$C$34)*D300&gt;Valores!$F$34,Valores!$F$34,(Valores!$C$34)*D300)</f>
        <v>374.76</v>
      </c>
      <c r="AD300" s="140">
        <f t="shared" si="55"/>
        <v>0</v>
      </c>
      <c r="AE300" s="140">
        <f>IF(Valores!$C$35*D300&gt;Valores!$F$35,Valores!$F$35,Valores!$C$35*D300)</f>
        <v>259.82</v>
      </c>
      <c r="AF300" s="144">
        <v>0</v>
      </c>
      <c r="AG300" s="140">
        <f>INT(((AF300*Valores!$C$2)*100)+0.5)/100</f>
        <v>0</v>
      </c>
      <c r="AH300" s="140">
        <f>IF($H$5="NO",IF(Valores!$D$60*'Escala Docente'!D300&gt;Valores!$F$60,Valores!$F$60,Valores!$D$60*'Escala Docente'!D300),IF(Valores!$D$60*'Escala Docente'!D300&gt;Valores!$F$60,Valores!$F$60,Valores!$D$60*'Escala Docente'!D300)/2)</f>
        <v>1056.98</v>
      </c>
      <c r="AI300" s="140">
        <f>IF($H$5="NO",IF(Valores!$D$62*D300&gt;Valores!$F$62,Valores!$F$62,Valores!$D$62*D300),IF(Valores!$D$62*D300&gt;Valores!$F$62,Valores!$F$62,Valores!$D$62*D300)/2)</f>
        <v>302</v>
      </c>
      <c r="AJ300" s="146">
        <f t="shared" si="56"/>
        <v>77276.69249999999</v>
      </c>
      <c r="AK300" s="154">
        <f>IF(Valores!$C$38*D300&gt;Valores!$F$38,Valores!$F$38,Valores!$C$38*D300)</f>
        <v>2721.7700000000004</v>
      </c>
      <c r="AL300" s="143">
        <f>IF(Valores!$C$88*D300&gt;Valores!$C$87,Valores!$C$87,Valores!$C$88*D300)</f>
        <v>4094.9999999999995</v>
      </c>
      <c r="AM300" s="143"/>
      <c r="AN300" s="145">
        <f>IF($H$4="NO",0,IF(Valores!$C$59*D300&gt;Valores!$F$59,Valores!$F$59,Valores!$C$59*D300))</f>
        <v>0</v>
      </c>
      <c r="AO300" s="147">
        <f t="shared" si="57"/>
        <v>6816.77</v>
      </c>
      <c r="AP300" s="148">
        <f>AJ300*Valores!$C$69</f>
        <v>-8500.4361749999989</v>
      </c>
      <c r="AQ300" s="149">
        <f>AJ300*-Valores!$C$70</f>
        <v>0</v>
      </c>
      <c r="AR300" s="142">
        <f>AJ300*Valores!$C$71</f>
        <v>-3477.4511624999996</v>
      </c>
      <c r="AS300" s="142">
        <f>Valores!$C$95</f>
        <v>-193.38</v>
      </c>
      <c r="AT300" s="142">
        <f>IF($H$6=0,Valores!$C$96,(Valores!$C$96+$H$6*(Valores!$C$96)))</f>
        <v>-129</v>
      </c>
      <c r="AU300" s="146">
        <f t="shared" si="58"/>
        <v>71793.195162499993</v>
      </c>
      <c r="AV300" s="199">
        <f t="shared" si="54"/>
        <v>-8500.4361749999989</v>
      </c>
      <c r="AW300" s="142">
        <f>AJ300*Valores!$C$72</f>
        <v>-2086.4706974999999</v>
      </c>
      <c r="AX300" s="142">
        <f>AJ300*Valores!$C$73</f>
        <v>-231.83007749999999</v>
      </c>
      <c r="AY300" s="146">
        <f t="shared" si="59"/>
        <v>73274.725549999988</v>
      </c>
      <c r="AZ300" s="150"/>
      <c r="BA300" s="150">
        <f t="shared" si="60"/>
        <v>144</v>
      </c>
      <c r="BB300" s="135" t="s">
        <v>8</v>
      </c>
    </row>
    <row r="301" spans="1:1022" s="114" customFormat="1" ht="11.25" customHeight="1" x14ac:dyDescent="0.15">
      <c r="A301" s="134">
        <v>299</v>
      </c>
      <c r="B301" s="134"/>
      <c r="C301" s="135" t="s">
        <v>497</v>
      </c>
      <c r="D301" s="135">
        <v>36</v>
      </c>
      <c r="E301" s="135">
        <f t="shared" si="51"/>
        <v>42</v>
      </c>
      <c r="F301" s="136" t="str">
        <f>CONCATENATE("Hora Cátedra Enseñanza Media ",D301," hs Esc Esp")</f>
        <v>Hora Cátedra Enseñanza Media 36 hs Esc Esp</v>
      </c>
      <c r="G301" s="137">
        <f t="shared" si="61"/>
        <v>2844</v>
      </c>
      <c r="H301" s="138">
        <f>INT((G301*Valores!$C$2*100)+0.49)/100</f>
        <v>35341.53</v>
      </c>
      <c r="I301" s="156">
        <v>0</v>
      </c>
      <c r="J301" s="140">
        <f>INT((I301*Valores!$C$2*100)+0.5)/100</f>
        <v>0</v>
      </c>
      <c r="K301" s="155">
        <v>0</v>
      </c>
      <c r="L301" s="140">
        <f>INT((K301*Valores!$C$2*100)+0.5)/100</f>
        <v>0</v>
      </c>
      <c r="M301" s="153">
        <v>0</v>
      </c>
      <c r="N301" s="140">
        <f>INT((M301*Valores!$C$2*100)+0.5)/100</f>
        <v>0</v>
      </c>
      <c r="O301" s="140">
        <f t="shared" si="52"/>
        <v>6482.0145000000002</v>
      </c>
      <c r="P301" s="140">
        <f t="shared" si="53"/>
        <v>0</v>
      </c>
      <c r="Q301" s="154">
        <f>Valores!$C$14*D301</f>
        <v>15171.12</v>
      </c>
      <c r="R301" s="154">
        <f>IF(D301&lt;15,(Valores!$E$4*D301),Valores!$D$4)</f>
        <v>6352.5280000000002</v>
      </c>
      <c r="S301" s="140">
        <v>0</v>
      </c>
      <c r="T301" s="143">
        <f>IF($H$5="NO",IF(Valores!$C$47*D301&gt;Valores!$C$45,Valores!$C$45,Valores!$C$47*D301),IF(Valores!$C$47*D301&gt;Valores!$C$45,Valores!$C$45,Valores!$C$47*D301)/2)</f>
        <v>3100.1</v>
      </c>
      <c r="U301" s="154">
        <f>Valores!$C$24*D301</f>
        <v>4771.8</v>
      </c>
      <c r="V301" s="140">
        <f t="shared" si="48"/>
        <v>4771.8</v>
      </c>
      <c r="W301" s="140">
        <v>0</v>
      </c>
      <c r="X301" s="140">
        <v>0</v>
      </c>
      <c r="Y301" s="160">
        <v>0</v>
      </c>
      <c r="Z301" s="140">
        <f>Y301*Valores!$C$2</f>
        <v>0</v>
      </c>
      <c r="AA301" s="140">
        <v>0</v>
      </c>
      <c r="AB301" s="143">
        <f>IF(Valores!$C$93*D301&gt;Valores!$C$92,Valores!$C$92,Valores!$C$93*D301)</f>
        <v>4064.04</v>
      </c>
      <c r="AC301" s="145">
        <f>IF((Valores!$C$34)*D301&gt;Valores!$F$34,Valores!$F$34,(Valores!$C$34)*D301)</f>
        <v>374.76</v>
      </c>
      <c r="AD301" s="140">
        <f t="shared" si="55"/>
        <v>0</v>
      </c>
      <c r="AE301" s="140">
        <f>IF(Valores!$C$35*D301&gt;Valores!$F$35,Valores!$F$35,Valores!$C$35*D301)</f>
        <v>259.82</v>
      </c>
      <c r="AF301" s="144">
        <v>94</v>
      </c>
      <c r="AG301" s="140">
        <f>INT(((AF301*Valores!$C$2)*100)+0.5)/100</f>
        <v>1168.1099999999999</v>
      </c>
      <c r="AH301" s="140">
        <f>IF($H$5="NO",IF(Valores!$D$60*'Escala Docente'!D301&gt;Valores!$F$60,Valores!$F$60,Valores!$D$60*'Escala Docente'!D301),IF(Valores!$D$60*'Escala Docente'!D301&gt;Valores!$F$60,Valores!$F$60,Valores!$D$60*'Escala Docente'!D301)/2)</f>
        <v>1056.98</v>
      </c>
      <c r="AI301" s="140">
        <f>IF($H$5="NO",IF(Valores!$D$62*D301&gt;Valores!$F$62,Valores!$F$62,Valores!$D$62*D301),IF(Valores!$D$62*D301&gt;Valores!$F$62,Valores!$F$62,Valores!$D$62*D301)/2)</f>
        <v>302</v>
      </c>
      <c r="AJ301" s="146">
        <f t="shared" si="56"/>
        <v>78444.802499999991</v>
      </c>
      <c r="AK301" s="154">
        <f>IF(Valores!$C$38*D301&gt;Valores!$F$38,Valores!$F$38,Valores!$C$38*D301)</f>
        <v>2721.7700000000004</v>
      </c>
      <c r="AL301" s="143">
        <f>IF(Valores!$C$88*D301&gt;Valores!$C$87,Valores!$C$87,Valores!$C$88*D301)</f>
        <v>4094.9999999999995</v>
      </c>
      <c r="AM301" s="143"/>
      <c r="AN301" s="145">
        <f>IF($H$4="NO",0,IF(Valores!$C$59*D301&gt;Valores!$F$59,Valores!$F$59,Valores!$C$59*D301))</f>
        <v>0</v>
      </c>
      <c r="AO301" s="147">
        <f t="shared" si="57"/>
        <v>6816.77</v>
      </c>
      <c r="AP301" s="148">
        <f>AJ301*Valores!$C$69</f>
        <v>-8628.9282749999984</v>
      </c>
      <c r="AQ301" s="149">
        <f>AJ301*-Valores!$C$70</f>
        <v>0</v>
      </c>
      <c r="AR301" s="142">
        <f>AJ301*Valores!$C$71</f>
        <v>-3530.0161124999995</v>
      </c>
      <c r="AS301" s="142">
        <f>Valores!$C$95</f>
        <v>-193.38</v>
      </c>
      <c r="AT301" s="142">
        <f>IF($H$6=0,Valores!$C$96,(Valores!$C$96+$H$6*(Valores!$C$96)))</f>
        <v>-129</v>
      </c>
      <c r="AU301" s="146">
        <f t="shared" si="58"/>
        <v>72780.24811249999</v>
      </c>
      <c r="AV301" s="199">
        <f t="shared" si="54"/>
        <v>-8628.9282749999984</v>
      </c>
      <c r="AW301" s="142">
        <f>AJ301*Valores!$C$72</f>
        <v>-2118.0096674999995</v>
      </c>
      <c r="AX301" s="142">
        <f>AJ301*Valores!$C$73</f>
        <v>-235.33440749999997</v>
      </c>
      <c r="AY301" s="146">
        <f t="shared" si="59"/>
        <v>74279.300149999995</v>
      </c>
      <c r="AZ301" s="150"/>
      <c r="BA301" s="150">
        <f t="shared" si="60"/>
        <v>144</v>
      </c>
      <c r="BB301" s="135" t="s">
        <v>8</v>
      </c>
    </row>
    <row r="302" spans="1:1022" s="114" customFormat="1" ht="11.25" customHeight="1" x14ac:dyDescent="0.15">
      <c r="A302" s="152">
        <v>300</v>
      </c>
      <c r="B302" s="152" t="s">
        <v>139</v>
      </c>
      <c r="C302" s="135" t="s">
        <v>498</v>
      </c>
      <c r="D302" s="135">
        <v>1</v>
      </c>
      <c r="E302" s="135">
        <f t="shared" si="51"/>
        <v>26</v>
      </c>
      <c r="F302" s="136" t="s">
        <v>499</v>
      </c>
      <c r="G302" s="137">
        <v>79</v>
      </c>
      <c r="H302" s="138">
        <f>INT((G302*Valores!$C$2*100)+0.49)/100</f>
        <v>981.71</v>
      </c>
      <c r="I302" s="156">
        <v>0</v>
      </c>
      <c r="J302" s="140">
        <f>INT((I302*Valores!$C$2*100)+0.5)/100</f>
        <v>0</v>
      </c>
      <c r="K302" s="155">
        <v>0</v>
      </c>
      <c r="L302" s="140">
        <f>INT((K302*Valores!$C$2*100)+0.5)/100</f>
        <v>0</v>
      </c>
      <c r="M302" s="153">
        <v>0</v>
      </c>
      <c r="N302" s="140">
        <f>INT((M302*Valores!$C$2*100)+0.5)/100</f>
        <v>0</v>
      </c>
      <c r="O302" s="140">
        <f t="shared" si="52"/>
        <v>180.4485</v>
      </c>
      <c r="P302" s="140">
        <f t="shared" si="53"/>
        <v>0</v>
      </c>
      <c r="Q302" s="154">
        <f>Valores!$C$14*D302</f>
        <v>421.42</v>
      </c>
      <c r="R302" s="154">
        <f>IF(D302&lt;15,(Valores!$E$4*D302),Valores!$D$4)</f>
        <v>423.50186666666667</v>
      </c>
      <c r="S302" s="140">
        <v>0</v>
      </c>
      <c r="T302" s="143">
        <f>IF($H$5="NO",IF(Valores!$C$47*D302&gt;Valores!$C$45,Valores!$C$45,Valores!$C$47*D302),IF(Valores!$C$47*D302&gt;Valores!$C$45,Valores!$C$45,Valores!$C$47*D302)/2)</f>
        <v>88.73</v>
      </c>
      <c r="U302" s="154">
        <f>Valores!$C$24*D302</f>
        <v>132.55000000000001</v>
      </c>
      <c r="V302" s="140">
        <f t="shared" si="48"/>
        <v>132.55000000000001</v>
      </c>
      <c r="W302" s="140">
        <v>0</v>
      </c>
      <c r="X302" s="140">
        <v>0</v>
      </c>
      <c r="Y302" s="160">
        <v>0</v>
      </c>
      <c r="Z302" s="140">
        <f>Y302*Valores!$C$2</f>
        <v>0</v>
      </c>
      <c r="AA302" s="140">
        <v>0</v>
      </c>
      <c r="AB302" s="143">
        <f>IF(Valores!$C$93*D302&gt;Valores!$C$92,Valores!$C$92,Valores!$C$93*D302)</f>
        <v>112.89</v>
      </c>
      <c r="AC302" s="145">
        <f>IF((Valores!$C$34)*D302&gt;Valores!$F$34,Valores!$F$34,(Valores!$C$34)*D302)</f>
        <v>10.41</v>
      </c>
      <c r="AD302" s="140">
        <f t="shared" si="55"/>
        <v>0</v>
      </c>
      <c r="AE302" s="140">
        <f>IF(Valores!$C$35*D302&gt;Valores!$F$35,Valores!$F$35,Valores!$C$35*D302)</f>
        <v>8.67</v>
      </c>
      <c r="AF302" s="144">
        <v>0</v>
      </c>
      <c r="AG302" s="140">
        <f>INT(((AF302*Valores!$C$2)*100)+0.5)/100</f>
        <v>0</v>
      </c>
      <c r="AH302" s="140">
        <f>IF($H$5="NO",IF(Valores!$D$60*'Escala Docente'!D302&gt;Valores!$F$60,Valores!$F$60,Valores!$D$60*'Escala Docente'!D302),IF(Valores!$D$60*'Escala Docente'!D302&gt;Valores!$F$60,Valores!$F$60,Valores!$D$60*'Escala Docente'!D302)/2)</f>
        <v>35.232666666666667</v>
      </c>
      <c r="AI302" s="140">
        <f>IF($H$5="NO",IF(Valores!$D$62*D302&gt;Valores!$F$62,Valores!$F$62,Valores!$D$62*D302),IF(Valores!$D$62*D302&gt;Valores!$F$62,Valores!$F$62,Valores!$D$62*D302)/2)</f>
        <v>10.076666666666666</v>
      </c>
      <c r="AJ302" s="146">
        <f t="shared" si="56"/>
        <v>2405.6397000000002</v>
      </c>
      <c r="AK302" s="154">
        <f>IF(Valores!$C$38*D302&gt;Valores!$F$38,Valores!$F$38,Valores!$C$38*D302)</f>
        <v>90.73</v>
      </c>
      <c r="AL302" s="143">
        <f>IF(Valores!$C$88*D302&gt;Valores!$C$87,Valores!$C$87,Valores!$C$88*D302)</f>
        <v>113.74999999999999</v>
      </c>
      <c r="AM302" s="143"/>
      <c r="AN302" s="145">
        <f>IF($H$4="NO",0,IF(Valores!$C$59*D302&gt;Valores!$F$59,Valores!$F$59,Valores!$C$59*D302))</f>
        <v>0</v>
      </c>
      <c r="AO302" s="147">
        <f t="shared" si="57"/>
        <v>204.48</v>
      </c>
      <c r="AP302" s="148">
        <f>AJ302*Valores!$C$69</f>
        <v>-264.62036700000004</v>
      </c>
      <c r="AQ302" s="149">
        <f>AJ302*-Valores!$C$70</f>
        <v>0</v>
      </c>
      <c r="AR302" s="142">
        <f>AJ302*Valores!$C$71</f>
        <v>-108.2537865</v>
      </c>
      <c r="AS302" s="142">
        <f>Valores!$C$95</f>
        <v>-193.38</v>
      </c>
      <c r="AT302" s="142">
        <f>IF($H$6=0,Valores!$C$96,(Valores!$C$96+$H$6*(Valores!$C$96)))</f>
        <v>-129</v>
      </c>
      <c r="AU302" s="146">
        <f t="shared" si="58"/>
        <v>1914.8655465000002</v>
      </c>
      <c r="AV302" s="199">
        <f t="shared" si="54"/>
        <v>-264.62036700000004</v>
      </c>
      <c r="AW302" s="142">
        <f>AJ302*Valores!$C$72</f>
        <v>-64.9522719</v>
      </c>
      <c r="AX302" s="142">
        <f>AJ302*Valores!$C$73</f>
        <v>-7.216919100000001</v>
      </c>
      <c r="AY302" s="146">
        <f t="shared" si="59"/>
        <v>2273.3301420000003</v>
      </c>
      <c r="AZ302" s="150"/>
      <c r="BA302" s="150">
        <f t="shared" si="60"/>
        <v>4</v>
      </c>
      <c r="BB302" s="135" t="s">
        <v>4</v>
      </c>
    </row>
    <row r="303" spans="1:1022" s="114" customFormat="1" ht="11.25" customHeight="1" x14ac:dyDescent="0.15">
      <c r="A303" s="134">
        <v>301</v>
      </c>
      <c r="B303" s="134"/>
      <c r="C303" s="135" t="s">
        <v>500</v>
      </c>
      <c r="D303" s="135">
        <v>2</v>
      </c>
      <c r="E303" s="135">
        <f t="shared" si="51"/>
        <v>32</v>
      </c>
      <c r="F303" s="136" t="s">
        <v>501</v>
      </c>
      <c r="G303" s="167">
        <v>243</v>
      </c>
      <c r="H303" s="138">
        <f>INT((G303*Valores!$C$2*100)+0.5)/100</f>
        <v>3019.69</v>
      </c>
      <c r="I303" s="156">
        <v>0</v>
      </c>
      <c r="J303" s="140">
        <f>INT((I303*Valores!$C$2*100)+0.5)/100</f>
        <v>0</v>
      </c>
      <c r="K303" s="155">
        <v>0</v>
      </c>
      <c r="L303" s="140">
        <f>INT((K303*Valores!$C$2*100)+0.5)/100</f>
        <v>0</v>
      </c>
      <c r="M303" s="153">
        <v>0</v>
      </c>
      <c r="N303" s="140">
        <f>INT((M303*Valores!$C$2*100)+0.5)/100</f>
        <v>0</v>
      </c>
      <c r="O303" s="140">
        <f t="shared" si="52"/>
        <v>0</v>
      </c>
      <c r="P303" s="140">
        <f t="shared" si="53"/>
        <v>0</v>
      </c>
      <c r="Q303" s="154">
        <v>0</v>
      </c>
      <c r="R303" s="154">
        <f>IF(D303&lt;15,(Valores!$E$4*D303),Valores!$D$4)</f>
        <v>847.00373333333334</v>
      </c>
      <c r="S303" s="140">
        <v>0</v>
      </c>
      <c r="T303" s="143">
        <f>IF($H$5="NO",Valores!C48,Valores!C48/2)</f>
        <v>206.67</v>
      </c>
      <c r="U303" s="154">
        <v>0</v>
      </c>
      <c r="V303" s="140">
        <f t="shared" ref="V303:V328" si="62">U303*(1+$J$2)</f>
        <v>0</v>
      </c>
      <c r="W303" s="140">
        <v>0</v>
      </c>
      <c r="X303" s="140">
        <v>0</v>
      </c>
      <c r="Y303" s="160">
        <v>0</v>
      </c>
      <c r="Z303" s="140">
        <v>0</v>
      </c>
      <c r="AA303" s="140">
        <v>0</v>
      </c>
      <c r="AB303" s="143">
        <f>Valores!$C$94</f>
        <v>222</v>
      </c>
      <c r="AC303" s="145">
        <v>0</v>
      </c>
      <c r="AD303" s="140">
        <f t="shared" si="55"/>
        <v>0</v>
      </c>
      <c r="AE303" s="140">
        <v>0</v>
      </c>
      <c r="AF303" s="144">
        <v>0</v>
      </c>
      <c r="AG303" s="140">
        <f>INT(((AF303*Valores!$C$2)*100)+0.5)/100</f>
        <v>0</v>
      </c>
      <c r="AH303" s="140">
        <f>IF($H$5="NO",Valores!$C$61,Valores!$C$61/2)</f>
        <v>70.459999999999994</v>
      </c>
      <c r="AI303" s="140">
        <f>IF($H$5="NO",Valores!$C$63,Valores!$C$63/2)</f>
        <v>20.14</v>
      </c>
      <c r="AJ303" s="146">
        <f t="shared" si="56"/>
        <v>4385.9637333333339</v>
      </c>
      <c r="AK303" s="166"/>
      <c r="AL303" s="143">
        <f>Valores!$C$89</f>
        <v>227.49999999999997</v>
      </c>
      <c r="AM303" s="143"/>
      <c r="AN303" s="145">
        <v>0</v>
      </c>
      <c r="AO303" s="147">
        <f t="shared" si="57"/>
        <v>227.49999999999997</v>
      </c>
      <c r="AP303" s="148">
        <f>AJ303*Valores!$C$69</f>
        <v>-482.45601066666671</v>
      </c>
      <c r="AQ303" s="149">
        <f>AJ303*-Valores!$C$70</f>
        <v>0</v>
      </c>
      <c r="AR303" s="142">
        <f>AJ303*Valores!$C$71</f>
        <v>-197.36836800000003</v>
      </c>
      <c r="AS303" s="142">
        <f>Valores!$C$95</f>
        <v>-193.38</v>
      </c>
      <c r="AT303" s="142">
        <f>IF($H$6=0,Valores!$C$96,(Valores!$C$96+$H$6*(Valores!$C$96)))</f>
        <v>-129</v>
      </c>
      <c r="AU303" s="146">
        <f t="shared" si="58"/>
        <v>3611.2593546666672</v>
      </c>
      <c r="AV303" s="199">
        <f t="shared" si="54"/>
        <v>-482.45601066666671</v>
      </c>
      <c r="AW303" s="142">
        <f>AJ303*Valores!$C$72</f>
        <v>-118.42102080000002</v>
      </c>
      <c r="AX303" s="142">
        <f>AJ303*Valores!$C$73</f>
        <v>-13.157891200000002</v>
      </c>
      <c r="AY303" s="146">
        <f t="shared" si="59"/>
        <v>3999.4288106666672</v>
      </c>
      <c r="AZ303" s="150"/>
      <c r="BA303" s="150">
        <f t="shared" si="60"/>
        <v>8</v>
      </c>
      <c r="BB303" s="135" t="s">
        <v>4</v>
      </c>
    </row>
    <row r="304" spans="1:1022" s="185" customFormat="1" ht="11.25" customHeight="1" x14ac:dyDescent="0.15">
      <c r="A304" s="134">
        <v>302</v>
      </c>
      <c r="B304" s="134"/>
      <c r="C304" s="183"/>
      <c r="D304" s="184">
        <v>1</v>
      </c>
      <c r="E304" s="184">
        <f t="shared" si="51"/>
        <v>28</v>
      </c>
      <c r="F304" s="168" t="s">
        <v>502</v>
      </c>
      <c r="G304" s="167">
        <v>700</v>
      </c>
      <c r="H304" s="138">
        <f>INT((G304*Valores!$C$2*100)+0.5)/100</f>
        <v>8698.69</v>
      </c>
      <c r="I304" s="156">
        <v>0</v>
      </c>
      <c r="J304" s="140">
        <f>INT((I304*Valores!$C$2*100)+0.5)/100</f>
        <v>0</v>
      </c>
      <c r="K304" s="155">
        <v>0</v>
      </c>
      <c r="L304" s="140">
        <f>INT((K304*Valores!$C$2*100)+0.5)/100</f>
        <v>0</v>
      </c>
      <c r="M304" s="153">
        <v>0</v>
      </c>
      <c r="N304" s="140">
        <f>INT((M304*Valores!$C$2*100)+0.5)/100</f>
        <v>0</v>
      </c>
      <c r="O304" s="140">
        <f t="shared" si="52"/>
        <v>1504.4460000000001</v>
      </c>
      <c r="P304" s="140">
        <f t="shared" si="53"/>
        <v>0</v>
      </c>
      <c r="Q304" s="154">
        <v>0</v>
      </c>
      <c r="R304" s="154">
        <v>0</v>
      </c>
      <c r="S304" s="140">
        <v>0</v>
      </c>
      <c r="T304" s="143">
        <f>IF($H$5="NO",Valores!$C$47*15,Valores!$C$47*15/2)</f>
        <v>1330.95</v>
      </c>
      <c r="U304" s="154">
        <v>0</v>
      </c>
      <c r="V304" s="140">
        <f t="shared" si="62"/>
        <v>0</v>
      </c>
      <c r="W304" s="140">
        <v>0</v>
      </c>
      <c r="X304" s="140">
        <v>0</v>
      </c>
      <c r="Y304" s="160">
        <v>0</v>
      </c>
      <c r="Z304" s="140">
        <v>0</v>
      </c>
      <c r="AA304" s="140">
        <v>0</v>
      </c>
      <c r="AB304" s="143"/>
      <c r="AC304" s="145">
        <v>0</v>
      </c>
      <c r="AD304" s="140">
        <f t="shared" si="55"/>
        <v>0</v>
      </c>
      <c r="AE304" s="140">
        <v>0</v>
      </c>
      <c r="AF304" s="144">
        <v>0</v>
      </c>
      <c r="AG304" s="140">
        <f>INT(((AF304*Valores!$C$2)*100)+0.5)/100</f>
        <v>0</v>
      </c>
      <c r="AH304" s="140"/>
      <c r="AI304" s="140"/>
      <c r="AJ304" s="146">
        <f t="shared" si="56"/>
        <v>11534.086000000001</v>
      </c>
      <c r="AK304" s="166"/>
      <c r="AL304" s="143">
        <v>0</v>
      </c>
      <c r="AM304" s="143"/>
      <c r="AN304" s="145">
        <v>0</v>
      </c>
      <c r="AO304" s="147">
        <f t="shared" si="57"/>
        <v>0</v>
      </c>
      <c r="AP304" s="148">
        <f>AJ304*Valores!$C$69</f>
        <v>-1268.7494600000002</v>
      </c>
      <c r="AQ304" s="149">
        <f>AJ304*-Valores!$C$70</f>
        <v>0</v>
      </c>
      <c r="AR304" s="142">
        <f>AJ304*Valores!$C$71</f>
        <v>-519.03386999999998</v>
      </c>
      <c r="AS304" s="147">
        <v>0</v>
      </c>
      <c r="AT304" s="147">
        <v>0</v>
      </c>
      <c r="AU304" s="146">
        <f t="shared" si="58"/>
        <v>9746.3026700000009</v>
      </c>
      <c r="AV304" s="199">
        <f t="shared" si="54"/>
        <v>-1268.7494600000002</v>
      </c>
      <c r="AW304" s="142">
        <f>AJ304*Valores!$C$72</f>
        <v>-311.42032200000006</v>
      </c>
      <c r="AX304" s="142">
        <f>AJ304*Valores!$C$73</f>
        <v>-34.602258000000006</v>
      </c>
      <c r="AY304" s="146">
        <f t="shared" si="59"/>
        <v>9919.3139600000013</v>
      </c>
      <c r="AZ304" s="150"/>
      <c r="BA304" s="150"/>
      <c r="BB304" s="135" t="s">
        <v>4</v>
      </c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  <c r="AMF304" s="114"/>
      <c r="AMG304" s="114"/>
      <c r="AMH304" s="114"/>
    </row>
    <row r="305" spans="1:1022" s="185" customFormat="1" ht="11.25" customHeight="1" x14ac:dyDescent="0.15">
      <c r="A305" s="134">
        <v>303</v>
      </c>
      <c r="B305" s="134"/>
      <c r="C305" s="150"/>
      <c r="D305" s="184">
        <v>1</v>
      </c>
      <c r="E305" s="184">
        <f t="shared" si="51"/>
        <v>28</v>
      </c>
      <c r="F305" s="168" t="s">
        <v>503</v>
      </c>
      <c r="G305" s="167">
        <v>500</v>
      </c>
      <c r="H305" s="138">
        <f>INT((G305*Valores!$C$2*100)+0.5)/100</f>
        <v>6213.35</v>
      </c>
      <c r="I305" s="156">
        <v>0</v>
      </c>
      <c r="J305" s="140">
        <f>INT((I305*Valores!$C$2*100)+0.5)/100</f>
        <v>0</v>
      </c>
      <c r="K305" s="155">
        <v>0</v>
      </c>
      <c r="L305" s="140">
        <f>INT((K305*Valores!$C$2*100)+0.5)/100</f>
        <v>0</v>
      </c>
      <c r="M305" s="153">
        <v>0</v>
      </c>
      <c r="N305" s="140">
        <f>INT((M305*Valores!$C$2*100)+0.5)/100</f>
        <v>0</v>
      </c>
      <c r="O305" s="140">
        <f t="shared" si="52"/>
        <v>1065.0975000000001</v>
      </c>
      <c r="P305" s="140">
        <f t="shared" si="53"/>
        <v>0</v>
      </c>
      <c r="Q305" s="154">
        <v>0</v>
      </c>
      <c r="R305" s="154">
        <v>0</v>
      </c>
      <c r="S305" s="140">
        <v>0</v>
      </c>
      <c r="T305" s="143">
        <f>IF($H$5="NO",Valores!$C$47*10,Valores!$C$47*10/2)</f>
        <v>887.30000000000007</v>
      </c>
      <c r="U305" s="143">
        <v>0</v>
      </c>
      <c r="V305" s="140">
        <f t="shared" si="62"/>
        <v>0</v>
      </c>
      <c r="W305" s="140">
        <v>0</v>
      </c>
      <c r="X305" s="140">
        <v>0</v>
      </c>
      <c r="Y305" s="160">
        <v>0</v>
      </c>
      <c r="Z305" s="140">
        <v>0</v>
      </c>
      <c r="AA305" s="140">
        <v>0</v>
      </c>
      <c r="AB305" s="143"/>
      <c r="AC305" s="145">
        <v>0</v>
      </c>
      <c r="AD305" s="140">
        <f t="shared" si="55"/>
        <v>0</v>
      </c>
      <c r="AE305" s="140">
        <v>0</v>
      </c>
      <c r="AF305" s="144">
        <v>0</v>
      </c>
      <c r="AG305" s="140">
        <f>INT(((AF305*Valores!$C$2)*100)+0.5)/100</f>
        <v>0</v>
      </c>
      <c r="AH305" s="140"/>
      <c r="AI305" s="140"/>
      <c r="AJ305" s="146">
        <f t="shared" si="56"/>
        <v>8165.7475000000004</v>
      </c>
      <c r="AK305" s="166"/>
      <c r="AL305" s="143">
        <v>0</v>
      </c>
      <c r="AM305" s="143"/>
      <c r="AN305" s="145">
        <v>0</v>
      </c>
      <c r="AO305" s="147">
        <f t="shared" si="57"/>
        <v>0</v>
      </c>
      <c r="AP305" s="148">
        <f>AJ305*Valores!$C$69</f>
        <v>-898.23222500000008</v>
      </c>
      <c r="AQ305" s="149">
        <f>AJ305*-Valores!$C$70</f>
        <v>0</v>
      </c>
      <c r="AR305" s="142">
        <f>AJ305*Valores!$C$71</f>
        <v>-367.45863750000001</v>
      </c>
      <c r="AS305" s="147">
        <v>0</v>
      </c>
      <c r="AT305" s="147">
        <v>0</v>
      </c>
      <c r="AU305" s="146">
        <f t="shared" si="58"/>
        <v>6900.0566374999999</v>
      </c>
      <c r="AV305" s="199">
        <f t="shared" si="54"/>
        <v>-898.23222500000008</v>
      </c>
      <c r="AW305" s="142">
        <f>AJ305*Valores!$C$72</f>
        <v>-220.47518250000002</v>
      </c>
      <c r="AX305" s="142">
        <f>AJ305*Valores!$C$73</f>
        <v>-24.497242500000002</v>
      </c>
      <c r="AY305" s="146">
        <f t="shared" si="59"/>
        <v>7022.5428499999998</v>
      </c>
      <c r="AZ305" s="150"/>
      <c r="BA305" s="150"/>
      <c r="BB305" s="135" t="s">
        <v>4</v>
      </c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  <c r="AMF305" s="114"/>
      <c r="AMG305" s="114"/>
      <c r="AMH305" s="114"/>
    </row>
    <row r="306" spans="1:1022" s="185" customFormat="1" ht="11.25" customHeight="1" x14ac:dyDescent="0.15">
      <c r="A306" s="134">
        <v>304</v>
      </c>
      <c r="B306" s="134"/>
      <c r="C306" s="135"/>
      <c r="D306" s="184">
        <v>1</v>
      </c>
      <c r="E306" s="184">
        <f t="shared" si="51"/>
        <v>28</v>
      </c>
      <c r="F306" s="168" t="s">
        <v>504</v>
      </c>
      <c r="G306" s="167">
        <v>300</v>
      </c>
      <c r="H306" s="138">
        <f>INT((G306*Valores!$C$2*100)+0.5)/100</f>
        <v>3728.01</v>
      </c>
      <c r="I306" s="156">
        <v>0</v>
      </c>
      <c r="J306" s="140">
        <f>INT((I306*Valores!$C$2*100)+0.5)/100</f>
        <v>0</v>
      </c>
      <c r="K306" s="155">
        <v>0</v>
      </c>
      <c r="L306" s="140">
        <f>INT((K306*Valores!$C$2*100)+0.5)/100</f>
        <v>0</v>
      </c>
      <c r="M306" s="153">
        <v>0</v>
      </c>
      <c r="N306" s="140">
        <f>INT((M306*Valores!$C$2*100)+0.5)/100</f>
        <v>0</v>
      </c>
      <c r="O306" s="140">
        <f t="shared" si="52"/>
        <v>625.74899999999991</v>
      </c>
      <c r="P306" s="140">
        <f t="shared" si="53"/>
        <v>0</v>
      </c>
      <c r="Q306" s="154">
        <v>0</v>
      </c>
      <c r="R306" s="154">
        <v>0</v>
      </c>
      <c r="S306" s="140">
        <v>0</v>
      </c>
      <c r="T306" s="143">
        <f>IF($H$5="NO",Valores!$C$47*5,Valores!$C$47*5/2)</f>
        <v>443.65000000000003</v>
      </c>
      <c r="U306" s="154">
        <v>0</v>
      </c>
      <c r="V306" s="140">
        <f t="shared" si="62"/>
        <v>0</v>
      </c>
      <c r="W306" s="140">
        <v>0</v>
      </c>
      <c r="X306" s="140">
        <v>0</v>
      </c>
      <c r="Y306" s="160">
        <v>0</v>
      </c>
      <c r="Z306" s="140">
        <v>0</v>
      </c>
      <c r="AA306" s="140">
        <v>0</v>
      </c>
      <c r="AB306" s="143"/>
      <c r="AC306" s="145">
        <v>0</v>
      </c>
      <c r="AD306" s="140">
        <f t="shared" si="55"/>
        <v>0</v>
      </c>
      <c r="AE306" s="140">
        <v>0</v>
      </c>
      <c r="AF306" s="144">
        <v>0</v>
      </c>
      <c r="AG306" s="140">
        <f>INT(((AF306*Valores!$C$2)*100)+0.5)/100</f>
        <v>0</v>
      </c>
      <c r="AH306" s="140"/>
      <c r="AI306" s="140"/>
      <c r="AJ306" s="146">
        <f t="shared" si="56"/>
        <v>4797.4089999999997</v>
      </c>
      <c r="AK306" s="166"/>
      <c r="AL306" s="143">
        <v>0</v>
      </c>
      <c r="AM306" s="143"/>
      <c r="AN306" s="145">
        <v>0</v>
      </c>
      <c r="AO306" s="147">
        <f t="shared" si="57"/>
        <v>0</v>
      </c>
      <c r="AP306" s="148">
        <f>AJ306*Valores!$C$69</f>
        <v>-527.71498999999994</v>
      </c>
      <c r="AQ306" s="149">
        <f>AJ306*-Valores!$C$70</f>
        <v>0</v>
      </c>
      <c r="AR306" s="142">
        <f>AJ306*Valores!$C$71</f>
        <v>-215.88340499999998</v>
      </c>
      <c r="AS306" s="147">
        <v>0</v>
      </c>
      <c r="AT306" s="147">
        <v>0</v>
      </c>
      <c r="AU306" s="146">
        <f t="shared" si="58"/>
        <v>4053.8106049999997</v>
      </c>
      <c r="AV306" s="199">
        <f t="shared" si="54"/>
        <v>-527.71498999999994</v>
      </c>
      <c r="AW306" s="142">
        <f>AJ306*Valores!$C$72</f>
        <v>-129.53004299999998</v>
      </c>
      <c r="AX306" s="142">
        <f>AJ306*Valores!$C$73</f>
        <v>-14.392227</v>
      </c>
      <c r="AY306" s="146">
        <f t="shared" si="59"/>
        <v>4125.7717400000001</v>
      </c>
      <c r="AZ306" s="150"/>
      <c r="BA306" s="150"/>
      <c r="BB306" s="135" t="s">
        <v>4</v>
      </c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  <c r="AMF306" s="114"/>
      <c r="AMG306" s="114"/>
      <c r="AMH306" s="114"/>
    </row>
    <row r="307" spans="1:1022" s="185" customFormat="1" ht="11.25" customHeight="1" x14ac:dyDescent="0.15">
      <c r="A307" s="152">
        <v>305</v>
      </c>
      <c r="B307" s="152" t="s">
        <v>139</v>
      </c>
      <c r="C307" s="150"/>
      <c r="D307" s="184">
        <v>1</v>
      </c>
      <c r="E307" s="184">
        <f t="shared" si="51"/>
        <v>25</v>
      </c>
      <c r="F307" s="168" t="s">
        <v>505</v>
      </c>
      <c r="G307" s="167">
        <v>155</v>
      </c>
      <c r="H307" s="138">
        <f>INT((G307*Valores!$C$2*100)+0.5)/100</f>
        <v>1926.14</v>
      </c>
      <c r="I307" s="156">
        <v>0</v>
      </c>
      <c r="J307" s="140">
        <f>INT((I307*Valores!$C$2*100)+0.5)/100</f>
        <v>0</v>
      </c>
      <c r="K307" s="155">
        <v>0</v>
      </c>
      <c r="L307" s="140">
        <f>INT((K307*Valores!$C$2*100)+0.5)/100</f>
        <v>0</v>
      </c>
      <c r="M307" s="153">
        <v>0</v>
      </c>
      <c r="N307" s="140">
        <f>INT((M307*Valores!$C$2*100)+0.5)/100</f>
        <v>0</v>
      </c>
      <c r="O307" s="140">
        <f t="shared" si="52"/>
        <v>302.23050000000001</v>
      </c>
      <c r="P307" s="140">
        <f t="shared" si="53"/>
        <v>0</v>
      </c>
      <c r="Q307" s="154">
        <v>0</v>
      </c>
      <c r="R307" s="154">
        <v>0</v>
      </c>
      <c r="S307" s="140">
        <v>0</v>
      </c>
      <c r="T307" s="143">
        <f>IF($H$5="NO",IF(Valores!$C$47*D307&gt;Valores!$C$45,Valores!$C$45,Valores!$C$47*D307),IF(Valores!$C$47*D307&gt;Valores!$C$45,Valores!$C$45,Valores!$C$47*D307)/2)</f>
        <v>88.73</v>
      </c>
      <c r="U307" s="154">
        <v>0</v>
      </c>
      <c r="V307" s="140">
        <f t="shared" si="62"/>
        <v>0</v>
      </c>
      <c r="W307" s="140">
        <v>0</v>
      </c>
      <c r="X307" s="140">
        <v>0</v>
      </c>
      <c r="Y307" s="160">
        <v>0</v>
      </c>
      <c r="Z307" s="140">
        <v>0</v>
      </c>
      <c r="AA307" s="140">
        <v>0</v>
      </c>
      <c r="AB307" s="143"/>
      <c r="AC307" s="145">
        <v>0</v>
      </c>
      <c r="AD307" s="140">
        <f t="shared" si="55"/>
        <v>0</v>
      </c>
      <c r="AE307" s="140">
        <v>0</v>
      </c>
      <c r="AF307" s="144">
        <v>0</v>
      </c>
      <c r="AG307" s="140">
        <f>INT(((AF307*Valores!$C$2)*100)+0.5)/100</f>
        <v>0</v>
      </c>
      <c r="AH307" s="140"/>
      <c r="AI307" s="140"/>
      <c r="AJ307" s="146">
        <f t="shared" si="56"/>
        <v>2317.1005</v>
      </c>
      <c r="AK307" s="166"/>
      <c r="AL307" s="143">
        <v>0</v>
      </c>
      <c r="AM307" s="143"/>
      <c r="AN307" s="145">
        <v>0</v>
      </c>
      <c r="AO307" s="147">
        <f t="shared" si="57"/>
        <v>0</v>
      </c>
      <c r="AP307" s="148">
        <f>AJ307*Valores!$C$69</f>
        <v>-254.881055</v>
      </c>
      <c r="AQ307" s="149">
        <f>AJ307*-Valores!$C$70</f>
        <v>0</v>
      </c>
      <c r="AR307" s="142">
        <f>AJ307*Valores!$C$71</f>
        <v>-104.26952249999999</v>
      </c>
      <c r="AS307" s="147">
        <v>0</v>
      </c>
      <c r="AT307" s="147">
        <v>0</v>
      </c>
      <c r="AU307" s="146">
        <f t="shared" si="58"/>
        <v>1957.9499225</v>
      </c>
      <c r="AV307" s="199">
        <f t="shared" si="54"/>
        <v>-254.881055</v>
      </c>
      <c r="AW307" s="142">
        <f>AJ307*Valores!$C$72</f>
        <v>-62.561713499999996</v>
      </c>
      <c r="AX307" s="142">
        <f>AJ307*Valores!$C$73</f>
        <v>-6.9513015000000005</v>
      </c>
      <c r="AY307" s="146">
        <f t="shared" si="59"/>
        <v>1992.70643</v>
      </c>
      <c r="AZ307" s="150"/>
      <c r="BA307" s="150"/>
      <c r="BB307" s="135" t="s">
        <v>4</v>
      </c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  <c r="AMF307" s="114"/>
      <c r="AMG307" s="114"/>
      <c r="AMH307" s="114"/>
    </row>
    <row r="308" spans="1:1022" s="185" customFormat="1" ht="11.25" customHeight="1" x14ac:dyDescent="0.15">
      <c r="A308" s="134">
        <v>306</v>
      </c>
      <c r="B308" s="134"/>
      <c r="C308" s="135"/>
      <c r="D308" s="184">
        <v>1</v>
      </c>
      <c r="E308" s="184">
        <f t="shared" si="51"/>
        <v>26</v>
      </c>
      <c r="F308" s="168" t="s">
        <v>506</v>
      </c>
      <c r="G308" s="167">
        <f t="shared" ref="G308:G322" si="63">155+G307</f>
        <v>310</v>
      </c>
      <c r="H308" s="138">
        <f>INT((G308*Valores!$C$2*100)+0.5)/100</f>
        <v>3852.28</v>
      </c>
      <c r="I308" s="156">
        <v>0</v>
      </c>
      <c r="J308" s="140">
        <f>INT((I308*Valores!$C$2*100)+0.5)/100</f>
        <v>0</v>
      </c>
      <c r="K308" s="155">
        <v>0</v>
      </c>
      <c r="L308" s="140">
        <f>INT((K308*Valores!$C$2*100)+0.5)/100</f>
        <v>0</v>
      </c>
      <c r="M308" s="153">
        <v>0</v>
      </c>
      <c r="N308" s="140">
        <f>INT((M308*Valores!$C$2*100)+0.5)/100</f>
        <v>0</v>
      </c>
      <c r="O308" s="140">
        <f t="shared" si="52"/>
        <v>604.46100000000001</v>
      </c>
      <c r="P308" s="140">
        <f t="shared" si="53"/>
        <v>0</v>
      </c>
      <c r="Q308" s="154">
        <v>0</v>
      </c>
      <c r="R308" s="154">
        <v>0</v>
      </c>
      <c r="S308" s="140">
        <v>0</v>
      </c>
      <c r="T308" s="143">
        <f>IF($H$5="NO",IF(Valores!$C$47*D308&gt;Valores!$C$45,Valores!$C$45,Valores!$C$47*D308),IF(Valores!$C$47*D308&gt;Valores!$C$45,Valores!$C$45,Valores!$C$47*D308)/2)*2</f>
        <v>177.46</v>
      </c>
      <c r="U308" s="154">
        <v>0</v>
      </c>
      <c r="V308" s="140">
        <f t="shared" si="62"/>
        <v>0</v>
      </c>
      <c r="W308" s="140">
        <v>0</v>
      </c>
      <c r="X308" s="140">
        <v>0</v>
      </c>
      <c r="Y308" s="160">
        <v>0</v>
      </c>
      <c r="Z308" s="140">
        <v>0</v>
      </c>
      <c r="AA308" s="140">
        <v>0</v>
      </c>
      <c r="AB308" s="143"/>
      <c r="AC308" s="145">
        <v>0</v>
      </c>
      <c r="AD308" s="140">
        <f t="shared" si="55"/>
        <v>0</v>
      </c>
      <c r="AE308" s="140">
        <v>0</v>
      </c>
      <c r="AF308" s="144">
        <v>0</v>
      </c>
      <c r="AG308" s="140">
        <f>INT(((AF308*Valores!$C$2)*100)+0.5)/100</f>
        <v>0</v>
      </c>
      <c r="AH308" s="140"/>
      <c r="AI308" s="140"/>
      <c r="AJ308" s="146">
        <f t="shared" si="56"/>
        <v>4634.201</v>
      </c>
      <c r="AK308" s="166"/>
      <c r="AL308" s="143">
        <v>0</v>
      </c>
      <c r="AM308" s="143"/>
      <c r="AN308" s="145">
        <v>0</v>
      </c>
      <c r="AO308" s="147">
        <f t="shared" si="57"/>
        <v>0</v>
      </c>
      <c r="AP308" s="148">
        <f>AJ308*Valores!$C$69</f>
        <v>-509.76211000000001</v>
      </c>
      <c r="AQ308" s="149">
        <f>AJ308*-Valores!$C$70</f>
        <v>0</v>
      </c>
      <c r="AR308" s="142">
        <f>AJ308*Valores!$C$71</f>
        <v>-208.53904499999999</v>
      </c>
      <c r="AS308" s="147">
        <v>0</v>
      </c>
      <c r="AT308" s="147">
        <v>0</v>
      </c>
      <c r="AU308" s="146">
        <f t="shared" si="58"/>
        <v>3915.8998449999999</v>
      </c>
      <c r="AV308" s="199">
        <f t="shared" si="54"/>
        <v>-509.76211000000001</v>
      </c>
      <c r="AW308" s="142">
        <f>AJ308*Valores!$C$72</f>
        <v>-125.12342699999999</v>
      </c>
      <c r="AX308" s="142">
        <f>AJ308*Valores!$C$73</f>
        <v>-13.902603000000001</v>
      </c>
      <c r="AY308" s="146">
        <f t="shared" si="59"/>
        <v>3985.4128599999999</v>
      </c>
      <c r="AZ308" s="150"/>
      <c r="BA308" s="150"/>
      <c r="BB308" s="135" t="s">
        <v>4</v>
      </c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  <c r="AMF308" s="114"/>
      <c r="AMG308" s="114"/>
      <c r="AMH308" s="114"/>
    </row>
    <row r="309" spans="1:1022" s="185" customFormat="1" ht="11.25" customHeight="1" x14ac:dyDescent="0.15">
      <c r="A309" s="134">
        <v>307</v>
      </c>
      <c r="B309" s="134"/>
      <c r="C309" s="135"/>
      <c r="D309" s="184">
        <v>1</v>
      </c>
      <c r="E309" s="184">
        <f t="shared" si="51"/>
        <v>26</v>
      </c>
      <c r="F309" s="168" t="s">
        <v>507</v>
      </c>
      <c r="G309" s="167">
        <f t="shared" si="63"/>
        <v>465</v>
      </c>
      <c r="H309" s="138">
        <f>INT((G309*Valores!$C$2*100)+0.5)/100</f>
        <v>5778.42</v>
      </c>
      <c r="I309" s="156">
        <v>0</v>
      </c>
      <c r="J309" s="140">
        <f>INT((I309*Valores!$C$2*100)+0.5)/100</f>
        <v>0</v>
      </c>
      <c r="K309" s="155">
        <v>0</v>
      </c>
      <c r="L309" s="140">
        <f>INT((K309*Valores!$C$2*100)+0.5)/100</f>
        <v>0</v>
      </c>
      <c r="M309" s="153">
        <v>0</v>
      </c>
      <c r="N309" s="140">
        <f>INT((M309*Valores!$C$2*100)+0.5)/100</f>
        <v>0</v>
      </c>
      <c r="O309" s="140">
        <f t="shared" si="52"/>
        <v>906.69149999999991</v>
      </c>
      <c r="P309" s="140">
        <f t="shared" si="53"/>
        <v>0</v>
      </c>
      <c r="Q309" s="154">
        <v>0</v>
      </c>
      <c r="R309" s="154">
        <v>0</v>
      </c>
      <c r="S309" s="140">
        <v>0</v>
      </c>
      <c r="T309" s="143">
        <f>IF($H$5="NO",IF(Valores!$C$47*D309&gt;Valores!$C$45,Valores!$C$45,Valores!$C$47*D309),IF(Valores!$C$47*D309&gt;Valores!$C$45,Valores!$C$45,Valores!$C$47*D309)/2)*3</f>
        <v>266.19</v>
      </c>
      <c r="U309" s="154">
        <v>0</v>
      </c>
      <c r="V309" s="140">
        <f t="shared" si="62"/>
        <v>0</v>
      </c>
      <c r="W309" s="140">
        <v>0</v>
      </c>
      <c r="X309" s="140">
        <v>0</v>
      </c>
      <c r="Y309" s="160">
        <v>0</v>
      </c>
      <c r="Z309" s="140">
        <v>0</v>
      </c>
      <c r="AA309" s="140">
        <v>0</v>
      </c>
      <c r="AB309" s="143"/>
      <c r="AC309" s="145">
        <v>0</v>
      </c>
      <c r="AD309" s="140">
        <f t="shared" si="55"/>
        <v>0</v>
      </c>
      <c r="AE309" s="140">
        <v>0</v>
      </c>
      <c r="AF309" s="144">
        <v>0</v>
      </c>
      <c r="AG309" s="140">
        <f>INT(((AF309*Valores!$C$2)*100)+0.5)/100</f>
        <v>0</v>
      </c>
      <c r="AH309" s="140"/>
      <c r="AI309" s="140"/>
      <c r="AJ309" s="146">
        <f t="shared" si="56"/>
        <v>6951.3014999999996</v>
      </c>
      <c r="AK309" s="166"/>
      <c r="AL309" s="143">
        <v>0</v>
      </c>
      <c r="AM309" s="143"/>
      <c r="AN309" s="145">
        <v>0</v>
      </c>
      <c r="AO309" s="147">
        <f t="shared" si="57"/>
        <v>0</v>
      </c>
      <c r="AP309" s="148">
        <f>AJ309*Valores!$C$69</f>
        <v>-764.64316499999995</v>
      </c>
      <c r="AQ309" s="149">
        <f>AJ309*-Valores!$C$70</f>
        <v>0</v>
      </c>
      <c r="AR309" s="142">
        <f>AJ309*Valores!$C$71</f>
        <v>-312.80856749999998</v>
      </c>
      <c r="AS309" s="147">
        <v>0</v>
      </c>
      <c r="AT309" s="147">
        <v>0</v>
      </c>
      <c r="AU309" s="146">
        <f t="shared" si="58"/>
        <v>5873.8497674999999</v>
      </c>
      <c r="AV309" s="199">
        <f t="shared" si="54"/>
        <v>-764.64316499999995</v>
      </c>
      <c r="AW309" s="142">
        <f>AJ309*Valores!$C$72</f>
        <v>-187.68514049999999</v>
      </c>
      <c r="AX309" s="142">
        <f>AJ309*Valores!$C$73</f>
        <v>-20.853904499999999</v>
      </c>
      <c r="AY309" s="146">
        <f t="shared" si="59"/>
        <v>5978.1192899999996</v>
      </c>
      <c r="AZ309" s="150"/>
      <c r="BA309" s="150"/>
      <c r="BB309" s="135" t="s">
        <v>4</v>
      </c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  <c r="AMF309" s="114"/>
      <c r="AMG309" s="114"/>
      <c r="AMH309" s="114"/>
    </row>
    <row r="310" spans="1:1022" s="185" customFormat="1" ht="11.25" customHeight="1" x14ac:dyDescent="0.15">
      <c r="A310" s="134">
        <v>308</v>
      </c>
      <c r="B310" s="134"/>
      <c r="C310" s="135"/>
      <c r="D310" s="184">
        <v>1</v>
      </c>
      <c r="E310" s="184">
        <f t="shared" si="51"/>
        <v>26</v>
      </c>
      <c r="F310" s="168" t="s">
        <v>508</v>
      </c>
      <c r="G310" s="167">
        <f t="shared" si="63"/>
        <v>620</v>
      </c>
      <c r="H310" s="138">
        <f>INT((G310*Valores!$C$2*100)+0.5)/100</f>
        <v>7704.55</v>
      </c>
      <c r="I310" s="156">
        <v>0</v>
      </c>
      <c r="J310" s="140">
        <f>INT((I310*Valores!$C$2*100)+0.5)/100</f>
        <v>0</v>
      </c>
      <c r="K310" s="155">
        <v>0</v>
      </c>
      <c r="L310" s="140">
        <f>INT((K310*Valores!$C$2*100)+0.5)/100</f>
        <v>0</v>
      </c>
      <c r="M310" s="153">
        <v>0</v>
      </c>
      <c r="N310" s="140">
        <f>INT((M310*Valores!$C$2*100)+0.5)/100</f>
        <v>0</v>
      </c>
      <c r="O310" s="140">
        <f t="shared" si="52"/>
        <v>1208.9204999999999</v>
      </c>
      <c r="P310" s="140">
        <f t="shared" si="53"/>
        <v>0</v>
      </c>
      <c r="Q310" s="154">
        <v>0</v>
      </c>
      <c r="R310" s="154">
        <v>0</v>
      </c>
      <c r="S310" s="140">
        <v>0</v>
      </c>
      <c r="T310" s="143">
        <f>IF($H$5="NO",IF(Valores!$C$47*D310&gt;Valores!$C$45,Valores!$C$45,Valores!$C$47*D310),IF(Valores!$C$47*D310&gt;Valores!$C$45,Valores!$C$45,Valores!$C$47*D310)/2)*4</f>
        <v>354.92</v>
      </c>
      <c r="U310" s="143">
        <v>0</v>
      </c>
      <c r="V310" s="140">
        <f t="shared" si="62"/>
        <v>0</v>
      </c>
      <c r="W310" s="140">
        <v>0</v>
      </c>
      <c r="X310" s="140">
        <v>0</v>
      </c>
      <c r="Y310" s="160">
        <v>0</v>
      </c>
      <c r="Z310" s="140">
        <v>0</v>
      </c>
      <c r="AA310" s="140">
        <v>0</v>
      </c>
      <c r="AB310" s="143"/>
      <c r="AC310" s="145">
        <v>0</v>
      </c>
      <c r="AD310" s="140">
        <f t="shared" si="55"/>
        <v>0</v>
      </c>
      <c r="AE310" s="140">
        <v>0</v>
      </c>
      <c r="AF310" s="144">
        <v>0</v>
      </c>
      <c r="AG310" s="140">
        <f>INT(((AF310*Valores!$C$2)*100)+0.5)/100</f>
        <v>0</v>
      </c>
      <c r="AH310" s="140"/>
      <c r="AI310" s="140"/>
      <c r="AJ310" s="146">
        <f t="shared" si="56"/>
        <v>9268.3904999999995</v>
      </c>
      <c r="AK310" s="166"/>
      <c r="AL310" s="143">
        <v>0</v>
      </c>
      <c r="AM310" s="143"/>
      <c r="AN310" s="145">
        <v>0</v>
      </c>
      <c r="AO310" s="147">
        <f t="shared" si="57"/>
        <v>0</v>
      </c>
      <c r="AP310" s="148">
        <f>AJ310*Valores!$C$69</f>
        <v>-1019.5229549999999</v>
      </c>
      <c r="AQ310" s="149">
        <f>AJ310*-Valores!$C$70</f>
        <v>0</v>
      </c>
      <c r="AR310" s="142">
        <f>AJ310*Valores!$C$71</f>
        <v>-417.07757249999997</v>
      </c>
      <c r="AS310" s="147">
        <v>0</v>
      </c>
      <c r="AT310" s="147">
        <v>0</v>
      </c>
      <c r="AU310" s="146">
        <f t="shared" si="58"/>
        <v>7831.7899724999997</v>
      </c>
      <c r="AV310" s="199">
        <f t="shared" si="54"/>
        <v>-1019.5229549999999</v>
      </c>
      <c r="AW310" s="142">
        <f>AJ310*Valores!$C$72</f>
        <v>-250.24654349999997</v>
      </c>
      <c r="AX310" s="142">
        <f>AJ310*Valores!$C$73</f>
        <v>-27.8051715</v>
      </c>
      <c r="AY310" s="146">
        <f t="shared" si="59"/>
        <v>7970.8158299999996</v>
      </c>
      <c r="AZ310" s="150"/>
      <c r="BA310" s="150"/>
      <c r="BB310" s="135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  <c r="AMF310" s="114"/>
      <c r="AMG310" s="114"/>
      <c r="AMH310" s="114"/>
    </row>
    <row r="311" spans="1:1022" s="185" customFormat="1" ht="11.25" customHeight="1" x14ac:dyDescent="0.15">
      <c r="A311" s="134">
        <v>309</v>
      </c>
      <c r="B311" s="134"/>
      <c r="C311" s="135"/>
      <c r="D311" s="184">
        <v>1</v>
      </c>
      <c r="E311" s="184">
        <f t="shared" si="51"/>
        <v>26</v>
      </c>
      <c r="F311" s="168" t="s">
        <v>509</v>
      </c>
      <c r="G311" s="167">
        <f t="shared" si="63"/>
        <v>775</v>
      </c>
      <c r="H311" s="138">
        <f>INT((G311*Valores!$C$2*100)+0.5)/100</f>
        <v>9630.69</v>
      </c>
      <c r="I311" s="156">
        <v>0</v>
      </c>
      <c r="J311" s="140">
        <f>INT((I311*Valores!$C$2*100)+0.5)/100</f>
        <v>0</v>
      </c>
      <c r="K311" s="155">
        <v>0</v>
      </c>
      <c r="L311" s="140">
        <f>INT((K311*Valores!$C$2*100)+0.5)/100</f>
        <v>0</v>
      </c>
      <c r="M311" s="153">
        <v>0</v>
      </c>
      <c r="N311" s="140">
        <f>INT((M311*Valores!$C$2*100)+0.5)/100</f>
        <v>0</v>
      </c>
      <c r="O311" s="140">
        <f t="shared" si="52"/>
        <v>1511.1510000000001</v>
      </c>
      <c r="P311" s="140">
        <f t="shared" si="53"/>
        <v>0</v>
      </c>
      <c r="Q311" s="154">
        <v>0</v>
      </c>
      <c r="R311" s="154">
        <v>0</v>
      </c>
      <c r="S311" s="140">
        <v>0</v>
      </c>
      <c r="T311" s="143">
        <f>IF($H$5="NO",IF(Valores!$C$47*D311&gt;Valores!$C$45,Valores!$C$45,Valores!$C$47*D311),IF(Valores!$C$47*D311&gt;Valores!$C$45,Valores!$C$45,Valores!$C$47*D311)/2)*5</f>
        <v>443.65000000000003</v>
      </c>
      <c r="U311" s="154">
        <v>0</v>
      </c>
      <c r="V311" s="140">
        <f t="shared" si="62"/>
        <v>0</v>
      </c>
      <c r="W311" s="140">
        <v>0</v>
      </c>
      <c r="X311" s="140">
        <v>0</v>
      </c>
      <c r="Y311" s="160">
        <v>0</v>
      </c>
      <c r="Z311" s="140">
        <v>0</v>
      </c>
      <c r="AA311" s="140">
        <v>0</v>
      </c>
      <c r="AB311" s="143"/>
      <c r="AC311" s="145">
        <v>0</v>
      </c>
      <c r="AD311" s="140">
        <f t="shared" si="55"/>
        <v>0</v>
      </c>
      <c r="AE311" s="140">
        <v>0</v>
      </c>
      <c r="AF311" s="144">
        <v>0</v>
      </c>
      <c r="AG311" s="140">
        <f>INT(((AF311*Valores!$C$2)*100)+0.5)/100</f>
        <v>0</v>
      </c>
      <c r="AH311" s="140"/>
      <c r="AI311" s="140"/>
      <c r="AJ311" s="146">
        <f t="shared" si="56"/>
        <v>11585.491</v>
      </c>
      <c r="AK311" s="166"/>
      <c r="AL311" s="143">
        <v>0</v>
      </c>
      <c r="AM311" s="143"/>
      <c r="AN311" s="145">
        <v>0</v>
      </c>
      <c r="AO311" s="147">
        <f t="shared" si="57"/>
        <v>0</v>
      </c>
      <c r="AP311" s="148">
        <f>AJ311*Valores!$C$69</f>
        <v>-1274.40401</v>
      </c>
      <c r="AQ311" s="149">
        <f>AJ311*-Valores!$C$70</f>
        <v>0</v>
      </c>
      <c r="AR311" s="142">
        <f>AJ311*Valores!$C$71</f>
        <v>-521.34709499999997</v>
      </c>
      <c r="AS311" s="147">
        <v>0</v>
      </c>
      <c r="AT311" s="147">
        <v>0</v>
      </c>
      <c r="AU311" s="146">
        <f t="shared" si="58"/>
        <v>9789.7398950000006</v>
      </c>
      <c r="AV311" s="199">
        <f t="shared" si="54"/>
        <v>-1274.40401</v>
      </c>
      <c r="AW311" s="142">
        <f>AJ311*Valores!$C$72</f>
        <v>-312.80825699999997</v>
      </c>
      <c r="AX311" s="142">
        <f>AJ311*Valores!$C$73</f>
        <v>-34.756473</v>
      </c>
      <c r="AY311" s="146">
        <f t="shared" si="59"/>
        <v>9963.5222599999997</v>
      </c>
      <c r="AZ311" s="150"/>
      <c r="BA311" s="150"/>
      <c r="BB311" s="135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  <c r="AMF311" s="114"/>
      <c r="AMG311" s="114"/>
      <c r="AMH311" s="114"/>
    </row>
    <row r="312" spans="1:1022" s="185" customFormat="1" ht="11.25" customHeight="1" x14ac:dyDescent="0.15">
      <c r="A312" s="152">
        <v>310</v>
      </c>
      <c r="B312" s="152" t="s">
        <v>139</v>
      </c>
      <c r="C312" s="135"/>
      <c r="D312" s="184">
        <v>1</v>
      </c>
      <c r="E312" s="184">
        <f t="shared" si="51"/>
        <v>26</v>
      </c>
      <c r="F312" s="168" t="s">
        <v>510</v>
      </c>
      <c r="G312" s="167">
        <f t="shared" si="63"/>
        <v>930</v>
      </c>
      <c r="H312" s="138">
        <f>INT((G312*Valores!$C$2*100)+0.5)/100</f>
        <v>11556.83</v>
      </c>
      <c r="I312" s="156">
        <v>0</v>
      </c>
      <c r="J312" s="140">
        <f>INT((I312*Valores!$C$2*100)+0.5)/100</f>
        <v>0</v>
      </c>
      <c r="K312" s="155">
        <v>0</v>
      </c>
      <c r="L312" s="140">
        <f>INT((K312*Valores!$C$2*100)+0.5)/100</f>
        <v>0</v>
      </c>
      <c r="M312" s="153">
        <v>0</v>
      </c>
      <c r="N312" s="140">
        <f>INT((M312*Valores!$C$2*100)+0.5)/100</f>
        <v>0</v>
      </c>
      <c r="O312" s="140">
        <f t="shared" si="52"/>
        <v>1813.3814999999997</v>
      </c>
      <c r="P312" s="140">
        <f t="shared" si="53"/>
        <v>0</v>
      </c>
      <c r="Q312" s="154">
        <v>0</v>
      </c>
      <c r="R312" s="154">
        <v>0</v>
      </c>
      <c r="S312" s="140">
        <v>0</v>
      </c>
      <c r="T312" s="143">
        <f>IF($H$5="NO",IF(Valores!$C$47*D312&gt;Valores!$C$45,Valores!$C$45,Valores!$C$47*D312),IF(Valores!$C$47*D312&gt;Valores!$C$45,Valores!$C$45,Valores!$C$47*D312)/2)*6</f>
        <v>532.38</v>
      </c>
      <c r="U312" s="154">
        <v>0</v>
      </c>
      <c r="V312" s="140">
        <f t="shared" si="62"/>
        <v>0</v>
      </c>
      <c r="W312" s="140">
        <v>0</v>
      </c>
      <c r="X312" s="140">
        <v>0</v>
      </c>
      <c r="Y312" s="160">
        <v>0</v>
      </c>
      <c r="Z312" s="140">
        <v>0</v>
      </c>
      <c r="AA312" s="140">
        <v>0</v>
      </c>
      <c r="AB312" s="143"/>
      <c r="AC312" s="145">
        <v>0</v>
      </c>
      <c r="AD312" s="140">
        <f t="shared" si="55"/>
        <v>0</v>
      </c>
      <c r="AE312" s="140">
        <v>0</v>
      </c>
      <c r="AF312" s="144">
        <v>0</v>
      </c>
      <c r="AG312" s="140">
        <f>INT(((AF312*Valores!$C$2)*100)+0.5)/100</f>
        <v>0</v>
      </c>
      <c r="AH312" s="140"/>
      <c r="AI312" s="140"/>
      <c r="AJ312" s="146">
        <f t="shared" si="56"/>
        <v>13902.591499999999</v>
      </c>
      <c r="AK312" s="166"/>
      <c r="AL312" s="143">
        <v>0</v>
      </c>
      <c r="AM312" s="143"/>
      <c r="AN312" s="145">
        <v>0</v>
      </c>
      <c r="AO312" s="147">
        <f t="shared" si="57"/>
        <v>0</v>
      </c>
      <c r="AP312" s="148">
        <f>AJ312*Valores!$C$69</f>
        <v>-1529.2850649999998</v>
      </c>
      <c r="AQ312" s="149">
        <f>AJ312*-Valores!$C$70</f>
        <v>0</v>
      </c>
      <c r="AR312" s="142">
        <f>AJ312*Valores!$C$71</f>
        <v>-625.61661749999996</v>
      </c>
      <c r="AS312" s="147">
        <v>0</v>
      </c>
      <c r="AT312" s="147">
        <v>0</v>
      </c>
      <c r="AU312" s="146">
        <f t="shared" si="58"/>
        <v>11747.689817499999</v>
      </c>
      <c r="AV312" s="199">
        <f t="shared" si="54"/>
        <v>-1529.2850649999998</v>
      </c>
      <c r="AW312" s="142">
        <f>AJ312*Valores!$C$72</f>
        <v>-375.36997049999997</v>
      </c>
      <c r="AX312" s="142">
        <f>AJ312*Valores!$C$73</f>
        <v>-41.707774499999999</v>
      </c>
      <c r="AY312" s="146">
        <f t="shared" si="59"/>
        <v>11956.22869</v>
      </c>
      <c r="AZ312" s="150"/>
      <c r="BA312" s="150"/>
      <c r="BB312" s="135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  <c r="AMF312" s="114"/>
      <c r="AMG312" s="114"/>
      <c r="AMH312" s="114"/>
    </row>
    <row r="313" spans="1:1022" s="185" customFormat="1" ht="11.25" customHeight="1" x14ac:dyDescent="0.15">
      <c r="A313" s="134">
        <v>311</v>
      </c>
      <c r="B313" s="134"/>
      <c r="C313" s="135"/>
      <c r="D313" s="184">
        <v>1</v>
      </c>
      <c r="E313" s="184">
        <f t="shared" si="51"/>
        <v>26</v>
      </c>
      <c r="F313" s="168" t="s">
        <v>511</v>
      </c>
      <c r="G313" s="167">
        <f t="shared" si="63"/>
        <v>1085</v>
      </c>
      <c r="H313" s="138">
        <f>INT((G313*Valores!$C$2*100)+0.5)/100</f>
        <v>13482.97</v>
      </c>
      <c r="I313" s="156">
        <v>0</v>
      </c>
      <c r="J313" s="140">
        <f>INT((I313*Valores!$C$2*100)+0.5)/100</f>
        <v>0</v>
      </c>
      <c r="K313" s="155">
        <v>0</v>
      </c>
      <c r="L313" s="140">
        <f>INT((K313*Valores!$C$2*100)+0.5)/100</f>
        <v>0</v>
      </c>
      <c r="M313" s="153">
        <v>0</v>
      </c>
      <c r="N313" s="140">
        <f>INT((M313*Valores!$C$2*100)+0.5)/100</f>
        <v>0</v>
      </c>
      <c r="O313" s="140">
        <f t="shared" si="52"/>
        <v>2115.6120000000001</v>
      </c>
      <c r="P313" s="140">
        <f t="shared" si="53"/>
        <v>0</v>
      </c>
      <c r="Q313" s="154">
        <v>0</v>
      </c>
      <c r="R313" s="154">
        <v>0</v>
      </c>
      <c r="S313" s="140">
        <v>0</v>
      </c>
      <c r="T313" s="143">
        <f>IF($H$5="NO",IF(Valores!$C$47*D313&gt;Valores!$C$45,Valores!$C$45,Valores!$C$47*D313),IF(Valores!$C$47*D313&gt;Valores!$C$45,Valores!$C$45,Valores!$C$47*D313)/2)*7</f>
        <v>621.11</v>
      </c>
      <c r="U313" s="154">
        <v>0</v>
      </c>
      <c r="V313" s="140">
        <f t="shared" si="62"/>
        <v>0</v>
      </c>
      <c r="W313" s="140">
        <v>0</v>
      </c>
      <c r="X313" s="140">
        <v>0</v>
      </c>
      <c r="Y313" s="160">
        <v>0</v>
      </c>
      <c r="Z313" s="140">
        <v>0</v>
      </c>
      <c r="AA313" s="140">
        <v>0</v>
      </c>
      <c r="AB313" s="143"/>
      <c r="AC313" s="145">
        <v>0</v>
      </c>
      <c r="AD313" s="140">
        <f t="shared" si="55"/>
        <v>0</v>
      </c>
      <c r="AE313" s="140">
        <v>0</v>
      </c>
      <c r="AF313" s="144">
        <v>0</v>
      </c>
      <c r="AG313" s="140">
        <f>INT(((AF313*Valores!$C$2)*100)+0.5)/100</f>
        <v>0</v>
      </c>
      <c r="AH313" s="140"/>
      <c r="AI313" s="140"/>
      <c r="AJ313" s="146">
        <f t="shared" si="56"/>
        <v>16219.691999999999</v>
      </c>
      <c r="AK313" s="166"/>
      <c r="AL313" s="143">
        <v>0</v>
      </c>
      <c r="AM313" s="143"/>
      <c r="AN313" s="145">
        <v>0</v>
      </c>
      <c r="AO313" s="147">
        <f t="shared" si="57"/>
        <v>0</v>
      </c>
      <c r="AP313" s="148">
        <f>AJ313*Valores!$C$69</f>
        <v>-1784.1661199999999</v>
      </c>
      <c r="AQ313" s="149">
        <f>AJ313*-Valores!$C$70</f>
        <v>0</v>
      </c>
      <c r="AR313" s="142">
        <f>AJ313*Valores!$C$71</f>
        <v>-729.88613999999995</v>
      </c>
      <c r="AS313" s="147">
        <v>0</v>
      </c>
      <c r="AT313" s="147">
        <v>0</v>
      </c>
      <c r="AU313" s="146">
        <f t="shared" si="58"/>
        <v>13705.639739999999</v>
      </c>
      <c r="AV313" s="199">
        <f t="shared" si="54"/>
        <v>-1784.1661199999999</v>
      </c>
      <c r="AW313" s="142">
        <f>AJ313*Valores!$C$72</f>
        <v>-437.93168399999996</v>
      </c>
      <c r="AX313" s="142">
        <f>AJ313*Valores!$C$73</f>
        <v>-48.659075999999999</v>
      </c>
      <c r="AY313" s="146">
        <f t="shared" si="59"/>
        <v>13948.935119999998</v>
      </c>
      <c r="AZ313" s="150"/>
      <c r="BA313" s="150"/>
      <c r="BB313" s="135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  <c r="AMF313" s="114"/>
      <c r="AMG313" s="114"/>
      <c r="AMH313" s="114"/>
    </row>
    <row r="314" spans="1:1022" s="185" customFormat="1" ht="11.25" customHeight="1" x14ac:dyDescent="0.15">
      <c r="A314" s="134">
        <v>312</v>
      </c>
      <c r="B314" s="134"/>
      <c r="C314" s="135"/>
      <c r="D314" s="184">
        <v>1</v>
      </c>
      <c r="E314" s="184">
        <f t="shared" si="51"/>
        <v>26</v>
      </c>
      <c r="F314" s="168" t="s">
        <v>512</v>
      </c>
      <c r="G314" s="167">
        <f t="shared" si="63"/>
        <v>1240</v>
      </c>
      <c r="H314" s="138">
        <f>INT((G314*Valores!$C$2*100)+0.5)/100</f>
        <v>15409.11</v>
      </c>
      <c r="I314" s="156">
        <v>0</v>
      </c>
      <c r="J314" s="140">
        <f>INT((I314*Valores!$C$2*100)+0.5)/100</f>
        <v>0</v>
      </c>
      <c r="K314" s="155">
        <v>0</v>
      </c>
      <c r="L314" s="140">
        <f>INT((K314*Valores!$C$2*100)+0.5)/100</f>
        <v>0</v>
      </c>
      <c r="M314" s="153">
        <v>0</v>
      </c>
      <c r="N314" s="140">
        <f>INT((M314*Valores!$C$2*100)+0.5)/100</f>
        <v>0</v>
      </c>
      <c r="O314" s="140">
        <f t="shared" si="52"/>
        <v>2417.8425000000002</v>
      </c>
      <c r="P314" s="140">
        <f t="shared" si="53"/>
        <v>0</v>
      </c>
      <c r="Q314" s="154">
        <v>0</v>
      </c>
      <c r="R314" s="154">
        <v>0</v>
      </c>
      <c r="S314" s="140">
        <v>0</v>
      </c>
      <c r="T314" s="143">
        <f>IF($H$5="NO",IF(Valores!$C$47*D314&gt;Valores!$C$45,Valores!$C$45,Valores!$C$47*D314),IF(Valores!$C$47*D314&gt;Valores!$C$45,Valores!$C$45,Valores!$C$47*D314)/2)*8</f>
        <v>709.84</v>
      </c>
      <c r="U314" s="154">
        <v>0</v>
      </c>
      <c r="V314" s="140">
        <f t="shared" si="62"/>
        <v>0</v>
      </c>
      <c r="W314" s="140">
        <v>0</v>
      </c>
      <c r="X314" s="140">
        <v>0</v>
      </c>
      <c r="Y314" s="160">
        <v>0</v>
      </c>
      <c r="Z314" s="140">
        <v>0</v>
      </c>
      <c r="AA314" s="140">
        <v>0</v>
      </c>
      <c r="AB314" s="143"/>
      <c r="AC314" s="145">
        <v>0</v>
      </c>
      <c r="AD314" s="140">
        <f t="shared" si="55"/>
        <v>0</v>
      </c>
      <c r="AE314" s="140">
        <v>0</v>
      </c>
      <c r="AF314" s="144">
        <v>0</v>
      </c>
      <c r="AG314" s="140">
        <f>INT(((AF314*Valores!$C$2)*100)+0.5)/100</f>
        <v>0</v>
      </c>
      <c r="AH314" s="140"/>
      <c r="AI314" s="140"/>
      <c r="AJ314" s="146">
        <f t="shared" si="56"/>
        <v>18536.7925</v>
      </c>
      <c r="AK314" s="166"/>
      <c r="AL314" s="143">
        <v>0</v>
      </c>
      <c r="AM314" s="143"/>
      <c r="AN314" s="145">
        <v>0</v>
      </c>
      <c r="AO314" s="147">
        <f t="shared" si="57"/>
        <v>0</v>
      </c>
      <c r="AP314" s="148">
        <f>AJ314*Valores!$C$69</f>
        <v>-2039.0471749999999</v>
      </c>
      <c r="AQ314" s="149">
        <f>AJ314*-Valores!$C$70</f>
        <v>0</v>
      </c>
      <c r="AR314" s="142">
        <f>AJ314*Valores!$C$71</f>
        <v>-834.15566249999995</v>
      </c>
      <c r="AS314" s="147">
        <v>0</v>
      </c>
      <c r="AT314" s="147">
        <v>0</v>
      </c>
      <c r="AU314" s="146">
        <f t="shared" si="58"/>
        <v>15663.589662499999</v>
      </c>
      <c r="AV314" s="199">
        <f t="shared" si="54"/>
        <v>-2039.0471749999999</v>
      </c>
      <c r="AW314" s="142">
        <f>AJ314*Valores!$C$72</f>
        <v>-500.49339749999996</v>
      </c>
      <c r="AX314" s="142">
        <f>AJ314*Valores!$C$73</f>
        <v>-55.610377499999998</v>
      </c>
      <c r="AY314" s="146">
        <f t="shared" si="59"/>
        <v>15941.64155</v>
      </c>
      <c r="AZ314" s="150"/>
      <c r="BA314" s="150"/>
      <c r="BB314" s="135" t="s">
        <v>4</v>
      </c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  <c r="AMF314" s="114"/>
      <c r="AMG314" s="114"/>
      <c r="AMH314" s="114"/>
    </row>
    <row r="315" spans="1:1022" s="185" customFormat="1" ht="11.25" customHeight="1" x14ac:dyDescent="0.15">
      <c r="A315" s="134">
        <v>313</v>
      </c>
      <c r="B315" s="134"/>
      <c r="C315" s="135"/>
      <c r="D315" s="184">
        <v>1</v>
      </c>
      <c r="E315" s="184">
        <f t="shared" si="51"/>
        <v>26</v>
      </c>
      <c r="F315" s="168" t="s">
        <v>513</v>
      </c>
      <c r="G315" s="167">
        <f t="shared" si="63"/>
        <v>1395</v>
      </c>
      <c r="H315" s="138">
        <f>INT((G315*Valores!$C$2*100)+0.5)/100</f>
        <v>17335.25</v>
      </c>
      <c r="I315" s="156">
        <v>0</v>
      </c>
      <c r="J315" s="140">
        <f>INT((I315*Valores!$C$2*100)+0.5)/100</f>
        <v>0</v>
      </c>
      <c r="K315" s="155">
        <v>0</v>
      </c>
      <c r="L315" s="140">
        <f>INT((K315*Valores!$C$2*100)+0.5)/100</f>
        <v>0</v>
      </c>
      <c r="M315" s="153">
        <v>0</v>
      </c>
      <c r="N315" s="140">
        <f>INT((M315*Valores!$C$2*100)+0.5)/100</f>
        <v>0</v>
      </c>
      <c r="O315" s="140">
        <f t="shared" si="52"/>
        <v>2720.0729999999999</v>
      </c>
      <c r="P315" s="140">
        <f t="shared" si="53"/>
        <v>0</v>
      </c>
      <c r="Q315" s="154">
        <v>0</v>
      </c>
      <c r="R315" s="154">
        <v>0</v>
      </c>
      <c r="S315" s="140">
        <v>0</v>
      </c>
      <c r="T315" s="143">
        <f>IF($H$5="NO",IF(Valores!$C$47*D315&gt;Valores!$C$45,Valores!$C$45,Valores!$C$47*D315),IF(Valores!$C$47*D315&gt;Valores!$C$45,Valores!$C$45,Valores!$C$47*D315)/2)*9</f>
        <v>798.57</v>
      </c>
      <c r="U315" s="143">
        <v>0</v>
      </c>
      <c r="V315" s="140">
        <f t="shared" si="62"/>
        <v>0</v>
      </c>
      <c r="W315" s="140">
        <v>0</v>
      </c>
      <c r="X315" s="140">
        <v>0</v>
      </c>
      <c r="Y315" s="160">
        <v>0</v>
      </c>
      <c r="Z315" s="140">
        <v>0</v>
      </c>
      <c r="AA315" s="140">
        <v>0</v>
      </c>
      <c r="AB315" s="143"/>
      <c r="AC315" s="145">
        <v>0</v>
      </c>
      <c r="AD315" s="140">
        <f t="shared" si="55"/>
        <v>0</v>
      </c>
      <c r="AE315" s="140">
        <v>0</v>
      </c>
      <c r="AF315" s="144">
        <v>0</v>
      </c>
      <c r="AG315" s="140">
        <f>INT(((AF315*Valores!$C$2)*100)+0.5)/100</f>
        <v>0</v>
      </c>
      <c r="AH315" s="140"/>
      <c r="AI315" s="140"/>
      <c r="AJ315" s="146">
        <f t="shared" si="56"/>
        <v>20853.893</v>
      </c>
      <c r="AK315" s="166"/>
      <c r="AL315" s="143">
        <v>0</v>
      </c>
      <c r="AM315" s="143"/>
      <c r="AN315" s="145">
        <v>0</v>
      </c>
      <c r="AO315" s="147">
        <f t="shared" si="57"/>
        <v>0</v>
      </c>
      <c r="AP315" s="148">
        <f>AJ315*Valores!$C$69</f>
        <v>-2293.92823</v>
      </c>
      <c r="AQ315" s="149">
        <f>AJ315*-Valores!$C$70</f>
        <v>0</v>
      </c>
      <c r="AR315" s="142">
        <f>AJ315*Valores!$C$71</f>
        <v>-938.42518499999994</v>
      </c>
      <c r="AS315" s="147">
        <v>0</v>
      </c>
      <c r="AT315" s="147">
        <v>0</v>
      </c>
      <c r="AU315" s="146">
        <f t="shared" si="58"/>
        <v>17621.539584999999</v>
      </c>
      <c r="AV315" s="199">
        <f t="shared" si="54"/>
        <v>-2293.92823</v>
      </c>
      <c r="AW315" s="142">
        <f>AJ315*Valores!$C$72</f>
        <v>-563.05511100000001</v>
      </c>
      <c r="AX315" s="142">
        <f>AJ315*Valores!$C$73</f>
        <v>-62.561678999999998</v>
      </c>
      <c r="AY315" s="146">
        <f t="shared" si="59"/>
        <v>17934.347979999999</v>
      </c>
      <c r="AZ315" s="150"/>
      <c r="BA315" s="150"/>
      <c r="BB315" s="135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  <c r="AMF315" s="114"/>
      <c r="AMG315" s="114"/>
      <c r="AMH315" s="114"/>
    </row>
    <row r="316" spans="1:1022" s="185" customFormat="1" ht="11.25" customHeight="1" x14ac:dyDescent="0.15">
      <c r="A316" s="134">
        <v>314</v>
      </c>
      <c r="B316" s="134"/>
      <c r="C316" s="135"/>
      <c r="D316" s="184">
        <v>1</v>
      </c>
      <c r="E316" s="184">
        <f t="shared" si="51"/>
        <v>26</v>
      </c>
      <c r="F316" s="168" t="s">
        <v>514</v>
      </c>
      <c r="G316" s="167">
        <f t="shared" si="63"/>
        <v>1550</v>
      </c>
      <c r="H316" s="138">
        <f>INT((G316*Valores!$C$2*100)+0.5)/100</f>
        <v>19261.39</v>
      </c>
      <c r="I316" s="156">
        <v>0</v>
      </c>
      <c r="J316" s="140">
        <f>INT((I316*Valores!$C$2*100)+0.5)/100</f>
        <v>0</v>
      </c>
      <c r="K316" s="155">
        <v>0</v>
      </c>
      <c r="L316" s="140">
        <f>INT((K316*Valores!$C$2*100)+0.5)/100</f>
        <v>0</v>
      </c>
      <c r="M316" s="153">
        <v>0</v>
      </c>
      <c r="N316" s="140">
        <f>INT((M316*Valores!$C$2*100)+0.5)/100</f>
        <v>0</v>
      </c>
      <c r="O316" s="140">
        <f t="shared" si="52"/>
        <v>3022.3034999999995</v>
      </c>
      <c r="P316" s="140">
        <f t="shared" si="53"/>
        <v>0</v>
      </c>
      <c r="Q316" s="154">
        <v>0</v>
      </c>
      <c r="R316" s="154">
        <v>0</v>
      </c>
      <c r="S316" s="140">
        <v>0</v>
      </c>
      <c r="T316" s="143">
        <f>IF($H$5="NO",IF(Valores!$C$47*D316&gt;Valores!$C$45,Valores!$C$45,Valores!$C$47*D316),IF(Valores!$C$47*D316&gt;Valores!$C$45,Valores!$C$45,Valores!$C$47*D316)/2)*10</f>
        <v>887.30000000000007</v>
      </c>
      <c r="U316" s="154">
        <v>0</v>
      </c>
      <c r="V316" s="140">
        <f t="shared" si="62"/>
        <v>0</v>
      </c>
      <c r="W316" s="140">
        <v>0</v>
      </c>
      <c r="X316" s="140">
        <v>0</v>
      </c>
      <c r="Y316" s="160">
        <v>0</v>
      </c>
      <c r="Z316" s="140">
        <v>0</v>
      </c>
      <c r="AA316" s="140">
        <v>0</v>
      </c>
      <c r="AB316" s="143"/>
      <c r="AC316" s="145">
        <v>0</v>
      </c>
      <c r="AD316" s="140">
        <f t="shared" si="55"/>
        <v>0</v>
      </c>
      <c r="AE316" s="140">
        <v>0</v>
      </c>
      <c r="AF316" s="144">
        <v>0</v>
      </c>
      <c r="AG316" s="140">
        <f>INT(((AF316*Valores!$C$2)*100)+0.5)/100</f>
        <v>0</v>
      </c>
      <c r="AH316" s="140"/>
      <c r="AI316" s="140"/>
      <c r="AJ316" s="146">
        <f t="shared" si="56"/>
        <v>23170.993499999997</v>
      </c>
      <c r="AK316" s="166"/>
      <c r="AL316" s="143">
        <v>0</v>
      </c>
      <c r="AM316" s="143"/>
      <c r="AN316" s="145">
        <v>0</v>
      </c>
      <c r="AO316" s="147">
        <f t="shared" si="57"/>
        <v>0</v>
      </c>
      <c r="AP316" s="148">
        <f>AJ316*Valores!$C$69</f>
        <v>-2548.8092849999998</v>
      </c>
      <c r="AQ316" s="149">
        <f>AJ316*-Valores!$C$70</f>
        <v>0</v>
      </c>
      <c r="AR316" s="142">
        <f>AJ316*Valores!$C$71</f>
        <v>-1042.6947074999998</v>
      </c>
      <c r="AS316" s="147">
        <v>0</v>
      </c>
      <c r="AT316" s="147">
        <v>0</v>
      </c>
      <c r="AU316" s="146">
        <f t="shared" si="58"/>
        <v>19579.489507499999</v>
      </c>
      <c r="AV316" s="199">
        <f t="shared" si="54"/>
        <v>-2548.8092849999998</v>
      </c>
      <c r="AW316" s="142">
        <f>AJ316*Valores!$C$72</f>
        <v>-625.61682449999989</v>
      </c>
      <c r="AX316" s="142">
        <f>AJ316*Valores!$C$73</f>
        <v>-69.512980499999998</v>
      </c>
      <c r="AY316" s="146">
        <f t="shared" si="59"/>
        <v>19927.054409999997</v>
      </c>
      <c r="AZ316" s="150"/>
      <c r="BA316" s="150"/>
      <c r="BB316" s="135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  <c r="AMF316" s="114"/>
      <c r="AMG316" s="114"/>
      <c r="AMH316" s="114"/>
    </row>
    <row r="317" spans="1:1022" s="185" customFormat="1" ht="11.25" customHeight="1" x14ac:dyDescent="0.15">
      <c r="A317" s="152">
        <v>315</v>
      </c>
      <c r="B317" s="152" t="s">
        <v>139</v>
      </c>
      <c r="C317" s="135"/>
      <c r="D317" s="184">
        <v>1</v>
      </c>
      <c r="E317" s="184">
        <f t="shared" si="51"/>
        <v>26</v>
      </c>
      <c r="F317" s="168" t="s">
        <v>515</v>
      </c>
      <c r="G317" s="167">
        <f t="shared" si="63"/>
        <v>1705</v>
      </c>
      <c r="H317" s="138">
        <f>INT((G317*Valores!$C$2*100)+0.5)/100</f>
        <v>21187.52</v>
      </c>
      <c r="I317" s="156">
        <v>0</v>
      </c>
      <c r="J317" s="140">
        <f>INT((I317*Valores!$C$2*100)+0.5)/100</f>
        <v>0</v>
      </c>
      <c r="K317" s="155">
        <v>0</v>
      </c>
      <c r="L317" s="140">
        <f>INT((K317*Valores!$C$2*100)+0.5)/100</f>
        <v>0</v>
      </c>
      <c r="M317" s="153">
        <v>0</v>
      </c>
      <c r="N317" s="140">
        <f>INT((M317*Valores!$C$2*100)+0.5)/100</f>
        <v>0</v>
      </c>
      <c r="O317" s="140">
        <f t="shared" si="52"/>
        <v>3324.5324999999998</v>
      </c>
      <c r="P317" s="140">
        <f t="shared" si="53"/>
        <v>0</v>
      </c>
      <c r="Q317" s="154">
        <v>0</v>
      </c>
      <c r="R317" s="154">
        <v>0</v>
      </c>
      <c r="S317" s="140">
        <v>0</v>
      </c>
      <c r="T317" s="143">
        <f>IF($H$5="NO",IF(Valores!$C$47*D317&gt;Valores!$C$45,Valores!$C$45,Valores!$C$47*D317),IF(Valores!$C$47*D317&gt;Valores!$C$45,Valores!$C$45,Valores!$C$47*D317)/2)*11</f>
        <v>976.03000000000009</v>
      </c>
      <c r="U317" s="154">
        <v>0</v>
      </c>
      <c r="V317" s="140">
        <f t="shared" si="62"/>
        <v>0</v>
      </c>
      <c r="W317" s="140">
        <v>0</v>
      </c>
      <c r="X317" s="140">
        <v>0</v>
      </c>
      <c r="Y317" s="160">
        <v>0</v>
      </c>
      <c r="Z317" s="140">
        <v>0</v>
      </c>
      <c r="AA317" s="140">
        <v>0</v>
      </c>
      <c r="AB317" s="143"/>
      <c r="AC317" s="145">
        <v>0</v>
      </c>
      <c r="AD317" s="140">
        <f t="shared" si="55"/>
        <v>0</v>
      </c>
      <c r="AE317" s="140">
        <v>0</v>
      </c>
      <c r="AF317" s="144">
        <v>0</v>
      </c>
      <c r="AG317" s="140">
        <f>INT(((AF317*Valores!$C$2)*100)+0.5)/100</f>
        <v>0</v>
      </c>
      <c r="AH317" s="140"/>
      <c r="AI317" s="140"/>
      <c r="AJ317" s="146">
        <f t="shared" si="56"/>
        <v>25488.0825</v>
      </c>
      <c r="AK317" s="166"/>
      <c r="AL317" s="143">
        <v>0</v>
      </c>
      <c r="AM317" s="143"/>
      <c r="AN317" s="145">
        <v>0</v>
      </c>
      <c r="AO317" s="147">
        <f t="shared" si="57"/>
        <v>0</v>
      </c>
      <c r="AP317" s="148">
        <f>AJ317*Valores!$C$69</f>
        <v>-2803.6890750000002</v>
      </c>
      <c r="AQ317" s="149">
        <f>AJ317*-Valores!$C$70</f>
        <v>0</v>
      </c>
      <c r="AR317" s="142">
        <f>AJ317*Valores!$C$71</f>
        <v>-1146.9637124999999</v>
      </c>
      <c r="AS317" s="147">
        <v>0</v>
      </c>
      <c r="AT317" s="147">
        <v>0</v>
      </c>
      <c r="AU317" s="146">
        <f t="shared" si="58"/>
        <v>21537.429712500001</v>
      </c>
      <c r="AV317" s="199">
        <f t="shared" si="54"/>
        <v>-2803.6890750000002</v>
      </c>
      <c r="AW317" s="142">
        <f>AJ317*Valores!$C$72</f>
        <v>-688.17822750000005</v>
      </c>
      <c r="AX317" s="142">
        <f>AJ317*Valores!$C$73</f>
        <v>-76.464247499999999</v>
      </c>
      <c r="AY317" s="146">
        <f t="shared" si="59"/>
        <v>21919.750950000001</v>
      </c>
      <c r="AZ317" s="150"/>
      <c r="BA317" s="150"/>
      <c r="BB317" s="135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  <c r="AMF317" s="114"/>
      <c r="AMG317" s="114"/>
      <c r="AMH317" s="114"/>
    </row>
    <row r="318" spans="1:1022" s="185" customFormat="1" ht="11.25" customHeight="1" x14ac:dyDescent="0.15">
      <c r="A318" s="134">
        <v>316</v>
      </c>
      <c r="B318" s="134"/>
      <c r="C318" s="135"/>
      <c r="D318" s="184">
        <v>1</v>
      </c>
      <c r="E318" s="184">
        <f t="shared" si="51"/>
        <v>26</v>
      </c>
      <c r="F318" s="168" t="s">
        <v>516</v>
      </c>
      <c r="G318" s="167">
        <f t="shared" si="63"/>
        <v>1860</v>
      </c>
      <c r="H318" s="138">
        <f>INT((G318*Valores!$C$2*100)+0.5)/100</f>
        <v>23113.66</v>
      </c>
      <c r="I318" s="156">
        <v>0</v>
      </c>
      <c r="J318" s="140">
        <f>INT((I318*Valores!$C$2*100)+0.5)/100</f>
        <v>0</v>
      </c>
      <c r="K318" s="155">
        <v>0</v>
      </c>
      <c r="L318" s="140">
        <f>INT((K318*Valores!$C$2*100)+0.5)/100</f>
        <v>0</v>
      </c>
      <c r="M318" s="153">
        <v>0</v>
      </c>
      <c r="N318" s="140">
        <f>INT((M318*Valores!$C$2*100)+0.5)/100</f>
        <v>0</v>
      </c>
      <c r="O318" s="140">
        <f t="shared" si="52"/>
        <v>3626.7629999999995</v>
      </c>
      <c r="P318" s="140">
        <f t="shared" si="53"/>
        <v>0</v>
      </c>
      <c r="Q318" s="154">
        <v>0</v>
      </c>
      <c r="R318" s="154">
        <v>0</v>
      </c>
      <c r="S318" s="140">
        <v>0</v>
      </c>
      <c r="T318" s="143">
        <f>IF($H$5="NO",IF(Valores!$C$47*D318&gt;Valores!$C$45,Valores!$C$45,Valores!$C$47*D318),IF(Valores!$C$47*D318&gt;Valores!$C$45,Valores!$C$45,Valores!$C$47*D318)/2)*12</f>
        <v>1064.76</v>
      </c>
      <c r="U318" s="154">
        <v>0</v>
      </c>
      <c r="V318" s="140">
        <f t="shared" si="62"/>
        <v>0</v>
      </c>
      <c r="W318" s="140">
        <v>0</v>
      </c>
      <c r="X318" s="140">
        <v>0</v>
      </c>
      <c r="Y318" s="160">
        <v>0</v>
      </c>
      <c r="Z318" s="140">
        <v>0</v>
      </c>
      <c r="AA318" s="140">
        <v>0</v>
      </c>
      <c r="AB318" s="143"/>
      <c r="AC318" s="145">
        <v>0</v>
      </c>
      <c r="AD318" s="140">
        <f t="shared" si="55"/>
        <v>0</v>
      </c>
      <c r="AE318" s="140">
        <v>0</v>
      </c>
      <c r="AF318" s="144">
        <v>0</v>
      </c>
      <c r="AG318" s="140">
        <f>INT(((AF318*Valores!$C$2)*100)+0.5)/100</f>
        <v>0</v>
      </c>
      <c r="AH318" s="140"/>
      <c r="AI318" s="140"/>
      <c r="AJ318" s="146">
        <f t="shared" si="56"/>
        <v>27805.182999999997</v>
      </c>
      <c r="AK318" s="166"/>
      <c r="AL318" s="143">
        <v>0</v>
      </c>
      <c r="AM318" s="143"/>
      <c r="AN318" s="145">
        <v>0</v>
      </c>
      <c r="AO318" s="147">
        <f t="shared" si="57"/>
        <v>0</v>
      </c>
      <c r="AP318" s="148">
        <f>AJ318*Valores!$C$69</f>
        <v>-3058.5701299999996</v>
      </c>
      <c r="AQ318" s="149">
        <f>AJ318*-Valores!$C$70</f>
        <v>0</v>
      </c>
      <c r="AR318" s="142">
        <f>AJ318*Valores!$C$71</f>
        <v>-1251.2332349999999</v>
      </c>
      <c r="AS318" s="147">
        <v>0</v>
      </c>
      <c r="AT318" s="147">
        <v>0</v>
      </c>
      <c r="AU318" s="146">
        <f t="shared" si="58"/>
        <v>23495.379634999998</v>
      </c>
      <c r="AV318" s="199">
        <f t="shared" si="54"/>
        <v>-3058.5701299999996</v>
      </c>
      <c r="AW318" s="142">
        <f>AJ318*Valores!$C$72</f>
        <v>-750.73994099999993</v>
      </c>
      <c r="AX318" s="142">
        <f>AJ318*Valores!$C$73</f>
        <v>-83.415548999999999</v>
      </c>
      <c r="AY318" s="146">
        <f t="shared" si="59"/>
        <v>23912.45738</v>
      </c>
      <c r="AZ318" s="150"/>
      <c r="BA318" s="150"/>
      <c r="BB318" s="135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  <c r="AMF318" s="114"/>
      <c r="AMG318" s="114"/>
      <c r="AMH318" s="114"/>
    </row>
    <row r="319" spans="1:1022" s="185" customFormat="1" ht="11.25" customHeight="1" x14ac:dyDescent="0.15">
      <c r="A319" s="134">
        <v>317</v>
      </c>
      <c r="B319" s="134"/>
      <c r="C319" s="135"/>
      <c r="D319" s="184">
        <v>1</v>
      </c>
      <c r="E319" s="184">
        <f t="shared" si="51"/>
        <v>26</v>
      </c>
      <c r="F319" s="168" t="s">
        <v>517</v>
      </c>
      <c r="G319" s="167">
        <f t="shared" si="63"/>
        <v>2015</v>
      </c>
      <c r="H319" s="138">
        <f>INT((G319*Valores!$C$2*100)+0.5)/100</f>
        <v>25039.8</v>
      </c>
      <c r="I319" s="156">
        <v>0</v>
      </c>
      <c r="J319" s="140">
        <f>INT((I319*Valores!$C$2*100)+0.5)/100</f>
        <v>0</v>
      </c>
      <c r="K319" s="155">
        <v>0</v>
      </c>
      <c r="L319" s="140">
        <f>INT((K319*Valores!$C$2*100)+0.5)/100</f>
        <v>0</v>
      </c>
      <c r="M319" s="153">
        <v>0</v>
      </c>
      <c r="N319" s="140">
        <f>INT((M319*Valores!$C$2*100)+0.5)/100</f>
        <v>0</v>
      </c>
      <c r="O319" s="140">
        <f t="shared" si="52"/>
        <v>3928.9935</v>
      </c>
      <c r="P319" s="140">
        <f t="shared" si="53"/>
        <v>0</v>
      </c>
      <c r="Q319" s="154">
        <v>0</v>
      </c>
      <c r="R319" s="154">
        <v>0</v>
      </c>
      <c r="S319" s="140">
        <v>0</v>
      </c>
      <c r="T319" s="143">
        <f>IF($H$5="NO",IF(Valores!$C$47*D319&gt;Valores!$C$45,Valores!$C$45,Valores!$C$47*D319),IF(Valores!$C$47*D319&gt;Valores!$C$45,Valores!$C$45,Valores!$C$47*D319)/2)*13</f>
        <v>1153.49</v>
      </c>
      <c r="U319" s="154">
        <v>0</v>
      </c>
      <c r="V319" s="140">
        <f t="shared" si="62"/>
        <v>0</v>
      </c>
      <c r="W319" s="140">
        <v>0</v>
      </c>
      <c r="X319" s="140">
        <v>0</v>
      </c>
      <c r="Y319" s="160">
        <v>0</v>
      </c>
      <c r="Z319" s="140">
        <v>0</v>
      </c>
      <c r="AA319" s="140">
        <v>0</v>
      </c>
      <c r="AB319" s="143"/>
      <c r="AC319" s="145">
        <v>0</v>
      </c>
      <c r="AD319" s="140">
        <f t="shared" si="55"/>
        <v>0</v>
      </c>
      <c r="AE319" s="140">
        <v>0</v>
      </c>
      <c r="AF319" s="144">
        <v>0</v>
      </c>
      <c r="AG319" s="140">
        <f>INT(((AF319*Valores!$C$2)*100)+0.5)/100</f>
        <v>0</v>
      </c>
      <c r="AH319" s="140"/>
      <c r="AI319" s="140"/>
      <c r="AJ319" s="146">
        <f t="shared" si="56"/>
        <v>30122.283500000001</v>
      </c>
      <c r="AK319" s="166"/>
      <c r="AL319" s="143">
        <v>0</v>
      </c>
      <c r="AM319" s="143"/>
      <c r="AN319" s="145">
        <v>0</v>
      </c>
      <c r="AO319" s="147">
        <f t="shared" si="57"/>
        <v>0</v>
      </c>
      <c r="AP319" s="148">
        <f>AJ319*Valores!$C$69</f>
        <v>-3313.4511850000004</v>
      </c>
      <c r="AQ319" s="149">
        <f>AJ319*-Valores!$C$70</f>
        <v>0</v>
      </c>
      <c r="AR319" s="142">
        <f>AJ319*Valores!$C$71</f>
        <v>-1355.5027574999999</v>
      </c>
      <c r="AS319" s="147">
        <v>0</v>
      </c>
      <c r="AT319" s="147">
        <v>0</v>
      </c>
      <c r="AU319" s="146">
        <f t="shared" si="58"/>
        <v>25453.329557500001</v>
      </c>
      <c r="AV319" s="199">
        <f t="shared" si="54"/>
        <v>-3313.4511850000004</v>
      </c>
      <c r="AW319" s="142">
        <f>AJ319*Valores!$C$72</f>
        <v>-813.30165450000004</v>
      </c>
      <c r="AX319" s="142">
        <f>AJ319*Valores!$C$73</f>
        <v>-90.366850500000012</v>
      </c>
      <c r="AY319" s="146">
        <f t="shared" si="59"/>
        <v>25905.163810000002</v>
      </c>
      <c r="AZ319" s="150"/>
      <c r="BA319" s="150"/>
      <c r="BB319" s="135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  <c r="AMF319" s="114"/>
      <c r="AMG319" s="114"/>
      <c r="AMH319" s="114"/>
    </row>
    <row r="320" spans="1:1022" s="185" customFormat="1" ht="11.25" customHeight="1" x14ac:dyDescent="0.15">
      <c r="A320" s="134">
        <v>318</v>
      </c>
      <c r="B320" s="134"/>
      <c r="C320" s="135"/>
      <c r="D320" s="184">
        <v>1</v>
      </c>
      <c r="E320" s="184">
        <f t="shared" si="51"/>
        <v>26</v>
      </c>
      <c r="F320" s="168" t="s">
        <v>518</v>
      </c>
      <c r="G320" s="167">
        <f t="shared" si="63"/>
        <v>2170</v>
      </c>
      <c r="H320" s="138">
        <f>INT((G320*Valores!$C$2*100)+0.5)/100</f>
        <v>26965.94</v>
      </c>
      <c r="I320" s="156">
        <v>0</v>
      </c>
      <c r="J320" s="140">
        <f>INT((I320*Valores!$C$2*100)+0.5)/100</f>
        <v>0</v>
      </c>
      <c r="K320" s="155">
        <v>0</v>
      </c>
      <c r="L320" s="140">
        <f>INT((K320*Valores!$C$2*100)+0.5)/100</f>
        <v>0</v>
      </c>
      <c r="M320" s="153">
        <v>0</v>
      </c>
      <c r="N320" s="140">
        <f>INT((M320*Valores!$C$2*100)+0.5)/100</f>
        <v>0</v>
      </c>
      <c r="O320" s="140">
        <f t="shared" si="52"/>
        <v>4231.2240000000002</v>
      </c>
      <c r="P320" s="140">
        <f t="shared" si="53"/>
        <v>0</v>
      </c>
      <c r="Q320" s="154">
        <v>0</v>
      </c>
      <c r="R320" s="154">
        <v>0</v>
      </c>
      <c r="S320" s="140">
        <v>0</v>
      </c>
      <c r="T320" s="143">
        <f>IF($H$5="NO",IF(Valores!$C$47*D320&gt;Valores!$C$45,Valores!$C$45,Valores!$C$47*D320),IF(Valores!$C$47*D320&gt;Valores!$C$45,Valores!$C$45,Valores!$C$47*D320)/2)*14</f>
        <v>1242.22</v>
      </c>
      <c r="U320" s="143">
        <v>0</v>
      </c>
      <c r="V320" s="140">
        <f t="shared" si="62"/>
        <v>0</v>
      </c>
      <c r="W320" s="140">
        <v>0</v>
      </c>
      <c r="X320" s="140">
        <v>0</v>
      </c>
      <c r="Y320" s="160">
        <v>0</v>
      </c>
      <c r="Z320" s="140">
        <v>0</v>
      </c>
      <c r="AA320" s="140">
        <v>0</v>
      </c>
      <c r="AB320" s="143"/>
      <c r="AC320" s="145">
        <v>0</v>
      </c>
      <c r="AD320" s="140">
        <f t="shared" si="55"/>
        <v>0</v>
      </c>
      <c r="AE320" s="140">
        <v>0</v>
      </c>
      <c r="AF320" s="144">
        <v>0</v>
      </c>
      <c r="AG320" s="140">
        <f>INT(((AF320*Valores!$C$2)*100)+0.5)/100</f>
        <v>0</v>
      </c>
      <c r="AH320" s="140"/>
      <c r="AI320" s="140"/>
      <c r="AJ320" s="146">
        <f t="shared" si="56"/>
        <v>32439.383999999998</v>
      </c>
      <c r="AK320" s="166"/>
      <c r="AL320" s="143">
        <v>0</v>
      </c>
      <c r="AM320" s="143"/>
      <c r="AN320" s="145">
        <v>0</v>
      </c>
      <c r="AO320" s="147">
        <f t="shared" si="57"/>
        <v>0</v>
      </c>
      <c r="AP320" s="148">
        <f>AJ320*Valores!$C$69</f>
        <v>-3568.3322399999997</v>
      </c>
      <c r="AQ320" s="149">
        <f>AJ320*-Valores!$C$70</f>
        <v>0</v>
      </c>
      <c r="AR320" s="142">
        <f>AJ320*Valores!$C$71</f>
        <v>-1459.7722799999999</v>
      </c>
      <c r="AS320" s="147">
        <v>0</v>
      </c>
      <c r="AT320" s="147">
        <v>0</v>
      </c>
      <c r="AU320" s="146">
        <f t="shared" si="58"/>
        <v>27411.279479999997</v>
      </c>
      <c r="AV320" s="199">
        <f t="shared" si="54"/>
        <v>-3568.3322399999997</v>
      </c>
      <c r="AW320" s="142">
        <f>AJ320*Valores!$C$72</f>
        <v>-875.86336799999992</v>
      </c>
      <c r="AX320" s="142">
        <f>AJ320*Valores!$C$73</f>
        <v>-97.318151999999998</v>
      </c>
      <c r="AY320" s="146">
        <f t="shared" si="59"/>
        <v>27897.870239999997</v>
      </c>
      <c r="AZ320" s="150"/>
      <c r="BA320" s="150"/>
      <c r="BB320" s="135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  <c r="AMF320" s="114"/>
      <c r="AMG320" s="114"/>
      <c r="AMH320" s="114"/>
    </row>
    <row r="321" spans="1:1022" s="185" customFormat="1" ht="11.25" customHeight="1" x14ac:dyDescent="0.15">
      <c r="A321" s="134">
        <v>319</v>
      </c>
      <c r="B321" s="134"/>
      <c r="C321" s="135"/>
      <c r="D321" s="184">
        <v>1</v>
      </c>
      <c r="E321" s="184">
        <f t="shared" si="51"/>
        <v>26</v>
      </c>
      <c r="F321" s="168" t="s">
        <v>519</v>
      </c>
      <c r="G321" s="167">
        <f t="shared" si="63"/>
        <v>2325</v>
      </c>
      <c r="H321" s="138">
        <f>INT((G321*Valores!$C$2*100)+0.5)/100</f>
        <v>28892.080000000002</v>
      </c>
      <c r="I321" s="156">
        <v>0</v>
      </c>
      <c r="J321" s="140">
        <f>INT((I321*Valores!$C$2*100)+0.5)/100</f>
        <v>0</v>
      </c>
      <c r="K321" s="155">
        <v>0</v>
      </c>
      <c r="L321" s="140">
        <f>INT((K321*Valores!$C$2*100)+0.5)/100</f>
        <v>0</v>
      </c>
      <c r="M321" s="153">
        <v>0</v>
      </c>
      <c r="N321" s="140">
        <f>INT((M321*Valores!$C$2*100)+0.5)/100</f>
        <v>0</v>
      </c>
      <c r="O321" s="140">
        <f t="shared" si="52"/>
        <v>4533.4544999999998</v>
      </c>
      <c r="P321" s="140">
        <f t="shared" si="53"/>
        <v>0</v>
      </c>
      <c r="Q321" s="154">
        <v>0</v>
      </c>
      <c r="R321" s="154">
        <v>0</v>
      </c>
      <c r="S321" s="140">
        <v>0</v>
      </c>
      <c r="T321" s="143">
        <f>IF($H$5="NO",IF(Valores!$C$47*D321&gt;Valores!$C$45,Valores!$C$45,Valores!$C$47*D321),IF(Valores!$C$47*D321&gt;Valores!$C$45,Valores!$C$45,Valores!$C$47*D321)/2)*15</f>
        <v>1330.95</v>
      </c>
      <c r="U321" s="154">
        <v>0</v>
      </c>
      <c r="V321" s="140">
        <f t="shared" si="62"/>
        <v>0</v>
      </c>
      <c r="W321" s="140">
        <v>0</v>
      </c>
      <c r="X321" s="140">
        <v>0</v>
      </c>
      <c r="Y321" s="160">
        <v>0</v>
      </c>
      <c r="Z321" s="140">
        <v>0</v>
      </c>
      <c r="AA321" s="140">
        <v>0</v>
      </c>
      <c r="AB321" s="143"/>
      <c r="AC321" s="145">
        <v>0</v>
      </c>
      <c r="AD321" s="140">
        <f t="shared" si="55"/>
        <v>0</v>
      </c>
      <c r="AE321" s="140">
        <v>0</v>
      </c>
      <c r="AF321" s="144">
        <v>0</v>
      </c>
      <c r="AG321" s="140">
        <f>INT(((AF321*Valores!$C$2)*100)+0.5)/100</f>
        <v>0</v>
      </c>
      <c r="AH321" s="140"/>
      <c r="AI321" s="140"/>
      <c r="AJ321" s="146">
        <f t="shared" si="56"/>
        <v>34756.484499999999</v>
      </c>
      <c r="AK321" s="166"/>
      <c r="AL321" s="143">
        <v>0</v>
      </c>
      <c r="AM321" s="143"/>
      <c r="AN321" s="145">
        <v>0</v>
      </c>
      <c r="AO321" s="147">
        <f t="shared" si="57"/>
        <v>0</v>
      </c>
      <c r="AP321" s="148">
        <f>AJ321*Valores!$C$69</f>
        <v>-3823.213295</v>
      </c>
      <c r="AQ321" s="149">
        <f>AJ321*-Valores!$C$70</f>
        <v>0</v>
      </c>
      <c r="AR321" s="142">
        <f>AJ321*Valores!$C$71</f>
        <v>-1564.0418024999999</v>
      </c>
      <c r="AS321" s="147">
        <v>0</v>
      </c>
      <c r="AT321" s="147">
        <v>0</v>
      </c>
      <c r="AU321" s="146">
        <f t="shared" si="58"/>
        <v>29369.229402500001</v>
      </c>
      <c r="AV321" s="199">
        <f t="shared" si="54"/>
        <v>-3823.213295</v>
      </c>
      <c r="AW321" s="142">
        <f>AJ321*Valores!$C$72</f>
        <v>-938.42508149999992</v>
      </c>
      <c r="AX321" s="142">
        <f>AJ321*Valores!$C$73</f>
        <v>-104.2694535</v>
      </c>
      <c r="AY321" s="146">
        <f t="shared" si="59"/>
        <v>29890.576669999999</v>
      </c>
      <c r="AZ321" s="150"/>
      <c r="BA321" s="150"/>
      <c r="BB321" s="135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  <c r="AMF321" s="114"/>
      <c r="AMG321" s="114"/>
      <c r="AMH321" s="114"/>
    </row>
    <row r="322" spans="1:1022" s="185" customFormat="1" ht="11.25" customHeight="1" x14ac:dyDescent="0.15">
      <c r="A322" s="152">
        <v>320</v>
      </c>
      <c r="B322" s="152" t="s">
        <v>139</v>
      </c>
      <c r="C322" s="135"/>
      <c r="D322" s="184">
        <v>1</v>
      </c>
      <c r="E322" s="184">
        <f t="shared" si="51"/>
        <v>26</v>
      </c>
      <c r="F322" s="168" t="s">
        <v>520</v>
      </c>
      <c r="G322" s="167">
        <f t="shared" si="63"/>
        <v>2480</v>
      </c>
      <c r="H322" s="138">
        <f>INT((G322*Valores!$C$2*100)+0.5)/100</f>
        <v>30818.22</v>
      </c>
      <c r="I322" s="156">
        <v>0</v>
      </c>
      <c r="J322" s="140">
        <f>INT((I322*Valores!$C$2*100)+0.5)/100</f>
        <v>0</v>
      </c>
      <c r="K322" s="155">
        <v>0</v>
      </c>
      <c r="L322" s="140">
        <f>INT((K322*Valores!$C$2*100)+0.5)/100</f>
        <v>0</v>
      </c>
      <c r="M322" s="153">
        <v>0</v>
      </c>
      <c r="N322" s="140">
        <f>INT((M322*Valores!$C$2*100)+0.5)/100</f>
        <v>0</v>
      </c>
      <c r="O322" s="140">
        <f t="shared" si="52"/>
        <v>4835.6850000000004</v>
      </c>
      <c r="P322" s="140">
        <f t="shared" si="53"/>
        <v>0</v>
      </c>
      <c r="Q322" s="154">
        <v>0</v>
      </c>
      <c r="R322" s="154">
        <v>0</v>
      </c>
      <c r="S322" s="140">
        <v>0</v>
      </c>
      <c r="T322" s="143">
        <f>IF($H$5="NO",IF(Valores!$C$47*D322&gt;Valores!$C$45,Valores!$C$45,Valores!$C$47*D322),IF(Valores!$C$47*D322&gt;Valores!$C$45,Valores!$C$45,Valores!$C$47*D322)/2)*16</f>
        <v>1419.68</v>
      </c>
      <c r="U322" s="154">
        <v>0</v>
      </c>
      <c r="V322" s="140">
        <f t="shared" si="62"/>
        <v>0</v>
      </c>
      <c r="W322" s="140">
        <v>0</v>
      </c>
      <c r="X322" s="140">
        <v>0</v>
      </c>
      <c r="Y322" s="160">
        <v>0</v>
      </c>
      <c r="Z322" s="140">
        <v>0</v>
      </c>
      <c r="AA322" s="140">
        <v>0</v>
      </c>
      <c r="AB322" s="143"/>
      <c r="AC322" s="145">
        <v>0</v>
      </c>
      <c r="AD322" s="140">
        <f t="shared" si="55"/>
        <v>0</v>
      </c>
      <c r="AE322" s="140">
        <v>0</v>
      </c>
      <c r="AF322" s="144">
        <v>0</v>
      </c>
      <c r="AG322" s="140">
        <f>INT(((AF322*Valores!$C$2)*100)+0.5)/100</f>
        <v>0</v>
      </c>
      <c r="AH322" s="140"/>
      <c r="AI322" s="140"/>
      <c r="AJ322" s="146">
        <f t="shared" si="56"/>
        <v>37073.584999999999</v>
      </c>
      <c r="AK322" s="166"/>
      <c r="AL322" s="143">
        <v>0</v>
      </c>
      <c r="AM322" s="143"/>
      <c r="AN322" s="145">
        <v>0</v>
      </c>
      <c r="AO322" s="147">
        <f t="shared" si="57"/>
        <v>0</v>
      </c>
      <c r="AP322" s="148">
        <f>AJ322*Valores!$C$69</f>
        <v>-4078.0943499999998</v>
      </c>
      <c r="AQ322" s="149">
        <f>AJ322*-Valores!$C$70</f>
        <v>0</v>
      </c>
      <c r="AR322" s="142">
        <f>AJ322*Valores!$C$71</f>
        <v>-1668.3113249999999</v>
      </c>
      <c r="AS322" s="147">
        <v>0</v>
      </c>
      <c r="AT322" s="147">
        <v>0</v>
      </c>
      <c r="AU322" s="146">
        <f t="shared" si="58"/>
        <v>31327.179324999997</v>
      </c>
      <c r="AV322" s="199">
        <f t="shared" si="54"/>
        <v>-4078.0943499999998</v>
      </c>
      <c r="AW322" s="142">
        <f>AJ322*Valores!$C$72</f>
        <v>-1000.9867949999999</v>
      </c>
      <c r="AX322" s="142">
        <f>AJ322*Valores!$C$73</f>
        <v>-111.220755</v>
      </c>
      <c r="AY322" s="146">
        <f t="shared" si="59"/>
        <v>31883.283100000001</v>
      </c>
      <c r="AZ322" s="150"/>
      <c r="BA322" s="150"/>
      <c r="BB322" s="135" t="s">
        <v>4</v>
      </c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  <c r="AMF322" s="114"/>
      <c r="AMG322" s="114"/>
      <c r="AMH322" s="114"/>
    </row>
    <row r="323" spans="1:1022" s="185" customFormat="1" ht="11.25" customHeight="1" x14ac:dyDescent="0.15">
      <c r="A323" s="134">
        <v>321</v>
      </c>
      <c r="B323" s="134"/>
      <c r="C323" s="186" t="s">
        <v>500</v>
      </c>
      <c r="D323" s="184">
        <v>1</v>
      </c>
      <c r="E323" s="184">
        <f t="shared" si="51"/>
        <v>40</v>
      </c>
      <c r="F323" s="168" t="s">
        <v>521</v>
      </c>
      <c r="G323" s="167">
        <v>275</v>
      </c>
      <c r="H323" s="138">
        <f>INT((G323*Valores!$C$2*100)+0.5)/100</f>
        <v>3417.34</v>
      </c>
      <c r="I323" s="156">
        <v>0</v>
      </c>
      <c r="J323" s="140">
        <f>INT((I323*Valores!$C$2*100)+0.5)/100</f>
        <v>0</v>
      </c>
      <c r="K323" s="155">
        <v>0</v>
      </c>
      <c r="L323" s="140">
        <f>INT((K323*Valores!$C$2*100)+0.5)/100</f>
        <v>0</v>
      </c>
      <c r="M323" s="153">
        <v>0</v>
      </c>
      <c r="N323" s="140">
        <f>INT((M323*Valores!$C$2*100)+0.5)/100</f>
        <v>0</v>
      </c>
      <c r="O323" s="140">
        <f t="shared" si="52"/>
        <v>0</v>
      </c>
      <c r="P323" s="140">
        <f t="shared" si="53"/>
        <v>0</v>
      </c>
      <c r="Q323" s="154">
        <v>0</v>
      </c>
      <c r="R323" s="154">
        <v>0</v>
      </c>
      <c r="S323" s="140">
        <v>0</v>
      </c>
      <c r="T323" s="143">
        <f>IF($H$5="NO",Valores!$C$48,Valores!$C$48/2)</f>
        <v>206.67</v>
      </c>
      <c r="U323" s="154">
        <v>0</v>
      </c>
      <c r="V323" s="140">
        <f t="shared" si="62"/>
        <v>0</v>
      </c>
      <c r="W323" s="140">
        <v>0</v>
      </c>
      <c r="X323" s="140">
        <v>0</v>
      </c>
      <c r="Y323" s="160">
        <v>0</v>
      </c>
      <c r="Z323" s="140">
        <v>0</v>
      </c>
      <c r="AA323" s="140">
        <v>0</v>
      </c>
      <c r="AB323" s="143">
        <f>Valores!$C$94</f>
        <v>222</v>
      </c>
      <c r="AC323" s="145">
        <v>0</v>
      </c>
      <c r="AD323" s="140">
        <f t="shared" si="55"/>
        <v>0</v>
      </c>
      <c r="AE323" s="140">
        <v>0</v>
      </c>
      <c r="AF323" s="144">
        <v>0</v>
      </c>
      <c r="AG323" s="140">
        <f>INT(((AF323*Valores!$C$2)*100)+0.5)/100</f>
        <v>0</v>
      </c>
      <c r="AH323" s="140">
        <f>Valores!$C$61</f>
        <v>70.459999999999994</v>
      </c>
      <c r="AI323" s="140">
        <f>Valores!$C$63</f>
        <v>20.14</v>
      </c>
      <c r="AJ323" s="146">
        <f t="shared" si="56"/>
        <v>3936.61</v>
      </c>
      <c r="AK323" s="166"/>
      <c r="AL323" s="143">
        <f>Valores!$C$89</f>
        <v>227.49999999999997</v>
      </c>
      <c r="AM323" s="143"/>
      <c r="AN323" s="145">
        <v>0</v>
      </c>
      <c r="AO323" s="147">
        <f t="shared" si="57"/>
        <v>227.49999999999997</v>
      </c>
      <c r="AP323" s="148">
        <f>AJ323*Valores!$C$69</f>
        <v>-433.02710000000002</v>
      </c>
      <c r="AQ323" s="149">
        <f>AJ323*-Valores!$C$70</f>
        <v>0</v>
      </c>
      <c r="AR323" s="142">
        <f>AJ323*Valores!$C$71</f>
        <v>-177.14744999999999</v>
      </c>
      <c r="AS323" s="147">
        <v>0</v>
      </c>
      <c r="AT323" s="147">
        <v>0</v>
      </c>
      <c r="AU323" s="146">
        <f t="shared" si="58"/>
        <v>3553.9354499999999</v>
      </c>
      <c r="AV323" s="199">
        <f t="shared" si="54"/>
        <v>-433.02710000000002</v>
      </c>
      <c r="AW323" s="142">
        <f>AJ323*Valores!$C$72</f>
        <v>-106.28847</v>
      </c>
      <c r="AX323" s="142">
        <f>AJ323*Valores!$C$73</f>
        <v>-11.80983</v>
      </c>
      <c r="AY323" s="146">
        <f t="shared" si="59"/>
        <v>3612.9845999999998</v>
      </c>
      <c r="AZ323" s="150"/>
      <c r="BA323" s="150"/>
      <c r="BB323" s="135" t="s">
        <v>4</v>
      </c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  <c r="AMF323" s="114"/>
      <c r="AMG323" s="114"/>
      <c r="AMH323" s="114"/>
    </row>
    <row r="324" spans="1:1022" s="185" customFormat="1" ht="11.25" customHeight="1" x14ac:dyDescent="0.15">
      <c r="A324" s="134">
        <v>322</v>
      </c>
      <c r="B324" s="134"/>
      <c r="C324" s="187" t="s">
        <v>500</v>
      </c>
      <c r="D324" s="184">
        <v>1</v>
      </c>
      <c r="E324" s="184">
        <f t="shared" si="51"/>
        <v>40</v>
      </c>
      <c r="F324" s="168" t="s">
        <v>522</v>
      </c>
      <c r="G324" s="167">
        <v>245</v>
      </c>
      <c r="H324" s="138">
        <f>INT((G324*Valores!$C$2*100)+0.5)/100</f>
        <v>3044.54</v>
      </c>
      <c r="I324" s="156">
        <v>0</v>
      </c>
      <c r="J324" s="140">
        <f>INT((I324*Valores!$C$2*100)+0.5)/100</f>
        <v>0</v>
      </c>
      <c r="K324" s="155">
        <v>0</v>
      </c>
      <c r="L324" s="140">
        <f>INT((K324*Valores!$C$2*100)+0.5)/100</f>
        <v>0</v>
      </c>
      <c r="M324" s="153">
        <v>0</v>
      </c>
      <c r="N324" s="140">
        <f>INT((M324*Valores!$C$2*100)+0.5)/100</f>
        <v>0</v>
      </c>
      <c r="O324" s="140">
        <f t="shared" si="52"/>
        <v>0</v>
      </c>
      <c r="P324" s="140">
        <f t="shared" si="53"/>
        <v>0</v>
      </c>
      <c r="Q324" s="154">
        <v>0</v>
      </c>
      <c r="R324" s="154">
        <v>0</v>
      </c>
      <c r="S324" s="140">
        <v>0</v>
      </c>
      <c r="T324" s="143">
        <f>IF($H$5="NO",Valores!$C$48,Valores!$C$48/2)</f>
        <v>206.67</v>
      </c>
      <c r="U324" s="154">
        <v>0</v>
      </c>
      <c r="V324" s="140">
        <f t="shared" si="62"/>
        <v>0</v>
      </c>
      <c r="W324" s="140">
        <v>0</v>
      </c>
      <c r="X324" s="140">
        <v>0</v>
      </c>
      <c r="Y324" s="160">
        <v>0</v>
      </c>
      <c r="Z324" s="140">
        <v>0</v>
      </c>
      <c r="AA324" s="140">
        <v>0</v>
      </c>
      <c r="AB324" s="143">
        <f>Valores!$C$94</f>
        <v>222</v>
      </c>
      <c r="AC324" s="145">
        <v>0</v>
      </c>
      <c r="AD324" s="140">
        <f t="shared" si="55"/>
        <v>0</v>
      </c>
      <c r="AE324" s="140">
        <v>0</v>
      </c>
      <c r="AF324" s="144">
        <v>0</v>
      </c>
      <c r="AG324" s="140">
        <f>INT(((AF324*Valores!$C$2)*100)+0.5)/100</f>
        <v>0</v>
      </c>
      <c r="AH324" s="140">
        <f>Valores!$C$61</f>
        <v>70.459999999999994</v>
      </c>
      <c r="AI324" s="140">
        <f>Valores!$C$63</f>
        <v>20.14</v>
      </c>
      <c r="AJ324" s="146">
        <f t="shared" si="56"/>
        <v>3563.81</v>
      </c>
      <c r="AK324" s="166"/>
      <c r="AL324" s="143">
        <f>Valores!$C$89</f>
        <v>227.49999999999997</v>
      </c>
      <c r="AM324" s="143"/>
      <c r="AN324" s="145">
        <v>0</v>
      </c>
      <c r="AO324" s="147">
        <f t="shared" si="57"/>
        <v>227.49999999999997</v>
      </c>
      <c r="AP324" s="148">
        <f>AJ324*Valores!$C$69</f>
        <v>-392.01909999999998</v>
      </c>
      <c r="AQ324" s="149">
        <f>AJ324*-Valores!$C$70</f>
        <v>0</v>
      </c>
      <c r="AR324" s="142">
        <f>AJ324*Valores!$C$71</f>
        <v>-160.37144999999998</v>
      </c>
      <c r="AS324" s="147">
        <v>0</v>
      </c>
      <c r="AT324" s="147">
        <v>0</v>
      </c>
      <c r="AU324" s="146">
        <f t="shared" si="58"/>
        <v>3238.9194499999999</v>
      </c>
      <c r="AV324" s="199">
        <f t="shared" si="54"/>
        <v>-392.01909999999998</v>
      </c>
      <c r="AW324" s="142">
        <f>AJ324*Valores!$C$72</f>
        <v>-96.22287</v>
      </c>
      <c r="AX324" s="142">
        <f>AJ324*Valores!$C$73</f>
        <v>-10.69143</v>
      </c>
      <c r="AY324" s="146">
        <f t="shared" si="59"/>
        <v>3292.3766000000001</v>
      </c>
      <c r="AZ324" s="150"/>
      <c r="BA324" s="150"/>
      <c r="BB324" s="135" t="s">
        <v>4</v>
      </c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  <c r="AMF324" s="114"/>
      <c r="AMG324" s="114"/>
      <c r="AMH324" s="114"/>
    </row>
    <row r="325" spans="1:1022" s="185" customFormat="1" ht="11.25" customHeight="1" x14ac:dyDescent="0.15">
      <c r="A325" s="134">
        <v>323</v>
      </c>
      <c r="B325" s="134"/>
      <c r="C325" s="187" t="s">
        <v>500</v>
      </c>
      <c r="D325" s="184">
        <v>1</v>
      </c>
      <c r="E325" s="184">
        <f t="shared" si="51"/>
        <v>40</v>
      </c>
      <c r="F325" s="168" t="s">
        <v>523</v>
      </c>
      <c r="G325" s="167">
        <v>238</v>
      </c>
      <c r="H325" s="138">
        <f>INT((G325*Valores!$C$2*100)+0.5)/100</f>
        <v>2957.55</v>
      </c>
      <c r="I325" s="156">
        <v>0</v>
      </c>
      <c r="J325" s="140">
        <f>INT((I325*Valores!$C$2*100)+0.5)/100</f>
        <v>0</v>
      </c>
      <c r="K325" s="155">
        <v>0</v>
      </c>
      <c r="L325" s="140">
        <f>INT((K325*Valores!$C$2*100)+0.5)/100</f>
        <v>0</v>
      </c>
      <c r="M325" s="153">
        <v>0</v>
      </c>
      <c r="N325" s="140">
        <f>INT((M325*Valores!$C$2*100)+0.5)/100</f>
        <v>0</v>
      </c>
      <c r="O325" s="140">
        <f t="shared" si="52"/>
        <v>0</v>
      </c>
      <c r="P325" s="140">
        <f t="shared" si="53"/>
        <v>0</v>
      </c>
      <c r="Q325" s="154">
        <v>0</v>
      </c>
      <c r="R325" s="154">
        <v>0</v>
      </c>
      <c r="S325" s="140">
        <v>0</v>
      </c>
      <c r="T325" s="143">
        <f>IF($H$5="NO",Valores!$C$48,Valores!$C$48/2)</f>
        <v>206.67</v>
      </c>
      <c r="U325" s="154">
        <v>0</v>
      </c>
      <c r="V325" s="140">
        <f t="shared" si="62"/>
        <v>0</v>
      </c>
      <c r="W325" s="140">
        <v>0</v>
      </c>
      <c r="X325" s="140">
        <v>0</v>
      </c>
      <c r="Y325" s="160">
        <v>0</v>
      </c>
      <c r="Z325" s="140">
        <v>0</v>
      </c>
      <c r="AA325" s="140">
        <v>0</v>
      </c>
      <c r="AB325" s="143">
        <f>Valores!$C$94</f>
        <v>222</v>
      </c>
      <c r="AC325" s="145">
        <v>0</v>
      </c>
      <c r="AD325" s="140">
        <f t="shared" si="55"/>
        <v>0</v>
      </c>
      <c r="AE325" s="140">
        <v>0</v>
      </c>
      <c r="AF325" s="144">
        <v>0</v>
      </c>
      <c r="AG325" s="140">
        <f>INT(((AF325*Valores!$C$2)*100)+0.5)/100</f>
        <v>0</v>
      </c>
      <c r="AH325" s="140">
        <f>Valores!$C$61</f>
        <v>70.459999999999994</v>
      </c>
      <c r="AI325" s="140">
        <f>Valores!$C$63</f>
        <v>20.14</v>
      </c>
      <c r="AJ325" s="146">
        <f t="shared" si="56"/>
        <v>3476.82</v>
      </c>
      <c r="AK325" s="166"/>
      <c r="AL325" s="143">
        <f>Valores!$C$89</f>
        <v>227.49999999999997</v>
      </c>
      <c r="AM325" s="143"/>
      <c r="AN325" s="145">
        <v>0</v>
      </c>
      <c r="AO325" s="147">
        <f t="shared" si="57"/>
        <v>227.49999999999997</v>
      </c>
      <c r="AP325" s="148">
        <f>AJ325*Valores!$C$69</f>
        <v>-382.4502</v>
      </c>
      <c r="AQ325" s="149">
        <f>AJ325*-Valores!$C$70</f>
        <v>0</v>
      </c>
      <c r="AR325" s="142">
        <f>AJ325*Valores!$C$71</f>
        <v>-156.45689999999999</v>
      </c>
      <c r="AS325" s="147">
        <v>0</v>
      </c>
      <c r="AT325" s="147">
        <v>0</v>
      </c>
      <c r="AU325" s="146">
        <f t="shared" si="58"/>
        <v>3165.4129000000003</v>
      </c>
      <c r="AV325" s="199">
        <f t="shared" si="54"/>
        <v>-382.4502</v>
      </c>
      <c r="AW325" s="142">
        <f>AJ325*Valores!$C$72</f>
        <v>-93.874139999999997</v>
      </c>
      <c r="AX325" s="142">
        <f>AJ325*Valores!$C$73</f>
        <v>-10.43046</v>
      </c>
      <c r="AY325" s="146">
        <f t="shared" si="59"/>
        <v>3217.5652</v>
      </c>
      <c r="AZ325" s="150"/>
      <c r="BA325" s="150"/>
      <c r="BB325" s="135" t="s">
        <v>4</v>
      </c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  <c r="AMF325" s="114"/>
      <c r="AMG325" s="114"/>
      <c r="AMH325" s="114"/>
    </row>
    <row r="326" spans="1:1022" s="185" customFormat="1" ht="11.25" customHeight="1" x14ac:dyDescent="0.15">
      <c r="A326" s="134">
        <v>324</v>
      </c>
      <c r="B326" s="134"/>
      <c r="C326" s="187" t="s">
        <v>500</v>
      </c>
      <c r="D326" s="184">
        <v>1</v>
      </c>
      <c r="E326" s="184">
        <f t="shared" si="51"/>
        <v>40</v>
      </c>
      <c r="F326" s="168" t="s">
        <v>524</v>
      </c>
      <c r="G326" s="167">
        <v>245</v>
      </c>
      <c r="H326" s="138">
        <f>INT((G326*Valores!$C$2*100)+0.5)/100</f>
        <v>3044.54</v>
      </c>
      <c r="I326" s="156">
        <v>0</v>
      </c>
      <c r="J326" s="140">
        <f>INT((I326*Valores!$C$2*100)+0.5)/100</f>
        <v>0</v>
      </c>
      <c r="K326" s="155">
        <v>0</v>
      </c>
      <c r="L326" s="140">
        <f>INT((K326*Valores!$C$2*100)+0.5)/100</f>
        <v>0</v>
      </c>
      <c r="M326" s="153">
        <v>0</v>
      </c>
      <c r="N326" s="140">
        <f>INT((M326*Valores!$C$2*100)+0.5)/100</f>
        <v>0</v>
      </c>
      <c r="O326" s="140">
        <f t="shared" si="52"/>
        <v>0</v>
      </c>
      <c r="P326" s="140">
        <f t="shared" si="53"/>
        <v>0</v>
      </c>
      <c r="Q326" s="154">
        <v>0</v>
      </c>
      <c r="R326" s="154">
        <v>0</v>
      </c>
      <c r="S326" s="140">
        <v>0</v>
      </c>
      <c r="T326" s="143">
        <f>IF($H$5="NO",Valores!$C$48,Valores!$C$48/2)</f>
        <v>206.67</v>
      </c>
      <c r="U326" s="143">
        <v>0</v>
      </c>
      <c r="V326" s="140">
        <f t="shared" si="62"/>
        <v>0</v>
      </c>
      <c r="W326" s="140">
        <v>0</v>
      </c>
      <c r="X326" s="140">
        <v>0</v>
      </c>
      <c r="Y326" s="160">
        <v>0</v>
      </c>
      <c r="Z326" s="140">
        <v>0</v>
      </c>
      <c r="AA326" s="140">
        <v>0</v>
      </c>
      <c r="AB326" s="143">
        <f>Valores!$C$94</f>
        <v>222</v>
      </c>
      <c r="AC326" s="145">
        <v>0</v>
      </c>
      <c r="AD326" s="140">
        <f t="shared" si="55"/>
        <v>0</v>
      </c>
      <c r="AE326" s="140">
        <v>0</v>
      </c>
      <c r="AF326" s="144">
        <v>0</v>
      </c>
      <c r="AG326" s="140">
        <f>INT(((AF326*Valores!$C$2)*100)+0.5)/100</f>
        <v>0</v>
      </c>
      <c r="AH326" s="140">
        <f>Valores!$C$61</f>
        <v>70.459999999999994</v>
      </c>
      <c r="AI326" s="140">
        <f>Valores!$C$63</f>
        <v>20.14</v>
      </c>
      <c r="AJ326" s="146">
        <f t="shared" si="56"/>
        <v>3563.81</v>
      </c>
      <c r="AK326" s="166"/>
      <c r="AL326" s="143">
        <f>Valores!$C$89</f>
        <v>227.49999999999997</v>
      </c>
      <c r="AM326" s="143"/>
      <c r="AN326" s="145">
        <v>0</v>
      </c>
      <c r="AO326" s="147">
        <f t="shared" si="57"/>
        <v>227.49999999999997</v>
      </c>
      <c r="AP326" s="148">
        <f>AJ326*Valores!$C$69</f>
        <v>-392.01909999999998</v>
      </c>
      <c r="AQ326" s="149">
        <f>AJ326*-Valores!$C$70</f>
        <v>0</v>
      </c>
      <c r="AR326" s="142">
        <f>AJ326*Valores!$C$71</f>
        <v>-160.37144999999998</v>
      </c>
      <c r="AS326" s="147">
        <v>0</v>
      </c>
      <c r="AT326" s="147">
        <v>0</v>
      </c>
      <c r="AU326" s="146">
        <f t="shared" si="58"/>
        <v>3238.9194499999999</v>
      </c>
      <c r="AV326" s="199">
        <f t="shared" si="54"/>
        <v>-392.01909999999998</v>
      </c>
      <c r="AW326" s="142">
        <f>AJ326*Valores!$C$72</f>
        <v>-96.22287</v>
      </c>
      <c r="AX326" s="142">
        <f>AJ326*Valores!$C$73</f>
        <v>-10.69143</v>
      </c>
      <c r="AY326" s="146">
        <f t="shared" si="59"/>
        <v>3292.3766000000001</v>
      </c>
      <c r="AZ326" s="150"/>
      <c r="BA326" s="150"/>
      <c r="BB326" s="135" t="s">
        <v>4</v>
      </c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  <c r="AMF326" s="114"/>
      <c r="AMG326" s="114"/>
      <c r="AMH326" s="114"/>
    </row>
    <row r="327" spans="1:1022" s="185" customFormat="1" ht="11.25" customHeight="1" x14ac:dyDescent="0.15">
      <c r="A327" s="152">
        <v>325</v>
      </c>
      <c r="B327" s="152" t="s">
        <v>139</v>
      </c>
      <c r="C327" s="186" t="s">
        <v>500</v>
      </c>
      <c r="D327" s="184">
        <v>1</v>
      </c>
      <c r="E327" s="184">
        <f t="shared" si="51"/>
        <v>43</v>
      </c>
      <c r="F327" s="168" t="s">
        <v>525</v>
      </c>
      <c r="G327" s="167">
        <v>243</v>
      </c>
      <c r="H327" s="138">
        <f>INT((G327*Valores!$C$2*100)+0.5)/100</f>
        <v>3019.69</v>
      </c>
      <c r="I327" s="156">
        <v>0</v>
      </c>
      <c r="J327" s="140">
        <f>INT((I327*Valores!$C$2*100)+0.5)/100</f>
        <v>0</v>
      </c>
      <c r="K327" s="155">
        <v>0</v>
      </c>
      <c r="L327" s="140">
        <f>INT((K327*Valores!$C$2*100)+0.5)/100</f>
        <v>0</v>
      </c>
      <c r="M327" s="153">
        <v>0</v>
      </c>
      <c r="N327" s="140">
        <f>INT((M327*Valores!$C$2*100)+0.5)/100</f>
        <v>0</v>
      </c>
      <c r="O327" s="140">
        <f t="shared" si="52"/>
        <v>0</v>
      </c>
      <c r="P327" s="140">
        <f t="shared" si="53"/>
        <v>0</v>
      </c>
      <c r="Q327" s="154">
        <v>0</v>
      </c>
      <c r="R327" s="154">
        <v>0</v>
      </c>
      <c r="S327" s="140">
        <v>0</v>
      </c>
      <c r="T327" s="143">
        <f>IF($H$5="NO",Valores!$C$48,Valores!$C$48/2)</f>
        <v>206.67</v>
      </c>
      <c r="U327" s="154">
        <v>0</v>
      </c>
      <c r="V327" s="140">
        <f t="shared" si="62"/>
        <v>0</v>
      </c>
      <c r="W327" s="140">
        <v>0</v>
      </c>
      <c r="X327" s="140">
        <v>0</v>
      </c>
      <c r="Y327" s="160">
        <v>0</v>
      </c>
      <c r="Z327" s="140">
        <v>0</v>
      </c>
      <c r="AA327" s="140">
        <v>0</v>
      </c>
      <c r="AB327" s="143">
        <f>Valores!$C$94</f>
        <v>222</v>
      </c>
      <c r="AC327" s="145">
        <v>0</v>
      </c>
      <c r="AD327" s="140">
        <f t="shared" si="55"/>
        <v>0</v>
      </c>
      <c r="AE327" s="140">
        <v>0</v>
      </c>
      <c r="AF327" s="144">
        <v>0</v>
      </c>
      <c r="AG327" s="140">
        <f>INT(((AF327*Valores!$C$2)*100)+0.5)/100</f>
        <v>0</v>
      </c>
      <c r="AH327" s="140">
        <f>Valores!$C$61</f>
        <v>70.459999999999994</v>
      </c>
      <c r="AI327" s="140">
        <f>Valores!$C$63</f>
        <v>20.14</v>
      </c>
      <c r="AJ327" s="146">
        <f t="shared" si="56"/>
        <v>3538.96</v>
      </c>
      <c r="AK327" s="166"/>
      <c r="AL327" s="143">
        <f>Valores!$C$89</f>
        <v>227.49999999999997</v>
      </c>
      <c r="AM327" s="143"/>
      <c r="AN327" s="145">
        <v>0</v>
      </c>
      <c r="AO327" s="147">
        <f t="shared" si="57"/>
        <v>227.49999999999997</v>
      </c>
      <c r="AP327" s="148">
        <f>AJ327*Valores!$C$69</f>
        <v>-389.28559999999999</v>
      </c>
      <c r="AQ327" s="149">
        <f>AJ327*-Valores!$C$70</f>
        <v>0</v>
      </c>
      <c r="AR327" s="142">
        <f>AJ327*Valores!$C$71</f>
        <v>-159.25319999999999</v>
      </c>
      <c r="AS327" s="147">
        <v>0</v>
      </c>
      <c r="AT327" s="147">
        <v>0</v>
      </c>
      <c r="AU327" s="146">
        <f t="shared" si="58"/>
        <v>3217.9211999999998</v>
      </c>
      <c r="AV327" s="199">
        <f t="shared" si="54"/>
        <v>-389.28559999999999</v>
      </c>
      <c r="AW327" s="142">
        <f>AJ327*Valores!$C$72</f>
        <v>-95.551919999999996</v>
      </c>
      <c r="AX327" s="142">
        <f>AJ327*Valores!$C$73</f>
        <v>-10.61688</v>
      </c>
      <c r="AY327" s="146">
        <f t="shared" si="59"/>
        <v>3271.0056</v>
      </c>
      <c r="AZ327" s="150"/>
      <c r="BA327" s="150"/>
      <c r="BB327" s="135" t="s">
        <v>4</v>
      </c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  <c r="AMF327" s="114"/>
      <c r="AMG327" s="114"/>
      <c r="AMH327" s="114"/>
    </row>
    <row r="328" spans="1:1022" s="185" customFormat="1" ht="11.25" customHeight="1" x14ac:dyDescent="0.15">
      <c r="A328" s="134">
        <v>326</v>
      </c>
      <c r="B328" s="134"/>
      <c r="C328" s="186" t="s">
        <v>500</v>
      </c>
      <c r="D328" s="135"/>
      <c r="E328" s="184">
        <f>LEN(F328)</f>
        <v>46</v>
      </c>
      <c r="F328" s="168" t="s">
        <v>526</v>
      </c>
      <c r="G328" s="167">
        <v>235</v>
      </c>
      <c r="H328" s="138">
        <f>INT((G328*Valores!$C$2*100)+0.5)/100</f>
        <v>2920.27</v>
      </c>
      <c r="I328" s="156">
        <v>0</v>
      </c>
      <c r="J328" s="140">
        <f>INT((I328*Valores!$C$2*100)+0.5)/100</f>
        <v>0</v>
      </c>
      <c r="K328" s="155">
        <v>0</v>
      </c>
      <c r="L328" s="140">
        <f>INT((K328*Valores!$C$2*100)+0.5)/100</f>
        <v>0</v>
      </c>
      <c r="M328" s="153">
        <v>0</v>
      </c>
      <c r="N328" s="140">
        <f>INT((M328*Valores!$C$2*100)+0.5)/100</f>
        <v>0</v>
      </c>
      <c r="O328" s="140">
        <f>IF($J$2=0,IF(C328&lt;&gt;"13-930",(SUM(H328,J328,L328,N328,Z328,U328,T328)*$O$2),0),0)</f>
        <v>0</v>
      </c>
      <c r="P328" s="140">
        <f t="shared" si="53"/>
        <v>0</v>
      </c>
      <c r="Q328" s="154">
        <v>0</v>
      </c>
      <c r="R328" s="154">
        <v>0</v>
      </c>
      <c r="S328" s="140">
        <v>0</v>
      </c>
      <c r="T328" s="143">
        <f>IF($H$5="NO",Valores!$C$48,Valores!$C$48/2)</f>
        <v>206.67</v>
      </c>
      <c r="U328" s="154">
        <v>0</v>
      </c>
      <c r="V328" s="140">
        <f t="shared" si="62"/>
        <v>0</v>
      </c>
      <c r="W328" s="140">
        <v>0</v>
      </c>
      <c r="X328" s="140">
        <v>0</v>
      </c>
      <c r="Y328" s="160">
        <v>0</v>
      </c>
      <c r="Z328" s="140">
        <v>0</v>
      </c>
      <c r="AA328" s="140">
        <v>0</v>
      </c>
      <c r="AB328" s="143">
        <f>Valores!$C$94</f>
        <v>222</v>
      </c>
      <c r="AC328" s="145">
        <v>0</v>
      </c>
      <c r="AD328" s="140">
        <f t="shared" si="55"/>
        <v>0</v>
      </c>
      <c r="AE328" s="140">
        <v>0</v>
      </c>
      <c r="AF328" s="144">
        <v>0</v>
      </c>
      <c r="AG328" s="140">
        <f>INT(((AF328*Valores!$C$2)*100)+0.5)/100</f>
        <v>0</v>
      </c>
      <c r="AH328" s="140">
        <f>Valores!$C$61</f>
        <v>70.459999999999994</v>
      </c>
      <c r="AI328" s="140">
        <f>Valores!$C$63</f>
        <v>20.14</v>
      </c>
      <c r="AJ328" s="146">
        <f t="shared" si="56"/>
        <v>3439.54</v>
      </c>
      <c r="AK328" s="166"/>
      <c r="AL328" s="143">
        <f>Valores!$C$89</f>
        <v>227.49999999999997</v>
      </c>
      <c r="AM328" s="143"/>
      <c r="AN328" s="145">
        <v>0</v>
      </c>
      <c r="AO328" s="147">
        <f t="shared" si="57"/>
        <v>227.49999999999997</v>
      </c>
      <c r="AP328" s="148">
        <f>AJ328*Valores!$C$69</f>
        <v>-378.3494</v>
      </c>
      <c r="AQ328" s="149">
        <f>AJ328*-Valores!$C$70</f>
        <v>0</v>
      </c>
      <c r="AR328" s="142">
        <f>AJ328*Valores!$C$71</f>
        <v>-154.77930000000001</v>
      </c>
      <c r="AS328" s="147">
        <v>0</v>
      </c>
      <c r="AT328" s="147">
        <v>0</v>
      </c>
      <c r="AU328" s="146">
        <f t="shared" si="58"/>
        <v>3133.9112999999998</v>
      </c>
      <c r="AV328" s="199">
        <f t="shared" ref="AV328" si="64">AP328</f>
        <v>-378.3494</v>
      </c>
      <c r="AW328" s="142">
        <f>AJ328*Valores!$C$72</f>
        <v>-92.867580000000004</v>
      </c>
      <c r="AX328" s="142">
        <f>AJ328*Valores!$C$73</f>
        <v>-10.318619999999999</v>
      </c>
      <c r="AY328" s="146">
        <f t="shared" si="59"/>
        <v>3185.5043999999998</v>
      </c>
      <c r="AZ328" s="150"/>
      <c r="BA328" s="150"/>
      <c r="BB328" s="135" t="s">
        <v>4</v>
      </c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  <c r="AMF328" s="114"/>
      <c r="AMG328" s="114"/>
      <c r="AMH328" s="114"/>
    </row>
    <row r="330" spans="1:1022" ht="11.25" customHeight="1" x14ac:dyDescent="0.2">
      <c r="J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70">
        <f>Y49-Y56</f>
        <v>0</v>
      </c>
      <c r="Z330" s="169"/>
      <c r="AA330" s="169"/>
      <c r="AB330" s="169"/>
      <c r="AC330" s="169"/>
      <c r="AD330" s="169"/>
      <c r="AE330" s="169"/>
      <c r="AH330" s="169"/>
      <c r="AI330" s="169"/>
      <c r="AJ330" s="171"/>
      <c r="AK330" s="172"/>
    </row>
    <row r="334" spans="1:1022" x14ac:dyDescent="0.2">
      <c r="T334" s="219"/>
    </row>
  </sheetData>
  <autoFilter ref="A8:BB328"/>
  <mergeCells count="16">
    <mergeCell ref="AF7:AG7"/>
    <mergeCell ref="AM7:AM8"/>
    <mergeCell ref="C6:F6"/>
    <mergeCell ref="Q3:X3"/>
    <mergeCell ref="C5:F5"/>
    <mergeCell ref="G7:H7"/>
    <mergeCell ref="I7:J7"/>
    <mergeCell ref="K7:L7"/>
    <mergeCell ref="M7:N7"/>
    <mergeCell ref="Y7:Z7"/>
    <mergeCell ref="AP6:AU6"/>
    <mergeCell ref="AV6:AY6"/>
    <mergeCell ref="C1:AN1"/>
    <mergeCell ref="AN2:AN3"/>
    <mergeCell ref="I3:J3"/>
    <mergeCell ref="K3:L3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1" t="str">
        <f ca="1">MID(CELL("FILENAME",L41),FIND("[",CELL("FILENAME",L41))+1,FIND("]",CELL("FILENAME",L41))-FIND("[",CELL("FILENAME",L41))-1)</f>
        <v>09-ESCALADOCENTE SEPTIEMBRE 2021.xlsx</v>
      </c>
      <c r="B1" s="241"/>
      <c r="C1" s="241"/>
      <c r="D1" s="241"/>
      <c r="E1" s="241"/>
      <c r="F1" s="241"/>
      <c r="G1" s="241"/>
      <c r="H1" s="241"/>
      <c r="I1" s="241"/>
      <c r="J1" s="24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2" t="s">
        <v>67</v>
      </c>
      <c r="B2" s="242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3" t="s">
        <v>527</v>
      </c>
      <c r="R3" s="243"/>
      <c r="S3" s="243"/>
      <c r="T3" s="244" t="s">
        <v>528</v>
      </c>
      <c r="U3" s="244"/>
      <c r="V3" s="244"/>
      <c r="W3" s="244"/>
      <c r="Y3" s="17"/>
    </row>
    <row r="4" spans="1:33" ht="19.5" x14ac:dyDescent="0.2">
      <c r="A4" s="13"/>
      <c r="B4" s="13"/>
      <c r="C4" s="29" t="s">
        <v>529</v>
      </c>
      <c r="D4" s="30" t="s">
        <v>75</v>
      </c>
      <c r="E4" s="30" t="s">
        <v>530</v>
      </c>
      <c r="F4" s="30" t="s">
        <v>531</v>
      </c>
      <c r="G4" s="31" t="s">
        <v>76</v>
      </c>
      <c r="H4" s="32" t="s">
        <v>77</v>
      </c>
      <c r="I4" s="33" t="s">
        <v>532</v>
      </c>
      <c r="J4" s="34" t="s">
        <v>533</v>
      </c>
      <c r="K4" s="35" t="s">
        <v>532</v>
      </c>
      <c r="Q4" s="36" t="s">
        <v>534</v>
      </c>
      <c r="R4" s="37" t="s">
        <v>535</v>
      </c>
      <c r="S4" s="37" t="s">
        <v>536</v>
      </c>
      <c r="T4" s="38" t="s">
        <v>537</v>
      </c>
      <c r="U4" s="39" t="s">
        <v>538</v>
      </c>
      <c r="V4" s="39" t="s">
        <v>539</v>
      </c>
      <c r="W4" s="39" t="s">
        <v>536</v>
      </c>
      <c r="X4" s="40" t="s">
        <v>540</v>
      </c>
      <c r="Y4" s="40" t="s">
        <v>541</v>
      </c>
    </row>
    <row r="5" spans="1:33" x14ac:dyDescent="0.2">
      <c r="A5" s="14" t="s">
        <v>96</v>
      </c>
      <c r="B5" s="15" t="s">
        <v>97</v>
      </c>
      <c r="C5" s="41" t="s">
        <v>99</v>
      </c>
      <c r="D5" s="42" t="s">
        <v>106</v>
      </c>
      <c r="E5" s="42" t="s">
        <v>542</v>
      </c>
      <c r="F5" s="43"/>
      <c r="G5" s="43" t="s">
        <v>107</v>
      </c>
      <c r="H5" s="43" t="s">
        <v>108</v>
      </c>
      <c r="I5" s="44" t="s">
        <v>543</v>
      </c>
      <c r="J5" s="45" t="s">
        <v>544</v>
      </c>
      <c r="K5" s="44" t="s">
        <v>545</v>
      </c>
      <c r="L5" s="46" t="s">
        <v>546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547</v>
      </c>
      <c r="B6" s="16" t="s">
        <v>548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549</v>
      </c>
      <c r="B7" s="16" t="s">
        <v>550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529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551</v>
      </c>
      <c r="B8" s="16" t="s">
        <v>552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553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554</v>
      </c>
      <c r="B9" s="56" t="s">
        <v>555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556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557</v>
      </c>
      <c r="B10" s="56" t="s">
        <v>558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559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560</v>
      </c>
      <c r="B11" s="16" t="s">
        <v>561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562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563</v>
      </c>
      <c r="B12" s="16" t="s">
        <v>564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565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566</v>
      </c>
      <c r="B13" s="16" t="s">
        <v>567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568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569</v>
      </c>
      <c r="B14" s="16" t="s">
        <v>570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571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572</v>
      </c>
      <c r="B15" s="16" t="s">
        <v>573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574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575</v>
      </c>
      <c r="B16" s="16" t="s">
        <v>576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577</v>
      </c>
      <c r="B17" s="16" t="s">
        <v>578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579</v>
      </c>
      <c r="B18" s="16" t="s">
        <v>580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581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582</v>
      </c>
      <c r="B19" s="16" t="s">
        <v>583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584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585</v>
      </c>
      <c r="B20" s="16" t="s">
        <v>586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87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587</v>
      </c>
      <c r="B21" s="16" t="s">
        <v>588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587</v>
      </c>
      <c r="B22" s="16" t="s">
        <v>589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587</v>
      </c>
      <c r="B23" s="16" t="s">
        <v>590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587</v>
      </c>
      <c r="B24" s="16" t="s">
        <v>591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587</v>
      </c>
      <c r="B25" s="16" t="s">
        <v>592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587</v>
      </c>
      <c r="B26" s="16" t="s">
        <v>593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587</v>
      </c>
      <c r="B27" s="16" t="s">
        <v>594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587</v>
      </c>
      <c r="B28" s="16" t="s">
        <v>595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587</v>
      </c>
      <c r="B29" s="16" t="s">
        <v>596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587</v>
      </c>
      <c r="B30" s="16" t="s">
        <v>597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587</v>
      </c>
      <c r="B31" s="16" t="s">
        <v>598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587</v>
      </c>
      <c r="B32" s="16" t="s">
        <v>599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600</v>
      </c>
      <c r="Y34" s="17"/>
    </row>
    <row r="35" spans="1:25" ht="12.75" customHeight="1" x14ac:dyDescent="0.2">
      <c r="A35" s="53" t="s">
        <v>601</v>
      </c>
      <c r="B35" s="16" t="s">
        <v>602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603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604</v>
      </c>
      <c r="B36" s="16" t="s">
        <v>605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606</v>
      </c>
      <c r="M36" s="16" t="s">
        <v>607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608</v>
      </c>
      <c r="B37" s="16" t="s">
        <v>609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610</v>
      </c>
      <c r="M37" s="16" t="s">
        <v>611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612</v>
      </c>
      <c r="B38" s="16" t="s">
        <v>613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614</v>
      </c>
      <c r="B39" s="16" t="s">
        <v>615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603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616</v>
      </c>
      <c r="B40" s="16" t="s">
        <v>617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603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618</v>
      </c>
      <c r="B41" s="16" t="s">
        <v>619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603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620</v>
      </c>
      <c r="B42" s="16" t="s">
        <v>621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603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622</v>
      </c>
      <c r="B43" s="16" t="s">
        <v>623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624</v>
      </c>
      <c r="B44" s="16" t="s">
        <v>625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606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626</v>
      </c>
      <c r="B45" s="16" t="s">
        <v>627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606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628</v>
      </c>
      <c r="B46" s="16" t="s">
        <v>629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606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630</v>
      </c>
      <c r="B47" s="16" t="s">
        <v>631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606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2021-09-27T13:24:45Z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