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43659608\Desktop\Escalas\"/>
    </mc:Choice>
  </mc:AlternateContent>
  <bookViews>
    <workbookView xWindow="-120" yWindow="-120" windowWidth="20736" windowHeight="11160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Docente'!$A$8:$BB$328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Docente'!$C$1:$AO$328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C90" i="1" l="1"/>
  <c r="I60" i="1"/>
  <c r="C32" i="1"/>
  <c r="D60" i="1" l="1"/>
  <c r="BA302" i="2" l="1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AN165" i="2" l="1"/>
  <c r="AN164" i="2"/>
  <c r="AN163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6" i="2"/>
  <c r="AN75" i="2"/>
  <c r="AN74" i="2"/>
  <c r="AN73" i="2"/>
  <c r="AN72" i="2"/>
  <c r="AN71" i="2"/>
  <c r="AN70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162" i="2"/>
  <c r="AN161" i="2"/>
  <c r="AN141" i="2"/>
  <c r="AN168" i="2"/>
  <c r="AN167" i="2"/>
  <c r="AN166" i="2"/>
  <c r="AN192" i="2"/>
  <c r="AN191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25" i="2"/>
  <c r="AN124" i="2"/>
  <c r="AN69" i="2"/>
  <c r="AN46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V8" i="2"/>
  <c r="AV7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D62" i="1" l="1"/>
  <c r="AL157" i="2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N7" i="2" l="1"/>
  <c r="AL7" i="2" l="1"/>
  <c r="AB7" i="2"/>
  <c r="T7" i="2"/>
  <c r="G35" i="1"/>
  <c r="BA303" i="2" l="1"/>
  <c r="F38" i="1"/>
  <c r="AK7" i="2" s="1"/>
  <c r="Q129" i="2" l="1"/>
  <c r="F87" i="1" l="1"/>
  <c r="F58" i="1"/>
  <c r="F59" i="1"/>
  <c r="F92" i="1"/>
  <c r="F45" i="1"/>
  <c r="E59" i="1" l="1"/>
  <c r="AN301" i="2"/>
  <c r="AN293" i="2"/>
  <c r="AN285" i="2"/>
  <c r="AN277" i="2"/>
  <c r="AN269" i="2"/>
  <c r="AN261" i="2"/>
  <c r="AN253" i="2"/>
  <c r="AN245" i="2"/>
  <c r="AN237" i="2"/>
  <c r="AN296" i="2"/>
  <c r="AN300" i="2"/>
  <c r="AN292" i="2"/>
  <c r="AN284" i="2"/>
  <c r="AN276" i="2"/>
  <c r="AN268" i="2"/>
  <c r="AN260" i="2"/>
  <c r="AN252" i="2"/>
  <c r="AN244" i="2"/>
  <c r="AN236" i="2"/>
  <c r="AN288" i="2"/>
  <c r="AN248" i="2"/>
  <c r="AN299" i="2"/>
  <c r="AN291" i="2"/>
  <c r="AN283" i="2"/>
  <c r="AN275" i="2"/>
  <c r="AN267" i="2"/>
  <c r="AN259" i="2"/>
  <c r="AN251" i="2"/>
  <c r="AN243" i="2"/>
  <c r="AN235" i="2"/>
  <c r="AN272" i="2"/>
  <c r="AN232" i="2"/>
  <c r="AN298" i="2"/>
  <c r="AN290" i="2"/>
  <c r="AN282" i="2"/>
  <c r="AN274" i="2"/>
  <c r="AN266" i="2"/>
  <c r="AN258" i="2"/>
  <c r="AN250" i="2"/>
  <c r="AN242" i="2"/>
  <c r="AN234" i="2"/>
  <c r="AN297" i="2"/>
  <c r="AN289" i="2"/>
  <c r="AN281" i="2"/>
  <c r="AN273" i="2"/>
  <c r="AN265" i="2"/>
  <c r="AN257" i="2"/>
  <c r="AN249" i="2"/>
  <c r="AN241" i="2"/>
  <c r="AN233" i="2"/>
  <c r="AN256" i="2"/>
  <c r="AN295" i="2"/>
  <c r="AN287" i="2"/>
  <c r="AN279" i="2"/>
  <c r="AN271" i="2"/>
  <c r="AN263" i="2"/>
  <c r="AN255" i="2"/>
  <c r="AN247" i="2"/>
  <c r="AN239" i="2"/>
  <c r="AN231" i="2"/>
  <c r="AN264" i="2"/>
  <c r="AN302" i="2"/>
  <c r="AN294" i="2"/>
  <c r="AN286" i="2"/>
  <c r="AN278" i="2"/>
  <c r="AN270" i="2"/>
  <c r="AN262" i="2"/>
  <c r="AN254" i="2"/>
  <c r="AN246" i="2"/>
  <c r="AN238" i="2"/>
  <c r="AN230" i="2"/>
  <c r="AN280" i="2"/>
  <c r="AN240" i="2"/>
  <c r="AN229" i="2"/>
  <c r="AN221" i="2"/>
  <c r="AN213" i="2"/>
  <c r="AN205" i="2"/>
  <c r="AN197" i="2"/>
  <c r="AN216" i="2"/>
  <c r="AN228" i="2"/>
  <c r="AN220" i="2"/>
  <c r="AN212" i="2"/>
  <c r="AN204" i="2"/>
  <c r="AN196" i="2"/>
  <c r="AN200" i="2"/>
  <c r="AN227" i="2"/>
  <c r="AN219" i="2"/>
  <c r="AN211" i="2"/>
  <c r="AN203" i="2"/>
  <c r="AN195" i="2"/>
  <c r="AN226" i="2"/>
  <c r="AN218" i="2"/>
  <c r="AN210" i="2"/>
  <c r="AN202" i="2"/>
  <c r="AN194" i="2"/>
  <c r="AN225" i="2"/>
  <c r="AN217" i="2"/>
  <c r="AN209" i="2"/>
  <c r="AN201" i="2"/>
  <c r="AN223" i="2"/>
  <c r="AN215" i="2"/>
  <c r="AN207" i="2"/>
  <c r="AN199" i="2"/>
  <c r="AN224" i="2"/>
  <c r="AN222" i="2"/>
  <c r="AN214" i="2"/>
  <c r="AN206" i="2"/>
  <c r="AN198" i="2"/>
  <c r="AN208" i="2"/>
  <c r="Q32" i="2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2" i="1" l="1"/>
  <c r="AI7" i="2" s="1"/>
  <c r="F60" i="1"/>
  <c r="AH246" i="2" l="1"/>
  <c r="AH270" i="2"/>
  <c r="AH294" i="2"/>
  <c r="AH207" i="2"/>
  <c r="AH239" i="2"/>
  <c r="AH263" i="2"/>
  <c r="AH287" i="2"/>
  <c r="AH273" i="2"/>
  <c r="AH202" i="2"/>
  <c r="AH234" i="2"/>
  <c r="AH266" i="2"/>
  <c r="AH298" i="2"/>
  <c r="AH254" i="2"/>
  <c r="AH286" i="2"/>
  <c r="AH199" i="2"/>
  <c r="AH223" i="2"/>
  <c r="AH247" i="2"/>
  <c r="AH279" i="2"/>
  <c r="AH194" i="2"/>
  <c r="AH289" i="2"/>
  <c r="AH210" i="2"/>
  <c r="AH250" i="2"/>
  <c r="AH274" i="2"/>
  <c r="AH262" i="2"/>
  <c r="AH278" i="2"/>
  <c r="AH302" i="2"/>
  <c r="AH215" i="2"/>
  <c r="AH231" i="2"/>
  <c r="AH255" i="2"/>
  <c r="AH271" i="2"/>
  <c r="AH295" i="2"/>
  <c r="AH281" i="2"/>
  <c r="AH218" i="2"/>
  <c r="AH242" i="2"/>
  <c r="AH282" i="2"/>
  <c r="AH201" i="2"/>
  <c r="AH209" i="2"/>
  <c r="AH217" i="2"/>
  <c r="AH225" i="2"/>
  <c r="AH233" i="2"/>
  <c r="AH241" i="2"/>
  <c r="AH249" i="2"/>
  <c r="AH257" i="2"/>
  <c r="AH265" i="2"/>
  <c r="AH297" i="2"/>
  <c r="AH226" i="2"/>
  <c r="AH258" i="2"/>
  <c r="AH290" i="2"/>
  <c r="AH195" i="2"/>
  <c r="AH240" i="2"/>
  <c r="AH301" i="2"/>
  <c r="AH237" i="2"/>
  <c r="AH300" i="2"/>
  <c r="AH236" i="2"/>
  <c r="AH299" i="2"/>
  <c r="AH235" i="2"/>
  <c r="AH280" i="2"/>
  <c r="AH213" i="2"/>
  <c r="AH212" i="2"/>
  <c r="AH211" i="2"/>
  <c r="AH208" i="2"/>
  <c r="AH268" i="2"/>
  <c r="AH203" i="2"/>
  <c r="AH198" i="2"/>
  <c r="AH296" i="2"/>
  <c r="AH232" i="2"/>
  <c r="AH293" i="2"/>
  <c r="AH229" i="2"/>
  <c r="AH292" i="2"/>
  <c r="AH228" i="2"/>
  <c r="AH291" i="2"/>
  <c r="AH227" i="2"/>
  <c r="AH277" i="2"/>
  <c r="AH276" i="2"/>
  <c r="AH275" i="2"/>
  <c r="AH272" i="2"/>
  <c r="AH205" i="2"/>
  <c r="AH267" i="2"/>
  <c r="AH214" i="2"/>
  <c r="AH288" i="2"/>
  <c r="AH224" i="2"/>
  <c r="AH285" i="2"/>
  <c r="AH221" i="2"/>
  <c r="AH284" i="2"/>
  <c r="AH220" i="2"/>
  <c r="AH283" i="2"/>
  <c r="AH219" i="2"/>
  <c r="AH216" i="2"/>
  <c r="AH269" i="2"/>
  <c r="AH204" i="2"/>
  <c r="AH245" i="2"/>
  <c r="AH243" i="2"/>
  <c r="AH264" i="2"/>
  <c r="AH200" i="2"/>
  <c r="AH261" i="2"/>
  <c r="AH197" i="2"/>
  <c r="AH260" i="2"/>
  <c r="AH196" i="2"/>
  <c r="AH259" i="2"/>
  <c r="AH256" i="2"/>
  <c r="AH238" i="2"/>
  <c r="AH253" i="2"/>
  <c r="AH230" i="2"/>
  <c r="AH252" i="2"/>
  <c r="AH222" i="2"/>
  <c r="AH251" i="2"/>
  <c r="AH248" i="2"/>
  <c r="AH206" i="2"/>
  <c r="AH244" i="2"/>
  <c r="AH7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O328" i="2"/>
  <c r="AG328" i="2"/>
  <c r="N328" i="2"/>
  <c r="L328" i="2"/>
  <c r="J328" i="2"/>
  <c r="H328" i="2"/>
  <c r="E328" i="2"/>
  <c r="AO327" i="2"/>
  <c r="AG327" i="2"/>
  <c r="N327" i="2"/>
  <c r="L327" i="2"/>
  <c r="J327" i="2"/>
  <c r="H327" i="2"/>
  <c r="E327" i="2"/>
  <c r="AO326" i="2"/>
  <c r="AG326" i="2"/>
  <c r="N326" i="2"/>
  <c r="L326" i="2"/>
  <c r="J326" i="2"/>
  <c r="H326" i="2"/>
  <c r="E326" i="2"/>
  <c r="AO325" i="2"/>
  <c r="AG325" i="2"/>
  <c r="N325" i="2"/>
  <c r="L325" i="2"/>
  <c r="J325" i="2"/>
  <c r="H325" i="2"/>
  <c r="E325" i="2"/>
  <c r="AO324" i="2"/>
  <c r="AG324" i="2"/>
  <c r="N324" i="2"/>
  <c r="L324" i="2"/>
  <c r="J324" i="2"/>
  <c r="H324" i="2"/>
  <c r="E324" i="2"/>
  <c r="AO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O307" i="2"/>
  <c r="AG307" i="2"/>
  <c r="N307" i="2"/>
  <c r="L307" i="2"/>
  <c r="J307" i="2"/>
  <c r="H307" i="2"/>
  <c r="E307" i="2"/>
  <c r="AO306" i="2"/>
  <c r="AG306" i="2"/>
  <c r="N306" i="2"/>
  <c r="L306" i="2"/>
  <c r="J306" i="2"/>
  <c r="H306" i="2"/>
  <c r="E306" i="2"/>
  <c r="AO305" i="2"/>
  <c r="AG305" i="2"/>
  <c r="N305" i="2"/>
  <c r="L305" i="2"/>
  <c r="J305" i="2"/>
  <c r="H305" i="2"/>
  <c r="E305" i="2"/>
  <c r="AO304" i="2"/>
  <c r="AG304" i="2"/>
  <c r="N304" i="2"/>
  <c r="L304" i="2"/>
  <c r="J304" i="2"/>
  <c r="H304" i="2"/>
  <c r="E304" i="2"/>
  <c r="AG303" i="2"/>
  <c r="N303" i="2"/>
  <c r="L303" i="2"/>
  <c r="J303" i="2"/>
  <c r="E303" i="2"/>
  <c r="AL302" i="2"/>
  <c r="AG302" i="2"/>
  <c r="Z302" i="2"/>
  <c r="U302" i="2"/>
  <c r="Q302" i="2"/>
  <c r="N302" i="2"/>
  <c r="L302" i="2"/>
  <c r="J302" i="2"/>
  <c r="H302" i="2"/>
  <c r="E302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AL248" i="2"/>
  <c r="AG248" i="2"/>
  <c r="Z248" i="2"/>
  <c r="Q248" i="2"/>
  <c r="N248" i="2"/>
  <c r="L248" i="2"/>
  <c r="J248" i="2"/>
  <c r="G248" i="2"/>
  <c r="H248" i="2" s="1"/>
  <c r="F248" i="2"/>
  <c r="E248" i="2" s="1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AL232" i="2"/>
  <c r="AG232" i="2"/>
  <c r="Z232" i="2"/>
  <c r="Q232" i="2"/>
  <c r="N232" i="2"/>
  <c r="L232" i="2"/>
  <c r="J232" i="2"/>
  <c r="G232" i="2"/>
  <c r="H232" i="2" s="1"/>
  <c r="F232" i="2"/>
  <c r="E232" i="2" s="1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4" i="1" s="1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Q3" i="2"/>
  <c r="K3" i="2"/>
  <c r="J2" i="2"/>
  <c r="AL303" i="2"/>
  <c r="E58" i="1"/>
  <c r="D50" i="1"/>
  <c r="C50" i="1" s="1"/>
  <c r="F32" i="1"/>
  <c r="F35" i="1" l="1"/>
  <c r="AE7" i="2"/>
  <c r="R303" i="2"/>
  <c r="R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O9" i="2"/>
  <c r="AO47" i="2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I22" i="3"/>
  <c r="W22" i="3" s="1"/>
  <c r="I31" i="3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R190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Q10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I8" i="3" l="1"/>
  <c r="R237" i="2"/>
  <c r="AJ237" i="2" s="1"/>
  <c r="R236" i="2"/>
  <c r="AJ236" i="2" s="1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O251" i="2"/>
  <c r="AJ324" i="2"/>
  <c r="AJ303" i="2"/>
  <c r="AJ326" i="2"/>
  <c r="AJ304" i="2"/>
  <c r="AJ305" i="2"/>
  <c r="AJ325" i="2"/>
  <c r="AJ327" i="2"/>
  <c r="AJ306" i="2"/>
  <c r="AJ190" i="2"/>
  <c r="AJ328" i="2"/>
  <c r="AJ323" i="2"/>
  <c r="AO242" i="2"/>
  <c r="R28" i="3"/>
  <c r="U22" i="3"/>
  <c r="Y10" i="3"/>
  <c r="S28" i="3"/>
  <c r="Q12" i="3"/>
  <c r="Y12" i="3" s="1"/>
  <c r="V12" i="3"/>
  <c r="V28" i="3"/>
  <c r="U12" i="3"/>
  <c r="AO300" i="2"/>
  <c r="U16" i="3"/>
  <c r="R14" i="2"/>
  <c r="AO206" i="2"/>
  <c r="S22" i="3"/>
  <c r="Y22" i="3" s="1"/>
  <c r="T28" i="3"/>
  <c r="T16" i="3"/>
  <c r="U26" i="3"/>
  <c r="V22" i="3"/>
  <c r="AO302" i="2"/>
  <c r="T22" i="3"/>
  <c r="Y9" i="3"/>
  <c r="S8" i="3"/>
  <c r="Q8" i="3"/>
  <c r="W8" i="3"/>
  <c r="V8" i="3"/>
  <c r="U8" i="3"/>
  <c r="W26" i="3"/>
  <c r="AO220" i="2"/>
  <c r="AO267" i="2"/>
  <c r="AO227" i="2"/>
  <c r="Q19" i="3"/>
  <c r="Q16" i="3"/>
  <c r="S26" i="3"/>
  <c r="V26" i="3"/>
  <c r="AO286" i="2"/>
  <c r="Q26" i="3"/>
  <c r="AO199" i="2"/>
  <c r="X25" i="3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O309" i="2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R59" i="2"/>
  <c r="R98" i="2"/>
  <c r="R141" i="2"/>
  <c r="BB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R253" i="2" l="1"/>
  <c r="AP253" i="2"/>
  <c r="AR110" i="2"/>
  <c r="AP110" i="2"/>
  <c r="AV110" i="2" s="1"/>
  <c r="AR217" i="2"/>
  <c r="AP217" i="2"/>
  <c r="AV217" i="2" s="1"/>
  <c r="AR299" i="2"/>
  <c r="AP299" i="2"/>
  <c r="AV299" i="2" s="1"/>
  <c r="AR327" i="2"/>
  <c r="AP327" i="2"/>
  <c r="AP307" i="2"/>
  <c r="AR307" i="2"/>
  <c r="AR206" i="2"/>
  <c r="AP206" i="2"/>
  <c r="AV206" i="2" s="1"/>
  <c r="AR194" i="2"/>
  <c r="AP194" i="2"/>
  <c r="AV194" i="2" s="1"/>
  <c r="AR242" i="2"/>
  <c r="AP242" i="2"/>
  <c r="AR239" i="2"/>
  <c r="AP239" i="2"/>
  <c r="AV239" i="2" s="1"/>
  <c r="AR256" i="2"/>
  <c r="AP256" i="2"/>
  <c r="AV256" i="2" s="1"/>
  <c r="AR274" i="2"/>
  <c r="AP274" i="2"/>
  <c r="AV274" i="2" s="1"/>
  <c r="AR145" i="2"/>
  <c r="AP145" i="2"/>
  <c r="AR164" i="2"/>
  <c r="AP164" i="2"/>
  <c r="AV164" i="2" s="1"/>
  <c r="AR281" i="2"/>
  <c r="AP281" i="2"/>
  <c r="AV281" i="2" s="1"/>
  <c r="AR212" i="2"/>
  <c r="AP212" i="2"/>
  <c r="AV212" i="2" s="1"/>
  <c r="AR56" i="2"/>
  <c r="AP56" i="2"/>
  <c r="AV56" i="2" s="1"/>
  <c r="AR165" i="2"/>
  <c r="AP165" i="2"/>
  <c r="AV165" i="2" s="1"/>
  <c r="AR221" i="2"/>
  <c r="AP221" i="2"/>
  <c r="AV221" i="2" s="1"/>
  <c r="AR139" i="2"/>
  <c r="AP139" i="2"/>
  <c r="AV139" i="2" s="1"/>
  <c r="AR301" i="2"/>
  <c r="AP301" i="2"/>
  <c r="AV301" i="2" s="1"/>
  <c r="AR173" i="2"/>
  <c r="AP173" i="2"/>
  <c r="AR161" i="2"/>
  <c r="AP161" i="2"/>
  <c r="AV161" i="2" s="1"/>
  <c r="AR219" i="2"/>
  <c r="AP219" i="2"/>
  <c r="AV219" i="2" s="1"/>
  <c r="AR283" i="2"/>
  <c r="AP283" i="2"/>
  <c r="AR169" i="2"/>
  <c r="AP169" i="2"/>
  <c r="AR151" i="2"/>
  <c r="AP151" i="2"/>
  <c r="AV151" i="2" s="1"/>
  <c r="AR325" i="2"/>
  <c r="AP325" i="2"/>
  <c r="AV325" i="2" s="1"/>
  <c r="AR77" i="2"/>
  <c r="AP77" i="2"/>
  <c r="AR273" i="2"/>
  <c r="AP273" i="2"/>
  <c r="AR163" i="2"/>
  <c r="AP163" i="2"/>
  <c r="AR138" i="2"/>
  <c r="AP138" i="2"/>
  <c r="AV138" i="2" s="1"/>
  <c r="AR149" i="2"/>
  <c r="AP149" i="2"/>
  <c r="AV149" i="2" s="1"/>
  <c r="AR288" i="2"/>
  <c r="AP288" i="2"/>
  <c r="AR111" i="2"/>
  <c r="AP111" i="2"/>
  <c r="AV111" i="2" s="1"/>
  <c r="AR18" i="2"/>
  <c r="AP18" i="2"/>
  <c r="AV18" i="2" s="1"/>
  <c r="AR159" i="2"/>
  <c r="AP159" i="2"/>
  <c r="AR135" i="2"/>
  <c r="AP135" i="2"/>
  <c r="AR131" i="2"/>
  <c r="AP131" i="2"/>
  <c r="AR38" i="2"/>
  <c r="AP38" i="2"/>
  <c r="AV38" i="2" s="1"/>
  <c r="AR177" i="2"/>
  <c r="AP177" i="2"/>
  <c r="AV177" i="2" s="1"/>
  <c r="AR78" i="2"/>
  <c r="AP78" i="2"/>
  <c r="AR305" i="2"/>
  <c r="AP305" i="2"/>
  <c r="AV305" i="2" s="1"/>
  <c r="AR241" i="2"/>
  <c r="AP241" i="2"/>
  <c r="AV241" i="2" s="1"/>
  <c r="AR60" i="2"/>
  <c r="AP60" i="2"/>
  <c r="AR87" i="2"/>
  <c r="AP87" i="2"/>
  <c r="AV87" i="2" s="1"/>
  <c r="AR199" i="2"/>
  <c r="AP199" i="2"/>
  <c r="AV199" i="2" s="1"/>
  <c r="AR137" i="2"/>
  <c r="AP137" i="2"/>
  <c r="AV137" i="2" s="1"/>
  <c r="AR21" i="2"/>
  <c r="AP21" i="2"/>
  <c r="AV21" i="2" s="1"/>
  <c r="AR200" i="2"/>
  <c r="AP200" i="2"/>
  <c r="AV200" i="2" s="1"/>
  <c r="AR302" i="2"/>
  <c r="AP302" i="2"/>
  <c r="AV302" i="2" s="1"/>
  <c r="AR293" i="2"/>
  <c r="AP293" i="2"/>
  <c r="AV293" i="2" s="1"/>
  <c r="AR90" i="2"/>
  <c r="AP90" i="2"/>
  <c r="AR39" i="2"/>
  <c r="AP39" i="2"/>
  <c r="AV39" i="2" s="1"/>
  <c r="AR121" i="2"/>
  <c r="AP121" i="2"/>
  <c r="AV121" i="2" s="1"/>
  <c r="AR265" i="2"/>
  <c r="AP265" i="2"/>
  <c r="AV265" i="2" s="1"/>
  <c r="AR188" i="2"/>
  <c r="AP188" i="2"/>
  <c r="AV188" i="2" s="1"/>
  <c r="AR125" i="2"/>
  <c r="AP125" i="2"/>
  <c r="AV125" i="2" s="1"/>
  <c r="AR58" i="2"/>
  <c r="AP58" i="2"/>
  <c r="AV58" i="2" s="1"/>
  <c r="AR97" i="2"/>
  <c r="AP97" i="2"/>
  <c r="AV97" i="2" s="1"/>
  <c r="AR13" i="2"/>
  <c r="AP13" i="2"/>
  <c r="AR132" i="2"/>
  <c r="AP132" i="2"/>
  <c r="AV132" i="2" s="1"/>
  <c r="AR280" i="2"/>
  <c r="AP280" i="2"/>
  <c r="AV280" i="2" s="1"/>
  <c r="AR148" i="2"/>
  <c r="AP148" i="2"/>
  <c r="AV148" i="2" s="1"/>
  <c r="AR118" i="2"/>
  <c r="AP118" i="2"/>
  <c r="AR211" i="2"/>
  <c r="AP211" i="2"/>
  <c r="AR287" i="2"/>
  <c r="AP287" i="2"/>
  <c r="AV287" i="2" s="1"/>
  <c r="AR82" i="2"/>
  <c r="AP82" i="2"/>
  <c r="AV82" i="2" s="1"/>
  <c r="AR229" i="2"/>
  <c r="AP229" i="2"/>
  <c r="AV229" i="2" s="1"/>
  <c r="AR276" i="2"/>
  <c r="AP276" i="2"/>
  <c r="AR142" i="2"/>
  <c r="AP142" i="2"/>
  <c r="AV142" i="2" s="1"/>
  <c r="AR116" i="2"/>
  <c r="AP116" i="2"/>
  <c r="AV116" i="2" s="1"/>
  <c r="AR178" i="2"/>
  <c r="AP178" i="2"/>
  <c r="AV178" i="2" s="1"/>
  <c r="AR272" i="2"/>
  <c r="AP272" i="2"/>
  <c r="AR109" i="2"/>
  <c r="AP109" i="2"/>
  <c r="AR144" i="2"/>
  <c r="AP144" i="2"/>
  <c r="AV144" i="2" s="1"/>
  <c r="AR126" i="2"/>
  <c r="AP126" i="2"/>
  <c r="AV126" i="2" s="1"/>
  <c r="AR304" i="2"/>
  <c r="AP304" i="2"/>
  <c r="AR255" i="2"/>
  <c r="AP255" i="2"/>
  <c r="AV255" i="2" s="1"/>
  <c r="AR32" i="2"/>
  <c r="AP32" i="2"/>
  <c r="AV32" i="2" s="1"/>
  <c r="AR128" i="2"/>
  <c r="AP128" i="2"/>
  <c r="AV128" i="2" s="1"/>
  <c r="AR257" i="2"/>
  <c r="AP257" i="2"/>
  <c r="AR259" i="2"/>
  <c r="AP259" i="2"/>
  <c r="AV259" i="2" s="1"/>
  <c r="AR251" i="2"/>
  <c r="AP251" i="2"/>
  <c r="AV251" i="2" s="1"/>
  <c r="AR195" i="2"/>
  <c r="AP195" i="2"/>
  <c r="AV195" i="2" s="1"/>
  <c r="AR201" i="2"/>
  <c r="AP201" i="2"/>
  <c r="AV201" i="2" s="1"/>
  <c r="AR207" i="2"/>
  <c r="AP207" i="2"/>
  <c r="AV207" i="2" s="1"/>
  <c r="AR244" i="2"/>
  <c r="AP244" i="2"/>
  <c r="AV244" i="2" s="1"/>
  <c r="AR285" i="2"/>
  <c r="AP285" i="2"/>
  <c r="AV285" i="2" s="1"/>
  <c r="AR117" i="2"/>
  <c r="AP117" i="2"/>
  <c r="AV117" i="2" s="1"/>
  <c r="AR24" i="2"/>
  <c r="AP24" i="2"/>
  <c r="AV24" i="2" s="1"/>
  <c r="AR191" i="2"/>
  <c r="AP191" i="2"/>
  <c r="AV191" i="2" s="1"/>
  <c r="AR57" i="2"/>
  <c r="AP57" i="2"/>
  <c r="AR182" i="2"/>
  <c r="AP182" i="2"/>
  <c r="AV182" i="2" s="1"/>
  <c r="AR112" i="2"/>
  <c r="AP112" i="2"/>
  <c r="AV112" i="2" s="1"/>
  <c r="AR15" i="2"/>
  <c r="AP15" i="2"/>
  <c r="AV15" i="2" s="1"/>
  <c r="AR264" i="2"/>
  <c r="AP264" i="2"/>
  <c r="AV264" i="2" s="1"/>
  <c r="AR124" i="2"/>
  <c r="AP124" i="2"/>
  <c r="AR94" i="2"/>
  <c r="AP94" i="2"/>
  <c r="AV94" i="2" s="1"/>
  <c r="AR261" i="2"/>
  <c r="AP261" i="2"/>
  <c r="AV261" i="2" s="1"/>
  <c r="AR63" i="2"/>
  <c r="AP63" i="2"/>
  <c r="AV63" i="2" s="1"/>
  <c r="AR179" i="2"/>
  <c r="AP179" i="2"/>
  <c r="AV179" i="2" s="1"/>
  <c r="AR37" i="2"/>
  <c r="AP37" i="2"/>
  <c r="AV37" i="2" s="1"/>
  <c r="AP323" i="2"/>
  <c r="AV323" i="2" s="1"/>
  <c r="AR323" i="2"/>
  <c r="AR326" i="2"/>
  <c r="AP326" i="2"/>
  <c r="AR236" i="2"/>
  <c r="AP236" i="2"/>
  <c r="AV236" i="2" s="1"/>
  <c r="AR185" i="2"/>
  <c r="AP185" i="2"/>
  <c r="AV185" i="2" s="1"/>
  <c r="AR41" i="2"/>
  <c r="AP41" i="2"/>
  <c r="AR16" i="2"/>
  <c r="AP16" i="2"/>
  <c r="AV16" i="2" s="1"/>
  <c r="AR250" i="2"/>
  <c r="AP250" i="2"/>
  <c r="AV250" i="2" s="1"/>
  <c r="AR43" i="2"/>
  <c r="AP43" i="2"/>
  <c r="AV43" i="2" s="1"/>
  <c r="AR245" i="2"/>
  <c r="AP245" i="2"/>
  <c r="AV245" i="2" s="1"/>
  <c r="AR243" i="2"/>
  <c r="AP243" i="2"/>
  <c r="AV243" i="2" s="1"/>
  <c r="AR246" i="2"/>
  <c r="AP246" i="2"/>
  <c r="AV246" i="2" s="1"/>
  <c r="AR197" i="2"/>
  <c r="AP197" i="2"/>
  <c r="AV197" i="2" s="1"/>
  <c r="AR247" i="2"/>
  <c r="AP247" i="2"/>
  <c r="AR202" i="2"/>
  <c r="AP202" i="2"/>
  <c r="AV202" i="2" s="1"/>
  <c r="AR231" i="2"/>
  <c r="AP231" i="2"/>
  <c r="AV231" i="2" s="1"/>
  <c r="AR248" i="2"/>
  <c r="AP248" i="2"/>
  <c r="AV248" i="2" s="1"/>
  <c r="AR86" i="2"/>
  <c r="AP86" i="2"/>
  <c r="AR277" i="2"/>
  <c r="AP277" i="2"/>
  <c r="AV277" i="2" s="1"/>
  <c r="AR271" i="2"/>
  <c r="AP271" i="2"/>
  <c r="AV271" i="2" s="1"/>
  <c r="AP147" i="2"/>
  <c r="AV147" i="2" s="1"/>
  <c r="AR147" i="2"/>
  <c r="AR71" i="2"/>
  <c r="AP71" i="2"/>
  <c r="AR104" i="2"/>
  <c r="AP104" i="2"/>
  <c r="AV104" i="2" s="1"/>
  <c r="AR84" i="2"/>
  <c r="AP84" i="2"/>
  <c r="AV84" i="2" s="1"/>
  <c r="AR282" i="2"/>
  <c r="AP282" i="2"/>
  <c r="AV282" i="2" s="1"/>
  <c r="AR108" i="2"/>
  <c r="AP108" i="2"/>
  <c r="AV108" i="2" s="1"/>
  <c r="AR101" i="2"/>
  <c r="AP101" i="2"/>
  <c r="AV101" i="2" s="1"/>
  <c r="AP275" i="2"/>
  <c r="AR275" i="2"/>
  <c r="AR107" i="2"/>
  <c r="AP107" i="2"/>
  <c r="AV107" i="2" s="1"/>
  <c r="AR216" i="2"/>
  <c r="AP216" i="2"/>
  <c r="AV216" i="2" s="1"/>
  <c r="AR12" i="2"/>
  <c r="AP12" i="2"/>
  <c r="AV12" i="2" s="1"/>
  <c r="AR267" i="2"/>
  <c r="AP267" i="2"/>
  <c r="AR105" i="2"/>
  <c r="AP105" i="2"/>
  <c r="AR54" i="2"/>
  <c r="AP54" i="2"/>
  <c r="AV54" i="2" s="1"/>
  <c r="AR100" i="2"/>
  <c r="AP100" i="2"/>
  <c r="AV100" i="2" s="1"/>
  <c r="AR102" i="2"/>
  <c r="AP102" i="2"/>
  <c r="AV102" i="2" s="1"/>
  <c r="AR69" i="2"/>
  <c r="AP69" i="2"/>
  <c r="AV69" i="2" s="1"/>
  <c r="AR226" i="2"/>
  <c r="AP226" i="2"/>
  <c r="AV226" i="2" s="1"/>
  <c r="AR213" i="2"/>
  <c r="AP213" i="2"/>
  <c r="AV213" i="2" s="1"/>
  <c r="AR328" i="2"/>
  <c r="AP328" i="2"/>
  <c r="AV328" i="2" s="1"/>
  <c r="AR303" i="2"/>
  <c r="AP303" i="2"/>
  <c r="AV303" i="2" s="1"/>
  <c r="AR205" i="2"/>
  <c r="AP205" i="2"/>
  <c r="AV205" i="2" s="1"/>
  <c r="AR286" i="2"/>
  <c r="AP286" i="2"/>
  <c r="AV286" i="2" s="1"/>
  <c r="AR155" i="2"/>
  <c r="AP155" i="2"/>
  <c r="AV155" i="2" s="1"/>
  <c r="AR263" i="2"/>
  <c r="AP263" i="2"/>
  <c r="AR230" i="2"/>
  <c r="AP230" i="2"/>
  <c r="AV230" i="2" s="1"/>
  <c r="AR170" i="2"/>
  <c r="AP170" i="2"/>
  <c r="AR115" i="2"/>
  <c r="AP115" i="2"/>
  <c r="AR203" i="2"/>
  <c r="AP203" i="2"/>
  <c r="AV203" i="2" s="1"/>
  <c r="AR198" i="2"/>
  <c r="AP198" i="2"/>
  <c r="AV198" i="2" s="1"/>
  <c r="AR238" i="2"/>
  <c r="AP238" i="2"/>
  <c r="AR233" i="2"/>
  <c r="AP233" i="2"/>
  <c r="AV233" i="2" s="1"/>
  <c r="AR232" i="2"/>
  <c r="AP232" i="2"/>
  <c r="AV232" i="2" s="1"/>
  <c r="AR249" i="2"/>
  <c r="AP249" i="2"/>
  <c r="AV249" i="2" s="1"/>
  <c r="AP19" i="2"/>
  <c r="AR19" i="2"/>
  <c r="AR269" i="2"/>
  <c r="AP269" i="2"/>
  <c r="AV269" i="2" s="1"/>
  <c r="AR10" i="2"/>
  <c r="AP10" i="2"/>
  <c r="AV10" i="2" s="1"/>
  <c r="AR300" i="2"/>
  <c r="AP300" i="2"/>
  <c r="AR266" i="2"/>
  <c r="AP266" i="2"/>
  <c r="AR156" i="2"/>
  <c r="AP156" i="2"/>
  <c r="AV156" i="2" s="1"/>
  <c r="AR53" i="2"/>
  <c r="AP53" i="2"/>
  <c r="AV53" i="2" s="1"/>
  <c r="AR214" i="2"/>
  <c r="AP214" i="2"/>
  <c r="AV214" i="2" s="1"/>
  <c r="AR44" i="2"/>
  <c r="AP44" i="2"/>
  <c r="AV44" i="2" s="1"/>
  <c r="AR29" i="2"/>
  <c r="AP29" i="2"/>
  <c r="AV29" i="2" s="1"/>
  <c r="AR181" i="2"/>
  <c r="AP181" i="2"/>
  <c r="AV181" i="2" s="1"/>
  <c r="AR130" i="2"/>
  <c r="AP130" i="2"/>
  <c r="AV130" i="2" s="1"/>
  <c r="AR52" i="2"/>
  <c r="AP52" i="2"/>
  <c r="AV52" i="2" s="1"/>
  <c r="AR218" i="2"/>
  <c r="AP218" i="2"/>
  <c r="AR88" i="2"/>
  <c r="AP88" i="2"/>
  <c r="AV88" i="2" s="1"/>
  <c r="AR146" i="2"/>
  <c r="AP146" i="2"/>
  <c r="AV146" i="2" s="1"/>
  <c r="AR85" i="2"/>
  <c r="AP85" i="2"/>
  <c r="AV85" i="2" s="1"/>
  <c r="AR190" i="2"/>
  <c r="AP190" i="2"/>
  <c r="AV190" i="2" s="1"/>
  <c r="AR324" i="2"/>
  <c r="AP324" i="2"/>
  <c r="AR289" i="2"/>
  <c r="AP289" i="2"/>
  <c r="AV289" i="2" s="1"/>
  <c r="AR79" i="2"/>
  <c r="AP79" i="2"/>
  <c r="AV79" i="2" s="1"/>
  <c r="AR210" i="2"/>
  <c r="AP210" i="2"/>
  <c r="AV210" i="2" s="1"/>
  <c r="AR196" i="2"/>
  <c r="AP196" i="2"/>
  <c r="AV196" i="2" s="1"/>
  <c r="AR240" i="2"/>
  <c r="AP240" i="2"/>
  <c r="AV240" i="2" s="1"/>
  <c r="AR66" i="2"/>
  <c r="AP66" i="2"/>
  <c r="AV66" i="2" s="1"/>
  <c r="AR204" i="2"/>
  <c r="AP204" i="2"/>
  <c r="AR254" i="2"/>
  <c r="AP254" i="2"/>
  <c r="AV254" i="2" s="1"/>
  <c r="AR234" i="2"/>
  <c r="AP234" i="2"/>
  <c r="AV234" i="2" s="1"/>
  <c r="AR235" i="2"/>
  <c r="AP235" i="2"/>
  <c r="AV235" i="2" s="1"/>
  <c r="AR252" i="2"/>
  <c r="AP252" i="2"/>
  <c r="AR278" i="2"/>
  <c r="AP278" i="2"/>
  <c r="AV278" i="2" s="1"/>
  <c r="AR70" i="2"/>
  <c r="AP70" i="2"/>
  <c r="AV70" i="2" s="1"/>
  <c r="AR228" i="2"/>
  <c r="AP228" i="2"/>
  <c r="AV228" i="2" s="1"/>
  <c r="AR65" i="2"/>
  <c r="AP65" i="2"/>
  <c r="AR298" i="2"/>
  <c r="AP298" i="2"/>
  <c r="AV298" i="2" s="1"/>
  <c r="AR167" i="2"/>
  <c r="AP167" i="2"/>
  <c r="AV167" i="2" s="1"/>
  <c r="AR95" i="2"/>
  <c r="AP95" i="2"/>
  <c r="AV95" i="2" s="1"/>
  <c r="AR143" i="2"/>
  <c r="AP143" i="2"/>
  <c r="AR45" i="2"/>
  <c r="AP45" i="2"/>
  <c r="AV45" i="2" s="1"/>
  <c r="AR152" i="2"/>
  <c r="AP152" i="2"/>
  <c r="AV152" i="2" s="1"/>
  <c r="AR72" i="2"/>
  <c r="AP72" i="2"/>
  <c r="AV72" i="2" s="1"/>
  <c r="AR25" i="2"/>
  <c r="AP25" i="2"/>
  <c r="AV25" i="2" s="1"/>
  <c r="AR75" i="2"/>
  <c r="AP75" i="2"/>
  <c r="AV75" i="2" s="1"/>
  <c r="AR114" i="2"/>
  <c r="AP114" i="2"/>
  <c r="AV114" i="2" s="1"/>
  <c r="AR64" i="2"/>
  <c r="AP64" i="2"/>
  <c r="AR27" i="2"/>
  <c r="AP27" i="2"/>
  <c r="AV27" i="2" s="1"/>
  <c r="AR270" i="2"/>
  <c r="AP270" i="2"/>
  <c r="AV270" i="2" s="1"/>
  <c r="AR67" i="2"/>
  <c r="AP67" i="2"/>
  <c r="AV67" i="2" s="1"/>
  <c r="AR284" i="2"/>
  <c r="AP284" i="2"/>
  <c r="AV284" i="2" s="1"/>
  <c r="AR127" i="2"/>
  <c r="AP127" i="2"/>
  <c r="AV127" i="2" s="1"/>
  <c r="AR306" i="2"/>
  <c r="AP306" i="2"/>
  <c r="AV306" i="2" s="1"/>
  <c r="AR237" i="2"/>
  <c r="AP237" i="2"/>
  <c r="AX198" i="2"/>
  <c r="AW198" i="2"/>
  <c r="AX204" i="2"/>
  <c r="AW204" i="2"/>
  <c r="AX234" i="2"/>
  <c r="AW234" i="2"/>
  <c r="AX205" i="2"/>
  <c r="AW205" i="2"/>
  <c r="AX206" i="2"/>
  <c r="AW206" i="2"/>
  <c r="AX194" i="2"/>
  <c r="AW194" i="2"/>
  <c r="AX242" i="2"/>
  <c r="AW242" i="2"/>
  <c r="AX239" i="2"/>
  <c r="AW239" i="2"/>
  <c r="AX256" i="2"/>
  <c r="AW256" i="2"/>
  <c r="AX274" i="2"/>
  <c r="AW274" i="2"/>
  <c r="AX145" i="2"/>
  <c r="AW145" i="2"/>
  <c r="AX164" i="2"/>
  <c r="AW164" i="2"/>
  <c r="AW281" i="2"/>
  <c r="AX281" i="2"/>
  <c r="AX212" i="2"/>
  <c r="AW212" i="2"/>
  <c r="AX56" i="2"/>
  <c r="AW56" i="2"/>
  <c r="AX165" i="2"/>
  <c r="AW165" i="2"/>
  <c r="AX221" i="2"/>
  <c r="AW221" i="2"/>
  <c r="AX139" i="2"/>
  <c r="AW139" i="2"/>
  <c r="AW301" i="2"/>
  <c r="AX301" i="2"/>
  <c r="AX173" i="2"/>
  <c r="AW173" i="2"/>
  <c r="AX161" i="2"/>
  <c r="AW161" i="2"/>
  <c r="AX219" i="2"/>
  <c r="AW219" i="2"/>
  <c r="AX283" i="2"/>
  <c r="AW283" i="2"/>
  <c r="AX169" i="2"/>
  <c r="AW169" i="2"/>
  <c r="AX151" i="2"/>
  <c r="AW151" i="2"/>
  <c r="AX325" i="2"/>
  <c r="AW325" i="2"/>
  <c r="AX196" i="2"/>
  <c r="AW196" i="2"/>
  <c r="AX230" i="2"/>
  <c r="AW230" i="2"/>
  <c r="AX199" i="2"/>
  <c r="AW199" i="2"/>
  <c r="AX250" i="2"/>
  <c r="AW250" i="2"/>
  <c r="AX240" i="2"/>
  <c r="AW240" i="2"/>
  <c r="AW257" i="2"/>
  <c r="AX257" i="2"/>
  <c r="AX170" i="2"/>
  <c r="AW170" i="2"/>
  <c r="AX137" i="2"/>
  <c r="AW137" i="2"/>
  <c r="AX43" i="2"/>
  <c r="AW43" i="2"/>
  <c r="AW273" i="2"/>
  <c r="AX273" i="2"/>
  <c r="AX259" i="2"/>
  <c r="AW259" i="2"/>
  <c r="AX66" i="2"/>
  <c r="AW66" i="2"/>
  <c r="AX115" i="2"/>
  <c r="AW115" i="2"/>
  <c r="AX21" i="2"/>
  <c r="AW21" i="2"/>
  <c r="AX163" i="2"/>
  <c r="AW163" i="2"/>
  <c r="AX138" i="2"/>
  <c r="AW138" i="2"/>
  <c r="AX149" i="2"/>
  <c r="AW149" i="2"/>
  <c r="AX288" i="2"/>
  <c r="AW288" i="2"/>
  <c r="AX111" i="2"/>
  <c r="AW111" i="2"/>
  <c r="AX18" i="2"/>
  <c r="AW18" i="2"/>
  <c r="AX159" i="2"/>
  <c r="AW159" i="2"/>
  <c r="AX135" i="2"/>
  <c r="AW135" i="2"/>
  <c r="AX131" i="2"/>
  <c r="AW131" i="2"/>
  <c r="AX38" i="2"/>
  <c r="AW38" i="2"/>
  <c r="AX177" i="2"/>
  <c r="AW177" i="2"/>
  <c r="AX78" i="2"/>
  <c r="AW78" i="2"/>
  <c r="AW305" i="2"/>
  <c r="AX305" i="2"/>
  <c r="AX251" i="2"/>
  <c r="AW251" i="2"/>
  <c r="AW293" i="2"/>
  <c r="AX293" i="2"/>
  <c r="AX90" i="2"/>
  <c r="AW90" i="2"/>
  <c r="AX121" i="2"/>
  <c r="AW121" i="2"/>
  <c r="AW265" i="2"/>
  <c r="AX265" i="2"/>
  <c r="AX188" i="2"/>
  <c r="AW188" i="2"/>
  <c r="AX125" i="2"/>
  <c r="AW125" i="2"/>
  <c r="AX58" i="2"/>
  <c r="AW58" i="2"/>
  <c r="AX97" i="2"/>
  <c r="AW97" i="2"/>
  <c r="AX13" i="2"/>
  <c r="AW13" i="2"/>
  <c r="AX132" i="2"/>
  <c r="AW132" i="2"/>
  <c r="AX280" i="2"/>
  <c r="AW280" i="2"/>
  <c r="AX148" i="2"/>
  <c r="AW148" i="2"/>
  <c r="AX118" i="2"/>
  <c r="AW118" i="2"/>
  <c r="AX211" i="2"/>
  <c r="AW211" i="2"/>
  <c r="AX287" i="2"/>
  <c r="AW287" i="2"/>
  <c r="AX82" i="2"/>
  <c r="AW82" i="2"/>
  <c r="AX229" i="2"/>
  <c r="AW229" i="2"/>
  <c r="AX276" i="2"/>
  <c r="AW276" i="2"/>
  <c r="AX142" i="2"/>
  <c r="AW142" i="2"/>
  <c r="AX116" i="2"/>
  <c r="AW116" i="2"/>
  <c r="AX178" i="2"/>
  <c r="AW178" i="2"/>
  <c r="AX272" i="2"/>
  <c r="AW272" i="2"/>
  <c r="AX109" i="2"/>
  <c r="AW109" i="2"/>
  <c r="AX144" i="2"/>
  <c r="AW144" i="2"/>
  <c r="AX126" i="2"/>
  <c r="AW126" i="2"/>
  <c r="AX304" i="2"/>
  <c r="AW304" i="2"/>
  <c r="AX302" i="2"/>
  <c r="AW302" i="2"/>
  <c r="AX39" i="2"/>
  <c r="AW39" i="2"/>
  <c r="AX195" i="2"/>
  <c r="AW195" i="2"/>
  <c r="AX246" i="2"/>
  <c r="AW246" i="2"/>
  <c r="AX201" i="2"/>
  <c r="AW201" i="2"/>
  <c r="AX207" i="2"/>
  <c r="AW207" i="2"/>
  <c r="AX244" i="2"/>
  <c r="AW244" i="2"/>
  <c r="AW285" i="2"/>
  <c r="AX285" i="2"/>
  <c r="AX117" i="2"/>
  <c r="AW117" i="2"/>
  <c r="AX24" i="2"/>
  <c r="AW24" i="2"/>
  <c r="AX191" i="2"/>
  <c r="AW191" i="2"/>
  <c r="AX57" i="2"/>
  <c r="AW57" i="2"/>
  <c r="AX182" i="2"/>
  <c r="AW182" i="2"/>
  <c r="AX112" i="2"/>
  <c r="AW112" i="2"/>
  <c r="AX15" i="2"/>
  <c r="AW15" i="2"/>
  <c r="AX264" i="2"/>
  <c r="AW264" i="2"/>
  <c r="AX124" i="2"/>
  <c r="AW124" i="2"/>
  <c r="AX94" i="2"/>
  <c r="AW94" i="2"/>
  <c r="AW261" i="2"/>
  <c r="AX261" i="2"/>
  <c r="AX63" i="2"/>
  <c r="AW63" i="2"/>
  <c r="AX179" i="2"/>
  <c r="AW179" i="2"/>
  <c r="AX37" i="2"/>
  <c r="AW37" i="2"/>
  <c r="AX323" i="2"/>
  <c r="AW323" i="2"/>
  <c r="AX326" i="2"/>
  <c r="AW326" i="2"/>
  <c r="AX243" i="2"/>
  <c r="AW243" i="2"/>
  <c r="AX197" i="2"/>
  <c r="AW197" i="2"/>
  <c r="AX247" i="2"/>
  <c r="AW247" i="2"/>
  <c r="AX202" i="2"/>
  <c r="AW202" i="2"/>
  <c r="AX231" i="2"/>
  <c r="AW231" i="2"/>
  <c r="AX248" i="2"/>
  <c r="AW248" i="2"/>
  <c r="AX86" i="2"/>
  <c r="AW86" i="2"/>
  <c r="AW277" i="2"/>
  <c r="AX277" i="2"/>
  <c r="AX271" i="2"/>
  <c r="AW271" i="2"/>
  <c r="AX147" i="2"/>
  <c r="AW147" i="2"/>
  <c r="AX71" i="2"/>
  <c r="AW71" i="2"/>
  <c r="AX104" i="2"/>
  <c r="AW104" i="2"/>
  <c r="AX84" i="2"/>
  <c r="AW84" i="2"/>
  <c r="AX282" i="2"/>
  <c r="AW282" i="2"/>
  <c r="AX108" i="2"/>
  <c r="AW108" i="2"/>
  <c r="AX101" i="2"/>
  <c r="AW101" i="2"/>
  <c r="AX275" i="2"/>
  <c r="AW275" i="2"/>
  <c r="AX107" i="2"/>
  <c r="AW107" i="2"/>
  <c r="AX216" i="2"/>
  <c r="AW216" i="2"/>
  <c r="AX12" i="2"/>
  <c r="AW12" i="2"/>
  <c r="AX267" i="2"/>
  <c r="AW267" i="2"/>
  <c r="AX105" i="2"/>
  <c r="AW105" i="2"/>
  <c r="AX54" i="2"/>
  <c r="AW54" i="2"/>
  <c r="AX100" i="2"/>
  <c r="AW100" i="2"/>
  <c r="AX102" i="2"/>
  <c r="AW102" i="2"/>
  <c r="AX69" i="2"/>
  <c r="AW69" i="2"/>
  <c r="AX226" i="2"/>
  <c r="AW226" i="2"/>
  <c r="AX213" i="2"/>
  <c r="AW213" i="2"/>
  <c r="AX328" i="2"/>
  <c r="AW328" i="2"/>
  <c r="AX303" i="2"/>
  <c r="AW303" i="2"/>
  <c r="AX203" i="2"/>
  <c r="AW203" i="2"/>
  <c r="AX238" i="2"/>
  <c r="AW238" i="2"/>
  <c r="AX233" i="2"/>
  <c r="AW233" i="2"/>
  <c r="AX232" i="2"/>
  <c r="AW232" i="2"/>
  <c r="AW249" i="2"/>
  <c r="AX249" i="2"/>
  <c r="AX19" i="2"/>
  <c r="AW19" i="2"/>
  <c r="AW269" i="2"/>
  <c r="AX269" i="2"/>
  <c r="AX10" i="2"/>
  <c r="AW10" i="2"/>
  <c r="AX300" i="2"/>
  <c r="AW300" i="2"/>
  <c r="AX266" i="2"/>
  <c r="AW266" i="2"/>
  <c r="AX156" i="2"/>
  <c r="AW156" i="2"/>
  <c r="AX53" i="2"/>
  <c r="AW53" i="2"/>
  <c r="AX214" i="2"/>
  <c r="AW214" i="2"/>
  <c r="AX44" i="2"/>
  <c r="AW44" i="2"/>
  <c r="AX29" i="2"/>
  <c r="AW29" i="2"/>
  <c r="AX181" i="2"/>
  <c r="AW181" i="2"/>
  <c r="AX130" i="2"/>
  <c r="AW130" i="2"/>
  <c r="AX52" i="2"/>
  <c r="AW52" i="2"/>
  <c r="AX218" i="2"/>
  <c r="AW218" i="2"/>
  <c r="AX88" i="2"/>
  <c r="AW88" i="2"/>
  <c r="AX146" i="2"/>
  <c r="AW146" i="2"/>
  <c r="AX85" i="2"/>
  <c r="AW85" i="2"/>
  <c r="AX190" i="2"/>
  <c r="AW190" i="2"/>
  <c r="AX324" i="2"/>
  <c r="AW324" i="2"/>
  <c r="AW245" i="2"/>
  <c r="AX245" i="2"/>
  <c r="AX252" i="2"/>
  <c r="AW252" i="2"/>
  <c r="AX278" i="2"/>
  <c r="AW278" i="2"/>
  <c r="AX70" i="2"/>
  <c r="AW70" i="2"/>
  <c r="AX228" i="2"/>
  <c r="AW228" i="2"/>
  <c r="AX65" i="2"/>
  <c r="AW65" i="2"/>
  <c r="AX298" i="2"/>
  <c r="AW298" i="2"/>
  <c r="AX167" i="2"/>
  <c r="AW167" i="2"/>
  <c r="AX95" i="2"/>
  <c r="AW95" i="2"/>
  <c r="AX143" i="2"/>
  <c r="AW143" i="2"/>
  <c r="AX45" i="2"/>
  <c r="AW45" i="2"/>
  <c r="AX152" i="2"/>
  <c r="AW152" i="2"/>
  <c r="AX72" i="2"/>
  <c r="AW72" i="2"/>
  <c r="AX25" i="2"/>
  <c r="AW25" i="2"/>
  <c r="AX75" i="2"/>
  <c r="AW75" i="2"/>
  <c r="AX114" i="2"/>
  <c r="AW114" i="2"/>
  <c r="AX64" i="2"/>
  <c r="AW64" i="2"/>
  <c r="AX27" i="2"/>
  <c r="AW27" i="2"/>
  <c r="AX270" i="2"/>
  <c r="AW270" i="2"/>
  <c r="AX67" i="2"/>
  <c r="AW67" i="2"/>
  <c r="AX284" i="2"/>
  <c r="AW284" i="2"/>
  <c r="AX127" i="2"/>
  <c r="AW127" i="2"/>
  <c r="AX306" i="2"/>
  <c r="AW306" i="2"/>
  <c r="AW237" i="2"/>
  <c r="AX237" i="2"/>
  <c r="AX200" i="2"/>
  <c r="AW200" i="2"/>
  <c r="AX254" i="2"/>
  <c r="AW254" i="2"/>
  <c r="AX235" i="2"/>
  <c r="AW235" i="2"/>
  <c r="AX255" i="2"/>
  <c r="AW255" i="2"/>
  <c r="AW241" i="2"/>
  <c r="AX241" i="2"/>
  <c r="AX236" i="2"/>
  <c r="AW236" i="2"/>
  <c r="AW253" i="2"/>
  <c r="AX253" i="2"/>
  <c r="AX32" i="2"/>
  <c r="AW32" i="2"/>
  <c r="AX286" i="2"/>
  <c r="AW286" i="2"/>
  <c r="AX110" i="2"/>
  <c r="AW110" i="2"/>
  <c r="AX185" i="2"/>
  <c r="AW185" i="2"/>
  <c r="AX60" i="2"/>
  <c r="AW60" i="2"/>
  <c r="AX77" i="2"/>
  <c r="AW77" i="2"/>
  <c r="AW289" i="2"/>
  <c r="AX289" i="2"/>
  <c r="AX217" i="2"/>
  <c r="AW217" i="2"/>
  <c r="AX155" i="2"/>
  <c r="AW155" i="2"/>
  <c r="AX87" i="2"/>
  <c r="AW87" i="2"/>
  <c r="AX41" i="2"/>
  <c r="AW41" i="2"/>
  <c r="AX128" i="2"/>
  <c r="AW128" i="2"/>
  <c r="AX79" i="2"/>
  <c r="AW79" i="2"/>
  <c r="AX263" i="2"/>
  <c r="AW263" i="2"/>
  <c r="AX16" i="2"/>
  <c r="AW16" i="2"/>
  <c r="AX299" i="2"/>
  <c r="AW299" i="2"/>
  <c r="AX210" i="2"/>
  <c r="AW210" i="2"/>
  <c r="AX327" i="2"/>
  <c r="AW327" i="2"/>
  <c r="AX307" i="2"/>
  <c r="AW307" i="2"/>
  <c r="X10" i="3"/>
  <c r="AO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Q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Q71" i="2"/>
  <c r="AJ220" i="2"/>
  <c r="AJ290" i="2"/>
  <c r="AJ189" i="2"/>
  <c r="AJ133" i="2"/>
  <c r="AQ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Q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Q137" i="2"/>
  <c r="AJ309" i="2"/>
  <c r="AQ161" i="2"/>
  <c r="AJ48" i="2"/>
  <c r="AQ86" i="2"/>
  <c r="AQ41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T17" i="3"/>
  <c r="V17" i="3"/>
  <c r="W17" i="3"/>
  <c r="AQ16" i="2"/>
  <c r="AQ135" i="2"/>
  <c r="AQ272" i="2"/>
  <c r="AQ325" i="2"/>
  <c r="AQ303" i="2"/>
  <c r="AQ39" i="2"/>
  <c r="AQ326" i="2"/>
  <c r="AQ111" i="2"/>
  <c r="AQ190" i="2"/>
  <c r="AV77" i="2"/>
  <c r="AQ131" i="2"/>
  <c r="AQ177" i="2"/>
  <c r="AQ107" i="2"/>
  <c r="AQ327" i="2"/>
  <c r="AQ191" i="2"/>
  <c r="AQ305" i="2"/>
  <c r="AQ77" i="2"/>
  <c r="AQ60" i="2"/>
  <c r="AQ156" i="2"/>
  <c r="AQ323" i="2"/>
  <c r="AQ307" i="2"/>
  <c r="AQ43" i="2"/>
  <c r="AQ221" i="2"/>
  <c r="AQ90" i="2"/>
  <c r="AV60" i="2"/>
  <c r="AQ110" i="2"/>
  <c r="AU110" i="2" s="1"/>
  <c r="AQ27" i="2"/>
  <c r="AV307" i="2"/>
  <c r="AQ127" i="2"/>
  <c r="AQ328" i="2"/>
  <c r="AQ45" i="2"/>
  <c r="AQ25" i="2"/>
  <c r="AQ147" i="2"/>
  <c r="AQ265" i="2"/>
  <c r="AQ165" i="2"/>
  <c r="AU165" i="2" s="1"/>
  <c r="AQ138" i="2"/>
  <c r="AQ169" i="2"/>
  <c r="AQ101" i="2"/>
  <c r="AQ281" i="2"/>
  <c r="AQ29" i="2"/>
  <c r="AQ87" i="2"/>
  <c r="AQ179" i="2"/>
  <c r="AQ178" i="2"/>
  <c r="AQ37" i="2"/>
  <c r="AQ66" i="2"/>
  <c r="AQ95" i="2"/>
  <c r="AQ213" i="2"/>
  <c r="AQ214" i="2"/>
  <c r="AQ271" i="2"/>
  <c r="AQ324" i="2"/>
  <c r="AQ286" i="2"/>
  <c r="AQ264" i="2"/>
  <c r="AQ217" i="2"/>
  <c r="AQ301" i="2"/>
  <c r="AQ142" i="2"/>
  <c r="AQ228" i="2"/>
  <c r="AV288" i="2"/>
  <c r="AQ288" i="2"/>
  <c r="AQ10" i="2"/>
  <c r="AQ278" i="2"/>
  <c r="AQ280" i="2"/>
  <c r="AQ293" i="2"/>
  <c r="AQ32" i="2"/>
  <c r="AQ170" i="2"/>
  <c r="AQ84" i="2"/>
  <c r="AQ144" i="2"/>
  <c r="AQ282" i="2"/>
  <c r="AQ44" i="2"/>
  <c r="AQ69" i="2"/>
  <c r="AQ116" i="2"/>
  <c r="AQ18" i="2"/>
  <c r="AQ298" i="2"/>
  <c r="AQ12" i="2"/>
  <c r="AQ117" i="2"/>
  <c r="AQ97" i="2"/>
  <c r="AQ52" i="2"/>
  <c r="AQ181" i="2"/>
  <c r="AQ143" i="2"/>
  <c r="AQ79" i="2"/>
  <c r="AQ72" i="2"/>
  <c r="AQ67" i="2"/>
  <c r="AQ121" i="2"/>
  <c r="AQ274" i="2"/>
  <c r="AQ57" i="2"/>
  <c r="AQ85" i="2"/>
  <c r="AQ267" i="2"/>
  <c r="AV267" i="2"/>
  <c r="AQ88" i="2"/>
  <c r="AQ94" i="2"/>
  <c r="AQ263" i="2"/>
  <c r="AV90" i="2"/>
  <c r="AQ289" i="2"/>
  <c r="AQ100" i="2"/>
  <c r="AQ148" i="2"/>
  <c r="AQ78" i="2"/>
  <c r="AU78" i="2" s="1"/>
  <c r="AV78" i="2"/>
  <c r="AQ104" i="2"/>
  <c r="AQ185" i="2"/>
  <c r="AQ105" i="2"/>
  <c r="AQ152" i="2"/>
  <c r="AQ283" i="2"/>
  <c r="AV283" i="2"/>
  <c r="AQ259" i="2"/>
  <c r="AQ15" i="2"/>
  <c r="AQ284" i="2"/>
  <c r="AQ146" i="2"/>
  <c r="AV118" i="2"/>
  <c r="AQ118" i="2"/>
  <c r="AQ70" i="2"/>
  <c r="AQ54" i="2"/>
  <c r="AV57" i="2"/>
  <c r="AQ300" i="2"/>
  <c r="AQ109" i="2"/>
  <c r="AQ216" i="2"/>
  <c r="AQ273" i="2"/>
  <c r="AQ24" i="2"/>
  <c r="AQ219" i="2"/>
  <c r="AQ82" i="2"/>
  <c r="AV275" i="2"/>
  <c r="AV13" i="2"/>
  <c r="AQ167" i="2"/>
  <c r="AQ64" i="2"/>
  <c r="AQ159" i="2"/>
  <c r="AQ58" i="2"/>
  <c r="AQ128" i="2"/>
  <c r="AQ276" i="2"/>
  <c r="AQ182" i="2"/>
  <c r="AQ285" i="2"/>
  <c r="AQ299" i="2"/>
  <c r="AQ63" i="2"/>
  <c r="AQ212" i="2"/>
  <c r="AV159" i="2"/>
  <c r="AQ56" i="2"/>
  <c r="AQ211" i="2"/>
  <c r="AQ287" i="2"/>
  <c r="AQ108" i="2"/>
  <c r="AQ53" i="2"/>
  <c r="AQ163" i="2"/>
  <c r="AQ149" i="2"/>
  <c r="AQ102" i="2"/>
  <c r="AQ306" i="2"/>
  <c r="AQ21" i="2"/>
  <c r="AU21" i="2" s="1"/>
  <c r="AQ229" i="2"/>
  <c r="AQ266" i="2"/>
  <c r="AQ114" i="2"/>
  <c r="AQ275" i="2"/>
  <c r="AQ126" i="2"/>
  <c r="AQ125" i="2"/>
  <c r="AQ164" i="2"/>
  <c r="AQ13" i="2"/>
  <c r="AQ38" i="2"/>
  <c r="AQ173" i="2"/>
  <c r="AV173" i="2"/>
  <c r="AQ112" i="2"/>
  <c r="AQ115" i="2"/>
  <c r="AQ151" i="2"/>
  <c r="AQ196" i="2"/>
  <c r="AQ195" i="2"/>
  <c r="AQ198" i="2"/>
  <c r="AQ205" i="2"/>
  <c r="AQ254" i="2"/>
  <c r="AQ234" i="2"/>
  <c r="AQ242" i="2"/>
  <c r="AV242" i="2"/>
  <c r="AQ251" i="2"/>
  <c r="AQ235" i="2"/>
  <c r="AQ243" i="2"/>
  <c r="AQ252" i="2"/>
  <c r="AQ256" i="2"/>
  <c r="AQ302" i="2"/>
  <c r="AQ203" i="2"/>
  <c r="AQ206" i="2"/>
  <c r="AQ255" i="2"/>
  <c r="AQ201" i="2"/>
  <c r="AU201" i="2" s="1"/>
  <c r="AQ233" i="2"/>
  <c r="AQ241" i="2"/>
  <c r="AQ250" i="2"/>
  <c r="AU250" i="2" s="1"/>
  <c r="AQ207" i="2"/>
  <c r="AQ232" i="2"/>
  <c r="AQ240" i="2"/>
  <c r="AQ249" i="2"/>
  <c r="AQ19" i="2"/>
  <c r="AV19" i="2"/>
  <c r="AV124" i="2"/>
  <c r="AQ124" i="2"/>
  <c r="AQ139" i="2"/>
  <c r="AQ188" i="2"/>
  <c r="AQ202" i="2"/>
  <c r="AV218" i="2"/>
  <c r="AQ218" i="2"/>
  <c r="AQ236" i="2"/>
  <c r="AU236" i="2" s="1"/>
  <c r="AV253" i="2"/>
  <c r="AQ253" i="2"/>
  <c r="AQ269" i="2"/>
  <c r="AQ197" i="2"/>
  <c r="AQ204" i="2"/>
  <c r="AQ245" i="2"/>
  <c r="AQ247" i="2"/>
  <c r="AQ238" i="2"/>
  <c r="AQ199" i="2"/>
  <c r="AQ257" i="2"/>
  <c r="AQ155" i="2"/>
  <c r="G312" i="2"/>
  <c r="H311" i="2"/>
  <c r="AQ130" i="2"/>
  <c r="AV145" i="2"/>
  <c r="AQ145" i="2"/>
  <c r="AU145" i="2" s="1"/>
  <c r="AQ194" i="2"/>
  <c r="AQ210" i="2"/>
  <c r="AQ226" i="2"/>
  <c r="AQ244" i="2"/>
  <c r="AQ261" i="2"/>
  <c r="AQ277" i="2"/>
  <c r="AQ230" i="2"/>
  <c r="AQ246" i="2"/>
  <c r="AQ237" i="2"/>
  <c r="AQ200" i="2"/>
  <c r="AQ231" i="2"/>
  <c r="AU231" i="2" s="1"/>
  <c r="AQ239" i="2"/>
  <c r="AQ248" i="2"/>
  <c r="P310" i="2"/>
  <c r="AD310" i="2"/>
  <c r="O310" i="2"/>
  <c r="AQ132" i="2"/>
  <c r="AU275" i="2" l="1"/>
  <c r="AU218" i="2"/>
  <c r="AU84" i="2"/>
  <c r="AU87" i="2"/>
  <c r="AU246" i="2"/>
  <c r="AU277" i="2"/>
  <c r="AU13" i="2"/>
  <c r="AU159" i="2"/>
  <c r="AU118" i="2"/>
  <c r="AU178" i="2"/>
  <c r="AY124" i="2"/>
  <c r="AU177" i="2"/>
  <c r="AU56" i="2"/>
  <c r="AU149" i="2"/>
  <c r="AU90" i="2"/>
  <c r="AY243" i="2"/>
  <c r="AU128" i="2"/>
  <c r="AY231" i="2"/>
  <c r="AY267" i="2"/>
  <c r="AU77" i="2"/>
  <c r="AU253" i="2"/>
  <c r="AU285" i="2"/>
  <c r="AU242" i="2"/>
  <c r="AY221" i="2"/>
  <c r="AU66" i="2"/>
  <c r="AY156" i="2"/>
  <c r="AY218" i="2"/>
  <c r="AU228" i="2"/>
  <c r="AY182" i="2"/>
  <c r="AY250" i="2"/>
  <c r="AU267" i="2"/>
  <c r="AY269" i="2"/>
  <c r="AY275" i="2"/>
  <c r="AY271" i="2"/>
  <c r="AY259" i="2"/>
  <c r="AY185" i="2"/>
  <c r="AY232" i="2"/>
  <c r="AY24" i="2"/>
  <c r="AY117" i="2"/>
  <c r="AY60" i="2"/>
  <c r="AY128" i="2"/>
  <c r="AY111" i="2"/>
  <c r="AY278" i="2"/>
  <c r="AY190" i="2"/>
  <c r="AY66" i="2"/>
  <c r="AY210" i="2"/>
  <c r="AY253" i="2"/>
  <c r="AY255" i="2"/>
  <c r="AY306" i="2"/>
  <c r="AY10" i="2"/>
  <c r="AY248" i="2"/>
  <c r="AY197" i="2"/>
  <c r="AY151" i="2"/>
  <c r="AY281" i="2"/>
  <c r="AY256" i="2"/>
  <c r="AU256" i="2"/>
  <c r="AU185" i="2"/>
  <c r="AY29" i="2"/>
  <c r="AY179" i="2"/>
  <c r="AY270" i="2"/>
  <c r="AY75" i="2"/>
  <c r="AY45" i="2"/>
  <c r="AY298" i="2"/>
  <c r="AY88" i="2"/>
  <c r="AY181" i="2"/>
  <c r="AY53" i="2"/>
  <c r="AY303" i="2"/>
  <c r="AY69" i="2"/>
  <c r="AY282" i="2"/>
  <c r="AY37" i="2"/>
  <c r="AY142" i="2"/>
  <c r="AY302" i="2"/>
  <c r="AY161" i="2"/>
  <c r="AY206" i="2"/>
  <c r="AY217" i="2"/>
  <c r="AY235" i="2"/>
  <c r="AY84" i="2"/>
  <c r="AY94" i="2"/>
  <c r="AU151" i="2"/>
  <c r="AU281" i="2"/>
  <c r="AY323" i="2"/>
  <c r="AY283" i="2"/>
  <c r="AY79" i="2"/>
  <c r="AU306" i="2"/>
  <c r="AY118" i="2"/>
  <c r="AU221" i="2"/>
  <c r="AU161" i="2"/>
  <c r="AY200" i="2"/>
  <c r="AY67" i="2"/>
  <c r="AY114" i="2"/>
  <c r="AY152" i="2"/>
  <c r="AY251" i="2"/>
  <c r="AY32" i="2"/>
  <c r="AY144" i="2"/>
  <c r="AY116" i="2"/>
  <c r="AY82" i="2"/>
  <c r="AY148" i="2"/>
  <c r="AY97" i="2"/>
  <c r="AY265" i="2"/>
  <c r="AY137" i="2"/>
  <c r="AY38" i="2"/>
  <c r="AY18" i="2"/>
  <c r="AY138" i="2"/>
  <c r="AY325" i="2"/>
  <c r="AY219" i="2"/>
  <c r="AY139" i="2"/>
  <c r="AY212" i="2"/>
  <c r="AY274" i="2"/>
  <c r="AY194" i="2"/>
  <c r="AY205" i="2"/>
  <c r="AU274" i="2"/>
  <c r="AU289" i="2"/>
  <c r="AY16" i="2"/>
  <c r="AU241" i="2"/>
  <c r="AU116" i="2"/>
  <c r="AY280" i="2"/>
  <c r="AY121" i="2"/>
  <c r="AY199" i="2"/>
  <c r="AY305" i="2"/>
  <c r="AY147" i="2"/>
  <c r="AU251" i="2"/>
  <c r="AU198" i="2"/>
  <c r="AU82" i="2"/>
  <c r="AU148" i="2"/>
  <c r="AY52" i="2"/>
  <c r="AU214" i="2"/>
  <c r="AU265" i="2"/>
  <c r="AY233" i="2"/>
  <c r="AU115" i="2"/>
  <c r="AY155" i="2"/>
  <c r="AY328" i="2"/>
  <c r="AU32" i="2"/>
  <c r="AY284" i="2"/>
  <c r="AU261" i="2"/>
  <c r="AU194" i="2"/>
  <c r="AU293" i="2"/>
  <c r="AY127" i="2"/>
  <c r="AY25" i="2"/>
  <c r="AY100" i="2"/>
  <c r="AY101" i="2"/>
  <c r="AU107" i="2"/>
  <c r="AU237" i="2"/>
  <c r="AU44" i="2"/>
  <c r="AU266" i="2"/>
  <c r="AY102" i="2"/>
  <c r="AY201" i="2"/>
  <c r="AU257" i="2"/>
  <c r="AU131" i="2"/>
  <c r="AU248" i="2"/>
  <c r="AU199" i="2"/>
  <c r="AV115" i="2"/>
  <c r="AY115" i="2" s="1"/>
  <c r="AY285" i="2"/>
  <c r="AY78" i="2"/>
  <c r="AY289" i="2"/>
  <c r="AU286" i="2"/>
  <c r="AU304" i="2"/>
  <c r="AU272" i="2"/>
  <c r="AU211" i="2"/>
  <c r="AY132" i="2"/>
  <c r="AY125" i="2"/>
  <c r="AY39" i="2"/>
  <c r="AU200" i="2"/>
  <c r="AY87" i="2"/>
  <c r="AY246" i="2"/>
  <c r="AY19" i="2"/>
  <c r="AY202" i="2"/>
  <c r="AU255" i="2"/>
  <c r="AY307" i="2"/>
  <c r="AY167" i="2"/>
  <c r="AU146" i="2"/>
  <c r="AU326" i="2"/>
  <c r="AY63" i="2"/>
  <c r="AY264" i="2"/>
  <c r="AY230" i="2"/>
  <c r="AY173" i="2"/>
  <c r="AY12" i="2"/>
  <c r="AU212" i="2"/>
  <c r="AY85" i="2"/>
  <c r="AY288" i="2"/>
  <c r="AY70" i="2"/>
  <c r="AY164" i="2"/>
  <c r="AY239" i="2"/>
  <c r="AY213" i="2"/>
  <c r="AU324" i="2"/>
  <c r="AU86" i="2"/>
  <c r="AU247" i="2"/>
  <c r="AY245" i="2"/>
  <c r="AU41" i="2"/>
  <c r="AY27" i="2"/>
  <c r="AU38" i="2"/>
  <c r="AY21" i="2"/>
  <c r="AU299" i="2"/>
  <c r="AY44" i="2"/>
  <c r="AU190" i="2"/>
  <c r="AY301" i="2"/>
  <c r="AY56" i="2"/>
  <c r="AY90" i="2"/>
  <c r="AY254" i="2"/>
  <c r="AY277" i="2"/>
  <c r="AY236" i="2"/>
  <c r="AU139" i="2"/>
  <c r="AU219" i="2"/>
  <c r="AY57" i="2"/>
  <c r="AY104" i="2"/>
  <c r="AU143" i="2"/>
  <c r="AU252" i="2"/>
  <c r="AU204" i="2"/>
  <c r="AU105" i="2"/>
  <c r="AY107" i="2"/>
  <c r="AU282" i="2"/>
  <c r="AU197" i="2"/>
  <c r="AU94" i="2"/>
  <c r="AU24" i="2"/>
  <c r="AU259" i="2"/>
  <c r="AU65" i="2"/>
  <c r="AV247" i="2"/>
  <c r="AY247" i="2" s="1"/>
  <c r="AV86" i="2"/>
  <c r="AY86" i="2" s="1"/>
  <c r="AY191" i="2"/>
  <c r="AY178" i="2"/>
  <c r="AY188" i="2"/>
  <c r="AU210" i="2"/>
  <c r="AY130" i="2"/>
  <c r="AU238" i="2"/>
  <c r="AU276" i="2"/>
  <c r="AU163" i="2"/>
  <c r="AV237" i="2"/>
  <c r="AY237" i="2" s="1"/>
  <c r="AU155" i="2"/>
  <c r="AY159" i="2"/>
  <c r="AY13" i="2"/>
  <c r="AV211" i="2"/>
  <c r="AY211" i="2" s="1"/>
  <c r="AY72" i="2"/>
  <c r="AY299" i="2"/>
  <c r="AY95" i="2"/>
  <c r="AU307" i="2"/>
  <c r="AU111" i="2"/>
  <c r="AU325" i="2"/>
  <c r="AU72" i="2"/>
  <c r="AU95" i="2"/>
  <c r="AU300" i="2"/>
  <c r="AU239" i="2"/>
  <c r="AU147" i="2"/>
  <c r="AU195" i="2"/>
  <c r="AU135" i="2"/>
  <c r="AY261" i="2"/>
  <c r="AY108" i="2"/>
  <c r="AY149" i="2"/>
  <c r="AU284" i="2"/>
  <c r="AU117" i="2"/>
  <c r="AU301" i="2"/>
  <c r="AV272" i="2"/>
  <c r="AY272" i="2" s="1"/>
  <c r="AV131" i="2"/>
  <c r="AY131" i="2" s="1"/>
  <c r="AU67" i="2"/>
  <c r="AU114" i="2"/>
  <c r="AU235" i="2"/>
  <c r="AU79" i="2"/>
  <c r="AU88" i="2"/>
  <c r="AU249" i="2"/>
  <c r="AY198" i="2"/>
  <c r="AU230" i="2"/>
  <c r="AU205" i="2"/>
  <c r="AU213" i="2"/>
  <c r="AU271" i="2"/>
  <c r="AU43" i="2"/>
  <c r="AU323" i="2"/>
  <c r="AU126" i="2"/>
  <c r="AU229" i="2"/>
  <c r="AU188" i="2"/>
  <c r="AU60" i="2"/>
  <c r="AU288" i="2"/>
  <c r="AU273" i="2"/>
  <c r="AU327" i="2"/>
  <c r="AU138" i="2"/>
  <c r="AY286" i="2"/>
  <c r="AU64" i="2"/>
  <c r="AV257" i="2"/>
  <c r="AY257" i="2" s="1"/>
  <c r="AU245" i="2"/>
  <c r="AY249" i="2"/>
  <c r="AY241" i="2"/>
  <c r="AY242" i="2"/>
  <c r="AU63" i="2"/>
  <c r="AV64" i="2"/>
  <c r="AY64" i="2" s="1"/>
  <c r="AV105" i="2"/>
  <c r="AY105" i="2" s="1"/>
  <c r="AU57" i="2"/>
  <c r="AU217" i="2"/>
  <c r="AY43" i="2"/>
  <c r="AV304" i="2"/>
  <c r="AY304" i="2" s="1"/>
  <c r="AV324" i="2"/>
  <c r="AY324" i="2" s="1"/>
  <c r="AV266" i="2"/>
  <c r="AY266" i="2" s="1"/>
  <c r="AU152" i="2"/>
  <c r="AU167" i="2"/>
  <c r="AU100" i="2"/>
  <c r="AU12" i="2"/>
  <c r="AU191" i="2"/>
  <c r="AU244" i="2"/>
  <c r="AV143" i="2"/>
  <c r="AY143" i="2" s="1"/>
  <c r="AU170" i="2"/>
  <c r="AY244" i="2"/>
  <c r="AV252" i="2"/>
  <c r="AY252" i="2" s="1"/>
  <c r="AY293" i="2"/>
  <c r="AU75" i="2"/>
  <c r="AU70" i="2"/>
  <c r="AY234" i="2"/>
  <c r="AU240" i="2"/>
  <c r="AU29" i="2"/>
  <c r="AU53" i="2"/>
  <c r="AU232" i="2"/>
  <c r="AU203" i="2"/>
  <c r="AU263" i="2"/>
  <c r="AU303" i="2"/>
  <c r="AU226" i="2"/>
  <c r="AU101" i="2"/>
  <c r="AU104" i="2"/>
  <c r="AU37" i="2"/>
  <c r="AY112" i="2"/>
  <c r="AU97" i="2"/>
  <c r="AU137" i="2"/>
  <c r="AY146" i="2"/>
  <c r="AY195" i="2"/>
  <c r="AY145" i="2"/>
  <c r="AU264" i="2"/>
  <c r="AY177" i="2"/>
  <c r="AU132" i="2"/>
  <c r="AV204" i="2"/>
  <c r="AY204" i="2" s="1"/>
  <c r="AY240" i="2"/>
  <c r="AY203" i="2"/>
  <c r="AU243" i="2"/>
  <c r="AV276" i="2"/>
  <c r="AY276" i="2" s="1"/>
  <c r="AY228" i="2"/>
  <c r="AY77" i="2"/>
  <c r="AV326" i="2"/>
  <c r="AY326" i="2" s="1"/>
  <c r="AY110" i="2"/>
  <c r="AU127" i="2"/>
  <c r="AU270" i="2"/>
  <c r="AU298" i="2"/>
  <c r="AU269" i="2"/>
  <c r="AU54" i="2"/>
  <c r="AY216" i="2"/>
  <c r="AU202" i="2"/>
  <c r="AY207" i="2"/>
  <c r="AU18" i="2"/>
  <c r="AU169" i="2"/>
  <c r="AU164" i="2"/>
  <c r="AU283" i="2"/>
  <c r="AU206" i="2"/>
  <c r="AY126" i="2"/>
  <c r="AU102" i="2"/>
  <c r="AY214" i="2"/>
  <c r="AY226" i="2"/>
  <c r="AV238" i="2"/>
  <c r="AY238" i="2" s="1"/>
  <c r="AY196" i="2"/>
  <c r="AV163" i="2"/>
  <c r="AY163" i="2" s="1"/>
  <c r="AU182" i="2"/>
  <c r="AY54" i="2"/>
  <c r="AY15" i="2"/>
  <c r="AV65" i="2"/>
  <c r="AY65" i="2" s="1"/>
  <c r="AV41" i="2"/>
  <c r="AY41" i="2" s="1"/>
  <c r="AV170" i="2"/>
  <c r="AY170" i="2" s="1"/>
  <c r="AY229" i="2"/>
  <c r="AU27" i="2"/>
  <c r="AU25" i="2"/>
  <c r="AU45" i="2"/>
  <c r="AU278" i="2"/>
  <c r="AU254" i="2"/>
  <c r="AU196" i="2"/>
  <c r="AU85" i="2"/>
  <c r="AU52" i="2"/>
  <c r="AU233" i="2"/>
  <c r="AU328" i="2"/>
  <c r="AU69" i="2"/>
  <c r="AU71" i="2"/>
  <c r="AU16" i="2"/>
  <c r="AU179" i="2"/>
  <c r="AU124" i="2"/>
  <c r="AU109" i="2"/>
  <c r="AU142" i="2"/>
  <c r="AY287" i="2"/>
  <c r="AU280" i="2"/>
  <c r="AY58" i="2"/>
  <c r="AU302" i="2"/>
  <c r="AU305" i="2"/>
  <c r="AY165" i="2"/>
  <c r="AR14" i="2"/>
  <c r="AP14" i="2"/>
  <c r="AR99" i="2"/>
  <c r="AP99" i="2"/>
  <c r="AV99" i="2" s="1"/>
  <c r="AU207" i="2"/>
  <c r="AV263" i="2"/>
  <c r="AY263" i="2" s="1"/>
  <c r="AR46" i="2"/>
  <c r="AP46" i="2"/>
  <c r="AR106" i="2"/>
  <c r="AP106" i="2"/>
  <c r="AV106" i="2" s="1"/>
  <c r="AR73" i="2"/>
  <c r="AP73" i="2"/>
  <c r="AV73" i="2" s="1"/>
  <c r="AR42" i="2"/>
  <c r="AP42" i="2"/>
  <c r="AR183" i="2"/>
  <c r="AP183" i="2"/>
  <c r="AV183" i="2" s="1"/>
  <c r="AR120" i="2"/>
  <c r="AP120" i="2"/>
  <c r="AV120" i="2" s="1"/>
  <c r="AR80" i="2"/>
  <c r="AP80" i="2"/>
  <c r="AV80" i="2" s="1"/>
  <c r="AR133" i="2"/>
  <c r="AP133" i="2"/>
  <c r="AR11" i="2"/>
  <c r="AP11" i="2"/>
  <c r="AV11" i="2" s="1"/>
  <c r="AR28" i="2"/>
  <c r="AP28" i="2"/>
  <c r="AV28" i="2" s="1"/>
  <c r="AR49" i="2"/>
  <c r="AP49" i="2"/>
  <c r="AV49" i="2" s="1"/>
  <c r="AR168" i="2"/>
  <c r="AP168" i="2"/>
  <c r="AR296" i="2"/>
  <c r="AP296" i="2"/>
  <c r="AV296" i="2" s="1"/>
  <c r="AU216" i="2"/>
  <c r="AU112" i="2"/>
  <c r="AU58" i="2"/>
  <c r="AR22" i="2"/>
  <c r="AP22" i="2"/>
  <c r="AR17" i="2"/>
  <c r="AP17" i="2"/>
  <c r="AV17" i="2" s="1"/>
  <c r="AV327" i="2"/>
  <c r="AY327" i="2" s="1"/>
  <c r="AR309" i="2"/>
  <c r="AP309" i="2"/>
  <c r="AV309" i="2" s="1"/>
  <c r="AR297" i="2"/>
  <c r="AP297" i="2"/>
  <c r="AV297" i="2" s="1"/>
  <c r="AR30" i="2"/>
  <c r="AP30" i="2"/>
  <c r="AR224" i="2"/>
  <c r="AP224" i="2"/>
  <c r="AV224" i="2" s="1"/>
  <c r="AR292" i="2"/>
  <c r="AP292" i="2"/>
  <c r="AV292" i="2" s="1"/>
  <c r="AR172" i="2"/>
  <c r="AP172" i="2"/>
  <c r="AV172" i="2" s="1"/>
  <c r="AR122" i="2"/>
  <c r="AP122" i="2"/>
  <c r="AR208" i="2"/>
  <c r="AP208" i="2"/>
  <c r="AV208" i="2" s="1"/>
  <c r="AR189" i="2"/>
  <c r="AP189" i="2"/>
  <c r="AV189" i="2" s="1"/>
  <c r="AR166" i="2"/>
  <c r="AP166" i="2"/>
  <c r="AV166" i="2" s="1"/>
  <c r="AR9" i="2"/>
  <c r="AP9" i="2"/>
  <c r="AV9" i="2" s="1"/>
  <c r="AR62" i="2"/>
  <c r="AP62" i="2"/>
  <c r="AV62" i="2" s="1"/>
  <c r="AR76" i="2"/>
  <c r="AP76" i="2"/>
  <c r="AV76" i="2" s="1"/>
  <c r="AR141" i="2"/>
  <c r="AP141" i="2"/>
  <c r="AV141" i="2" s="1"/>
  <c r="AU156" i="2"/>
  <c r="AU19" i="2"/>
  <c r="AR61" i="2"/>
  <c r="AP61" i="2"/>
  <c r="AV61" i="2" s="1"/>
  <c r="AR119" i="2"/>
  <c r="AP119" i="2"/>
  <c r="AV119" i="2" s="1"/>
  <c r="AV273" i="2"/>
  <c r="AY273" i="2" s="1"/>
  <c r="AV109" i="2"/>
  <c r="AY109" i="2" s="1"/>
  <c r="AV135" i="2"/>
  <c r="AY135" i="2" s="1"/>
  <c r="AR158" i="2"/>
  <c r="AP158" i="2"/>
  <c r="AV158" i="2" s="1"/>
  <c r="AR175" i="2"/>
  <c r="AP175" i="2"/>
  <c r="AV175" i="2" s="1"/>
  <c r="AR55" i="2"/>
  <c r="AP55" i="2"/>
  <c r="AV55" i="2" s="1"/>
  <c r="AR93" i="2"/>
  <c r="AP93" i="2"/>
  <c r="AV93" i="2" s="1"/>
  <c r="AR92" i="2"/>
  <c r="AP92" i="2"/>
  <c r="AV92" i="2" s="1"/>
  <c r="AR154" i="2"/>
  <c r="AP154" i="2"/>
  <c r="AV154" i="2" s="1"/>
  <c r="AR290" i="2"/>
  <c r="AP290" i="2"/>
  <c r="AV290" i="2" s="1"/>
  <c r="AR103" i="2"/>
  <c r="AP103" i="2"/>
  <c r="AV103" i="2" s="1"/>
  <c r="AR20" i="2"/>
  <c r="AP20" i="2"/>
  <c r="AV20" i="2" s="1"/>
  <c r="AR134" i="2"/>
  <c r="AP134" i="2"/>
  <c r="AV134" i="2" s="1"/>
  <c r="AR150" i="2"/>
  <c r="AP150" i="2"/>
  <c r="AV150" i="2" s="1"/>
  <c r="AR40" i="2"/>
  <c r="AP40" i="2"/>
  <c r="AV40" i="2" s="1"/>
  <c r="AU130" i="2"/>
  <c r="AU181" i="2"/>
  <c r="AU10" i="2"/>
  <c r="AU125" i="2"/>
  <c r="AR192" i="2"/>
  <c r="AP192" i="2"/>
  <c r="AV192" i="2" s="1"/>
  <c r="AR180" i="2"/>
  <c r="AP180" i="2"/>
  <c r="AV180" i="2" s="1"/>
  <c r="AV71" i="2"/>
  <c r="AY71" i="2" s="1"/>
  <c r="AV169" i="2"/>
  <c r="AY169" i="2" s="1"/>
  <c r="AR160" i="2"/>
  <c r="AP160" i="2"/>
  <c r="AV160" i="2" s="1"/>
  <c r="AR187" i="2"/>
  <c r="AP187" i="2"/>
  <c r="AV187" i="2" s="1"/>
  <c r="AR136" i="2"/>
  <c r="AP136" i="2"/>
  <c r="AV136" i="2" s="1"/>
  <c r="AR295" i="2"/>
  <c r="AP295" i="2"/>
  <c r="AV295" i="2" s="1"/>
  <c r="AR162" i="2"/>
  <c r="AP162" i="2"/>
  <c r="AV162" i="2" s="1"/>
  <c r="AR268" i="2"/>
  <c r="AP268" i="2"/>
  <c r="AV268" i="2" s="1"/>
  <c r="AR50" i="2"/>
  <c r="AP50" i="2"/>
  <c r="AV50" i="2" s="1"/>
  <c r="AR220" i="2"/>
  <c r="AP220" i="2"/>
  <c r="AV220" i="2" s="1"/>
  <c r="AR140" i="2"/>
  <c r="AP140" i="2"/>
  <c r="AV140" i="2" s="1"/>
  <c r="AR279" i="2"/>
  <c r="AP279" i="2"/>
  <c r="AV279" i="2" s="1"/>
  <c r="AR193" i="2"/>
  <c r="AP193" i="2"/>
  <c r="AV193" i="2" s="1"/>
  <c r="AR176" i="2"/>
  <c r="AP176" i="2"/>
  <c r="AV176" i="2" s="1"/>
  <c r="AR308" i="2"/>
  <c r="AP308" i="2"/>
  <c r="AV308" i="2" s="1"/>
  <c r="AU234" i="2"/>
  <c r="AU108" i="2"/>
  <c r="AU287" i="2"/>
  <c r="AU121" i="2"/>
  <c r="AU173" i="2"/>
  <c r="AR98" i="2"/>
  <c r="AP98" i="2"/>
  <c r="AV98" i="2" s="1"/>
  <c r="AR83" i="2"/>
  <c r="AP83" i="2"/>
  <c r="AR260" i="2"/>
  <c r="AP260" i="2"/>
  <c r="AV260" i="2" s="1"/>
  <c r="AU15" i="2"/>
  <c r="AU144" i="2"/>
  <c r="AR171" i="2"/>
  <c r="AP171" i="2"/>
  <c r="AV171" i="2" s="1"/>
  <c r="AR225" i="2"/>
  <c r="AP225" i="2"/>
  <c r="AV225" i="2" s="1"/>
  <c r="AR223" i="2"/>
  <c r="AP223" i="2"/>
  <c r="AV223" i="2" s="1"/>
  <c r="AR26" i="2"/>
  <c r="AP26" i="2"/>
  <c r="AV26" i="2" s="1"/>
  <c r="AR209" i="2"/>
  <c r="AP209" i="2"/>
  <c r="AV209" i="2" s="1"/>
  <c r="AV300" i="2"/>
  <c r="AY300" i="2" s="1"/>
  <c r="AR51" i="2"/>
  <c r="AP51" i="2"/>
  <c r="AV51" i="2" s="1"/>
  <c r="AR129" i="2"/>
  <c r="AP129" i="2"/>
  <c r="AV129" i="2" s="1"/>
  <c r="AR258" i="2"/>
  <c r="AP258" i="2"/>
  <c r="AV258" i="2" s="1"/>
  <c r="AR262" i="2"/>
  <c r="AP262" i="2"/>
  <c r="AV262" i="2" s="1"/>
  <c r="AR113" i="2"/>
  <c r="AP113" i="2"/>
  <c r="AV113" i="2" s="1"/>
  <c r="AR291" i="2"/>
  <c r="AP291" i="2"/>
  <c r="AR96" i="2"/>
  <c r="AP96" i="2"/>
  <c r="AV96" i="2" s="1"/>
  <c r="AR74" i="2"/>
  <c r="AP74" i="2"/>
  <c r="AV74" i="2" s="1"/>
  <c r="AR123" i="2"/>
  <c r="AP123" i="2"/>
  <c r="AV123" i="2" s="1"/>
  <c r="AR222" i="2"/>
  <c r="AP222" i="2"/>
  <c r="AR35" i="2"/>
  <c r="AP35" i="2"/>
  <c r="AV35" i="2" s="1"/>
  <c r="AR89" i="2"/>
  <c r="AP89" i="2"/>
  <c r="AV89" i="2" s="1"/>
  <c r="AR294" i="2"/>
  <c r="AP294" i="2"/>
  <c r="AV294" i="2" s="1"/>
  <c r="AR174" i="2"/>
  <c r="AP174" i="2"/>
  <c r="AV174" i="2" s="1"/>
  <c r="AR23" i="2"/>
  <c r="AP23" i="2"/>
  <c r="AR59" i="2"/>
  <c r="AP59" i="2"/>
  <c r="AR91" i="2"/>
  <c r="AP91" i="2"/>
  <c r="AR48" i="2"/>
  <c r="AP48" i="2"/>
  <c r="AV48" i="2" s="1"/>
  <c r="AR186" i="2"/>
  <c r="AP186" i="2"/>
  <c r="AV186" i="2" s="1"/>
  <c r="AR81" i="2"/>
  <c r="AP81" i="2"/>
  <c r="AV81" i="2" s="1"/>
  <c r="AR33" i="2"/>
  <c r="AP33" i="2"/>
  <c r="AR215" i="2"/>
  <c r="AP215" i="2"/>
  <c r="AV215" i="2" s="1"/>
  <c r="AR36" i="2"/>
  <c r="AP36" i="2"/>
  <c r="AV36" i="2" s="1"/>
  <c r="AR34" i="2"/>
  <c r="AP34" i="2"/>
  <c r="AR227" i="2"/>
  <c r="AP227" i="2"/>
  <c r="AV227" i="2" s="1"/>
  <c r="AR153" i="2"/>
  <c r="AP153" i="2"/>
  <c r="AV153" i="2" s="1"/>
  <c r="AR184" i="2"/>
  <c r="AP184" i="2"/>
  <c r="AV184" i="2" s="1"/>
  <c r="AR157" i="2"/>
  <c r="AP157" i="2"/>
  <c r="AV157" i="2" s="1"/>
  <c r="AR68" i="2"/>
  <c r="AP68" i="2"/>
  <c r="AR47" i="2"/>
  <c r="AP47" i="2"/>
  <c r="AV47" i="2" s="1"/>
  <c r="AU39" i="2"/>
  <c r="AX48" i="2"/>
  <c r="AW48" i="2"/>
  <c r="AX186" i="2"/>
  <c r="AW186" i="2"/>
  <c r="AX81" i="2"/>
  <c r="AW81" i="2"/>
  <c r="AX33" i="2"/>
  <c r="AW33" i="2"/>
  <c r="AX215" i="2"/>
  <c r="AW215" i="2"/>
  <c r="AX113" i="2"/>
  <c r="AW113" i="2"/>
  <c r="AX291" i="2"/>
  <c r="AW291" i="2"/>
  <c r="AX96" i="2"/>
  <c r="AW96" i="2"/>
  <c r="AX74" i="2"/>
  <c r="AW74" i="2"/>
  <c r="AX123" i="2"/>
  <c r="AW123" i="2"/>
  <c r="AX222" i="2"/>
  <c r="AW222" i="2"/>
  <c r="AX35" i="2"/>
  <c r="AW35" i="2"/>
  <c r="AX89" i="2"/>
  <c r="AW89" i="2"/>
  <c r="AX61" i="2"/>
  <c r="AW61" i="2"/>
  <c r="AX98" i="2"/>
  <c r="AW98" i="2"/>
  <c r="AX192" i="2"/>
  <c r="AW192" i="2"/>
  <c r="AX22" i="2"/>
  <c r="AW22" i="2"/>
  <c r="AX36" i="2"/>
  <c r="AW36" i="2"/>
  <c r="AX34" i="2"/>
  <c r="AW34" i="2"/>
  <c r="AX227" i="2"/>
  <c r="AW227" i="2"/>
  <c r="AX153" i="2"/>
  <c r="AW153" i="2"/>
  <c r="AX184" i="2"/>
  <c r="AW184" i="2"/>
  <c r="AQ157" i="2"/>
  <c r="AX157" i="2"/>
  <c r="AW157" i="2"/>
  <c r="AX68" i="2"/>
  <c r="AW68" i="2"/>
  <c r="AX47" i="2"/>
  <c r="AW47" i="2"/>
  <c r="AX46" i="2"/>
  <c r="AW46" i="2"/>
  <c r="AX106" i="2"/>
  <c r="AW106" i="2"/>
  <c r="AX73" i="2"/>
  <c r="AW73" i="2"/>
  <c r="AX42" i="2"/>
  <c r="AW42" i="2"/>
  <c r="AX14" i="2"/>
  <c r="AW14" i="2"/>
  <c r="AX171" i="2"/>
  <c r="AW171" i="2"/>
  <c r="AX180" i="2"/>
  <c r="AW180" i="2"/>
  <c r="AX294" i="2"/>
  <c r="AW294" i="2"/>
  <c r="AX17" i="2"/>
  <c r="AW17" i="2"/>
  <c r="AX119" i="2"/>
  <c r="AW119" i="2"/>
  <c r="AX99" i="2"/>
  <c r="AW99" i="2"/>
  <c r="AW309" i="2"/>
  <c r="AX309" i="2"/>
  <c r="AW297" i="2"/>
  <c r="AX297" i="2"/>
  <c r="AX30" i="2"/>
  <c r="AW30" i="2"/>
  <c r="AX224" i="2"/>
  <c r="AW224" i="2"/>
  <c r="AX292" i="2"/>
  <c r="AW292" i="2"/>
  <c r="AX183" i="2"/>
  <c r="AW183" i="2"/>
  <c r="AX120" i="2"/>
  <c r="AW120" i="2"/>
  <c r="AX80" i="2"/>
  <c r="AW80" i="2"/>
  <c r="AQ133" i="2"/>
  <c r="AX133" i="2"/>
  <c r="AW133" i="2"/>
  <c r="AX11" i="2"/>
  <c r="AW11" i="2"/>
  <c r="AX28" i="2"/>
  <c r="AW28" i="2"/>
  <c r="AX49" i="2"/>
  <c r="AW49" i="2"/>
  <c r="AX168" i="2"/>
  <c r="AW168" i="2"/>
  <c r="AX296" i="2"/>
  <c r="AW296" i="2"/>
  <c r="AX158" i="2"/>
  <c r="AW158" i="2"/>
  <c r="AX175" i="2"/>
  <c r="AW175" i="2"/>
  <c r="AX55" i="2"/>
  <c r="AW55" i="2"/>
  <c r="AX172" i="2"/>
  <c r="AW172" i="2"/>
  <c r="AX122" i="2"/>
  <c r="AW122" i="2"/>
  <c r="AX208" i="2"/>
  <c r="AW208" i="2"/>
  <c r="AX189" i="2"/>
  <c r="AW189" i="2"/>
  <c r="AX166" i="2"/>
  <c r="AW166" i="2"/>
  <c r="AW9" i="2"/>
  <c r="AX9" i="2"/>
  <c r="AX62" i="2"/>
  <c r="AW62" i="2"/>
  <c r="AX76" i="2"/>
  <c r="AW76" i="2"/>
  <c r="AX141" i="2"/>
  <c r="AW141" i="2"/>
  <c r="AX160" i="2"/>
  <c r="AW160" i="2"/>
  <c r="AX187" i="2"/>
  <c r="AW187" i="2"/>
  <c r="AX136" i="2"/>
  <c r="AW136" i="2"/>
  <c r="AX93" i="2"/>
  <c r="AW93" i="2"/>
  <c r="AX92" i="2"/>
  <c r="AW92" i="2"/>
  <c r="AX154" i="2"/>
  <c r="AW154" i="2"/>
  <c r="AX290" i="2"/>
  <c r="AW290" i="2"/>
  <c r="AX103" i="2"/>
  <c r="AW103" i="2"/>
  <c r="AX20" i="2"/>
  <c r="AW20" i="2"/>
  <c r="AX134" i="2"/>
  <c r="AW134" i="2"/>
  <c r="AX150" i="2"/>
  <c r="AW150" i="2"/>
  <c r="AX40" i="2"/>
  <c r="AW40" i="2"/>
  <c r="AX174" i="2"/>
  <c r="AW174" i="2"/>
  <c r="AX225" i="2"/>
  <c r="AW225" i="2"/>
  <c r="AX295" i="2"/>
  <c r="AW295" i="2"/>
  <c r="AX162" i="2"/>
  <c r="AW162" i="2"/>
  <c r="AX268" i="2"/>
  <c r="AW268" i="2"/>
  <c r="AX50" i="2"/>
  <c r="AW50" i="2"/>
  <c r="AX220" i="2"/>
  <c r="AW220" i="2"/>
  <c r="AX140" i="2"/>
  <c r="AW140" i="2"/>
  <c r="AX279" i="2"/>
  <c r="AW279" i="2"/>
  <c r="AX193" i="2"/>
  <c r="AW193" i="2"/>
  <c r="AX176" i="2"/>
  <c r="AW176" i="2"/>
  <c r="AX308" i="2"/>
  <c r="AW308" i="2"/>
  <c r="AX51" i="2"/>
  <c r="AW51" i="2"/>
  <c r="AX129" i="2"/>
  <c r="AW129" i="2"/>
  <c r="AX258" i="2"/>
  <c r="AW258" i="2"/>
  <c r="AX262" i="2"/>
  <c r="AW262" i="2"/>
  <c r="AX23" i="2"/>
  <c r="AW23" i="2"/>
  <c r="AX223" i="2"/>
  <c r="AW223" i="2"/>
  <c r="AX83" i="2"/>
  <c r="AW83" i="2"/>
  <c r="AX59" i="2"/>
  <c r="AW59" i="2"/>
  <c r="AX26" i="2"/>
  <c r="AW26" i="2"/>
  <c r="AX91" i="2"/>
  <c r="AW91" i="2"/>
  <c r="AX260" i="2"/>
  <c r="AW260" i="2"/>
  <c r="AX209" i="2"/>
  <c r="AW209" i="2"/>
  <c r="AO311" i="2"/>
  <c r="X15" i="3"/>
  <c r="Y15" i="3"/>
  <c r="Q17" i="3"/>
  <c r="Y17" i="3" s="1"/>
  <c r="S17" i="3"/>
  <c r="R17" i="3"/>
  <c r="X7" i="3"/>
  <c r="Y7" i="3"/>
  <c r="W20" i="3"/>
  <c r="AQ193" i="2"/>
  <c r="AQ49" i="2"/>
  <c r="AQ290" i="2"/>
  <c r="AQ51" i="2"/>
  <c r="AQ33" i="2"/>
  <c r="AQ215" i="2"/>
  <c r="AQ113" i="2"/>
  <c r="AV291" i="2"/>
  <c r="AQ279" i="2"/>
  <c r="AQ171" i="2"/>
  <c r="AQ134" i="2"/>
  <c r="AQ68" i="2"/>
  <c r="AQ36" i="2"/>
  <c r="AQ296" i="2"/>
  <c r="AQ292" i="2"/>
  <c r="AQ227" i="2"/>
  <c r="AQ295" i="2"/>
  <c r="AQ154" i="2"/>
  <c r="AQ172" i="2"/>
  <c r="AQ35" i="2"/>
  <c r="AQ46" i="2"/>
  <c r="AQ168" i="2"/>
  <c r="AQ96" i="2"/>
  <c r="AQ220" i="2"/>
  <c r="AQ262" i="2"/>
  <c r="AQ140" i="2"/>
  <c r="AQ92" i="2"/>
  <c r="AQ297" i="2"/>
  <c r="AQ291" i="2"/>
  <c r="AQ17" i="2"/>
  <c r="AQ150" i="2"/>
  <c r="AQ153" i="2"/>
  <c r="AQ222" i="2"/>
  <c r="AQ175" i="2"/>
  <c r="AQ81" i="2"/>
  <c r="AQ11" i="2"/>
  <c r="AQ26" i="2"/>
  <c r="AQ120" i="2"/>
  <c r="AQ55" i="2"/>
  <c r="AQ209" i="2"/>
  <c r="AQ50" i="2"/>
  <c r="AQ30" i="2"/>
  <c r="AQ258" i="2"/>
  <c r="AQ42" i="2"/>
  <c r="AQ223" i="2"/>
  <c r="AQ14" i="2"/>
  <c r="AQ73" i="2"/>
  <c r="AQ83" i="2"/>
  <c r="AQ189" i="2"/>
  <c r="AQ103" i="2"/>
  <c r="AQ61" i="2"/>
  <c r="AQ93" i="2"/>
  <c r="AQ166" i="2"/>
  <c r="AQ184" i="2"/>
  <c r="AQ62" i="2"/>
  <c r="AQ99" i="2"/>
  <c r="AQ129" i="2"/>
  <c r="AQ76" i="2"/>
  <c r="AQ80" i="2"/>
  <c r="AQ268" i="2"/>
  <c r="AQ106" i="2"/>
  <c r="AQ59" i="2"/>
  <c r="AQ224" i="2"/>
  <c r="AQ28" i="2"/>
  <c r="AQ158" i="2"/>
  <c r="AQ183" i="2"/>
  <c r="AQ123" i="2"/>
  <c r="AQ260" i="2"/>
  <c r="AQ91" i="2"/>
  <c r="AQ22" i="2"/>
  <c r="AQ34" i="2"/>
  <c r="AQ176" i="2"/>
  <c r="AQ192" i="2"/>
  <c r="AQ74" i="2"/>
  <c r="AQ187" i="2"/>
  <c r="AQ294" i="2"/>
  <c r="AQ160" i="2"/>
  <c r="AQ208" i="2"/>
  <c r="AQ9" i="2"/>
  <c r="AQ136" i="2"/>
  <c r="AQ162" i="2"/>
  <c r="AQ20" i="2"/>
  <c r="AQ180" i="2"/>
  <c r="AQ98" i="2"/>
  <c r="AQ119" i="2"/>
  <c r="AQ186" i="2"/>
  <c r="AQ122" i="2"/>
  <c r="AQ225" i="2"/>
  <c r="AQ174" i="2"/>
  <c r="AQ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AQ141" i="2"/>
  <c r="AQ308" i="2"/>
  <c r="AQ40" i="2"/>
  <c r="AQ89" i="2"/>
  <c r="X17" i="3"/>
  <c r="AQ47" i="2"/>
  <c r="AQ48" i="2"/>
  <c r="AQ309" i="2"/>
  <c r="G313" i="2"/>
  <c r="H312" i="2"/>
  <c r="P311" i="2"/>
  <c r="AD311" i="2"/>
  <c r="O311" i="2"/>
  <c r="AU136" i="2" l="1"/>
  <c r="AU119" i="2"/>
  <c r="AU129" i="2"/>
  <c r="AU26" i="2"/>
  <c r="AU48" i="2"/>
  <c r="AY40" i="2"/>
  <c r="AY62" i="2"/>
  <c r="AU176" i="2"/>
  <c r="AY175" i="2"/>
  <c r="AU309" i="2"/>
  <c r="AU292" i="2"/>
  <c r="AY47" i="2"/>
  <c r="AU160" i="2"/>
  <c r="AU76" i="2"/>
  <c r="AU189" i="2"/>
  <c r="AY35" i="2"/>
  <c r="AY158" i="2"/>
  <c r="AY227" i="2"/>
  <c r="AY294" i="2"/>
  <c r="AU62" i="2"/>
  <c r="AU171" i="2"/>
  <c r="AU184" i="2"/>
  <c r="AU296" i="2"/>
  <c r="AU208" i="2"/>
  <c r="AU68" i="2"/>
  <c r="AY51" i="2"/>
  <c r="AY268" i="2"/>
  <c r="AY290" i="2"/>
  <c r="AU224" i="2"/>
  <c r="AU186" i="2"/>
  <c r="AY80" i="2"/>
  <c r="AV68" i="2"/>
  <c r="AY68" i="2" s="1"/>
  <c r="AY184" i="2"/>
  <c r="AU35" i="2"/>
  <c r="AY157" i="2"/>
  <c r="AU187" i="2"/>
  <c r="AY140" i="2"/>
  <c r="AY171" i="2"/>
  <c r="AU150" i="2"/>
  <c r="AY223" i="2"/>
  <c r="AY262" i="2"/>
  <c r="AY55" i="2"/>
  <c r="AY106" i="2"/>
  <c r="AU192" i="2"/>
  <c r="AY141" i="2"/>
  <c r="AY166" i="2"/>
  <c r="AY73" i="2"/>
  <c r="AY99" i="2"/>
  <c r="AY224" i="2"/>
  <c r="AY36" i="2"/>
  <c r="AU59" i="2"/>
  <c r="AU89" i="2"/>
  <c r="AY225" i="2"/>
  <c r="AU83" i="2"/>
  <c r="AU36" i="2"/>
  <c r="AY89" i="2"/>
  <c r="AU74" i="2"/>
  <c r="AU262" i="2"/>
  <c r="AY160" i="2"/>
  <c r="AU40" i="2"/>
  <c r="AU103" i="2"/>
  <c r="AY92" i="2"/>
  <c r="AY129" i="2"/>
  <c r="AU258" i="2"/>
  <c r="AU220" i="2"/>
  <c r="AY154" i="2"/>
  <c r="AY20" i="2"/>
  <c r="AY260" i="2"/>
  <c r="AU157" i="2"/>
  <c r="AY153" i="2"/>
  <c r="AU61" i="2"/>
  <c r="AU46" i="2"/>
  <c r="AY74" i="2"/>
  <c r="AY174" i="2"/>
  <c r="AY26" i="2"/>
  <c r="AU33" i="2"/>
  <c r="AY193" i="2"/>
  <c r="AY50" i="2"/>
  <c r="AU122" i="2"/>
  <c r="AU30" i="2"/>
  <c r="AU168" i="2"/>
  <c r="AU133" i="2"/>
  <c r="AU42" i="2"/>
  <c r="AY48" i="2"/>
  <c r="AU180" i="2"/>
  <c r="AY9" i="2"/>
  <c r="AY28" i="2"/>
  <c r="AY215" i="2"/>
  <c r="AU297" i="2"/>
  <c r="AY208" i="2"/>
  <c r="AU22" i="2"/>
  <c r="AY297" i="2"/>
  <c r="AU141" i="2"/>
  <c r="AY61" i="2"/>
  <c r="AY123" i="2"/>
  <c r="AY209" i="2"/>
  <c r="AV33" i="2"/>
  <c r="AY33" i="2" s="1"/>
  <c r="AV133" i="2"/>
  <c r="AY133" i="2" s="1"/>
  <c r="AY81" i="2"/>
  <c r="AY49" i="2"/>
  <c r="AV42" i="2"/>
  <c r="AY42" i="2" s="1"/>
  <c r="AU51" i="2"/>
  <c r="AU193" i="2"/>
  <c r="AU215" i="2"/>
  <c r="AU23" i="2"/>
  <c r="AU209" i="2"/>
  <c r="AY279" i="2"/>
  <c r="AU268" i="2"/>
  <c r="AU92" i="2"/>
  <c r="AU175" i="2"/>
  <c r="AU172" i="2"/>
  <c r="AU49" i="2"/>
  <c r="AU80" i="2"/>
  <c r="AU225" i="2"/>
  <c r="AU20" i="2"/>
  <c r="AY17" i="2"/>
  <c r="AY186" i="2"/>
  <c r="AV122" i="2"/>
  <c r="AY122" i="2" s="1"/>
  <c r="AY103" i="2"/>
  <c r="AU166" i="2"/>
  <c r="AY220" i="2"/>
  <c r="AY258" i="2"/>
  <c r="AY192" i="2"/>
  <c r="AV46" i="2"/>
  <c r="AY46" i="2" s="1"/>
  <c r="AY292" i="2"/>
  <c r="AV83" i="2"/>
  <c r="AY83" i="2" s="1"/>
  <c r="AU227" i="2"/>
  <c r="AU96" i="2"/>
  <c r="AU98" i="2"/>
  <c r="AU308" i="2"/>
  <c r="AU73" i="2"/>
  <c r="AY98" i="2"/>
  <c r="AU81" i="2"/>
  <c r="AY309" i="2"/>
  <c r="AY189" i="2"/>
  <c r="AY162" i="2"/>
  <c r="AY136" i="2"/>
  <c r="AY93" i="2"/>
  <c r="AY150" i="2"/>
  <c r="AY113" i="2"/>
  <c r="AU174" i="2"/>
  <c r="AU140" i="2"/>
  <c r="AU158" i="2"/>
  <c r="AU28" i="2"/>
  <c r="AU99" i="2"/>
  <c r="AU34" i="2"/>
  <c r="AU222" i="2"/>
  <c r="AU291" i="2"/>
  <c r="AU162" i="2"/>
  <c r="AU290" i="2"/>
  <c r="AU93" i="2"/>
  <c r="AU120" i="2"/>
  <c r="AU154" i="2"/>
  <c r="AU47" i="2"/>
  <c r="AY295" i="2"/>
  <c r="AY187" i="2"/>
  <c r="AY76" i="2"/>
  <c r="AU50" i="2"/>
  <c r="AU153" i="2"/>
  <c r="AY134" i="2"/>
  <c r="AU134" i="2"/>
  <c r="AY291" i="2"/>
  <c r="AY176" i="2"/>
  <c r="AY172" i="2"/>
  <c r="AY296" i="2"/>
  <c r="AY11" i="2"/>
  <c r="AY183" i="2"/>
  <c r="AV30" i="2"/>
  <c r="AY30" i="2" s="1"/>
  <c r="AY96" i="2"/>
  <c r="AU91" i="2"/>
  <c r="AU294" i="2"/>
  <c r="AU223" i="2"/>
  <c r="AU260" i="2"/>
  <c r="AU11" i="2"/>
  <c r="AU106" i="2"/>
  <c r="AU14" i="2"/>
  <c r="AV59" i="2"/>
  <c r="AY59" i="2" s="1"/>
  <c r="AY308" i="2"/>
  <c r="AY120" i="2"/>
  <c r="AV222" i="2"/>
  <c r="AY222" i="2" s="1"/>
  <c r="AV34" i="2"/>
  <c r="AY34" i="2" s="1"/>
  <c r="AY180" i="2"/>
  <c r="AU113" i="2"/>
  <c r="AV168" i="2"/>
  <c r="AY168" i="2" s="1"/>
  <c r="AY119" i="2"/>
  <c r="AU123" i="2"/>
  <c r="AU295" i="2"/>
  <c r="AU55" i="2"/>
  <c r="AU9" i="2"/>
  <c r="AU17" i="2"/>
  <c r="AU183" i="2"/>
  <c r="AV23" i="2"/>
  <c r="AY23" i="2" s="1"/>
  <c r="AU279" i="2"/>
  <c r="AR310" i="2"/>
  <c r="AP310" i="2"/>
  <c r="AV310" i="2" s="1"/>
  <c r="AV91" i="2"/>
  <c r="AY91" i="2" s="1"/>
  <c r="AV22" i="2"/>
  <c r="AY22" i="2" s="1"/>
  <c r="AV14" i="2"/>
  <c r="AY14" i="2" s="1"/>
  <c r="AX310" i="2"/>
  <c r="AW310" i="2"/>
  <c r="AO312" i="2"/>
  <c r="Y20" i="3"/>
  <c r="AJ311" i="2"/>
  <c r="X14" i="3"/>
  <c r="X20" i="3"/>
  <c r="AQ310" i="2"/>
  <c r="P312" i="2"/>
  <c r="O312" i="2"/>
  <c r="AD312" i="2"/>
  <c r="G314" i="2"/>
  <c r="H313" i="2"/>
  <c r="AY310" i="2" l="1"/>
  <c r="AU310" i="2"/>
  <c r="AR311" i="2"/>
  <c r="AP311" i="2"/>
  <c r="AX311" i="2"/>
  <c r="AW311" i="2"/>
  <c r="AO313" i="2"/>
  <c r="AJ312" i="2"/>
  <c r="AQ311" i="2"/>
  <c r="AD313" i="2"/>
  <c r="O313" i="2"/>
  <c r="P313" i="2"/>
  <c r="H314" i="2"/>
  <c r="G315" i="2"/>
  <c r="AU311" i="2" l="1"/>
  <c r="AV311" i="2"/>
  <c r="AY311" i="2" s="1"/>
  <c r="AR312" i="2"/>
  <c r="AP312" i="2"/>
  <c r="AV312" i="2" s="1"/>
  <c r="AX312" i="2"/>
  <c r="AW312" i="2"/>
  <c r="AO314" i="2"/>
  <c r="AJ313" i="2"/>
  <c r="AQ312" i="2"/>
  <c r="H315" i="2"/>
  <c r="G316" i="2"/>
  <c r="AD314" i="2"/>
  <c r="O314" i="2"/>
  <c r="P314" i="2"/>
  <c r="AY312" i="2" l="1"/>
  <c r="AU312" i="2"/>
  <c r="AR313" i="2"/>
  <c r="AP313" i="2"/>
  <c r="AV313" i="2" s="1"/>
  <c r="AW313" i="2"/>
  <c r="AX313" i="2"/>
  <c r="AO315" i="2"/>
  <c r="AJ314" i="2"/>
  <c r="AQ313" i="2"/>
  <c r="AD315" i="2"/>
  <c r="O315" i="2"/>
  <c r="P315" i="2"/>
  <c r="H316" i="2"/>
  <c r="G317" i="2"/>
  <c r="AU313" i="2" l="1"/>
  <c r="AY313" i="2"/>
  <c r="AR314" i="2"/>
  <c r="AP314" i="2"/>
  <c r="AV314" i="2" s="1"/>
  <c r="AX314" i="2"/>
  <c r="AW314" i="2"/>
  <c r="AO316" i="2"/>
  <c r="AJ315" i="2"/>
  <c r="AQ314" i="2"/>
  <c r="AD316" i="2"/>
  <c r="O316" i="2"/>
  <c r="P316" i="2"/>
  <c r="H317" i="2"/>
  <c r="G318" i="2"/>
  <c r="AY314" i="2" l="1"/>
  <c r="AU314" i="2"/>
  <c r="AP315" i="2"/>
  <c r="AV315" i="2" s="1"/>
  <c r="AR315" i="2"/>
  <c r="AX315" i="2"/>
  <c r="AW315" i="2"/>
  <c r="AO317" i="2"/>
  <c r="AJ316" i="2"/>
  <c r="AQ315" i="2"/>
  <c r="AD317" i="2"/>
  <c r="O317" i="2"/>
  <c r="P317" i="2"/>
  <c r="H318" i="2"/>
  <c r="G319" i="2"/>
  <c r="AY315" i="2" l="1"/>
  <c r="AU315" i="2"/>
  <c r="AR316" i="2"/>
  <c r="AP316" i="2"/>
  <c r="AV316" i="2" s="1"/>
  <c r="AX316" i="2"/>
  <c r="AW316" i="2"/>
  <c r="AO318" i="2"/>
  <c r="AJ317" i="2"/>
  <c r="AQ316" i="2"/>
  <c r="AD318" i="2"/>
  <c r="O318" i="2"/>
  <c r="P318" i="2"/>
  <c r="G320" i="2"/>
  <c r="H319" i="2"/>
  <c r="AY316" i="2" l="1"/>
  <c r="AR317" i="2"/>
  <c r="AP317" i="2"/>
  <c r="AV317" i="2" s="1"/>
  <c r="AU316" i="2"/>
  <c r="AW317" i="2"/>
  <c r="AX317" i="2"/>
  <c r="AO319" i="2"/>
  <c r="AJ318" i="2"/>
  <c r="AQ317" i="2"/>
  <c r="H320" i="2"/>
  <c r="G321" i="2"/>
  <c r="AD319" i="2"/>
  <c r="O319" i="2"/>
  <c r="P319" i="2"/>
  <c r="AU317" i="2" l="1"/>
  <c r="AY317" i="2"/>
  <c r="AR318" i="2"/>
  <c r="AP318" i="2"/>
  <c r="AV318" i="2" s="1"/>
  <c r="AX318" i="2"/>
  <c r="AW318" i="2"/>
  <c r="AO320" i="2"/>
  <c r="AJ319" i="2"/>
  <c r="AQ318" i="2"/>
  <c r="AD320" i="2"/>
  <c r="O320" i="2"/>
  <c r="P320" i="2"/>
  <c r="H321" i="2"/>
  <c r="G322" i="2"/>
  <c r="H322" i="2" s="1"/>
  <c r="AU318" i="2" l="1"/>
  <c r="AY318" i="2"/>
  <c r="AR319" i="2"/>
  <c r="AP319" i="2"/>
  <c r="AV319" i="2" s="1"/>
  <c r="AX319" i="2"/>
  <c r="AW319" i="2"/>
  <c r="AO321" i="2"/>
  <c r="AJ320" i="2"/>
  <c r="AQ319" i="2"/>
  <c r="AD321" i="2"/>
  <c r="O321" i="2"/>
  <c r="P321" i="2"/>
  <c r="AD322" i="2"/>
  <c r="O322" i="2"/>
  <c r="P322" i="2"/>
  <c r="AY319" i="2" l="1"/>
  <c r="AR320" i="2"/>
  <c r="AP320" i="2"/>
  <c r="AV320" i="2" s="1"/>
  <c r="AU319" i="2"/>
  <c r="AX320" i="2"/>
  <c r="AW320" i="2"/>
  <c r="AO322" i="2"/>
  <c r="AJ321" i="2"/>
  <c r="AJ322" i="2"/>
  <c r="AQ320" i="2"/>
  <c r="AU320" i="2" l="1"/>
  <c r="AY320" i="2"/>
  <c r="AR322" i="2"/>
  <c r="AP322" i="2"/>
  <c r="AV322" i="2" s="1"/>
  <c r="AR321" i="2"/>
  <c r="AP321" i="2"/>
  <c r="AV321" i="2" s="1"/>
  <c r="AX322" i="2"/>
  <c r="AW322" i="2"/>
  <c r="AW321" i="2"/>
  <c r="AX321" i="2"/>
  <c r="AQ321" i="2"/>
  <c r="AQ322" i="2"/>
  <c r="AU322" i="2" l="1"/>
  <c r="AU321" i="2"/>
  <c r="AY322" i="2"/>
  <c r="AY321" i="2"/>
  <c r="AJ31" i="2"/>
  <c r="AR31" i="2" l="1"/>
  <c r="AP31" i="2"/>
  <c r="AV31" i="2" s="1"/>
  <c r="AQ31" i="2"/>
  <c r="AX31" i="2"/>
  <c r="AW31" i="2"/>
  <c r="AY31" i="2" l="1"/>
  <c r="AU31" i="2"/>
</calcChain>
</file>

<file path=xl/sharedStrings.xml><?xml version="1.0" encoding="utf-8"?>
<sst xmlns="http://schemas.openxmlformats.org/spreadsheetml/2006/main" count="1288" uniqueCount="666">
  <si>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</si>
  <si>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</si>
  <si>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</si>
  <si>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</si>
  <si>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</si>
  <si>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</si>
  <si>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</si>
  <si>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</si>
  <si>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</si>
  <si>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</si>
  <si>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</si>
  <si>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</si>
  <si>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</si>
  <si>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</si>
  <si>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</si>
  <si>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</si>
  <si>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</si>
  <si>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</si>
  <si>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</si>
  <si>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</si>
  <si>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</si>
  <si>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</si>
  <si>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</si>
  <si>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</si>
  <si>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</si>
  <si>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</si>
  <si>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</si>
  <si>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</si>
  <si>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</si>
  <si>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</si>
  <si>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</si>
  <si>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</si>
  <si>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</si>
  <si>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</si>
  <si>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</si>
  <si>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</si>
  <si>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</si>
  <si>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</si>
  <si>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</si>
  <si>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</si>
  <si>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</si>
  <si>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</si>
  <si>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</si>
  <si>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</si>
  <si>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</si>
  <si>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</si>
  <si>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</si>
  <si>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</si>
  <si>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</si>
  <si>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</si>
  <si>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</si>
  <si>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</si>
  <si>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</si>
  <si>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</si>
  <si>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</si>
  <si>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</si>
  <si>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</si>
  <si>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</si>
  <si>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</si>
  <si>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</si>
  <si>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</si>
  <si>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</si>
  <si>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</si>
  <si>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</si>
  <si>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</si>
  <si>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</si>
  <si>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</si>
  <si>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</si>
  <si>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</si>
  <si>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</si>
  <si>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</si>
  <si>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</si>
  <si>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</si>
  <si>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</si>
  <si>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</si>
  <si>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</si>
  <si>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</si>
  <si>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</si>
  <si>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</si>
  <si>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</si>
  <si>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</si>
  <si>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</si>
  <si>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</si>
  <si>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</si>
  <si>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</si>
  <si>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</si>
  <si>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</si>
  <si>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</si>
  <si>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</si>
  <si>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</si>
  <si>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</si>
  <si>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</si>
  <si>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</si>
  <si>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</si>
  <si>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</si>
  <si>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</si>
  <si>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</si>
  <si>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</si>
  <si>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</si>
  <si>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</si>
  <si>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</si>
  <si>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</si>
  <si>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</si>
  <si>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</si>
  <si>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</si>
  <si>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</si>
  <si>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</si>
  <si>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</si>
  <si>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</si>
  <si>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</si>
  <si>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</si>
  <si>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</si>
  <si>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</si>
  <si>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</si>
  <si>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</si>
  <si>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</si>
  <si>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</si>
  <si>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</si>
  <si>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</si>
  <si>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</si>
  <si>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</si>
  <si>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</si>
  <si>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</si>
  <si>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</si>
  <si>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</si>
  <si>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</si>
  <si>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</si>
  <si>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</si>
  <si>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</si>
  <si>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</si>
  <si>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</si>
  <si>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</si>
  <si>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</si>
  <si>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</si>
  <si>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</si>
  <si>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</si>
  <si>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</si>
  <si>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</si>
  <si>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</si>
  <si>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</si>
  <si>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</si>
  <si>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</si>
  <si>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</si>
  <si>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</si>
  <si>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</si>
  <si>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</si>
  <si>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</si>
  <si>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</si>
  <si>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</si>
  <si>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</si>
  <si>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</si>
  <si>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</si>
  <si>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</si>
  <si>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</si>
  <si>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</si>
  <si>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</si>
  <si>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</si>
  <si>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</si>
  <si>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</si>
  <si>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</si>
  <si>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</si>
  <si>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</si>
  <si>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</si>
  <si>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</si>
  <si>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</si>
  <si>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</si>
  <si>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</si>
  <si>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</si>
  <si>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</si>
  <si>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</si>
  <si>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</si>
  <si>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</si>
  <si>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</si>
  <si>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</si>
  <si>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</si>
  <si>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</si>
  <si>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</si>
  <si>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</si>
  <si>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</si>
  <si>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</si>
  <si>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</si>
  <si>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</si>
  <si>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</si>
  <si>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</si>
  <si>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</si>
  <si>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</si>
  <si>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</si>
  <si>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</si>
  <si>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</si>
  <si>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</si>
  <si>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</si>
  <si>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</si>
  <si>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</si>
  <si>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</si>
  <si>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</si>
  <si>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</si>
  <si>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</si>
  <si>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</si>
  <si>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</si>
  <si>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</si>
  <si>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</si>
  <si>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</si>
  <si>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</si>
  <si>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</si>
  <si>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</si>
  <si>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</si>
  <si>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</si>
  <si>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</si>
  <si>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</si>
  <si>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</si>
  <si>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</si>
  <si>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</si>
  <si>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</si>
  <si>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</si>
  <si>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</si>
  <si>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</si>
  <si>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</si>
  <si>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</si>
  <si>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</si>
  <si>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</si>
  <si>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</si>
  <si>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</si>
  <si>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</si>
  <si>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</si>
  <si>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</si>
  <si>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</si>
  <si>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</si>
  <si>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</si>
  <si>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</si>
  <si>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</si>
  <si>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</si>
  <si>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</si>
  <si>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</si>
  <si>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</si>
  <si>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</si>
  <si>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</si>
  <si>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</si>
  <si>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</si>
  <si>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</si>
  <si>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</si>
  <si>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</si>
  <si>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</si>
  <si>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</si>
  <si>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</si>
  <si>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</si>
  <si>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</si>
  <si>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</si>
  <si>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</si>
  <si>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</si>
  <si>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</si>
  <si>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</si>
  <si>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</si>
  <si>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</si>
  <si>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</si>
  <si>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</si>
  <si>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</si>
  <si>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</si>
  <si>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</si>
  <si>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</si>
  <si>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</si>
  <si>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</si>
  <si>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</si>
  <si>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</si>
  <si>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</si>
  <si>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</si>
  <si>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</si>
  <si>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</si>
  <si>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</si>
  <si>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</si>
  <si>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</si>
  <si>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</si>
  <si>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</si>
  <si>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</si>
  <si>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</si>
  <si>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</si>
  <si>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</si>
  <si>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</si>
  <si>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</si>
  <si>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</si>
  <si>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</si>
  <si>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</si>
  <si>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</si>
  <si>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</si>
  <si>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</si>
  <si>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</si>
  <si>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</si>
  <si>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</si>
  <si>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</si>
  <si>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</si>
  <si>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</si>
  <si>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</si>
  <si>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</si>
  <si>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</si>
  <si>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</si>
  <si>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</si>
  <si>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</si>
  <si>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</si>
  <si>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</si>
  <si>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</si>
  <si>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</si>
  <si>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</si>
  <si>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</si>
  <si>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</si>
  <si>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</si>
  <si>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</si>
  <si>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</si>
  <si>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</si>
  <si>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</si>
  <si>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</si>
  <si>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</si>
  <si>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</si>
  <si>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</si>
  <si>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</si>
  <si>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</si>
  <si>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</si>
  <si>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</si>
  <si>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</si>
  <si>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</si>
  <si>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</si>
  <si>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</si>
  <si>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</si>
  <si>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</si>
  <si>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</si>
  <si>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</si>
  <si>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</si>
  <si>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</si>
  <si>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</si>
  <si>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</si>
  <si>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</si>
  <si>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</si>
  <si>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</si>
  <si>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</si>
  <si>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</si>
  <si>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</si>
  <si>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</si>
  <si>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</si>
  <si>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</si>
  <si>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</si>
  <si>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</si>
  <si>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</si>
  <si>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</si>
  <si>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</si>
  <si>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</si>
  <si>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</si>
  <si>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</si>
  <si>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</si>
  <si>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</si>
  <si>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</si>
  <si>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</si>
  <si>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</si>
  <si>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</si>
  <si>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</si>
  <si>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</si>
  <si>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</si>
  <si>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</si>
  <si>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</si>
  <si>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</si>
  <si>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</si>
  <si>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</si>
  <si>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</si>
  <si>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</si>
  <si>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</si>
  <si>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</si>
  <si>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</si>
  <si>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</si>
  <si>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</si>
  <si>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</si>
  <si>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</si>
  <si>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</si>
  <si>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</si>
  <si>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</si>
  <si>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</si>
  <si>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</si>
  <si>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</si>
  <si>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</si>
  <si>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</si>
  <si>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</si>
  <si>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</si>
  <si>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</si>
  <si>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</si>
  <si>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</si>
  <si>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</si>
  <si>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</si>
  <si>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</si>
  <si>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</si>
  <si>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</si>
  <si>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</si>
  <si>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</si>
  <si>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</si>
  <si>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</si>
  <si>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</si>
  <si>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</si>
  <si>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</si>
  <si>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</si>
  <si>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</si>
  <si>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</si>
  <si>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</si>
  <si>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</si>
  <si>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</si>
  <si>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</si>
  <si>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</si>
  <si>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</si>
  <si>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</si>
  <si>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</si>
  <si>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</si>
  <si>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</si>
  <si>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</si>
  <si>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</si>
  <si>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</si>
  <si>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</si>
  <si>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</si>
  <si>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</si>
  <si>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</si>
  <si>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</si>
  <si>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</si>
  <si>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</si>
  <si>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</si>
  <si>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</si>
  <si>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</si>
  <si>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</si>
  <si>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</si>
  <si>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</si>
  <si>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</si>
  <si>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</si>
  <si>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</si>
  <si>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</si>
  <si>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</si>
  <si>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</si>
  <si>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</si>
  <si>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</si>
  <si>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</si>
  <si>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</si>
  <si>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</si>
  <si>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</si>
  <si>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</si>
  <si>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</si>
  <si>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</si>
  <si>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</si>
  <si>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</si>
  <si>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</si>
  <si>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</si>
  <si>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</si>
  <si>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</si>
  <si>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</si>
  <si>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</si>
  <si>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</si>
  <si>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</si>
  <si>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</si>
  <si>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</si>
  <si>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</si>
  <si>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</si>
  <si>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</si>
  <si>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</si>
  <si>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</si>
  <si>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</si>
  <si>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</si>
  <si>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</si>
  <si>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</si>
  <si>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</si>
  <si>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</si>
  <si>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</si>
  <si>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</si>
  <si>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</si>
  <si>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</si>
  <si>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</si>
  <si>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</si>
  <si>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</si>
  <si>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</si>
  <si>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</si>
  <si>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</si>
  <si>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</si>
  <si>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</si>
  <si>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</si>
  <si>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</si>
  <si>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</si>
  <si>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</si>
  <si>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</si>
  <si>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</si>
  <si>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</si>
  <si>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</si>
  <si>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</si>
  <si>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</si>
  <si>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</si>
  <si>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</si>
  <si>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</si>
  <si>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</si>
  <si>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</si>
  <si>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</si>
  <si>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</si>
  <si>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</si>
  <si>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</si>
  <si>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</si>
  <si>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</si>
  <si>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</si>
  <si>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</si>
  <si>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</si>
  <si>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</si>
  <si>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</si>
  <si>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</si>
  <si>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</si>
  <si>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</si>
  <si>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</si>
  <si>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</si>
  <si>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</si>
  <si>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</si>
  <si>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</si>
  <si>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</si>
  <si>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</si>
  <si>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</si>
  <si>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</si>
  <si>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</si>
  <si>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</si>
  <si>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</si>
  <si>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</si>
  <si>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</si>
  <si>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</si>
  <si>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</si>
  <si>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</si>
  <si>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</si>
  <si>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</si>
  <si>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</si>
  <si>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</si>
  <si>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</si>
  <si>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</si>
  <si>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</si>
  <si>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</si>
  <si>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</si>
  <si>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</si>
  <si>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</si>
  <si>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</si>
  <si>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</si>
  <si>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</si>
  <si>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</si>
  <si>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</si>
  <si>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</si>
  <si>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</si>
  <si>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</si>
  <si>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</si>
  <si>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</si>
  <si>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</si>
  <si>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</si>
  <si>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</si>
  <si>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</si>
  <si>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</si>
  <si>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</si>
  <si>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</si>
  <si>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</si>
  <si>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</si>
  <si>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</si>
  <si>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</si>
  <si>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</si>
  <si>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</si>
  <si>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</si>
  <si>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</si>
  <si>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</si>
  <si>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</si>
  <si>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</si>
  <si>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</si>
  <si>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</si>
  <si>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</si>
  <si>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</si>
  <si>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</si>
  <si>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</si>
  <si>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</si>
  <si>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</si>
  <si>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</si>
  <si>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</si>
  <si>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</si>
  <si>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</si>
  <si>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</si>
  <si>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</si>
  <si>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</si>
  <si>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</si>
  <si>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</si>
  <si>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</si>
  <si>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</si>
  <si>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</si>
  <si>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</si>
  <si>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</si>
  <si>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</si>
  <si>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</si>
  <si>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</si>
  <si>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</si>
  <si>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</si>
  <si>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</si>
  <si>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</si>
  <si>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</si>
  <si>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</si>
  <si>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</si>
  <si>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</si>
  <si>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</si>
  <si>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</si>
  <si>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</si>
  <si>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</si>
  <si>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</si>
  <si>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</si>
  <si>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</si>
  <si>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</si>
  <si>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</si>
  <si>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</si>
  <si>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</si>
  <si>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</si>
  <si>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</si>
  <si>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</si>
  <si>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</si>
  <si>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</si>
  <si>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</si>
  <si>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</si>
  <si>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</si>
  <si>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</si>
  <si>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</si>
  <si>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</si>
  <si>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</si>
  <si>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</si>
  <si>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</si>
  <si>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</si>
  <si>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</si>
  <si>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</si>
  <si>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</si>
  <si>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</si>
  <si>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</si>
  <si>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</si>
  <si>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</si>
  <si>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</si>
  <si>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</si>
  <si>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</si>
  <si>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</si>
  <si>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</si>
  <si>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</si>
  <si>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</si>
  <si>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</si>
  <si>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</si>
  <si>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</si>
  <si>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</si>
  <si>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</si>
  <si>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</si>
  <si>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</si>
  <si>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</si>
  <si>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</si>
  <si>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</si>
  <si>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</si>
  <si>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</si>
  <si>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</si>
  <si>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</si>
  <si>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</si>
  <si>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</si>
  <si>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</si>
  <si>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</si>
  <si>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</si>
  <si>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</si>
  <si>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</si>
  <si>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</si>
  <si>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</si>
  <si>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</si>
  <si>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</si>
  <si>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</si>
  <si>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</si>
  <si>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</si>
  <si>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</si>
  <si>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</si>
  <si>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Prima Seguro Vida Obligatorio IPS</t>
  </si>
  <si>
    <t>Gestión Pública</t>
  </si>
  <si>
    <t>LIQUIDO C/ OS DIPE</t>
  </si>
  <si>
    <t>Gestión Privada</t>
  </si>
  <si>
    <t>NOVIEMBRE 2021</t>
  </si>
  <si>
    <t>SIN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</si>
</sst>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\ #,##0.00;[Red]&quot;$&quot;\ \-#,##0.00"/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  <numFmt numFmtId="181" formatCode="0.0"/>
  </numFmts>
  <fonts count="37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170" fontId="11" fillId="0" borderId="0" xfId="3" applyNumberFormat="1" applyBorder="1"/>
    <xf numFmtId="165" fontId="15" fillId="8" borderId="1" xfId="5" quotePrefix="1" applyNumberFormat="1" applyFont="1" applyFill="1" applyBorder="1" applyAlignment="1">
      <alignment horizontal="center" vertical="center" wrapText="1"/>
    </xf>
    <xf numFmtId="165" fontId="15" fillId="0" borderId="11" xfId="5" applyNumberFormat="1" applyFont="1" applyBorder="1" applyAlignment="1">
      <alignment horizontal="center" vertical="center"/>
    </xf>
    <xf numFmtId="165" fontId="13" fillId="0" borderId="11" xfId="5" applyNumberFormat="1" applyFont="1" applyBorder="1" applyAlignment="1">
      <alignment horizontal="center" vertical="center"/>
    </xf>
    <xf numFmtId="181" fontId="0" fillId="0" borderId="0" xfId="0" applyNumberFormat="1"/>
    <xf numFmtId="8" fontId="36" fillId="0" borderId="0" xfId="2" applyNumberFormat="1" applyFont="1"/>
    <xf numFmtId="175" fontId="0" fillId="0" borderId="0" xfId="0" applyNumberFormat="1"/>
    <xf numFmtId="0" fontId="15" fillId="0" borderId="10" xfId="5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 wrapText="1"/>
    </xf>
    <xf numFmtId="175" fontId="26" fillId="0" borderId="15" xfId="2" applyNumberFormat="1" applyFont="1" applyBorder="1" applyAlignment="1" applyProtection="1">
      <alignment horizontal="center" vertical="center"/>
    </xf>
    <xf numFmtId="175" fontId="26" fillId="0" borderId="16" xfId="2" applyNumberFormat="1" applyFont="1" applyBorder="1" applyAlignment="1" applyProtection="1">
      <alignment horizontal="center" vertical="center"/>
    </xf>
    <xf numFmtId="175" fontId="26" fillId="0" borderId="9" xfId="2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26</xdr:col>
      <xdr:colOff>326756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31" zoomScaleNormal="100" workbookViewId="0">
      <selection activeCell="C47" sqref="C47"/>
    </sheetView>
  </sheetViews>
  <sheetFormatPr baseColWidth="10" defaultColWidth="9.109375" defaultRowHeight="13.2" x14ac:dyDescent="0.25"/>
  <cols>
    <col min="1" max="1" width="4.6640625" customWidth="1"/>
    <col min="2" max="2" width="40.109375" bestFit="1" customWidth="1"/>
    <col min="3" max="3" width="11.44140625" customWidth="1"/>
    <col min="4" max="4" width="13.33203125" customWidth="1"/>
    <col min="5" max="5" width="14.6640625" bestFit="1" customWidth="1"/>
    <col min="6" max="6" width="12.5546875" customWidth="1"/>
    <col min="7" max="8" width="10.6640625" customWidth="1"/>
    <col min="9" max="9" width="8.5546875" customWidth="1"/>
    <col min="10" max="1025" width="10.6640625" customWidth="1"/>
  </cols>
  <sheetData>
    <row r="1" spans="1:12" ht="13.8" x14ac:dyDescent="0.3">
      <c r="A1" s="1" t="s">
        <v>0</v>
      </c>
      <c r="B1" s="1"/>
      <c r="C1" s="1"/>
      <c r="D1" s="1"/>
      <c r="E1" s="1"/>
      <c r="F1" s="2" t="s">
        <v>1</v>
      </c>
      <c r="G1" s="1" t="s">
        <v>634</v>
      </c>
      <c r="H1" s="1"/>
      <c r="I1" s="1" t="s">
        <v>2</v>
      </c>
      <c r="J1" s="1" t="s">
        <v>3</v>
      </c>
      <c r="L1" s="177">
        <v>0</v>
      </c>
    </row>
    <row r="2" spans="1:12" s="81" customFormat="1" ht="13.8" x14ac:dyDescent="0.3">
      <c r="A2" s="80" t="s">
        <v>4</v>
      </c>
      <c r="B2" s="81" t="s">
        <v>5</v>
      </c>
      <c r="C2">
        <v>13.3826</v>
      </c>
      <c r="G2" s="83"/>
      <c r="I2" s="81">
        <v>0</v>
      </c>
      <c r="J2" s="84">
        <v>0</v>
      </c>
      <c r="L2" s="178">
        <v>1</v>
      </c>
    </row>
    <row r="3" spans="1:12" s="81" customFormat="1" ht="13.8" x14ac:dyDescent="0.3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8">
        <v>2</v>
      </c>
    </row>
    <row r="4" spans="1:12" s="81" customFormat="1" ht="13.8" x14ac:dyDescent="0.3">
      <c r="A4" s="80" t="s">
        <v>4</v>
      </c>
      <c r="B4" s="81" t="s">
        <v>7</v>
      </c>
      <c r="C4" s="6">
        <v>0.4</v>
      </c>
      <c r="D4" s="98">
        <f>ROUND(('Escala Docente'!H144*C4)+0.0049,2)</f>
        <v>6841.19</v>
      </c>
      <c r="E4" s="98">
        <f>ROUND(D4/15,2)</f>
        <v>456.08</v>
      </c>
      <c r="F4" s="85"/>
      <c r="G4" s="85"/>
      <c r="H4" s="85"/>
      <c r="I4" s="81">
        <v>2</v>
      </c>
      <c r="J4" s="84">
        <v>0.15</v>
      </c>
      <c r="L4" s="179">
        <v>3</v>
      </c>
    </row>
    <row r="5" spans="1:12" s="81" customFormat="1" ht="13.8" x14ac:dyDescent="0.3">
      <c r="A5" s="86" t="s">
        <v>633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9">
        <v>4</v>
      </c>
    </row>
    <row r="6" spans="1:12" s="81" customFormat="1" ht="13.8" x14ac:dyDescent="0.3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79">
        <v>5</v>
      </c>
    </row>
    <row r="7" spans="1:12" s="81" customFormat="1" ht="13.8" x14ac:dyDescent="0.3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78">
        <v>6</v>
      </c>
    </row>
    <row r="8" spans="1:12" s="81" customFormat="1" ht="13.8" x14ac:dyDescent="0.3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9">
        <v>7</v>
      </c>
    </row>
    <row r="9" spans="1:12" s="81" customFormat="1" ht="13.8" x14ac:dyDescent="0.3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79">
        <v>8</v>
      </c>
    </row>
    <row r="10" spans="1:12" s="81" customFormat="1" ht="13.8" x14ac:dyDescent="0.3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9">
        <v>9</v>
      </c>
    </row>
    <row r="11" spans="1:12" s="81" customFormat="1" x14ac:dyDescent="0.25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5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5">
      <c r="A13" s="86" t="s">
        <v>633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5">
      <c r="A14" s="212" t="s">
        <v>4</v>
      </c>
      <c r="B14" s="213" t="s">
        <v>16</v>
      </c>
      <c r="C14" s="211">
        <v>453.84</v>
      </c>
      <c r="D14" s="98"/>
      <c r="E14" s="84"/>
      <c r="I14" s="81">
        <v>12</v>
      </c>
      <c r="J14" s="84">
        <v>0.6</v>
      </c>
    </row>
    <row r="15" spans="1:12" s="81" customFormat="1" x14ac:dyDescent="0.25">
      <c r="A15" s="212" t="s">
        <v>4</v>
      </c>
      <c r="B15" s="214" t="s">
        <v>17</v>
      </c>
      <c r="C15" s="211">
        <v>13989.51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5">
      <c r="A16" s="212" t="s">
        <v>4</v>
      </c>
      <c r="B16" s="214" t="s">
        <v>18</v>
      </c>
      <c r="C16" s="105">
        <v>14032.86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5">
      <c r="A17" s="212" t="s">
        <v>4</v>
      </c>
      <c r="B17" s="214" t="s">
        <v>651</v>
      </c>
      <c r="C17" s="105">
        <v>11932.86</v>
      </c>
      <c r="D17" s="98"/>
      <c r="E17" s="84"/>
      <c r="F17" s="90"/>
      <c r="J17" s="84"/>
    </row>
    <row r="18" spans="1:10" s="81" customFormat="1" x14ac:dyDescent="0.25">
      <c r="A18" s="212" t="s">
        <v>4</v>
      </c>
      <c r="B18" s="214" t="s">
        <v>19</v>
      </c>
      <c r="C18" s="105">
        <v>12491.374000000002</v>
      </c>
      <c r="D18" s="98" t="s">
        <v>665</v>
      </c>
      <c r="E18" s="84"/>
      <c r="F18" s="90"/>
      <c r="G18" s="219"/>
      <c r="H18" s="85"/>
      <c r="I18" s="81">
        <v>15</v>
      </c>
      <c r="J18" s="84">
        <v>0.7</v>
      </c>
    </row>
    <row r="19" spans="1:10" s="81" customFormat="1" x14ac:dyDescent="0.25">
      <c r="A19" s="212" t="s">
        <v>4</v>
      </c>
      <c r="B19" s="213" t="s">
        <v>20</v>
      </c>
      <c r="C19" s="105">
        <v>25171.69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5">
      <c r="A20" s="212" t="s">
        <v>4</v>
      </c>
      <c r="B20" s="214" t="s">
        <v>21</v>
      </c>
      <c r="C20" s="105">
        <v>12258.09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5">
      <c r="A21" s="212" t="s">
        <v>4</v>
      </c>
      <c r="B21" s="214" t="s">
        <v>22</v>
      </c>
      <c r="C21" s="211">
        <v>11564.28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5">
      <c r="A22" s="212" t="s">
        <v>4</v>
      </c>
      <c r="B22" s="214" t="s">
        <v>637</v>
      </c>
      <c r="C22" s="105">
        <v>16552.86</v>
      </c>
      <c r="D22" s="98"/>
      <c r="E22" s="84"/>
      <c r="F22" s="91"/>
      <c r="G22" s="85"/>
      <c r="H22" s="85"/>
      <c r="J22" s="84"/>
    </row>
    <row r="23" spans="1:10" s="81" customFormat="1" x14ac:dyDescent="0.25">
      <c r="A23" s="86" t="s">
        <v>633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5">
      <c r="A24" s="212" t="s">
        <v>4</v>
      </c>
      <c r="B24" s="213" t="s">
        <v>23</v>
      </c>
      <c r="C24" s="105">
        <v>142.74</v>
      </c>
      <c r="D24" s="98"/>
      <c r="E24" s="217"/>
      <c r="F24" s="85"/>
      <c r="G24" s="85"/>
      <c r="H24" s="85"/>
      <c r="I24" s="81">
        <v>20</v>
      </c>
      <c r="J24" s="84">
        <v>1</v>
      </c>
    </row>
    <row r="25" spans="1:10" s="81" customFormat="1" x14ac:dyDescent="0.25">
      <c r="A25" s="212" t="s">
        <v>4</v>
      </c>
      <c r="B25" s="213" t="s">
        <v>24</v>
      </c>
      <c r="C25" s="105">
        <v>6365.81</v>
      </c>
      <c r="D25" s="98"/>
      <c r="E25" s="217"/>
      <c r="F25" s="85"/>
      <c r="G25" s="85"/>
      <c r="H25" s="85"/>
      <c r="I25" s="81">
        <v>21</v>
      </c>
      <c r="J25" s="84">
        <v>1</v>
      </c>
    </row>
    <row r="26" spans="1:10" s="81" customFormat="1" x14ac:dyDescent="0.25">
      <c r="A26" s="212" t="s">
        <v>4</v>
      </c>
      <c r="B26" s="213" t="s">
        <v>25</v>
      </c>
      <c r="C26" s="105">
        <v>6300.73</v>
      </c>
      <c r="D26" s="98"/>
      <c r="E26" s="217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5">
      <c r="A27" s="86" t="s">
        <v>633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5">
      <c r="A28" s="80" t="s">
        <v>4</v>
      </c>
      <c r="B28" s="87" t="s">
        <v>26</v>
      </c>
      <c r="C28" s="105">
        <v>6103.41</v>
      </c>
      <c r="D28" s="216"/>
      <c r="I28" s="81">
        <v>24</v>
      </c>
      <c r="J28" s="84">
        <v>1.2</v>
      </c>
    </row>
    <row r="29" spans="1:10" s="81" customFormat="1" x14ac:dyDescent="0.25">
      <c r="A29" s="80" t="s">
        <v>4</v>
      </c>
      <c r="B29" s="87" t="s">
        <v>27</v>
      </c>
      <c r="C29" s="105">
        <v>5680.65</v>
      </c>
      <c r="D29" s="216"/>
      <c r="I29" s="81">
        <v>25</v>
      </c>
      <c r="J29" s="84">
        <v>1.2</v>
      </c>
    </row>
    <row r="30" spans="1:10" s="81" customFormat="1" x14ac:dyDescent="0.25">
      <c r="A30" s="86" t="s">
        <v>633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5">
      <c r="A31" s="80" t="s">
        <v>4</v>
      </c>
      <c r="B31" s="87" t="s">
        <v>28</v>
      </c>
      <c r="C31" s="88">
        <v>279.8</v>
      </c>
      <c r="D31" s="98"/>
      <c r="F31" s="88">
        <f>+C31*1.5</f>
        <v>419.70000000000005</v>
      </c>
      <c r="I31" s="81">
        <v>27</v>
      </c>
      <c r="J31" s="84">
        <v>1.3</v>
      </c>
    </row>
    <row r="32" spans="1:10" s="81" customFormat="1" x14ac:dyDescent="0.25">
      <c r="A32" s="80" t="s">
        <v>4</v>
      </c>
      <c r="B32" s="87" t="s">
        <v>29</v>
      </c>
      <c r="C32" s="88">
        <f>C31</f>
        <v>279.8</v>
      </c>
      <c r="D32" s="98"/>
      <c r="F32" s="88">
        <f>C32</f>
        <v>279.8</v>
      </c>
      <c r="I32" s="81">
        <v>28</v>
      </c>
      <c r="J32" s="84">
        <v>1.4</v>
      </c>
    </row>
    <row r="33" spans="1:13" s="81" customFormat="1" x14ac:dyDescent="0.25">
      <c r="A33" s="86" t="s">
        <v>633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5">
      <c r="A34" s="80" t="s">
        <v>4</v>
      </c>
      <c r="B34" s="81" t="s">
        <v>30</v>
      </c>
      <c r="C34" s="77">
        <v>11.21</v>
      </c>
      <c r="F34" s="88">
        <f>F31</f>
        <v>419.70000000000005</v>
      </c>
      <c r="I34" s="81">
        <v>30</v>
      </c>
      <c r="J34" s="84">
        <v>1.5</v>
      </c>
      <c r="M34" s="89"/>
    </row>
    <row r="35" spans="1:13" s="93" customFormat="1" ht="13.8" thickBot="1" x14ac:dyDescent="0.3">
      <c r="A35" s="92" t="s">
        <v>4</v>
      </c>
      <c r="B35" s="93" t="s">
        <v>31</v>
      </c>
      <c r="C35" s="94">
        <v>9.34</v>
      </c>
      <c r="F35" s="95">
        <f>F32</f>
        <v>279.8</v>
      </c>
      <c r="G35" s="93">
        <f>C35*30</f>
        <v>280.2</v>
      </c>
      <c r="I35" s="93">
        <v>31</v>
      </c>
      <c r="J35" s="96">
        <v>1.5</v>
      </c>
    </row>
    <row r="36" spans="1:13" ht="13.8" thickTop="1" x14ac:dyDescent="0.25">
      <c r="A36" s="75" t="s">
        <v>633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5">
      <c r="A37" s="99" t="s">
        <v>636</v>
      </c>
      <c r="B37" s="99" t="s">
        <v>32</v>
      </c>
      <c r="C37" s="100">
        <v>1465.56</v>
      </c>
      <c r="D37" s="101">
        <f>C37/C38</f>
        <v>15.000614124872056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5">
      <c r="A38" s="99" t="s">
        <v>636</v>
      </c>
      <c r="B38" s="99" t="s">
        <v>33</v>
      </c>
      <c r="C38" s="100">
        <v>97.7</v>
      </c>
      <c r="D38" s="102"/>
      <c r="E38" s="101"/>
      <c r="F38" s="101">
        <f>(C37*2)+0.01</f>
        <v>2931.13</v>
      </c>
      <c r="G38" s="101"/>
      <c r="H38" s="5"/>
      <c r="I38">
        <v>34</v>
      </c>
      <c r="J38" s="3">
        <v>1.5</v>
      </c>
    </row>
    <row r="39" spans="1:13" x14ac:dyDescent="0.25">
      <c r="A39" s="75" t="s">
        <v>633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5">
      <c r="A40" s="74" t="s">
        <v>636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5">
      <c r="A41" s="75" t="s">
        <v>633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5">
      <c r="A42" s="74" t="s">
        <v>4</v>
      </c>
      <c r="B42" s="2" t="s">
        <v>35</v>
      </c>
      <c r="C42" s="8">
        <v>1732.26</v>
      </c>
      <c r="D42" s="6"/>
      <c r="E42" s="215"/>
      <c r="F42" s="5"/>
      <c r="G42" s="5"/>
      <c r="H42" s="5"/>
      <c r="I42">
        <v>40</v>
      </c>
      <c r="J42" s="3">
        <v>1.5</v>
      </c>
    </row>
    <row r="43" spans="1:13" x14ac:dyDescent="0.25">
      <c r="A43" s="74" t="s">
        <v>4</v>
      </c>
      <c r="B43" s="2" t="s">
        <v>36</v>
      </c>
      <c r="C43" s="77">
        <v>1999.98</v>
      </c>
      <c r="D43" s="6"/>
      <c r="E43" s="215"/>
      <c r="F43" s="5"/>
      <c r="G43" s="5"/>
      <c r="H43" s="5"/>
      <c r="I43">
        <v>41</v>
      </c>
      <c r="J43" s="3">
        <v>1.5</v>
      </c>
    </row>
    <row r="44" spans="1:13" x14ac:dyDescent="0.25">
      <c r="A44" s="74" t="s">
        <v>4</v>
      </c>
      <c r="B44" s="2" t="s">
        <v>37</v>
      </c>
      <c r="C44" s="77">
        <v>2267.75</v>
      </c>
      <c r="D44" s="6"/>
      <c r="E44" s="215"/>
      <c r="I44">
        <v>42</v>
      </c>
      <c r="J44" s="3">
        <v>1.5</v>
      </c>
    </row>
    <row r="45" spans="1:13" x14ac:dyDescent="0.25">
      <c r="A45" s="74" t="s">
        <v>4</v>
      </c>
      <c r="B45" s="2" t="s">
        <v>38</v>
      </c>
      <c r="C45" s="77">
        <v>3338.57</v>
      </c>
      <c r="D45" s="6"/>
      <c r="E45" s="215"/>
      <c r="F45" s="8">
        <f>+C45</f>
        <v>3338.57</v>
      </c>
      <c r="G45" s="8"/>
      <c r="I45">
        <v>43</v>
      </c>
      <c r="J45" s="3">
        <v>1.5</v>
      </c>
    </row>
    <row r="46" spans="1:13" x14ac:dyDescent="0.25">
      <c r="A46" s="74" t="s">
        <v>4</v>
      </c>
      <c r="B46" t="s">
        <v>39</v>
      </c>
      <c r="C46" s="77">
        <v>0</v>
      </c>
      <c r="D46" s="6"/>
      <c r="E46" s="215"/>
      <c r="F46" s="5"/>
      <c r="G46" s="5"/>
      <c r="H46" s="5"/>
      <c r="I46">
        <v>44</v>
      </c>
      <c r="J46" s="3">
        <v>1.5</v>
      </c>
    </row>
    <row r="47" spans="1:13" x14ac:dyDescent="0.25">
      <c r="A47" s="74" t="s">
        <v>4</v>
      </c>
      <c r="B47" s="2" t="s">
        <v>40</v>
      </c>
      <c r="C47" s="77">
        <v>95.55</v>
      </c>
      <c r="D47" s="6"/>
      <c r="E47" s="215"/>
      <c r="I47">
        <v>45</v>
      </c>
      <c r="J47" s="3">
        <v>1.5</v>
      </c>
    </row>
    <row r="48" spans="1:13" x14ac:dyDescent="0.25">
      <c r="A48" s="74" t="s">
        <v>4</v>
      </c>
      <c r="B48" s="2" t="s">
        <v>41</v>
      </c>
      <c r="C48" s="77">
        <v>222.57</v>
      </c>
      <c r="D48" s="6"/>
      <c r="E48" s="215"/>
      <c r="I48">
        <v>46</v>
      </c>
      <c r="J48" s="3">
        <v>1.5</v>
      </c>
    </row>
    <row r="49" spans="1:12" x14ac:dyDescent="0.25">
      <c r="A49" s="75" t="s">
        <v>633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5">
      <c r="A50" s="74" t="s">
        <v>636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5">
      <c r="A51" s="74" t="s">
        <v>636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5">
      <c r="A52" s="74" t="s">
        <v>636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5">
      <c r="A53" s="74" t="s">
        <v>636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5">
      <c r="A54" s="74" t="s">
        <v>636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5">
      <c r="A55" s="74" t="s">
        <v>636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5">
      <c r="A56" s="74" t="s">
        <v>636</v>
      </c>
      <c r="B56" s="2" t="s">
        <v>48</v>
      </c>
      <c r="C56" s="105">
        <v>149.55200000000002</v>
      </c>
    </row>
    <row r="57" spans="1:12" x14ac:dyDescent="0.25">
      <c r="A57" s="74" t="s">
        <v>636</v>
      </c>
      <c r="B57" s="2" t="s">
        <v>49</v>
      </c>
      <c r="C57" s="105">
        <v>252.66800000000001</v>
      </c>
    </row>
    <row r="58" spans="1:12" x14ac:dyDescent="0.25">
      <c r="A58" s="74" t="s">
        <v>636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5">
      <c r="A59" s="74" t="s">
        <v>636</v>
      </c>
      <c r="B59" s="2" t="s">
        <v>51</v>
      </c>
      <c r="C59" s="103">
        <v>11.3559</v>
      </c>
      <c r="E59" s="73">
        <f>F59/C59</f>
        <v>28.848440017964233</v>
      </c>
      <c r="F59" s="5">
        <f>C52</f>
        <v>327.60000000000002</v>
      </c>
    </row>
    <row r="60" spans="1:12" x14ac:dyDescent="0.25">
      <c r="A60" s="74" t="s">
        <v>636</v>
      </c>
      <c r="B60" s="2" t="s">
        <v>653</v>
      </c>
      <c r="C60" s="8">
        <v>569.14</v>
      </c>
      <c r="D60" s="3">
        <f>ROUND(C60/15,2)</f>
        <v>37.94</v>
      </c>
      <c r="E60" s="79">
        <v>38.47</v>
      </c>
      <c r="F60" s="3">
        <f>+C60*2</f>
        <v>1138.28</v>
      </c>
      <c r="I60" s="225">
        <f>+C60/15</f>
        <v>37.942666666666668</v>
      </c>
    </row>
    <row r="61" spans="1:12" x14ac:dyDescent="0.25">
      <c r="A61" s="74" t="s">
        <v>636</v>
      </c>
      <c r="B61" s="2" t="s">
        <v>52</v>
      </c>
      <c r="C61" s="8">
        <v>75.88</v>
      </c>
      <c r="D61" s="223"/>
      <c r="F61" s="3"/>
      <c r="I61" s="3"/>
    </row>
    <row r="62" spans="1:12" x14ac:dyDescent="0.25">
      <c r="A62" s="74" t="s">
        <v>636</v>
      </c>
      <c r="B62" s="2" t="s">
        <v>654</v>
      </c>
      <c r="C62" s="8">
        <v>162.61000000000001</v>
      </c>
      <c r="D62" s="3">
        <f>(C62/15)+0.01</f>
        <v>10.850666666666667</v>
      </c>
      <c r="E62" s="79">
        <v>10.99</v>
      </c>
      <c r="F62" s="3">
        <f>+C62*2</f>
        <v>325.22000000000003</v>
      </c>
      <c r="I62" s="3"/>
    </row>
    <row r="63" spans="1:12" x14ac:dyDescent="0.25">
      <c r="A63" s="74" t="s">
        <v>636</v>
      </c>
      <c r="B63" s="2" t="s">
        <v>53</v>
      </c>
      <c r="C63" s="8">
        <v>21.69</v>
      </c>
      <c r="I63" s="3"/>
    </row>
    <row r="64" spans="1:12" x14ac:dyDescent="0.25">
      <c r="A64" s="75" t="s">
        <v>633</v>
      </c>
      <c r="B64" s="75"/>
      <c r="C64" s="76"/>
      <c r="D64" s="75"/>
      <c r="E64" s="75"/>
      <c r="F64" s="75"/>
      <c r="G64" s="75"/>
    </row>
    <row r="65" spans="1:7" x14ac:dyDescent="0.25">
      <c r="A65" s="108" t="s">
        <v>636</v>
      </c>
      <c r="B65" t="s">
        <v>638</v>
      </c>
      <c r="C65" s="107">
        <v>1210</v>
      </c>
      <c r="D65" s="106"/>
      <c r="E65" s="106"/>
      <c r="F65">
        <v>2420</v>
      </c>
      <c r="G65" s="106"/>
    </row>
    <row r="66" spans="1:7" x14ac:dyDescent="0.25">
      <c r="A66" s="75" t="s">
        <v>633</v>
      </c>
      <c r="B66" s="75"/>
      <c r="C66" s="76"/>
      <c r="D66" s="75"/>
      <c r="E66" s="75"/>
      <c r="F66" s="75"/>
      <c r="G66" s="75"/>
    </row>
    <row r="67" spans="1:7" x14ac:dyDescent="0.25">
      <c r="A67" s="74" t="s">
        <v>4</v>
      </c>
      <c r="B67" s="2" t="s">
        <v>54</v>
      </c>
      <c r="C67" s="9">
        <v>0</v>
      </c>
      <c r="D67" s="10"/>
    </row>
    <row r="68" spans="1:7" x14ac:dyDescent="0.25">
      <c r="A68" s="75" t="s">
        <v>633</v>
      </c>
      <c r="B68" s="75"/>
      <c r="C68" s="76"/>
      <c r="D68" s="75"/>
      <c r="E68" s="75"/>
      <c r="F68" s="75"/>
      <c r="G68" s="75"/>
    </row>
    <row r="69" spans="1:7" x14ac:dyDescent="0.25">
      <c r="A69" s="74" t="s">
        <v>4</v>
      </c>
      <c r="B69" t="s">
        <v>55</v>
      </c>
      <c r="C69" s="11">
        <v>-0.11</v>
      </c>
    </row>
    <row r="70" spans="1:7" x14ac:dyDescent="0.25">
      <c r="A70" s="74" t="s">
        <v>4</v>
      </c>
      <c r="B70" t="s">
        <v>56</v>
      </c>
      <c r="C70" s="11">
        <v>0</v>
      </c>
    </row>
    <row r="71" spans="1:7" x14ac:dyDescent="0.25">
      <c r="A71" s="74" t="s">
        <v>4</v>
      </c>
      <c r="B71" t="s">
        <v>57</v>
      </c>
      <c r="C71" s="11">
        <v>-4.4999999999999998E-2</v>
      </c>
    </row>
    <row r="72" spans="1:7" x14ac:dyDescent="0.25">
      <c r="A72" s="74" t="s">
        <v>4</v>
      </c>
      <c r="B72" t="s">
        <v>58</v>
      </c>
      <c r="C72" s="11">
        <v>-2.7E-2</v>
      </c>
    </row>
    <row r="73" spans="1:7" x14ac:dyDescent="0.25">
      <c r="A73" s="74" t="s">
        <v>4</v>
      </c>
      <c r="B73" t="s">
        <v>59</v>
      </c>
      <c r="C73" s="11">
        <v>-3.0000000000000001E-3</v>
      </c>
    </row>
    <row r="74" spans="1:7" x14ac:dyDescent="0.25">
      <c r="A74" s="75" t="s">
        <v>633</v>
      </c>
      <c r="B74" s="75"/>
      <c r="C74" s="76"/>
      <c r="D74" s="75"/>
      <c r="E74" s="75"/>
      <c r="F74" s="75"/>
      <c r="G74" s="75"/>
    </row>
    <row r="75" spans="1:7" x14ac:dyDescent="0.25">
      <c r="A75" s="74" t="s">
        <v>4</v>
      </c>
      <c r="B75" t="s">
        <v>60</v>
      </c>
      <c r="C75" s="11">
        <v>0.16</v>
      </c>
    </row>
    <row r="76" spans="1:7" x14ac:dyDescent="0.25">
      <c r="A76" s="74" t="s">
        <v>4</v>
      </c>
      <c r="B76" t="s">
        <v>61</v>
      </c>
      <c r="C76" s="11">
        <v>7.0000000000000007E-2</v>
      </c>
    </row>
    <row r="77" spans="1:7" x14ac:dyDescent="0.25">
      <c r="A77" s="74" t="s">
        <v>4</v>
      </c>
      <c r="B77" t="s">
        <v>62</v>
      </c>
      <c r="C77" s="11">
        <v>0.01</v>
      </c>
    </row>
    <row r="78" spans="1:7" x14ac:dyDescent="0.25">
      <c r="A78" s="75" t="s">
        <v>633</v>
      </c>
      <c r="B78" s="75"/>
      <c r="C78" s="76"/>
      <c r="D78" s="75"/>
      <c r="E78" s="75"/>
      <c r="F78" s="75"/>
      <c r="G78" s="75"/>
    </row>
    <row r="79" spans="1:7" x14ac:dyDescent="0.25">
      <c r="A79" s="74" t="s">
        <v>4</v>
      </c>
      <c r="B79" t="s">
        <v>63</v>
      </c>
      <c r="C79" s="11">
        <v>3.5000000000000003E-2</v>
      </c>
    </row>
    <row r="80" spans="1:7" x14ac:dyDescent="0.25">
      <c r="A80" s="74" t="s">
        <v>4</v>
      </c>
      <c r="B80" t="s">
        <v>64</v>
      </c>
      <c r="C80" s="11">
        <v>6.0000000000000001E-3</v>
      </c>
    </row>
    <row r="81" spans="1:7" x14ac:dyDescent="0.25">
      <c r="A81" s="74" t="s">
        <v>4</v>
      </c>
      <c r="B81" t="s">
        <v>65</v>
      </c>
      <c r="C81" s="11">
        <v>5.3999999999999999E-2</v>
      </c>
    </row>
    <row r="82" spans="1:7" x14ac:dyDescent="0.25">
      <c r="A82" s="75" t="s">
        <v>633</v>
      </c>
      <c r="B82" s="75"/>
      <c r="C82" s="76"/>
      <c r="D82" s="75"/>
      <c r="E82" s="75"/>
      <c r="F82" s="75"/>
      <c r="G82" s="75"/>
    </row>
    <row r="83" spans="1:7" x14ac:dyDescent="0.25">
      <c r="A83" s="74" t="s">
        <v>4</v>
      </c>
      <c r="B83" t="s">
        <v>66</v>
      </c>
      <c r="C83" s="4">
        <v>0.5</v>
      </c>
    </row>
    <row r="84" spans="1:7" x14ac:dyDescent="0.25">
      <c r="A84" s="75" t="s">
        <v>633</v>
      </c>
      <c r="B84" s="75"/>
      <c r="C84" s="76"/>
      <c r="D84" s="75"/>
      <c r="E84" s="75"/>
      <c r="F84" s="75"/>
      <c r="G84" s="75"/>
    </row>
    <row r="85" spans="1:7" x14ac:dyDescent="0.25">
      <c r="A85" s="74" t="s">
        <v>4</v>
      </c>
      <c r="B85" s="74" t="s">
        <v>655</v>
      </c>
      <c r="C85" s="8">
        <v>2275</v>
      </c>
      <c r="E85" s="8"/>
    </row>
    <row r="86" spans="1:7" x14ac:dyDescent="0.25">
      <c r="A86" s="74" t="s">
        <v>4</v>
      </c>
      <c r="B86" s="74" t="s">
        <v>656</v>
      </c>
      <c r="C86" s="8">
        <v>2730</v>
      </c>
      <c r="E86" s="8"/>
    </row>
    <row r="87" spans="1:7" x14ac:dyDescent="0.25">
      <c r="A87" s="74" t="s">
        <v>4</v>
      </c>
      <c r="B87" s="74" t="s">
        <v>657</v>
      </c>
      <c r="C87" s="104">
        <v>4550</v>
      </c>
      <c r="E87" s="8"/>
      <c r="F87" s="8">
        <f>+C87</f>
        <v>4550</v>
      </c>
    </row>
    <row r="88" spans="1:7" x14ac:dyDescent="0.25">
      <c r="A88" s="74" t="s">
        <v>4</v>
      </c>
      <c r="B88" s="74" t="s">
        <v>658</v>
      </c>
      <c r="C88" s="8">
        <v>113.74999999999999</v>
      </c>
      <c r="E88" s="8"/>
    </row>
    <row r="89" spans="1:7" x14ac:dyDescent="0.25">
      <c r="A89" s="74" t="s">
        <v>4</v>
      </c>
      <c r="B89" s="74" t="s">
        <v>659</v>
      </c>
      <c r="C89" s="8">
        <v>227.49999999999997</v>
      </c>
      <c r="E89" s="8"/>
    </row>
    <row r="90" spans="1:7" x14ac:dyDescent="0.25">
      <c r="A90" s="74" t="s">
        <v>4</v>
      </c>
      <c r="B90" s="74" t="s">
        <v>639</v>
      </c>
      <c r="C90" s="3">
        <f>C92/2</f>
        <v>2575.39</v>
      </c>
    </row>
    <row r="91" spans="1:7" x14ac:dyDescent="0.25">
      <c r="A91" s="74" t="s">
        <v>4</v>
      </c>
      <c r="B91" s="74" t="s">
        <v>640</v>
      </c>
      <c r="C91" s="3">
        <v>3090.47</v>
      </c>
    </row>
    <row r="92" spans="1:7" x14ac:dyDescent="0.25">
      <c r="A92" s="74" t="s">
        <v>4</v>
      </c>
      <c r="B92" s="74" t="s">
        <v>641</v>
      </c>
      <c r="C92" s="3">
        <v>5150.78</v>
      </c>
      <c r="F92" s="3">
        <f>+C92</f>
        <v>5150.78</v>
      </c>
      <c r="G92" s="3"/>
    </row>
    <row r="93" spans="1:7" x14ac:dyDescent="0.25">
      <c r="A93" s="74" t="s">
        <v>4</v>
      </c>
      <c r="B93" s="74" t="s">
        <v>642</v>
      </c>
      <c r="C93" s="3">
        <v>131.29</v>
      </c>
    </row>
    <row r="94" spans="1:7" x14ac:dyDescent="0.25">
      <c r="A94" s="74" t="s">
        <v>4</v>
      </c>
      <c r="B94" s="74" t="s">
        <v>643</v>
      </c>
      <c r="C94" s="3">
        <v>257.54000000000002</v>
      </c>
    </row>
    <row r="95" spans="1:7" x14ac:dyDescent="0.25">
      <c r="B95" s="74" t="s">
        <v>660</v>
      </c>
      <c r="C95">
        <v>-193.38</v>
      </c>
    </row>
    <row r="96" spans="1:7" x14ac:dyDescent="0.25">
      <c r="B96" t="s">
        <v>647</v>
      </c>
      <c r="C96" s="3">
        <v>-178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4"/>
  <sheetViews>
    <sheetView showGridLines="0" tabSelected="1" zoomScaleNormal="10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C7" sqref="C7"/>
    </sheetView>
  </sheetViews>
  <sheetFormatPr baseColWidth="10" defaultColWidth="9.109375" defaultRowHeight="13.8" x14ac:dyDescent="0.3"/>
  <cols>
    <col min="1" max="1" width="6.5546875" style="109" hidden="1" customWidth="1"/>
    <col min="2" max="2" width="8.6640625" style="109" hidden="1" customWidth="1"/>
    <col min="3" max="3" width="4.6640625" style="115" customWidth="1"/>
    <col min="4" max="5" width="3.6640625" style="115" hidden="1" customWidth="1"/>
    <col min="6" max="6" width="28.44140625" style="115" customWidth="1"/>
    <col min="7" max="7" width="4.88671875" style="118" hidden="1" customWidth="1"/>
    <col min="8" max="8" width="8" style="169" customWidth="1"/>
    <col min="9" max="9" width="8.33203125" style="119" hidden="1" customWidth="1"/>
    <col min="10" max="10" width="9.109375" style="124" customWidth="1"/>
    <col min="11" max="11" width="5.33203125" style="120" hidden="1" customWidth="1"/>
    <col min="12" max="12" width="7.33203125" style="111" customWidth="1"/>
    <col min="13" max="13" width="6.33203125" style="121" hidden="1" customWidth="1"/>
    <col min="14" max="14" width="6.6640625" style="111" customWidth="1"/>
    <col min="15" max="15" width="7.88671875" style="111" customWidth="1"/>
    <col min="16" max="16" width="8.44140625" style="111" customWidth="1"/>
    <col min="17" max="17" width="8.109375" style="111" customWidth="1"/>
    <col min="18" max="18" width="8.33203125" style="111" customWidth="1"/>
    <col min="19" max="19" width="7.109375" style="111" customWidth="1"/>
    <col min="20" max="20" width="10.44140625" style="111" customWidth="1"/>
    <col min="21" max="21" width="8.6640625" style="124" customWidth="1"/>
    <col min="22" max="22" width="7.109375" style="111" customWidth="1"/>
    <col min="23" max="23" width="7" style="111" customWidth="1"/>
    <col min="24" max="24" width="7.5546875" style="111" customWidth="1"/>
    <col min="25" max="25" width="4.33203125" style="125" hidden="1" customWidth="1"/>
    <col min="26" max="26" width="7.109375" style="111" customWidth="1"/>
    <col min="27" max="27" width="7.44140625" style="111" customWidth="1"/>
    <col min="28" max="28" width="11.109375" style="111" customWidth="1"/>
    <col min="29" max="29" width="6.109375" style="113" customWidth="1"/>
    <col min="30" max="30" width="7.109375" style="111" customWidth="1"/>
    <col min="31" max="31" width="6.33203125" style="111" customWidth="1"/>
    <col min="32" max="32" width="4.44140625" style="125" hidden="1" customWidth="1"/>
    <col min="33" max="33" width="6.33203125" style="111" customWidth="1"/>
    <col min="34" max="34" width="8.5546875" style="111" customWidth="1"/>
    <col min="35" max="35" width="8.6640625" style="111" customWidth="1"/>
    <col min="36" max="36" width="8.77734375" style="111" bestFit="1" customWidth="1"/>
    <col min="37" max="37" width="11.88671875" style="111" customWidth="1"/>
    <col min="38" max="38" width="11" style="113" customWidth="1"/>
    <col min="39" max="39" width="6.109375" style="113" customWidth="1"/>
    <col min="40" max="40" width="8.33203125" style="113" customWidth="1"/>
    <col min="41" max="41" width="7.33203125" style="111" customWidth="1"/>
    <col min="42" max="42" width="8.44140625" style="111" customWidth="1"/>
    <col min="43" max="43" width="6.6640625" style="111" customWidth="1"/>
    <col min="44" max="44" width="7.44140625" style="111" customWidth="1"/>
    <col min="45" max="45" width="9" style="111" customWidth="1"/>
    <col min="46" max="46" width="10.88671875" style="111" customWidth="1"/>
    <col min="47" max="48" width="9.6640625" style="112" customWidth="1"/>
    <col min="49" max="49" width="9.6640625" style="111" customWidth="1"/>
    <col min="50" max="51" width="9.6640625" style="112" customWidth="1"/>
    <col min="52" max="52" width="5" style="109" customWidth="1"/>
    <col min="53" max="53" width="3.6640625" style="109" customWidth="1"/>
    <col min="54" max="54" width="3.44140625" style="114" customWidth="1"/>
    <col min="55" max="55" width="9.88671875" style="115" customWidth="1"/>
    <col min="56" max="1022" width="11.44140625" style="115" customWidth="1"/>
    <col min="1023" max="16384" width="9.109375" style="116"/>
  </cols>
  <sheetData>
    <row r="1" spans="1:1022" ht="35.25" customHeight="1" x14ac:dyDescent="0.3">
      <c r="C1" s="239" t="s">
        <v>664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110"/>
      <c r="AP1" s="110"/>
    </row>
    <row r="2" spans="1:1022" ht="11.25" customHeight="1" x14ac:dyDescent="0.3">
      <c r="B2" s="117"/>
      <c r="C2" s="175" t="s">
        <v>67</v>
      </c>
      <c r="D2" s="175"/>
      <c r="E2" s="175"/>
      <c r="F2" s="175"/>
      <c r="G2" s="176"/>
      <c r="H2" s="173">
        <v>0</v>
      </c>
      <c r="I2" s="180"/>
      <c r="J2" s="181">
        <f>LOOKUP(H2,Valores!I:I,Valores!J:J)</f>
        <v>0</v>
      </c>
      <c r="K2" s="182"/>
      <c r="L2" s="171"/>
      <c r="O2" s="122">
        <v>0.15</v>
      </c>
      <c r="P2" s="123"/>
      <c r="AN2" s="240"/>
      <c r="BB2" s="126">
        <f>(((H141+U141)*1.15)+Q141+R141+S141+AC141+AE141)*0.05</f>
        <v>2293.9656750000004</v>
      </c>
    </row>
    <row r="3" spans="1:1022" ht="11.25" customHeight="1" x14ac:dyDescent="0.3">
      <c r="B3" s="117"/>
      <c r="C3" s="175" t="s">
        <v>68</v>
      </c>
      <c r="D3" s="175"/>
      <c r="E3" s="175"/>
      <c r="F3" s="175"/>
      <c r="G3" s="176"/>
      <c r="H3" s="173">
        <v>0</v>
      </c>
      <c r="I3" s="241" t="s">
        <v>69</v>
      </c>
      <c r="J3" s="241"/>
      <c r="K3" s="242">
        <f>Valores!C2</f>
        <v>13.3826</v>
      </c>
      <c r="L3" s="242"/>
      <c r="Q3" s="231" t="s">
        <v>652</v>
      </c>
      <c r="R3" s="231"/>
      <c r="S3" s="231"/>
      <c r="T3" s="231"/>
      <c r="U3" s="231"/>
      <c r="V3" s="231"/>
      <c r="W3" s="231"/>
      <c r="X3" s="231"/>
      <c r="AN3" s="240"/>
      <c r="AO3" s="127" t="s">
        <v>4</v>
      </c>
      <c r="AP3" s="128"/>
      <c r="AQ3" s="129">
        <f>Valores!C2</f>
        <v>13.3826</v>
      </c>
      <c r="AR3" s="130"/>
      <c r="AS3" s="130"/>
      <c r="AT3" s="130"/>
      <c r="AU3" s="131"/>
      <c r="AV3" s="131"/>
      <c r="AW3" s="130"/>
      <c r="AX3" s="131"/>
      <c r="AY3" s="131"/>
    </row>
    <row r="4" spans="1:1022" ht="11.25" customHeight="1" x14ac:dyDescent="0.3">
      <c r="A4" s="132"/>
      <c r="B4" s="117"/>
      <c r="C4" s="175" t="s">
        <v>70</v>
      </c>
      <c r="D4" s="175"/>
      <c r="E4" s="175"/>
      <c r="F4" s="175"/>
      <c r="G4" s="176"/>
      <c r="H4" s="174" t="s">
        <v>4</v>
      </c>
      <c r="AN4" s="133"/>
      <c r="AO4" s="127" t="s">
        <v>8</v>
      </c>
      <c r="AP4" s="128"/>
      <c r="AQ4" s="130"/>
      <c r="AR4" s="130"/>
      <c r="AS4" s="130"/>
      <c r="AT4" s="130"/>
      <c r="AU4" s="131"/>
      <c r="AV4" s="131"/>
      <c r="AW4" s="130"/>
      <c r="AX4" s="131"/>
      <c r="AY4" s="131"/>
    </row>
    <row r="5" spans="1:1022" ht="11.25" customHeight="1" x14ac:dyDescent="0.3">
      <c r="A5" s="132"/>
      <c r="B5" s="117"/>
      <c r="C5" s="228" t="s">
        <v>650</v>
      </c>
      <c r="D5" s="229"/>
      <c r="E5" s="229"/>
      <c r="F5" s="230"/>
      <c r="G5" s="176"/>
      <c r="H5" s="174" t="s">
        <v>8</v>
      </c>
      <c r="AN5" s="133"/>
      <c r="AO5" s="127"/>
      <c r="AP5" s="128"/>
      <c r="AQ5" s="130"/>
      <c r="AR5" s="130"/>
      <c r="AS5" s="130"/>
      <c r="AT5" s="130"/>
      <c r="AU5" s="131"/>
      <c r="AV5" s="131"/>
      <c r="AW5" s="130"/>
      <c r="AX5" s="131"/>
      <c r="AY5" s="131"/>
    </row>
    <row r="6" spans="1:1022" ht="11.25" customHeight="1" x14ac:dyDescent="0.3">
      <c r="A6" s="132"/>
      <c r="B6" s="117"/>
      <c r="C6" s="228" t="s">
        <v>645</v>
      </c>
      <c r="D6" s="229"/>
      <c r="E6" s="229"/>
      <c r="F6" s="230"/>
      <c r="G6" s="176"/>
      <c r="H6" s="209">
        <v>0</v>
      </c>
      <c r="AN6" s="133"/>
      <c r="AO6" s="127"/>
      <c r="AP6" s="236" t="s">
        <v>661</v>
      </c>
      <c r="AQ6" s="237"/>
      <c r="AR6" s="237"/>
      <c r="AS6" s="237"/>
      <c r="AT6" s="237"/>
      <c r="AU6" s="238"/>
      <c r="AV6" s="236" t="s">
        <v>663</v>
      </c>
      <c r="AW6" s="237"/>
      <c r="AX6" s="237"/>
      <c r="AY6" s="238"/>
    </row>
    <row r="7" spans="1:1022" s="194" customFormat="1" ht="39" x14ac:dyDescent="0.25">
      <c r="A7" s="188"/>
      <c r="B7" s="188"/>
      <c r="C7" s="190"/>
      <c r="D7" s="189"/>
      <c r="E7" s="189"/>
      <c r="F7" s="190"/>
      <c r="G7" s="232" t="s">
        <v>71</v>
      </c>
      <c r="H7" s="232"/>
      <c r="I7" s="233" t="s">
        <v>72</v>
      </c>
      <c r="J7" s="233"/>
      <c r="K7" s="234" t="s">
        <v>73</v>
      </c>
      <c r="L7" s="234"/>
      <c r="M7" s="226" t="s">
        <v>74</v>
      </c>
      <c r="N7" s="226"/>
      <c r="O7" s="197" t="s">
        <v>75</v>
      </c>
      <c r="P7" s="198" t="s">
        <v>76</v>
      </c>
      <c r="Q7" s="197" t="s">
        <v>77</v>
      </c>
      <c r="R7" s="220" t="str">
        <f>CONCATENATE("Est. Doc (tope ",TEXT(Valores!D4,"$0,00"),")")</f>
        <v>Est. Doc (tope $6841,19)</v>
      </c>
      <c r="S7" s="197" t="s">
        <v>78</v>
      </c>
      <c r="T7" s="206" t="str">
        <f>CONCATENATE("Gtos. Inh. Lab. Doc. (tope ",TEXT(Valores!C45,"$0,00"),")")</f>
        <v>Gtos. Inh. Lab. Doc. (tope $3338,57)</v>
      </c>
      <c r="U7" s="198" t="s">
        <v>79</v>
      </c>
      <c r="V7" s="197" t="s">
        <v>79</v>
      </c>
      <c r="W7" s="197" t="s">
        <v>80</v>
      </c>
      <c r="X7" s="197" t="s">
        <v>81</v>
      </c>
      <c r="Y7" s="235" t="s">
        <v>82</v>
      </c>
      <c r="Z7" s="235"/>
      <c r="AA7" s="197" t="s">
        <v>83</v>
      </c>
      <c r="AB7" s="207" t="str">
        <f>CONCATENATE("Bonif. Compensatoria Rem. (tope ",TEXT(Valores!C92,"$0,00"),")")</f>
        <v>Bonif. Compensatoria Rem. (tope $5150,78)</v>
      </c>
      <c r="AC7" s="207" t="str">
        <f>CONCATENATE("Ad R Doc (tope ",TEXT(Valores!F31,"$0,00"),")")</f>
        <v>Ad R Doc (tope $419,70)</v>
      </c>
      <c r="AD7" s="197" t="s">
        <v>84</v>
      </c>
      <c r="AE7" s="206" t="str">
        <f>CONCATENATE("Nuevo  A.R.D. (tope ",TEXT(Valores!F32,"$0,00"),")")</f>
        <v>Nuevo  A.R.D. (tope $279,80)</v>
      </c>
      <c r="AF7" s="226" t="s">
        <v>85</v>
      </c>
      <c r="AG7" s="226"/>
      <c r="AH7" s="206" t="str">
        <f>CONCATENATE("Ap Mat Did Rem. (tope ",TEXT(Valores!F60,"$0,00"),")")</f>
        <v>Ap Mat Did Rem. (tope $1138,28)</v>
      </c>
      <c r="AI7" s="206" t="str">
        <f>CONCATENATE("Ap Mat Did Rem. Comp. (tope ",TEXT(Valores!F62,"$0,00"),")")</f>
        <v>Ap Mat Did Rem. Comp. (tope $325,22)</v>
      </c>
      <c r="AJ7" s="197" t="s">
        <v>86</v>
      </c>
      <c r="AK7" s="206" t="str">
        <f>CONCATENATE("Corrección Pauta Salarial sobre FONID (tope ",TEXT(Valores!F38,"$0,00"),")")</f>
        <v>Corrección Pauta Salarial sobre FONID (tope $2931,13)</v>
      </c>
      <c r="AL7" s="206" t="str">
        <f>CONCATENATE("Bonif. Compensatoria No Rem. (tope ",TEXT(Valores!C87,"$0,00"),")")</f>
        <v>Bonif. Compensatoria No Rem. (tope $4550,00)</v>
      </c>
      <c r="AM7" s="227" t="s">
        <v>635</v>
      </c>
      <c r="AN7" s="207" t="str">
        <f>CONCATENATE("Adel Inc Docente (tope ",TEXT(Valores!C52,"$0,00"),")")</f>
        <v>Adel Inc Docente (tope $327,60)</v>
      </c>
      <c r="AO7" s="197" t="s">
        <v>87</v>
      </c>
      <c r="AP7" s="199" t="s">
        <v>88</v>
      </c>
      <c r="AQ7" s="199" t="s">
        <v>89</v>
      </c>
      <c r="AR7" s="199" t="s">
        <v>90</v>
      </c>
      <c r="AS7" s="199" t="s">
        <v>646</v>
      </c>
      <c r="AT7" s="199" t="s">
        <v>647</v>
      </c>
      <c r="AU7" s="199" t="s">
        <v>91</v>
      </c>
      <c r="AV7" s="199" t="str">
        <f>AP7</f>
        <v>Ap Pers Jub</v>
      </c>
      <c r="AW7" s="199" t="s">
        <v>58</v>
      </c>
      <c r="AX7" s="199" t="s">
        <v>59</v>
      </c>
      <c r="AY7" s="199" t="s">
        <v>662</v>
      </c>
      <c r="AZ7" s="199" t="s">
        <v>92</v>
      </c>
      <c r="BA7" s="199" t="s">
        <v>93</v>
      </c>
      <c r="BB7" s="199" t="s">
        <v>94</v>
      </c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  <c r="IW7" s="189"/>
      <c r="IX7" s="189"/>
      <c r="IY7" s="189"/>
      <c r="IZ7" s="189"/>
      <c r="JA7" s="189"/>
      <c r="JB7" s="189"/>
      <c r="JC7" s="189"/>
      <c r="JD7" s="189"/>
      <c r="JE7" s="189"/>
      <c r="JF7" s="189"/>
      <c r="JG7" s="189"/>
      <c r="JH7" s="189"/>
      <c r="JI7" s="189"/>
      <c r="JJ7" s="189"/>
      <c r="JK7" s="189"/>
      <c r="JL7" s="189"/>
      <c r="JM7" s="189"/>
      <c r="JN7" s="189"/>
      <c r="JO7" s="189"/>
      <c r="JP7" s="189"/>
      <c r="JQ7" s="189"/>
      <c r="JR7" s="189"/>
      <c r="JS7" s="189"/>
      <c r="JT7" s="189"/>
      <c r="JU7" s="189"/>
      <c r="JV7" s="189"/>
      <c r="JW7" s="189"/>
      <c r="JX7" s="189"/>
      <c r="JY7" s="189"/>
      <c r="JZ7" s="189"/>
      <c r="KA7" s="189"/>
      <c r="KB7" s="189"/>
      <c r="KC7" s="189"/>
      <c r="KD7" s="189"/>
      <c r="KE7" s="189"/>
      <c r="KF7" s="189"/>
      <c r="KG7" s="189"/>
      <c r="KH7" s="189"/>
      <c r="KI7" s="189"/>
      <c r="KJ7" s="189"/>
      <c r="KK7" s="189"/>
      <c r="KL7" s="189"/>
      <c r="KM7" s="189"/>
      <c r="KN7" s="189"/>
      <c r="KO7" s="189"/>
      <c r="KP7" s="189"/>
      <c r="KQ7" s="189"/>
      <c r="KR7" s="189"/>
      <c r="KS7" s="189"/>
      <c r="KT7" s="189"/>
      <c r="KU7" s="189"/>
      <c r="KV7" s="189"/>
      <c r="KW7" s="189"/>
      <c r="KX7" s="189"/>
      <c r="KY7" s="189"/>
      <c r="KZ7" s="189"/>
      <c r="LA7" s="189"/>
      <c r="LB7" s="189"/>
      <c r="LC7" s="189"/>
      <c r="LD7" s="189"/>
      <c r="LE7" s="189"/>
      <c r="LF7" s="189"/>
      <c r="LG7" s="189"/>
      <c r="LH7" s="189"/>
      <c r="LI7" s="189"/>
      <c r="LJ7" s="189"/>
      <c r="LK7" s="189"/>
      <c r="LL7" s="189"/>
      <c r="LM7" s="189"/>
      <c r="LN7" s="189"/>
      <c r="LO7" s="189"/>
      <c r="LP7" s="189"/>
      <c r="LQ7" s="189"/>
      <c r="LR7" s="189"/>
      <c r="LS7" s="189"/>
      <c r="LT7" s="189"/>
      <c r="LU7" s="189"/>
      <c r="LV7" s="189"/>
      <c r="LW7" s="189"/>
      <c r="LX7" s="189"/>
      <c r="LY7" s="189"/>
      <c r="LZ7" s="189"/>
      <c r="MA7" s="189"/>
      <c r="MB7" s="189"/>
      <c r="MC7" s="189"/>
      <c r="MD7" s="189"/>
      <c r="ME7" s="189"/>
      <c r="MF7" s="189"/>
      <c r="MG7" s="189"/>
      <c r="MH7" s="189"/>
      <c r="MI7" s="189"/>
      <c r="MJ7" s="189"/>
      <c r="MK7" s="189"/>
      <c r="ML7" s="189"/>
      <c r="MM7" s="189"/>
      <c r="MN7" s="189"/>
      <c r="MO7" s="189"/>
      <c r="MP7" s="189"/>
      <c r="MQ7" s="189"/>
      <c r="MR7" s="189"/>
      <c r="MS7" s="189"/>
      <c r="MT7" s="189"/>
      <c r="MU7" s="189"/>
      <c r="MV7" s="189"/>
      <c r="MW7" s="189"/>
      <c r="MX7" s="189"/>
      <c r="MY7" s="189"/>
      <c r="MZ7" s="189"/>
      <c r="NA7" s="189"/>
      <c r="NB7" s="189"/>
      <c r="NC7" s="189"/>
      <c r="ND7" s="189"/>
      <c r="NE7" s="189"/>
      <c r="NF7" s="189"/>
      <c r="NG7" s="189"/>
      <c r="NH7" s="189"/>
      <c r="NI7" s="189"/>
      <c r="NJ7" s="189"/>
      <c r="NK7" s="189"/>
      <c r="NL7" s="189"/>
      <c r="NM7" s="189"/>
      <c r="NN7" s="189"/>
      <c r="NO7" s="189"/>
      <c r="NP7" s="189"/>
      <c r="NQ7" s="189"/>
      <c r="NR7" s="189"/>
      <c r="NS7" s="189"/>
      <c r="NT7" s="189"/>
      <c r="NU7" s="189"/>
      <c r="NV7" s="189"/>
      <c r="NW7" s="189"/>
      <c r="NX7" s="189"/>
      <c r="NY7" s="189"/>
      <c r="NZ7" s="189"/>
      <c r="OA7" s="189"/>
      <c r="OB7" s="189"/>
      <c r="OC7" s="189"/>
      <c r="OD7" s="189"/>
      <c r="OE7" s="189"/>
      <c r="OF7" s="189"/>
      <c r="OG7" s="189"/>
      <c r="OH7" s="189"/>
      <c r="OI7" s="189"/>
      <c r="OJ7" s="189"/>
      <c r="OK7" s="189"/>
      <c r="OL7" s="189"/>
      <c r="OM7" s="189"/>
      <c r="ON7" s="189"/>
      <c r="OO7" s="189"/>
      <c r="OP7" s="189"/>
      <c r="OQ7" s="189"/>
      <c r="OR7" s="189"/>
      <c r="OS7" s="189"/>
      <c r="OT7" s="189"/>
      <c r="OU7" s="189"/>
      <c r="OV7" s="189"/>
      <c r="OW7" s="189"/>
      <c r="OX7" s="189"/>
      <c r="OY7" s="189"/>
      <c r="OZ7" s="189"/>
      <c r="PA7" s="189"/>
      <c r="PB7" s="189"/>
      <c r="PC7" s="189"/>
      <c r="PD7" s="189"/>
      <c r="PE7" s="189"/>
      <c r="PF7" s="189"/>
      <c r="PG7" s="189"/>
      <c r="PH7" s="189"/>
      <c r="PI7" s="189"/>
      <c r="PJ7" s="189"/>
      <c r="PK7" s="189"/>
      <c r="PL7" s="189"/>
      <c r="PM7" s="189"/>
      <c r="PN7" s="189"/>
      <c r="PO7" s="189"/>
      <c r="PP7" s="189"/>
      <c r="PQ7" s="189"/>
      <c r="PR7" s="189"/>
      <c r="PS7" s="189"/>
      <c r="PT7" s="189"/>
      <c r="PU7" s="189"/>
      <c r="PV7" s="189"/>
      <c r="PW7" s="189"/>
      <c r="PX7" s="189"/>
      <c r="PY7" s="189"/>
      <c r="PZ7" s="189"/>
      <c r="QA7" s="189"/>
      <c r="QB7" s="189"/>
      <c r="QC7" s="189"/>
      <c r="QD7" s="189"/>
      <c r="QE7" s="189"/>
      <c r="QF7" s="189"/>
      <c r="QG7" s="189"/>
      <c r="QH7" s="189"/>
      <c r="QI7" s="189"/>
      <c r="QJ7" s="189"/>
      <c r="QK7" s="189"/>
      <c r="QL7" s="189"/>
      <c r="QM7" s="189"/>
      <c r="QN7" s="189"/>
      <c r="QO7" s="189"/>
      <c r="QP7" s="189"/>
      <c r="QQ7" s="189"/>
      <c r="QR7" s="189"/>
      <c r="QS7" s="189"/>
      <c r="QT7" s="189"/>
      <c r="QU7" s="189"/>
      <c r="QV7" s="189"/>
      <c r="QW7" s="189"/>
      <c r="QX7" s="189"/>
      <c r="QY7" s="189"/>
      <c r="QZ7" s="189"/>
      <c r="RA7" s="189"/>
      <c r="RB7" s="189"/>
      <c r="RC7" s="189"/>
      <c r="RD7" s="189"/>
      <c r="RE7" s="189"/>
      <c r="RF7" s="189"/>
      <c r="RG7" s="189"/>
      <c r="RH7" s="189"/>
      <c r="RI7" s="189"/>
      <c r="RJ7" s="189"/>
      <c r="RK7" s="189"/>
      <c r="RL7" s="189"/>
      <c r="RM7" s="189"/>
      <c r="RN7" s="189"/>
      <c r="RO7" s="189"/>
      <c r="RP7" s="189"/>
      <c r="RQ7" s="189"/>
      <c r="RR7" s="189"/>
      <c r="RS7" s="189"/>
      <c r="RT7" s="189"/>
      <c r="RU7" s="189"/>
      <c r="RV7" s="189"/>
      <c r="RW7" s="189"/>
      <c r="RX7" s="189"/>
      <c r="RY7" s="189"/>
      <c r="RZ7" s="189"/>
      <c r="SA7" s="189"/>
      <c r="SB7" s="189"/>
      <c r="SC7" s="189"/>
      <c r="SD7" s="189"/>
      <c r="SE7" s="189"/>
      <c r="SF7" s="189"/>
      <c r="SG7" s="189"/>
      <c r="SH7" s="189"/>
      <c r="SI7" s="189"/>
      <c r="SJ7" s="189"/>
      <c r="SK7" s="189"/>
      <c r="SL7" s="189"/>
      <c r="SM7" s="189"/>
      <c r="SN7" s="189"/>
      <c r="SO7" s="189"/>
      <c r="SP7" s="189"/>
      <c r="SQ7" s="189"/>
      <c r="SR7" s="189"/>
      <c r="SS7" s="189"/>
      <c r="ST7" s="189"/>
      <c r="SU7" s="189"/>
      <c r="SV7" s="189"/>
      <c r="SW7" s="189"/>
      <c r="SX7" s="189"/>
      <c r="SY7" s="189"/>
      <c r="SZ7" s="189"/>
      <c r="TA7" s="189"/>
      <c r="TB7" s="189"/>
      <c r="TC7" s="189"/>
      <c r="TD7" s="189"/>
      <c r="TE7" s="189"/>
      <c r="TF7" s="189"/>
      <c r="TG7" s="189"/>
      <c r="TH7" s="189"/>
      <c r="TI7" s="189"/>
      <c r="TJ7" s="189"/>
      <c r="TK7" s="189"/>
      <c r="TL7" s="189"/>
      <c r="TM7" s="189"/>
      <c r="TN7" s="189"/>
      <c r="TO7" s="189"/>
      <c r="TP7" s="189"/>
      <c r="TQ7" s="189"/>
      <c r="TR7" s="189"/>
      <c r="TS7" s="189"/>
      <c r="TT7" s="189"/>
      <c r="TU7" s="189"/>
      <c r="TV7" s="189"/>
      <c r="TW7" s="189"/>
      <c r="TX7" s="189"/>
      <c r="TY7" s="189"/>
      <c r="TZ7" s="189"/>
      <c r="UA7" s="189"/>
      <c r="UB7" s="189"/>
      <c r="UC7" s="189"/>
      <c r="UD7" s="189"/>
      <c r="UE7" s="189"/>
      <c r="UF7" s="189"/>
      <c r="UG7" s="189"/>
      <c r="UH7" s="189"/>
      <c r="UI7" s="189"/>
      <c r="UJ7" s="189"/>
      <c r="UK7" s="189"/>
      <c r="UL7" s="189"/>
      <c r="UM7" s="189"/>
      <c r="UN7" s="189"/>
      <c r="UO7" s="189"/>
      <c r="UP7" s="189"/>
      <c r="UQ7" s="189"/>
      <c r="UR7" s="189"/>
      <c r="US7" s="189"/>
      <c r="UT7" s="189"/>
      <c r="UU7" s="189"/>
      <c r="UV7" s="189"/>
      <c r="UW7" s="189"/>
      <c r="UX7" s="189"/>
      <c r="UY7" s="189"/>
      <c r="UZ7" s="189"/>
      <c r="VA7" s="189"/>
      <c r="VB7" s="189"/>
      <c r="VC7" s="189"/>
      <c r="VD7" s="189"/>
      <c r="VE7" s="189"/>
      <c r="VF7" s="189"/>
      <c r="VG7" s="189"/>
      <c r="VH7" s="189"/>
      <c r="VI7" s="189"/>
      <c r="VJ7" s="189"/>
      <c r="VK7" s="189"/>
      <c r="VL7" s="189"/>
      <c r="VM7" s="189"/>
      <c r="VN7" s="189"/>
      <c r="VO7" s="189"/>
      <c r="VP7" s="189"/>
      <c r="VQ7" s="189"/>
      <c r="VR7" s="189"/>
      <c r="VS7" s="189"/>
      <c r="VT7" s="189"/>
      <c r="VU7" s="189"/>
      <c r="VV7" s="189"/>
      <c r="VW7" s="189"/>
      <c r="VX7" s="189"/>
      <c r="VY7" s="189"/>
      <c r="VZ7" s="189"/>
      <c r="WA7" s="189"/>
      <c r="WB7" s="189"/>
      <c r="WC7" s="189"/>
      <c r="WD7" s="189"/>
      <c r="WE7" s="189"/>
      <c r="WF7" s="189"/>
      <c r="WG7" s="189"/>
      <c r="WH7" s="189"/>
      <c r="WI7" s="189"/>
      <c r="WJ7" s="189"/>
      <c r="WK7" s="189"/>
      <c r="WL7" s="189"/>
      <c r="WM7" s="189"/>
      <c r="WN7" s="189"/>
      <c r="WO7" s="189"/>
      <c r="WP7" s="189"/>
      <c r="WQ7" s="189"/>
      <c r="WR7" s="189"/>
      <c r="WS7" s="189"/>
      <c r="WT7" s="189"/>
      <c r="WU7" s="189"/>
      <c r="WV7" s="189"/>
      <c r="WW7" s="189"/>
      <c r="WX7" s="189"/>
      <c r="WY7" s="189"/>
      <c r="WZ7" s="189"/>
      <c r="XA7" s="189"/>
      <c r="XB7" s="189"/>
      <c r="XC7" s="189"/>
      <c r="XD7" s="189"/>
      <c r="XE7" s="189"/>
      <c r="XF7" s="189"/>
      <c r="XG7" s="189"/>
      <c r="XH7" s="189"/>
      <c r="XI7" s="189"/>
      <c r="XJ7" s="189"/>
      <c r="XK7" s="189"/>
      <c r="XL7" s="189"/>
      <c r="XM7" s="189"/>
      <c r="XN7" s="189"/>
      <c r="XO7" s="189"/>
      <c r="XP7" s="189"/>
      <c r="XQ7" s="189"/>
      <c r="XR7" s="189"/>
      <c r="XS7" s="189"/>
      <c r="XT7" s="189"/>
      <c r="XU7" s="189"/>
      <c r="XV7" s="189"/>
      <c r="XW7" s="189"/>
      <c r="XX7" s="189"/>
      <c r="XY7" s="189"/>
      <c r="XZ7" s="189"/>
      <c r="YA7" s="189"/>
      <c r="YB7" s="189"/>
      <c r="YC7" s="189"/>
      <c r="YD7" s="189"/>
      <c r="YE7" s="189"/>
      <c r="YF7" s="189"/>
      <c r="YG7" s="189"/>
      <c r="YH7" s="189"/>
      <c r="YI7" s="189"/>
      <c r="YJ7" s="189"/>
      <c r="YK7" s="189"/>
      <c r="YL7" s="189"/>
      <c r="YM7" s="189"/>
      <c r="YN7" s="189"/>
      <c r="YO7" s="189"/>
      <c r="YP7" s="189"/>
      <c r="YQ7" s="189"/>
      <c r="YR7" s="189"/>
      <c r="YS7" s="189"/>
      <c r="YT7" s="189"/>
      <c r="YU7" s="189"/>
      <c r="YV7" s="189"/>
      <c r="YW7" s="189"/>
      <c r="YX7" s="189"/>
      <c r="YY7" s="189"/>
      <c r="YZ7" s="189"/>
      <c r="ZA7" s="189"/>
      <c r="ZB7" s="189"/>
      <c r="ZC7" s="189"/>
      <c r="ZD7" s="189"/>
      <c r="ZE7" s="189"/>
      <c r="ZF7" s="189"/>
      <c r="ZG7" s="189"/>
      <c r="ZH7" s="189"/>
      <c r="ZI7" s="189"/>
      <c r="ZJ7" s="189"/>
      <c r="ZK7" s="189"/>
      <c r="ZL7" s="189"/>
      <c r="ZM7" s="189"/>
      <c r="ZN7" s="189"/>
      <c r="ZO7" s="189"/>
      <c r="ZP7" s="189"/>
      <c r="ZQ7" s="189"/>
      <c r="ZR7" s="189"/>
      <c r="ZS7" s="189"/>
      <c r="ZT7" s="189"/>
      <c r="ZU7" s="189"/>
      <c r="ZV7" s="189"/>
      <c r="ZW7" s="189"/>
      <c r="ZX7" s="189"/>
      <c r="ZY7" s="189"/>
      <c r="ZZ7" s="189"/>
      <c r="AAA7" s="189"/>
      <c r="AAB7" s="189"/>
      <c r="AAC7" s="189"/>
      <c r="AAD7" s="189"/>
      <c r="AAE7" s="189"/>
      <c r="AAF7" s="189"/>
      <c r="AAG7" s="189"/>
      <c r="AAH7" s="189"/>
      <c r="AAI7" s="189"/>
      <c r="AAJ7" s="189"/>
      <c r="AAK7" s="189"/>
      <c r="AAL7" s="189"/>
      <c r="AAM7" s="189"/>
      <c r="AAN7" s="189"/>
      <c r="AAO7" s="189"/>
      <c r="AAP7" s="189"/>
      <c r="AAQ7" s="189"/>
      <c r="AAR7" s="189"/>
      <c r="AAS7" s="189"/>
      <c r="AAT7" s="189"/>
      <c r="AAU7" s="189"/>
      <c r="AAV7" s="189"/>
      <c r="AAW7" s="189"/>
      <c r="AAX7" s="189"/>
      <c r="AAY7" s="189"/>
      <c r="AAZ7" s="189"/>
      <c r="ABA7" s="189"/>
      <c r="ABB7" s="189"/>
      <c r="ABC7" s="189"/>
      <c r="ABD7" s="189"/>
      <c r="ABE7" s="189"/>
      <c r="ABF7" s="189"/>
      <c r="ABG7" s="189"/>
      <c r="ABH7" s="189"/>
      <c r="ABI7" s="189"/>
      <c r="ABJ7" s="189"/>
      <c r="ABK7" s="189"/>
      <c r="ABL7" s="189"/>
      <c r="ABM7" s="189"/>
      <c r="ABN7" s="189"/>
      <c r="ABO7" s="189"/>
      <c r="ABP7" s="189"/>
      <c r="ABQ7" s="189"/>
      <c r="ABR7" s="189"/>
      <c r="ABS7" s="189"/>
      <c r="ABT7" s="189"/>
      <c r="ABU7" s="189"/>
      <c r="ABV7" s="189"/>
      <c r="ABW7" s="189"/>
      <c r="ABX7" s="189"/>
      <c r="ABY7" s="189"/>
      <c r="ABZ7" s="189"/>
      <c r="ACA7" s="189"/>
      <c r="ACB7" s="189"/>
      <c r="ACC7" s="189"/>
      <c r="ACD7" s="189"/>
      <c r="ACE7" s="189"/>
      <c r="ACF7" s="189"/>
      <c r="ACG7" s="189"/>
      <c r="ACH7" s="189"/>
      <c r="ACI7" s="189"/>
      <c r="ACJ7" s="189"/>
      <c r="ACK7" s="189"/>
      <c r="ACL7" s="189"/>
      <c r="ACM7" s="189"/>
      <c r="ACN7" s="189"/>
      <c r="ACO7" s="189"/>
      <c r="ACP7" s="189"/>
      <c r="ACQ7" s="189"/>
      <c r="ACR7" s="189"/>
      <c r="ACS7" s="189"/>
      <c r="ACT7" s="189"/>
      <c r="ACU7" s="189"/>
      <c r="ACV7" s="189"/>
      <c r="ACW7" s="189"/>
      <c r="ACX7" s="189"/>
      <c r="ACY7" s="189"/>
      <c r="ACZ7" s="189"/>
      <c r="ADA7" s="189"/>
      <c r="ADB7" s="189"/>
      <c r="ADC7" s="189"/>
      <c r="ADD7" s="189"/>
      <c r="ADE7" s="189"/>
      <c r="ADF7" s="189"/>
      <c r="ADG7" s="189"/>
      <c r="ADH7" s="189"/>
      <c r="ADI7" s="189"/>
      <c r="ADJ7" s="189"/>
      <c r="ADK7" s="189"/>
      <c r="ADL7" s="189"/>
      <c r="ADM7" s="189"/>
      <c r="ADN7" s="189"/>
      <c r="ADO7" s="189"/>
      <c r="ADP7" s="189"/>
      <c r="ADQ7" s="189"/>
      <c r="ADR7" s="189"/>
      <c r="ADS7" s="189"/>
      <c r="ADT7" s="189"/>
      <c r="ADU7" s="189"/>
      <c r="ADV7" s="189"/>
      <c r="ADW7" s="189"/>
      <c r="ADX7" s="189"/>
      <c r="ADY7" s="189"/>
      <c r="ADZ7" s="189"/>
      <c r="AEA7" s="189"/>
      <c r="AEB7" s="189"/>
      <c r="AEC7" s="189"/>
      <c r="AED7" s="189"/>
      <c r="AEE7" s="189"/>
      <c r="AEF7" s="189"/>
      <c r="AEG7" s="189"/>
      <c r="AEH7" s="189"/>
      <c r="AEI7" s="189"/>
      <c r="AEJ7" s="189"/>
      <c r="AEK7" s="189"/>
      <c r="AEL7" s="189"/>
      <c r="AEM7" s="189"/>
      <c r="AEN7" s="189"/>
      <c r="AEO7" s="189"/>
      <c r="AEP7" s="189"/>
      <c r="AEQ7" s="189"/>
      <c r="AER7" s="189"/>
      <c r="AES7" s="189"/>
      <c r="AET7" s="189"/>
      <c r="AEU7" s="189"/>
      <c r="AEV7" s="189"/>
      <c r="AEW7" s="189"/>
      <c r="AEX7" s="189"/>
      <c r="AEY7" s="189"/>
      <c r="AEZ7" s="189"/>
      <c r="AFA7" s="189"/>
      <c r="AFB7" s="189"/>
      <c r="AFC7" s="189"/>
      <c r="AFD7" s="189"/>
      <c r="AFE7" s="189"/>
      <c r="AFF7" s="189"/>
      <c r="AFG7" s="189"/>
      <c r="AFH7" s="189"/>
      <c r="AFI7" s="189"/>
      <c r="AFJ7" s="189"/>
      <c r="AFK7" s="189"/>
      <c r="AFL7" s="189"/>
      <c r="AFM7" s="189"/>
      <c r="AFN7" s="189"/>
      <c r="AFO7" s="189"/>
      <c r="AFP7" s="189"/>
      <c r="AFQ7" s="189"/>
      <c r="AFR7" s="189"/>
      <c r="AFS7" s="189"/>
      <c r="AFT7" s="189"/>
      <c r="AFU7" s="189"/>
      <c r="AFV7" s="189"/>
      <c r="AFW7" s="189"/>
      <c r="AFX7" s="189"/>
      <c r="AFY7" s="189"/>
      <c r="AFZ7" s="189"/>
      <c r="AGA7" s="189"/>
      <c r="AGB7" s="189"/>
      <c r="AGC7" s="189"/>
      <c r="AGD7" s="189"/>
      <c r="AGE7" s="189"/>
      <c r="AGF7" s="189"/>
      <c r="AGG7" s="189"/>
      <c r="AGH7" s="189"/>
      <c r="AGI7" s="189"/>
      <c r="AGJ7" s="189"/>
      <c r="AGK7" s="189"/>
      <c r="AGL7" s="189"/>
      <c r="AGM7" s="189"/>
      <c r="AGN7" s="189"/>
      <c r="AGO7" s="189"/>
      <c r="AGP7" s="189"/>
      <c r="AGQ7" s="189"/>
      <c r="AGR7" s="189"/>
      <c r="AGS7" s="189"/>
      <c r="AGT7" s="189"/>
      <c r="AGU7" s="189"/>
      <c r="AGV7" s="189"/>
      <c r="AGW7" s="189"/>
      <c r="AGX7" s="189"/>
      <c r="AGY7" s="189"/>
      <c r="AGZ7" s="189"/>
      <c r="AHA7" s="189"/>
      <c r="AHB7" s="189"/>
      <c r="AHC7" s="189"/>
      <c r="AHD7" s="189"/>
      <c r="AHE7" s="189"/>
      <c r="AHF7" s="189"/>
      <c r="AHG7" s="189"/>
      <c r="AHH7" s="189"/>
      <c r="AHI7" s="189"/>
      <c r="AHJ7" s="189"/>
      <c r="AHK7" s="189"/>
      <c r="AHL7" s="189"/>
      <c r="AHM7" s="189"/>
      <c r="AHN7" s="189"/>
      <c r="AHO7" s="189"/>
      <c r="AHP7" s="189"/>
      <c r="AHQ7" s="189"/>
      <c r="AHR7" s="189"/>
      <c r="AHS7" s="189"/>
      <c r="AHT7" s="189"/>
      <c r="AHU7" s="189"/>
      <c r="AHV7" s="189"/>
      <c r="AHW7" s="189"/>
      <c r="AHX7" s="189"/>
      <c r="AHY7" s="189"/>
      <c r="AHZ7" s="189"/>
      <c r="AIA7" s="189"/>
      <c r="AIB7" s="189"/>
      <c r="AIC7" s="189"/>
      <c r="AID7" s="189"/>
      <c r="AIE7" s="189"/>
      <c r="AIF7" s="189"/>
      <c r="AIG7" s="189"/>
      <c r="AIH7" s="189"/>
      <c r="AII7" s="189"/>
      <c r="AIJ7" s="189"/>
      <c r="AIK7" s="189"/>
      <c r="AIL7" s="189"/>
      <c r="AIM7" s="189"/>
      <c r="AIN7" s="189"/>
      <c r="AIO7" s="189"/>
      <c r="AIP7" s="189"/>
      <c r="AIQ7" s="189"/>
      <c r="AIR7" s="189"/>
      <c r="AIS7" s="189"/>
      <c r="AIT7" s="189"/>
      <c r="AIU7" s="189"/>
      <c r="AIV7" s="189"/>
      <c r="AIW7" s="189"/>
      <c r="AIX7" s="189"/>
      <c r="AIY7" s="189"/>
      <c r="AIZ7" s="189"/>
      <c r="AJA7" s="189"/>
      <c r="AJB7" s="189"/>
      <c r="AJC7" s="189"/>
      <c r="AJD7" s="189"/>
      <c r="AJE7" s="189"/>
      <c r="AJF7" s="189"/>
      <c r="AJG7" s="189"/>
      <c r="AJH7" s="189"/>
      <c r="AJI7" s="189"/>
      <c r="AJJ7" s="189"/>
      <c r="AJK7" s="189"/>
      <c r="AJL7" s="189"/>
      <c r="AJM7" s="189"/>
      <c r="AJN7" s="189"/>
      <c r="AJO7" s="189"/>
      <c r="AJP7" s="189"/>
      <c r="AJQ7" s="189"/>
      <c r="AJR7" s="189"/>
      <c r="AJS7" s="189"/>
      <c r="AJT7" s="189"/>
      <c r="AJU7" s="189"/>
      <c r="AJV7" s="189"/>
      <c r="AJW7" s="189"/>
      <c r="AJX7" s="189"/>
      <c r="AJY7" s="189"/>
      <c r="AJZ7" s="189"/>
      <c r="AKA7" s="189"/>
      <c r="AKB7" s="189"/>
      <c r="AKC7" s="189"/>
      <c r="AKD7" s="189"/>
      <c r="AKE7" s="189"/>
      <c r="AKF7" s="189"/>
      <c r="AKG7" s="189"/>
      <c r="AKH7" s="189"/>
      <c r="AKI7" s="189"/>
      <c r="AKJ7" s="189"/>
      <c r="AKK7" s="189"/>
      <c r="AKL7" s="189"/>
      <c r="AKM7" s="189"/>
      <c r="AKN7" s="189"/>
      <c r="AKO7" s="189"/>
      <c r="AKP7" s="189"/>
      <c r="AKQ7" s="189"/>
      <c r="AKR7" s="189"/>
      <c r="AKS7" s="189"/>
      <c r="AKT7" s="189"/>
      <c r="AKU7" s="189"/>
      <c r="AKV7" s="189"/>
      <c r="AKW7" s="189"/>
      <c r="AKX7" s="189"/>
      <c r="AKY7" s="189"/>
      <c r="AKZ7" s="189"/>
      <c r="ALA7" s="189"/>
      <c r="ALB7" s="189"/>
      <c r="ALC7" s="189"/>
      <c r="ALD7" s="189"/>
      <c r="ALE7" s="189"/>
      <c r="ALF7" s="189"/>
      <c r="ALG7" s="189"/>
      <c r="ALH7" s="189"/>
      <c r="ALI7" s="189"/>
      <c r="ALJ7" s="189"/>
      <c r="ALK7" s="189"/>
      <c r="ALL7" s="189"/>
      <c r="ALM7" s="189"/>
      <c r="ALN7" s="189"/>
      <c r="ALO7" s="189"/>
      <c r="ALP7" s="189"/>
      <c r="ALQ7" s="189"/>
      <c r="ALR7" s="189"/>
      <c r="ALS7" s="189"/>
      <c r="ALT7" s="189"/>
      <c r="ALU7" s="189"/>
      <c r="ALV7" s="189"/>
      <c r="ALW7" s="189"/>
      <c r="ALX7" s="189"/>
      <c r="ALY7" s="189"/>
      <c r="ALZ7" s="189"/>
      <c r="AMA7" s="189"/>
      <c r="AMB7" s="189"/>
      <c r="AMC7" s="189"/>
      <c r="AMD7" s="189"/>
      <c r="AME7" s="189"/>
      <c r="AMF7" s="189"/>
      <c r="AMG7" s="189"/>
      <c r="AMH7" s="189"/>
    </row>
    <row r="8" spans="1:1022" s="189" customFormat="1" ht="12.75" customHeight="1" x14ac:dyDescent="0.25">
      <c r="A8" s="189" t="s">
        <v>95</v>
      </c>
      <c r="C8" s="191" t="s">
        <v>96</v>
      </c>
      <c r="D8" s="192"/>
      <c r="E8" s="192"/>
      <c r="F8" s="193" t="s">
        <v>97</v>
      </c>
      <c r="G8" s="195" t="s">
        <v>98</v>
      </c>
      <c r="H8" s="196" t="s">
        <v>99</v>
      </c>
      <c r="I8" s="200" t="s">
        <v>100</v>
      </c>
      <c r="J8" s="201" t="s">
        <v>101</v>
      </c>
      <c r="K8" s="202" t="s">
        <v>102</v>
      </c>
      <c r="L8" s="201" t="s">
        <v>103</v>
      </c>
      <c r="M8" s="203" t="s">
        <v>104</v>
      </c>
      <c r="N8" s="201" t="s">
        <v>105</v>
      </c>
      <c r="O8" s="201" t="s">
        <v>106</v>
      </c>
      <c r="P8" s="201" t="s">
        <v>107</v>
      </c>
      <c r="Q8" s="201" t="s">
        <v>108</v>
      </c>
      <c r="R8" s="201" t="s">
        <v>109</v>
      </c>
      <c r="S8" s="201" t="s">
        <v>110</v>
      </c>
      <c r="T8" s="201" t="s">
        <v>111</v>
      </c>
      <c r="U8" s="201" t="s">
        <v>112</v>
      </c>
      <c r="V8" s="201" t="s">
        <v>112</v>
      </c>
      <c r="W8" s="201" t="s">
        <v>113</v>
      </c>
      <c r="X8" s="201" t="s">
        <v>114</v>
      </c>
      <c r="Y8" s="204" t="s">
        <v>115</v>
      </c>
      <c r="Z8" s="201" t="s">
        <v>116</v>
      </c>
      <c r="AA8" s="201" t="s">
        <v>117</v>
      </c>
      <c r="AB8" s="201" t="s">
        <v>644</v>
      </c>
      <c r="AC8" s="205" t="s">
        <v>118</v>
      </c>
      <c r="AD8" s="205" t="s">
        <v>119</v>
      </c>
      <c r="AE8" s="201" t="s">
        <v>120</v>
      </c>
      <c r="AF8" s="204" t="s">
        <v>121</v>
      </c>
      <c r="AG8" s="201" t="s">
        <v>122</v>
      </c>
      <c r="AH8" s="201" t="s">
        <v>123</v>
      </c>
      <c r="AI8" s="201" t="s">
        <v>124</v>
      </c>
      <c r="AJ8" s="198" t="s">
        <v>125</v>
      </c>
      <c r="AK8" s="201" t="s">
        <v>632</v>
      </c>
      <c r="AL8" s="205" t="s">
        <v>632</v>
      </c>
      <c r="AM8" s="227"/>
      <c r="AN8" s="205" t="s">
        <v>126</v>
      </c>
      <c r="AO8" s="197" t="s">
        <v>127</v>
      </c>
      <c r="AP8" s="199" t="s">
        <v>128</v>
      </c>
      <c r="AQ8" s="199" t="s">
        <v>129</v>
      </c>
      <c r="AR8" s="201" t="s">
        <v>130</v>
      </c>
      <c r="AS8" s="208" t="s">
        <v>648</v>
      </c>
      <c r="AT8" s="208" t="s">
        <v>649</v>
      </c>
      <c r="AU8" s="198"/>
      <c r="AV8" s="199" t="str">
        <f t="shared" ref="AV8:AV71" si="0">AP8</f>
        <v>C660060</v>
      </c>
      <c r="AW8" s="222"/>
      <c r="AX8" s="221"/>
      <c r="AY8" s="221"/>
      <c r="AZ8" s="190"/>
      <c r="BA8" s="190"/>
      <c r="BB8" s="190"/>
    </row>
    <row r="9" spans="1:1022" s="114" customFormat="1" ht="11.25" customHeight="1" x14ac:dyDescent="0.15">
      <c r="A9" s="134">
        <v>6</v>
      </c>
      <c r="B9" s="134"/>
      <c r="C9" s="135" t="s">
        <v>131</v>
      </c>
      <c r="D9" s="135"/>
      <c r="E9" s="135">
        <f t="shared" ref="E9:E72" si="1">LEN(F9)</f>
        <v>19</v>
      </c>
      <c r="F9" s="136" t="s">
        <v>132</v>
      </c>
      <c r="G9" s="137">
        <v>107</v>
      </c>
      <c r="H9" s="138">
        <f>INT((G9*Valores!$C$2*100)+0.5)/100</f>
        <v>1431.94</v>
      </c>
      <c r="I9" s="139">
        <v>3779</v>
      </c>
      <c r="J9" s="140">
        <f>INT((I9*Valores!$C$2*100)+0.5)/100</f>
        <v>50572.85</v>
      </c>
      <c r="K9" s="141">
        <v>219</v>
      </c>
      <c r="L9" s="140">
        <f>INT((K9*Valores!$C$2*100)+0.5)/100</f>
        <v>2930.79</v>
      </c>
      <c r="M9" s="137">
        <v>0</v>
      </c>
      <c r="N9" s="140">
        <f>INT((M9*Valores!$C$2*100)+0.5)/100</f>
        <v>0</v>
      </c>
      <c r="O9" s="140">
        <f t="shared" ref="O9:O72" si="2">IF($J$2=0,IF(C9&lt;&gt;"13-930",(SUM(H9,J9,L9,N9,Z9,U9,T9)*$O$2),0),0)</f>
        <v>8741.1224999999995</v>
      </c>
      <c r="P9" s="140">
        <f t="shared" ref="P9:P72" si="3">SUM(H9,J9,L9,N9,Z9,T9)*$J$2</f>
        <v>0</v>
      </c>
      <c r="Q9" s="142">
        <f>Valores!$C$17</f>
        <v>11932.86</v>
      </c>
      <c r="R9" s="142">
        <f>Valores!$D$4</f>
        <v>6841.19</v>
      </c>
      <c r="S9" s="140">
        <v>0</v>
      </c>
      <c r="T9" s="143">
        <f>IF($H$5="NO",Valores!$C$45,Valores!$C$45/2)</f>
        <v>3338.57</v>
      </c>
      <c r="U9" s="140">
        <v>0</v>
      </c>
      <c r="V9" s="140">
        <f t="shared" ref="V9:V46" si="4">U9*(1+$J$2)</f>
        <v>0</v>
      </c>
      <c r="W9" s="142">
        <f>SUM(H9,J9,L9)</f>
        <v>54935.58</v>
      </c>
      <c r="X9" s="142">
        <f>INT((SUM(H9,J9,L9)*0.4*100)+0.49)/100</f>
        <v>21974.23</v>
      </c>
      <c r="Y9" s="144">
        <v>0</v>
      </c>
      <c r="Z9" s="140">
        <f>Y9*Valores!$C$2</f>
        <v>0</v>
      </c>
      <c r="AA9" s="140">
        <v>0</v>
      </c>
      <c r="AB9" s="143">
        <f>Valores!$C$90</f>
        <v>2575.39</v>
      </c>
      <c r="AC9" s="145">
        <f>Valores!$C$31</f>
        <v>279.8</v>
      </c>
      <c r="AD9" s="140">
        <f>SUM(H9,J9,L9,Z9,T9)*$H$3/100</f>
        <v>0</v>
      </c>
      <c r="AE9" s="140">
        <f>Valores!$C$32</f>
        <v>279.8</v>
      </c>
      <c r="AF9" s="144">
        <v>0</v>
      </c>
      <c r="AG9" s="140">
        <f>AF9*Valores!$C$2</f>
        <v>0</v>
      </c>
      <c r="AH9" s="140">
        <f>IF($H$5="NO",Valores!$C$60,Valores!$C$60/2)</f>
        <v>569.14</v>
      </c>
      <c r="AI9" s="140">
        <f>IF($H$5="NO",Valores!$C$62,Valores!$C$62/2)</f>
        <v>162.61000000000001</v>
      </c>
      <c r="AJ9" s="146">
        <f>SUM(H9,J9,L9,N9,O9,P9,Q9,R9,S9,V9,W9,X9,Z9,AA9,AC9,AD9,AE9,AG9,T9,AH9,AI9,AB9)</f>
        <v>166565.87250000003</v>
      </c>
      <c r="AK9" s="142">
        <f>Valores!$C$37</f>
        <v>1465.56</v>
      </c>
      <c r="AL9" s="143">
        <f>Valores!$C$85</f>
        <v>2275</v>
      </c>
      <c r="AM9" s="143"/>
      <c r="AN9" s="145">
        <f>IF($H$4="NO",0,Valores!$C$52)</f>
        <v>327.60000000000002</v>
      </c>
      <c r="AO9" s="147">
        <f t="shared" ref="AO9:AO72" si="5">IF($H$4="SI",SUM(AK9:AN9),SUM(AK9:AL9))</f>
        <v>4068.16</v>
      </c>
      <c r="AP9" s="148">
        <f>AJ9*Valores!$C$69</f>
        <v>-18322.245975000002</v>
      </c>
      <c r="AQ9" s="149">
        <f>AJ9*-Valores!$C$70</f>
        <v>0</v>
      </c>
      <c r="AR9" s="142">
        <f>AJ9*Valores!$C$71</f>
        <v>-7495.4642625000006</v>
      </c>
      <c r="AS9" s="142">
        <f>Valores!$C$95</f>
        <v>-193.38</v>
      </c>
      <c r="AT9" s="142">
        <f>IF($H$6=0,Valores!$C$96,(Valores!$C$96+$H$6*(Valores!$C$96)))</f>
        <v>-178</v>
      </c>
      <c r="AU9" s="146">
        <f>AJ9+AO9+SUM(AP9:AT9)</f>
        <v>144444.94226250003</v>
      </c>
      <c r="AV9" s="199">
        <f t="shared" si="0"/>
        <v>-18322.245975000002</v>
      </c>
      <c r="AW9" s="142">
        <f>AJ9*Valores!$C$72</f>
        <v>-4497.2785575000007</v>
      </c>
      <c r="AX9" s="142">
        <f>AJ9*Valores!$C$73</f>
        <v>-499.69761750000009</v>
      </c>
      <c r="AY9" s="146">
        <f>AJ9+AO9+SUM(AV9:AX9)</f>
        <v>147314.81035000001</v>
      </c>
      <c r="AZ9" s="150">
        <v>33</v>
      </c>
      <c r="BA9" s="150">
        <v>45</v>
      </c>
      <c r="BB9" s="135" t="s">
        <v>8</v>
      </c>
    </row>
    <row r="10" spans="1:1022" s="114" customFormat="1" ht="11.25" customHeight="1" x14ac:dyDescent="0.15">
      <c r="A10" s="134">
        <v>7</v>
      </c>
      <c r="B10" s="134"/>
      <c r="C10" s="135" t="s">
        <v>133</v>
      </c>
      <c r="D10" s="135"/>
      <c r="E10" s="135">
        <f t="shared" si="1"/>
        <v>20</v>
      </c>
      <c r="F10" s="136" t="s">
        <v>134</v>
      </c>
      <c r="G10" s="137">
        <v>107</v>
      </c>
      <c r="H10" s="138">
        <f>INT((G10*Valores!$C$2*100)+0.5)/100</f>
        <v>1431.94</v>
      </c>
      <c r="I10" s="139">
        <v>3779</v>
      </c>
      <c r="J10" s="140">
        <f>INT((I10*Valores!$C$2*100)+0.5)/100</f>
        <v>50572.85</v>
      </c>
      <c r="K10" s="141">
        <v>219</v>
      </c>
      <c r="L10" s="140">
        <f>INT((K10*Valores!$C$2*100)+0.5)/100</f>
        <v>2930.79</v>
      </c>
      <c r="M10" s="137">
        <v>0</v>
      </c>
      <c r="N10" s="140">
        <f>INT((M10*Valores!$C$2*100)+0.5)/100</f>
        <v>0</v>
      </c>
      <c r="O10" s="140">
        <f t="shared" si="2"/>
        <v>8741.1224999999995</v>
      </c>
      <c r="P10" s="140">
        <f t="shared" si="3"/>
        <v>0</v>
      </c>
      <c r="Q10" s="142">
        <f>Valores!$C$17</f>
        <v>11932.86</v>
      </c>
      <c r="R10" s="142">
        <f>Valores!$D$4</f>
        <v>6841.19</v>
      </c>
      <c r="S10" s="140">
        <v>0</v>
      </c>
      <c r="T10" s="143">
        <f>IF($H$5="NO",Valores!$C$45,Valores!$C$45/2)</f>
        <v>3338.57</v>
      </c>
      <c r="U10" s="140">
        <v>0</v>
      </c>
      <c r="V10" s="140">
        <f t="shared" si="4"/>
        <v>0</v>
      </c>
      <c r="W10" s="142">
        <f>SUM(H10,J10,L10)</f>
        <v>54935.58</v>
      </c>
      <c r="X10" s="142">
        <f>INT((SUM(H10,J10,L10)*0.4*100)+0.49)/100</f>
        <v>21974.23</v>
      </c>
      <c r="Y10" s="144">
        <v>0</v>
      </c>
      <c r="Z10" s="140">
        <f>Y10*Valores!$C$2</f>
        <v>0</v>
      </c>
      <c r="AA10" s="140">
        <v>0</v>
      </c>
      <c r="AB10" s="143">
        <f>Valores!$C$90</f>
        <v>2575.39</v>
      </c>
      <c r="AC10" s="145">
        <f>Valores!$C$31</f>
        <v>279.8</v>
      </c>
      <c r="AD10" s="140">
        <f t="shared" ref="AD10:AD73" si="6">SUM(H10,J10,L10,Z10,T10)*$H$3/100</f>
        <v>0</v>
      </c>
      <c r="AE10" s="140">
        <f>Valores!$C$32</f>
        <v>279.8</v>
      </c>
      <c r="AF10" s="144">
        <v>0</v>
      </c>
      <c r="AG10" s="140">
        <f>INT(((AF10*Valores!$C$2)*100)+0.5)/100</f>
        <v>0</v>
      </c>
      <c r="AH10" s="140">
        <f>IF($H$5="NO",Valores!$C$60,Valores!$C$60/2)</f>
        <v>569.14</v>
      </c>
      <c r="AI10" s="140">
        <f>IF($H$5="NO",Valores!$C$62,Valores!$C$62/2)</f>
        <v>162.61000000000001</v>
      </c>
      <c r="AJ10" s="146">
        <f t="shared" ref="AJ10:AJ73" si="7">SUM(H10,J10,L10,N10,O10,P10,Q10,R10,S10,V10,W10,X10,Z10,AA10,AC10,AD10,AE10,AG10,T10,AH10,AI10,AB10)</f>
        <v>166565.87250000003</v>
      </c>
      <c r="AK10" s="142">
        <f>Valores!$C$37</f>
        <v>1465.56</v>
      </c>
      <c r="AL10" s="143">
        <f>Valores!$C$85</f>
        <v>2275</v>
      </c>
      <c r="AM10" s="143"/>
      <c r="AN10" s="145">
        <f>IF($H$4="NO",0,Valores!$C$52)</f>
        <v>327.60000000000002</v>
      </c>
      <c r="AO10" s="147">
        <f t="shared" si="5"/>
        <v>4068.16</v>
      </c>
      <c r="AP10" s="148">
        <f>AJ10*Valores!$C$69</f>
        <v>-18322.245975000002</v>
      </c>
      <c r="AQ10" s="148">
        <f>AJ10*-Valores!$C$70</f>
        <v>0</v>
      </c>
      <c r="AR10" s="142">
        <f>AJ10*Valores!$C$71</f>
        <v>-7495.4642625000006</v>
      </c>
      <c r="AS10" s="142">
        <f>Valores!$C$95</f>
        <v>-193.38</v>
      </c>
      <c r="AT10" s="142">
        <f>IF($H$6=0,Valores!$C$96,(Valores!$C$96+$H$6*(Valores!$C$96)))</f>
        <v>-178</v>
      </c>
      <c r="AU10" s="146">
        <f t="shared" ref="AU10:AU73" si="8">AJ10+SUM(AO10:AT10)</f>
        <v>144444.94226250003</v>
      </c>
      <c r="AV10" s="199">
        <f t="shared" si="0"/>
        <v>-18322.245975000002</v>
      </c>
      <c r="AW10" s="142">
        <f>AJ10*Valores!$C$72</f>
        <v>-4497.2785575000007</v>
      </c>
      <c r="AX10" s="142">
        <f>AJ10*Valores!$C$73</f>
        <v>-499.69761750000009</v>
      </c>
      <c r="AY10" s="146">
        <f t="shared" ref="AY10:AY73" si="9">AJ10+AO10+SUM(AV10:AX10)</f>
        <v>147314.81035000001</v>
      </c>
      <c r="AZ10" s="150">
        <v>33</v>
      </c>
      <c r="BA10" s="150">
        <v>45</v>
      </c>
      <c r="BB10" s="135" t="s">
        <v>8</v>
      </c>
    </row>
    <row r="11" spans="1:1022" s="114" customFormat="1" ht="11.25" customHeight="1" x14ac:dyDescent="0.15">
      <c r="A11" s="134">
        <v>8</v>
      </c>
      <c r="B11" s="134"/>
      <c r="C11" s="135" t="s">
        <v>135</v>
      </c>
      <c r="D11" s="135"/>
      <c r="E11" s="135">
        <f t="shared" si="1"/>
        <v>14</v>
      </c>
      <c r="F11" s="136" t="s">
        <v>136</v>
      </c>
      <c r="G11" s="137">
        <v>107</v>
      </c>
      <c r="H11" s="151">
        <f>INT((G11*Valores!$C$2*100)+0.5)/100</f>
        <v>1431.94</v>
      </c>
      <c r="I11" s="139">
        <v>3720</v>
      </c>
      <c r="J11" s="140">
        <f>INT((I11*Valores!$C$2*100)+0.5)/100</f>
        <v>49783.27</v>
      </c>
      <c r="K11" s="141">
        <v>1226</v>
      </c>
      <c r="L11" s="140">
        <f>INT((K11*Valores!$C$2*100)+0.5)/100</f>
        <v>16407.07</v>
      </c>
      <c r="M11" s="137">
        <v>0</v>
      </c>
      <c r="N11" s="140">
        <f>INT((M11*Valores!$C$2*100)+0.5)/100</f>
        <v>0</v>
      </c>
      <c r="O11" s="140">
        <f t="shared" si="2"/>
        <v>11598.999</v>
      </c>
      <c r="P11" s="140">
        <f t="shared" si="3"/>
        <v>0</v>
      </c>
      <c r="Q11" s="142">
        <f>Valores!$C$20</f>
        <v>12258.09</v>
      </c>
      <c r="R11" s="142">
        <f>Valores!$D$4</f>
        <v>6841.19</v>
      </c>
      <c r="S11" s="140">
        <v>0</v>
      </c>
      <c r="T11" s="143">
        <f>IF($H$5="NO",Valores!$C$45,Valores!$C$45/2)</f>
        <v>3338.57</v>
      </c>
      <c r="U11" s="140">
        <f>Valores!$C$25</f>
        <v>6365.81</v>
      </c>
      <c r="V11" s="140">
        <f t="shared" si="4"/>
        <v>6365.81</v>
      </c>
      <c r="W11" s="140">
        <v>0</v>
      </c>
      <c r="X11" s="140">
        <v>0</v>
      </c>
      <c r="Y11" s="144">
        <v>0</v>
      </c>
      <c r="Z11" s="140">
        <f>Y11*Valores!$C$2</f>
        <v>0</v>
      </c>
      <c r="AA11" s="140">
        <v>0</v>
      </c>
      <c r="AB11" s="143">
        <f>Valores!$C$90</f>
        <v>2575.39</v>
      </c>
      <c r="AC11" s="145">
        <f>Valores!$C$31</f>
        <v>279.8</v>
      </c>
      <c r="AD11" s="140">
        <f t="shared" si="6"/>
        <v>0</v>
      </c>
      <c r="AE11" s="140">
        <f>Valores!$C$32</f>
        <v>279.8</v>
      </c>
      <c r="AF11" s="144">
        <v>0</v>
      </c>
      <c r="AG11" s="140">
        <f>INT(((AF11*Valores!$C$2)*100)+0.5)/100</f>
        <v>0</v>
      </c>
      <c r="AH11" s="140">
        <f>IF($H$5="NO",Valores!$C$60,Valores!$C$60/2)</f>
        <v>569.14</v>
      </c>
      <c r="AI11" s="140">
        <f>IF($H$5="NO",Valores!$C$62,Valores!$C$62/2)</f>
        <v>162.61000000000001</v>
      </c>
      <c r="AJ11" s="146">
        <f t="shared" si="7"/>
        <v>111891.679</v>
      </c>
      <c r="AK11" s="142">
        <f>Valores!$C$37</f>
        <v>1465.56</v>
      </c>
      <c r="AL11" s="143">
        <f>Valores!$C$85</f>
        <v>2275</v>
      </c>
      <c r="AM11" s="143"/>
      <c r="AN11" s="145">
        <f>IF($H$4="NO",0,Valores!$C$52)</f>
        <v>327.60000000000002</v>
      </c>
      <c r="AO11" s="147">
        <f t="shared" si="5"/>
        <v>4068.16</v>
      </c>
      <c r="AP11" s="148">
        <f>AJ11*Valores!$C$69</f>
        <v>-12308.08469</v>
      </c>
      <c r="AQ11" s="148">
        <f>AJ11*-Valores!$C$70</f>
        <v>0</v>
      </c>
      <c r="AR11" s="142">
        <f>AJ11*Valores!$C$71</f>
        <v>-5035.1255549999996</v>
      </c>
      <c r="AS11" s="142">
        <f>Valores!$C$95</f>
        <v>-193.38</v>
      </c>
      <c r="AT11" s="142">
        <f>IF($H$6=0,Valores!$C$96,(Valores!$C$96+$H$6*(Valores!$C$96)))</f>
        <v>-178</v>
      </c>
      <c r="AU11" s="146">
        <f t="shared" si="8"/>
        <v>98245.248755000008</v>
      </c>
      <c r="AV11" s="199">
        <f t="shared" si="0"/>
        <v>-12308.08469</v>
      </c>
      <c r="AW11" s="142">
        <f>AJ11*Valores!$C$72</f>
        <v>-3021.0753330000002</v>
      </c>
      <c r="AX11" s="142">
        <f>AJ11*Valores!$C$73</f>
        <v>-335.67503700000003</v>
      </c>
      <c r="AY11" s="146">
        <f t="shared" si="9"/>
        <v>100295.00394000001</v>
      </c>
      <c r="AZ11" s="150">
        <v>35</v>
      </c>
      <c r="BA11" s="150">
        <v>45</v>
      </c>
      <c r="BB11" s="135" t="s">
        <v>4</v>
      </c>
    </row>
    <row r="12" spans="1:1022" s="114" customFormat="1" ht="11.25" customHeight="1" x14ac:dyDescent="0.15">
      <c r="A12" s="134">
        <v>9</v>
      </c>
      <c r="B12" s="134"/>
      <c r="C12" s="135" t="s">
        <v>137</v>
      </c>
      <c r="D12" s="135"/>
      <c r="E12" s="135">
        <f t="shared" si="1"/>
        <v>17</v>
      </c>
      <c r="F12" s="136" t="s">
        <v>138</v>
      </c>
      <c r="G12" s="137">
        <v>107</v>
      </c>
      <c r="H12" s="138">
        <f>INT((G12*Valores!$C$2*100)+0.5)/100</f>
        <v>1431.94</v>
      </c>
      <c r="I12" s="139">
        <v>3779</v>
      </c>
      <c r="J12" s="140">
        <f>INT((I12*Valores!$C$2*100)+0.5)/100</f>
        <v>50572.85</v>
      </c>
      <c r="K12" s="141">
        <v>219</v>
      </c>
      <c r="L12" s="140">
        <f>INT((K12*Valores!$C$2*100)+0.5)/100</f>
        <v>2930.79</v>
      </c>
      <c r="M12" s="137">
        <v>0</v>
      </c>
      <c r="N12" s="140">
        <f>INT((M12*Valores!$C$2*100)+0.5)/100</f>
        <v>0</v>
      </c>
      <c r="O12" s="140">
        <f t="shared" si="2"/>
        <v>8741.1224999999995</v>
      </c>
      <c r="P12" s="140">
        <f t="shared" si="3"/>
        <v>0</v>
      </c>
      <c r="Q12" s="142">
        <f>Valores!$C$17</f>
        <v>11932.86</v>
      </c>
      <c r="R12" s="142">
        <f>Valores!$D$4</f>
        <v>6841.19</v>
      </c>
      <c r="S12" s="140">
        <v>0</v>
      </c>
      <c r="T12" s="143">
        <f>IF($H$5="NO",Valores!$C$45,Valores!$C$45/2)</f>
        <v>3338.57</v>
      </c>
      <c r="U12" s="140">
        <v>0</v>
      </c>
      <c r="V12" s="140">
        <f t="shared" si="4"/>
        <v>0</v>
      </c>
      <c r="W12" s="142">
        <f t="shared" ref="W12:W21" si="10">SUM(H12,J12,L12)</f>
        <v>54935.58</v>
      </c>
      <c r="X12" s="142">
        <f t="shared" ref="X12:X21" si="11">INT((SUM(H12,J12,L12)*0.4*100)+0.49)/100</f>
        <v>21974.23</v>
      </c>
      <c r="Y12" s="144">
        <v>0</v>
      </c>
      <c r="Z12" s="140">
        <f>Y12*Valores!$C$2</f>
        <v>0</v>
      </c>
      <c r="AA12" s="140">
        <v>0</v>
      </c>
      <c r="AB12" s="143">
        <f>Valores!$C$90</f>
        <v>2575.39</v>
      </c>
      <c r="AC12" s="145">
        <f>Valores!$C$31</f>
        <v>279.8</v>
      </c>
      <c r="AD12" s="140">
        <f t="shared" si="6"/>
        <v>0</v>
      </c>
      <c r="AE12" s="140">
        <f>Valores!$C$32</f>
        <v>279.8</v>
      </c>
      <c r="AF12" s="144">
        <v>0</v>
      </c>
      <c r="AG12" s="140">
        <f>INT(((AF12*Valores!$C$2)*100)+0.5)/100</f>
        <v>0</v>
      </c>
      <c r="AH12" s="140">
        <f>IF($H$5="NO",Valores!$C$60,Valores!$C$60/2)</f>
        <v>569.14</v>
      </c>
      <c r="AI12" s="140">
        <f>IF($H$5="NO",Valores!$C$62,Valores!$C$62/2)</f>
        <v>162.61000000000001</v>
      </c>
      <c r="AJ12" s="146">
        <f t="shared" si="7"/>
        <v>166565.87250000003</v>
      </c>
      <c r="AK12" s="142">
        <f>Valores!$C$37</f>
        <v>1465.56</v>
      </c>
      <c r="AL12" s="143">
        <f>Valores!$C$85</f>
        <v>2275</v>
      </c>
      <c r="AM12" s="143"/>
      <c r="AN12" s="145">
        <f>IF($H$4="NO",0,Valores!$C$52)</f>
        <v>327.60000000000002</v>
      </c>
      <c r="AO12" s="147">
        <f t="shared" si="5"/>
        <v>4068.16</v>
      </c>
      <c r="AP12" s="148">
        <f>AJ12*Valores!$C$69</f>
        <v>-18322.245975000002</v>
      </c>
      <c r="AQ12" s="148">
        <f>AJ12*-Valores!$C$70</f>
        <v>0</v>
      </c>
      <c r="AR12" s="142">
        <f>AJ12*Valores!$C$71</f>
        <v>-7495.4642625000006</v>
      </c>
      <c r="AS12" s="142">
        <f>Valores!$C$95</f>
        <v>-193.38</v>
      </c>
      <c r="AT12" s="142">
        <f>IF($H$6=0,Valores!$C$96,(Valores!$C$96+$H$6*(Valores!$C$96)))</f>
        <v>-178</v>
      </c>
      <c r="AU12" s="146">
        <f t="shared" si="8"/>
        <v>144444.94226250003</v>
      </c>
      <c r="AV12" s="199">
        <f t="shared" si="0"/>
        <v>-18322.245975000002</v>
      </c>
      <c r="AW12" s="142">
        <f>AJ12*Valores!$C$72</f>
        <v>-4497.2785575000007</v>
      </c>
      <c r="AX12" s="142">
        <f>AJ12*Valores!$C$73</f>
        <v>-499.69761750000009</v>
      </c>
      <c r="AY12" s="146">
        <f t="shared" si="9"/>
        <v>147314.81035000001</v>
      </c>
      <c r="AZ12" s="150">
        <v>33</v>
      </c>
      <c r="BA12" s="150">
        <v>45</v>
      </c>
      <c r="BB12" s="135" t="s">
        <v>8</v>
      </c>
    </row>
    <row r="13" spans="1:1022" s="114" customFormat="1" ht="11.25" customHeight="1" x14ac:dyDescent="0.15">
      <c r="A13" s="152">
        <v>10</v>
      </c>
      <c r="B13" s="152" t="s">
        <v>139</v>
      </c>
      <c r="C13" s="135" t="s">
        <v>140</v>
      </c>
      <c r="D13" s="135"/>
      <c r="E13" s="135">
        <f t="shared" si="1"/>
        <v>17</v>
      </c>
      <c r="F13" s="136" t="s">
        <v>141</v>
      </c>
      <c r="G13" s="137">
        <v>107</v>
      </c>
      <c r="H13" s="138">
        <f>INT((G13*Valores!$C$2*100)+0.5)/100</f>
        <v>1431.94</v>
      </c>
      <c r="I13" s="139">
        <v>3779</v>
      </c>
      <c r="J13" s="140">
        <f>INT((I13*Valores!$C$2*100)+0.5)/100</f>
        <v>50572.85</v>
      </c>
      <c r="K13" s="141">
        <v>219</v>
      </c>
      <c r="L13" s="140">
        <f>INT((K13*Valores!$C$2*100)+0.5)/100</f>
        <v>2930.79</v>
      </c>
      <c r="M13" s="137">
        <v>0</v>
      </c>
      <c r="N13" s="140">
        <f>INT((M13*Valores!$C$2*100)+0.5)/100</f>
        <v>0</v>
      </c>
      <c r="O13" s="140">
        <f t="shared" si="2"/>
        <v>8741.1224999999995</v>
      </c>
      <c r="P13" s="140">
        <f t="shared" si="3"/>
        <v>0</v>
      </c>
      <c r="Q13" s="142">
        <f>Valores!$C$17</f>
        <v>11932.86</v>
      </c>
      <c r="R13" s="142">
        <f>Valores!$D$4</f>
        <v>6841.19</v>
      </c>
      <c r="S13" s="140">
        <v>0</v>
      </c>
      <c r="T13" s="143">
        <f>IF($H$5="NO",Valores!$C$45,Valores!$C$45/2)</f>
        <v>3338.57</v>
      </c>
      <c r="U13" s="140">
        <v>0</v>
      </c>
      <c r="V13" s="140">
        <f t="shared" si="4"/>
        <v>0</v>
      </c>
      <c r="W13" s="142">
        <f t="shared" si="10"/>
        <v>54935.58</v>
      </c>
      <c r="X13" s="142">
        <f t="shared" si="11"/>
        <v>21974.23</v>
      </c>
      <c r="Y13" s="144">
        <v>0</v>
      </c>
      <c r="Z13" s="140">
        <f>Y13*Valores!$C$2</f>
        <v>0</v>
      </c>
      <c r="AA13" s="140">
        <v>0</v>
      </c>
      <c r="AB13" s="143">
        <f>Valores!$C$90</f>
        <v>2575.39</v>
      </c>
      <c r="AC13" s="145">
        <f>Valores!$C$31</f>
        <v>279.8</v>
      </c>
      <c r="AD13" s="140">
        <f t="shared" si="6"/>
        <v>0</v>
      </c>
      <c r="AE13" s="140">
        <f>Valores!$C$32</f>
        <v>279.8</v>
      </c>
      <c r="AF13" s="144">
        <v>0</v>
      </c>
      <c r="AG13" s="140">
        <f>INT(((AF13*Valores!$C$2)*100)+0.5)/100</f>
        <v>0</v>
      </c>
      <c r="AH13" s="140">
        <f>IF($H$5="NO",Valores!$C$60,Valores!$C$60/2)</f>
        <v>569.14</v>
      </c>
      <c r="AI13" s="140">
        <f>IF($H$5="NO",Valores!$C$62,Valores!$C$62/2)</f>
        <v>162.61000000000001</v>
      </c>
      <c r="AJ13" s="146">
        <f t="shared" si="7"/>
        <v>166565.87250000003</v>
      </c>
      <c r="AK13" s="142">
        <f>Valores!$C$37</f>
        <v>1465.56</v>
      </c>
      <c r="AL13" s="143">
        <f>Valores!$C$85</f>
        <v>2275</v>
      </c>
      <c r="AM13" s="143"/>
      <c r="AN13" s="145">
        <f>IF($H$4="NO",0,Valores!$C$52)</f>
        <v>327.60000000000002</v>
      </c>
      <c r="AO13" s="147">
        <f t="shared" si="5"/>
        <v>4068.16</v>
      </c>
      <c r="AP13" s="148">
        <f>AJ13*Valores!$C$69</f>
        <v>-18322.245975000002</v>
      </c>
      <c r="AQ13" s="148">
        <f>AJ13*-Valores!$C$70</f>
        <v>0</v>
      </c>
      <c r="AR13" s="142">
        <f>AJ13*Valores!$C$71</f>
        <v>-7495.4642625000006</v>
      </c>
      <c r="AS13" s="142">
        <f>Valores!$C$95</f>
        <v>-193.38</v>
      </c>
      <c r="AT13" s="142">
        <f>IF($H$6=0,Valores!$C$96,(Valores!$C$96+$H$6*(Valores!$C$96)))</f>
        <v>-178</v>
      </c>
      <c r="AU13" s="146">
        <f t="shared" si="8"/>
        <v>144444.94226250003</v>
      </c>
      <c r="AV13" s="199">
        <f t="shared" si="0"/>
        <v>-18322.245975000002</v>
      </c>
      <c r="AW13" s="142">
        <f>AJ13*Valores!$C$72</f>
        <v>-4497.2785575000007</v>
      </c>
      <c r="AX13" s="142">
        <f>AJ13*Valores!$C$73</f>
        <v>-499.69761750000009</v>
      </c>
      <c r="AY13" s="146">
        <f t="shared" si="9"/>
        <v>147314.81035000001</v>
      </c>
      <c r="AZ13" s="150">
        <v>33</v>
      </c>
      <c r="BA13" s="150">
        <v>45</v>
      </c>
      <c r="BB13" s="135" t="s">
        <v>8</v>
      </c>
    </row>
    <row r="14" spans="1:1022" s="114" customFormat="1" ht="11.25" customHeight="1" x14ac:dyDescent="0.15">
      <c r="A14" s="134">
        <v>11</v>
      </c>
      <c r="B14" s="134"/>
      <c r="C14" s="135" t="s">
        <v>142</v>
      </c>
      <c r="D14" s="135"/>
      <c r="E14" s="135">
        <f t="shared" si="1"/>
        <v>17</v>
      </c>
      <c r="F14" s="136" t="s">
        <v>143</v>
      </c>
      <c r="G14" s="137">
        <v>107</v>
      </c>
      <c r="H14" s="138">
        <f>INT((G14*Valores!$C$2*100)+0.5)/100</f>
        <v>1431.94</v>
      </c>
      <c r="I14" s="139">
        <v>3779</v>
      </c>
      <c r="J14" s="140">
        <f>INT((I14*Valores!$C$2*100)+0.5)/100</f>
        <v>50572.85</v>
      </c>
      <c r="K14" s="141">
        <v>219</v>
      </c>
      <c r="L14" s="140">
        <f>INT((K14*Valores!$C$2*100)+0.5)/100</f>
        <v>2930.79</v>
      </c>
      <c r="M14" s="137">
        <v>0</v>
      </c>
      <c r="N14" s="140">
        <f>INT((M14*Valores!$C$2*100)+0.5)/100</f>
        <v>0</v>
      </c>
      <c r="O14" s="140">
        <f t="shared" si="2"/>
        <v>8741.1224999999995</v>
      </c>
      <c r="P14" s="140">
        <f t="shared" si="3"/>
        <v>0</v>
      </c>
      <c r="Q14" s="142">
        <f>Valores!$C$17</f>
        <v>11932.86</v>
      </c>
      <c r="R14" s="142">
        <f>Valores!$D$4</f>
        <v>6841.19</v>
      </c>
      <c r="S14" s="140">
        <v>0</v>
      </c>
      <c r="T14" s="143">
        <f>IF($H$5="NO",Valores!$C$45,Valores!$C$45/2)</f>
        <v>3338.57</v>
      </c>
      <c r="U14" s="140">
        <v>0</v>
      </c>
      <c r="V14" s="140">
        <f t="shared" si="4"/>
        <v>0</v>
      </c>
      <c r="W14" s="142">
        <f t="shared" si="10"/>
        <v>54935.58</v>
      </c>
      <c r="X14" s="142">
        <f t="shared" si="11"/>
        <v>21974.23</v>
      </c>
      <c r="Y14" s="144">
        <v>0</v>
      </c>
      <c r="Z14" s="140">
        <f>Y14*Valores!$C$2</f>
        <v>0</v>
      </c>
      <c r="AA14" s="140">
        <v>0</v>
      </c>
      <c r="AB14" s="143">
        <f>Valores!$C$90</f>
        <v>2575.39</v>
      </c>
      <c r="AC14" s="145">
        <f>Valores!$C$31</f>
        <v>279.8</v>
      </c>
      <c r="AD14" s="140">
        <f t="shared" si="6"/>
        <v>0</v>
      </c>
      <c r="AE14" s="140">
        <f>Valores!$C$32</f>
        <v>279.8</v>
      </c>
      <c r="AF14" s="144">
        <v>0</v>
      </c>
      <c r="AG14" s="140">
        <f>INT(((AF14*Valores!$C$2)*100)+0.5)/100</f>
        <v>0</v>
      </c>
      <c r="AH14" s="140">
        <f>IF($H$5="NO",Valores!$C$60,Valores!$C$60/2)</f>
        <v>569.14</v>
      </c>
      <c r="AI14" s="140">
        <f>IF($H$5="NO",Valores!$C$62,Valores!$C$62/2)</f>
        <v>162.61000000000001</v>
      </c>
      <c r="AJ14" s="146">
        <f t="shared" si="7"/>
        <v>166565.87250000003</v>
      </c>
      <c r="AK14" s="142">
        <f>Valores!$C$37</f>
        <v>1465.56</v>
      </c>
      <c r="AL14" s="143">
        <f>Valores!$C$85</f>
        <v>2275</v>
      </c>
      <c r="AM14" s="143"/>
      <c r="AN14" s="145">
        <f>IF($H$4="NO",0,Valores!$C$52)</f>
        <v>327.60000000000002</v>
      </c>
      <c r="AO14" s="147">
        <f t="shared" si="5"/>
        <v>4068.16</v>
      </c>
      <c r="AP14" s="148">
        <f>AJ14*Valores!$C$69</f>
        <v>-18322.245975000002</v>
      </c>
      <c r="AQ14" s="148">
        <f>AJ14*-Valores!$C$70</f>
        <v>0</v>
      </c>
      <c r="AR14" s="142">
        <f>AJ14*Valores!$C$71</f>
        <v>-7495.4642625000006</v>
      </c>
      <c r="AS14" s="142">
        <f>Valores!$C$95</f>
        <v>-193.38</v>
      </c>
      <c r="AT14" s="142">
        <f>IF($H$6=0,Valores!$C$96,(Valores!$C$96+$H$6*(Valores!$C$96)))</f>
        <v>-178</v>
      </c>
      <c r="AU14" s="146">
        <f t="shared" si="8"/>
        <v>144444.94226250003</v>
      </c>
      <c r="AV14" s="199">
        <f t="shared" si="0"/>
        <v>-18322.245975000002</v>
      </c>
      <c r="AW14" s="142">
        <f>AJ14*Valores!$C$72</f>
        <v>-4497.2785575000007</v>
      </c>
      <c r="AX14" s="142">
        <f>AJ14*Valores!$C$73</f>
        <v>-499.69761750000009</v>
      </c>
      <c r="AY14" s="146">
        <f t="shared" si="9"/>
        <v>147314.81035000001</v>
      </c>
      <c r="AZ14" s="150">
        <v>33</v>
      </c>
      <c r="BA14" s="150">
        <v>45</v>
      </c>
      <c r="BB14" s="135" t="s">
        <v>8</v>
      </c>
    </row>
    <row r="15" spans="1:1022" s="114" customFormat="1" ht="11.25" customHeight="1" x14ac:dyDescent="0.15">
      <c r="A15" s="134">
        <v>12</v>
      </c>
      <c r="B15" s="134"/>
      <c r="C15" s="135" t="s">
        <v>144</v>
      </c>
      <c r="D15" s="135"/>
      <c r="E15" s="135">
        <f t="shared" si="1"/>
        <v>14</v>
      </c>
      <c r="F15" s="136" t="s">
        <v>145</v>
      </c>
      <c r="G15" s="137">
        <v>107</v>
      </c>
      <c r="H15" s="138">
        <f>INT((G15*Valores!$C$2*100)+0.5)/100</f>
        <v>1431.94</v>
      </c>
      <c r="I15" s="139">
        <v>3779</v>
      </c>
      <c r="J15" s="140">
        <f>INT((I15*Valores!$C$2*100)+0.5)/100</f>
        <v>50572.85</v>
      </c>
      <c r="K15" s="141">
        <v>219</v>
      </c>
      <c r="L15" s="140">
        <f>INT((K15*Valores!$C$2*100)+0.5)/100</f>
        <v>2930.79</v>
      </c>
      <c r="M15" s="137">
        <v>0</v>
      </c>
      <c r="N15" s="140">
        <f>INT((M15*Valores!$C$2*100)+0.5)/100</f>
        <v>0</v>
      </c>
      <c r="O15" s="140">
        <f t="shared" si="2"/>
        <v>8741.1224999999995</v>
      </c>
      <c r="P15" s="140">
        <f t="shared" si="3"/>
        <v>0</v>
      </c>
      <c r="Q15" s="142">
        <f>Valores!$C$17</f>
        <v>11932.86</v>
      </c>
      <c r="R15" s="142">
        <f>Valores!$D$4</f>
        <v>6841.19</v>
      </c>
      <c r="S15" s="140">
        <v>0</v>
      </c>
      <c r="T15" s="143">
        <f>IF($H$5="NO",Valores!$C$45,Valores!$C$45/2)</f>
        <v>3338.57</v>
      </c>
      <c r="U15" s="140">
        <v>0</v>
      </c>
      <c r="V15" s="140">
        <f t="shared" si="4"/>
        <v>0</v>
      </c>
      <c r="W15" s="142">
        <f t="shared" si="10"/>
        <v>54935.58</v>
      </c>
      <c r="X15" s="142">
        <f t="shared" si="11"/>
        <v>21974.23</v>
      </c>
      <c r="Y15" s="144">
        <v>0</v>
      </c>
      <c r="Z15" s="140">
        <f>Y15*Valores!$C$2</f>
        <v>0</v>
      </c>
      <c r="AA15" s="140">
        <v>0</v>
      </c>
      <c r="AB15" s="143">
        <f>Valores!$C$90</f>
        <v>2575.39</v>
      </c>
      <c r="AC15" s="145">
        <f>Valores!$C$31</f>
        <v>279.8</v>
      </c>
      <c r="AD15" s="140">
        <f t="shared" si="6"/>
        <v>0</v>
      </c>
      <c r="AE15" s="140">
        <f>Valores!$C$32</f>
        <v>279.8</v>
      </c>
      <c r="AF15" s="144">
        <v>0</v>
      </c>
      <c r="AG15" s="140">
        <f>INT(((AF15*Valores!$C$2)*100)+0.5)/100</f>
        <v>0</v>
      </c>
      <c r="AH15" s="140">
        <f>IF($H$5="NO",Valores!$C$60,Valores!$C$60/2)</f>
        <v>569.14</v>
      </c>
      <c r="AI15" s="140">
        <f>IF($H$5="NO",Valores!$C$62,Valores!$C$62/2)</f>
        <v>162.61000000000001</v>
      </c>
      <c r="AJ15" s="146">
        <f t="shared" si="7"/>
        <v>166565.87250000003</v>
      </c>
      <c r="AK15" s="142">
        <f>Valores!$C$37</f>
        <v>1465.56</v>
      </c>
      <c r="AL15" s="143">
        <f>Valores!$C$85</f>
        <v>2275</v>
      </c>
      <c r="AM15" s="143"/>
      <c r="AN15" s="145">
        <f>IF($H$4="NO",0,Valores!$C$52)</f>
        <v>327.60000000000002</v>
      </c>
      <c r="AO15" s="147">
        <f t="shared" si="5"/>
        <v>4068.16</v>
      </c>
      <c r="AP15" s="148">
        <f>AJ15*Valores!$C$69</f>
        <v>-18322.245975000002</v>
      </c>
      <c r="AQ15" s="148">
        <f>AJ15*-Valores!$C$70</f>
        <v>0</v>
      </c>
      <c r="AR15" s="142">
        <f>AJ15*Valores!$C$71</f>
        <v>-7495.4642625000006</v>
      </c>
      <c r="AS15" s="142">
        <f>Valores!$C$95</f>
        <v>-193.38</v>
      </c>
      <c r="AT15" s="142">
        <f>IF($H$6=0,Valores!$C$96,(Valores!$C$96+$H$6*(Valores!$C$96)))</f>
        <v>-178</v>
      </c>
      <c r="AU15" s="146">
        <f t="shared" si="8"/>
        <v>144444.94226250003</v>
      </c>
      <c r="AV15" s="199">
        <f t="shared" si="0"/>
        <v>-18322.245975000002</v>
      </c>
      <c r="AW15" s="142">
        <f>AJ15*Valores!$C$72</f>
        <v>-4497.2785575000007</v>
      </c>
      <c r="AX15" s="142">
        <f>AJ15*Valores!$C$73</f>
        <v>-499.69761750000009</v>
      </c>
      <c r="AY15" s="146">
        <f t="shared" si="9"/>
        <v>147314.81035000001</v>
      </c>
      <c r="AZ15" s="150">
        <v>33</v>
      </c>
      <c r="BA15" s="150">
        <v>45</v>
      </c>
      <c r="BB15" s="135" t="s">
        <v>8</v>
      </c>
    </row>
    <row r="16" spans="1:1022" s="114" customFormat="1" ht="11.25" customHeight="1" x14ac:dyDescent="0.15">
      <c r="A16" s="134">
        <v>13</v>
      </c>
      <c r="B16" s="134"/>
      <c r="C16" s="135" t="s">
        <v>146</v>
      </c>
      <c r="D16" s="135"/>
      <c r="E16" s="135">
        <f t="shared" si="1"/>
        <v>15</v>
      </c>
      <c r="F16" s="136" t="s">
        <v>147</v>
      </c>
      <c r="G16" s="137">
        <v>107</v>
      </c>
      <c r="H16" s="138">
        <f>INT((G16*Valores!$C$2*100)+0.5)/100</f>
        <v>1431.94</v>
      </c>
      <c r="I16" s="139">
        <v>3779</v>
      </c>
      <c r="J16" s="140">
        <f>INT((I16*Valores!$C$2*100)+0.5)/100</f>
        <v>50572.85</v>
      </c>
      <c r="K16" s="141">
        <v>219</v>
      </c>
      <c r="L16" s="140">
        <f>INT((K16*Valores!$C$2*100)+0.5)/100</f>
        <v>2930.79</v>
      </c>
      <c r="M16" s="137">
        <v>0</v>
      </c>
      <c r="N16" s="140">
        <f>INT((M16*Valores!$C$2*100)+0.5)/100</f>
        <v>0</v>
      </c>
      <c r="O16" s="140">
        <f t="shared" si="2"/>
        <v>8741.1224999999995</v>
      </c>
      <c r="P16" s="140">
        <f t="shared" si="3"/>
        <v>0</v>
      </c>
      <c r="Q16" s="142">
        <f>Valores!$C$17</f>
        <v>11932.86</v>
      </c>
      <c r="R16" s="142">
        <f>Valores!$D$4</f>
        <v>6841.19</v>
      </c>
      <c r="S16" s="140">
        <v>0</v>
      </c>
      <c r="T16" s="143">
        <f>IF($H$5="NO",Valores!$C$45,Valores!$C$45/2)</f>
        <v>3338.57</v>
      </c>
      <c r="U16" s="140">
        <v>0</v>
      </c>
      <c r="V16" s="140">
        <f t="shared" si="4"/>
        <v>0</v>
      </c>
      <c r="W16" s="142">
        <f t="shared" si="10"/>
        <v>54935.58</v>
      </c>
      <c r="X16" s="142">
        <f t="shared" si="11"/>
        <v>21974.23</v>
      </c>
      <c r="Y16" s="144">
        <v>0</v>
      </c>
      <c r="Z16" s="140">
        <f>Y16*Valores!$C$2</f>
        <v>0</v>
      </c>
      <c r="AA16" s="140">
        <v>0</v>
      </c>
      <c r="AB16" s="143">
        <f>Valores!$C$90</f>
        <v>2575.39</v>
      </c>
      <c r="AC16" s="145">
        <f>Valores!$C$31</f>
        <v>279.8</v>
      </c>
      <c r="AD16" s="140">
        <f t="shared" si="6"/>
        <v>0</v>
      </c>
      <c r="AE16" s="140">
        <f>Valores!$C$32</f>
        <v>279.8</v>
      </c>
      <c r="AF16" s="144">
        <v>0</v>
      </c>
      <c r="AG16" s="140">
        <f>INT(((AF16*Valores!$C$2)*100)+0.5)/100</f>
        <v>0</v>
      </c>
      <c r="AH16" s="140">
        <f>IF($H$5="NO",Valores!$C$60,Valores!$C$60/2)</f>
        <v>569.14</v>
      </c>
      <c r="AI16" s="140">
        <f>IF($H$5="NO",Valores!$C$62,Valores!$C$62/2)</f>
        <v>162.61000000000001</v>
      </c>
      <c r="AJ16" s="146">
        <f t="shared" si="7"/>
        <v>166565.87250000003</v>
      </c>
      <c r="AK16" s="142">
        <f>Valores!$C$37</f>
        <v>1465.56</v>
      </c>
      <c r="AL16" s="143">
        <f>Valores!$C$85</f>
        <v>2275</v>
      </c>
      <c r="AM16" s="143"/>
      <c r="AN16" s="145">
        <f>IF($H$4="NO",0,Valores!$C$52)</f>
        <v>327.60000000000002</v>
      </c>
      <c r="AO16" s="147">
        <f t="shared" si="5"/>
        <v>4068.16</v>
      </c>
      <c r="AP16" s="148">
        <f>AJ16*Valores!$C$69</f>
        <v>-18322.245975000002</v>
      </c>
      <c r="AQ16" s="148">
        <f>AJ16*-Valores!$C$70</f>
        <v>0</v>
      </c>
      <c r="AR16" s="142">
        <f>AJ16*Valores!$C$71</f>
        <v>-7495.4642625000006</v>
      </c>
      <c r="AS16" s="142">
        <f>Valores!$C$95</f>
        <v>-193.38</v>
      </c>
      <c r="AT16" s="142">
        <f>IF($H$6=0,Valores!$C$96,(Valores!$C$96+$H$6*(Valores!$C$96)))</f>
        <v>-178</v>
      </c>
      <c r="AU16" s="146">
        <f t="shared" si="8"/>
        <v>144444.94226250003</v>
      </c>
      <c r="AV16" s="199">
        <f t="shared" si="0"/>
        <v>-18322.245975000002</v>
      </c>
      <c r="AW16" s="142">
        <f>AJ16*Valores!$C$72</f>
        <v>-4497.2785575000007</v>
      </c>
      <c r="AX16" s="142">
        <f>AJ16*Valores!$C$73</f>
        <v>-499.69761750000009</v>
      </c>
      <c r="AY16" s="146">
        <f t="shared" si="9"/>
        <v>147314.81035000001</v>
      </c>
      <c r="AZ16" s="150">
        <v>33</v>
      </c>
      <c r="BA16" s="150">
        <v>45</v>
      </c>
      <c r="BB16" s="135" t="s">
        <v>8</v>
      </c>
    </row>
    <row r="17" spans="1:54" s="114" customFormat="1" ht="11.25" customHeight="1" x14ac:dyDescent="0.15">
      <c r="A17" s="134">
        <v>14</v>
      </c>
      <c r="B17" s="134"/>
      <c r="C17" s="135" t="s">
        <v>148</v>
      </c>
      <c r="D17" s="135"/>
      <c r="E17" s="135">
        <f t="shared" si="1"/>
        <v>20</v>
      </c>
      <c r="F17" s="136" t="s">
        <v>149</v>
      </c>
      <c r="G17" s="137">
        <v>100</v>
      </c>
      <c r="H17" s="138">
        <f>INT((G17*Valores!$C$2*100)+0.5)/100</f>
        <v>1338.26</v>
      </c>
      <c r="I17" s="139">
        <v>3727</v>
      </c>
      <c r="J17" s="140">
        <f>INT((I17*Valores!$C$2*100)+0.5)/100</f>
        <v>49876.95</v>
      </c>
      <c r="K17" s="141">
        <v>219</v>
      </c>
      <c r="L17" s="140">
        <f>INT((K17*Valores!$C$2*100)+0.5)/100</f>
        <v>2930.79</v>
      </c>
      <c r="M17" s="137">
        <v>0</v>
      </c>
      <c r="N17" s="140">
        <f>INT((M17*Valores!$C$2*100)+0.5)/100</f>
        <v>0</v>
      </c>
      <c r="O17" s="140">
        <f t="shared" si="2"/>
        <v>8622.6854999999996</v>
      </c>
      <c r="P17" s="140">
        <f t="shared" si="3"/>
        <v>0</v>
      </c>
      <c r="Q17" s="142">
        <f>Valores!$C$17</f>
        <v>11932.86</v>
      </c>
      <c r="R17" s="142">
        <f>Valores!$D$4</f>
        <v>6841.19</v>
      </c>
      <c r="S17" s="140">
        <v>0</v>
      </c>
      <c r="T17" s="143">
        <f>IF($H$5="NO",Valores!$C$45,Valores!$C$45/2)</f>
        <v>3338.57</v>
      </c>
      <c r="U17" s="140">
        <v>0</v>
      </c>
      <c r="V17" s="140">
        <f t="shared" si="4"/>
        <v>0</v>
      </c>
      <c r="W17" s="142">
        <f t="shared" si="10"/>
        <v>54146</v>
      </c>
      <c r="X17" s="142">
        <f t="shared" si="11"/>
        <v>21658.400000000001</v>
      </c>
      <c r="Y17" s="144">
        <v>0</v>
      </c>
      <c r="Z17" s="140">
        <f>Y17*Valores!$C$2</f>
        <v>0</v>
      </c>
      <c r="AA17" s="140">
        <v>0</v>
      </c>
      <c r="AB17" s="143">
        <f>Valores!$C$90</f>
        <v>2575.39</v>
      </c>
      <c r="AC17" s="145">
        <f>Valores!$C$31</f>
        <v>279.8</v>
      </c>
      <c r="AD17" s="140">
        <f t="shared" si="6"/>
        <v>0</v>
      </c>
      <c r="AE17" s="140">
        <f>Valores!$C$32</f>
        <v>279.8</v>
      </c>
      <c r="AF17" s="144">
        <v>0</v>
      </c>
      <c r="AG17" s="140">
        <f>INT(((AF17*Valores!$C$2)*100)+0.5)/100</f>
        <v>0</v>
      </c>
      <c r="AH17" s="140">
        <f>IF($H$5="NO",Valores!$C$60,Valores!$C$60/2)</f>
        <v>569.14</v>
      </c>
      <c r="AI17" s="140">
        <f>IF($H$5="NO",Valores!$C$62,Valores!$C$62/2)</f>
        <v>162.61000000000001</v>
      </c>
      <c r="AJ17" s="146">
        <f t="shared" si="7"/>
        <v>164552.4455</v>
      </c>
      <c r="AK17" s="142">
        <f>Valores!$C$37</f>
        <v>1465.56</v>
      </c>
      <c r="AL17" s="143">
        <f>Valores!$C$85</f>
        <v>2275</v>
      </c>
      <c r="AM17" s="143"/>
      <c r="AN17" s="145">
        <f>IF($H$4="NO",0,Valores!$C$52)</f>
        <v>327.60000000000002</v>
      </c>
      <c r="AO17" s="147">
        <f t="shared" si="5"/>
        <v>4068.16</v>
      </c>
      <c r="AP17" s="148">
        <f>AJ17*Valores!$C$69</f>
        <v>-18100.769005000002</v>
      </c>
      <c r="AQ17" s="148">
        <f>AJ17*-Valores!$C$70</f>
        <v>0</v>
      </c>
      <c r="AR17" s="142">
        <f>AJ17*Valores!$C$71</f>
        <v>-7404.8600474999994</v>
      </c>
      <c r="AS17" s="142">
        <f>Valores!$C$95</f>
        <v>-193.38</v>
      </c>
      <c r="AT17" s="142">
        <f>IF($H$6=0,Valores!$C$96,(Valores!$C$96+$H$6*(Valores!$C$96)))</f>
        <v>-178</v>
      </c>
      <c r="AU17" s="146">
        <f t="shared" si="8"/>
        <v>142743.59644749999</v>
      </c>
      <c r="AV17" s="199">
        <f t="shared" si="0"/>
        <v>-18100.769005000002</v>
      </c>
      <c r="AW17" s="142">
        <f>AJ17*Valores!$C$72</f>
        <v>-4442.9160284999998</v>
      </c>
      <c r="AX17" s="142">
        <f>AJ17*Valores!$C$73</f>
        <v>-493.65733650000004</v>
      </c>
      <c r="AY17" s="146">
        <f t="shared" si="9"/>
        <v>145583.26313000001</v>
      </c>
      <c r="AZ17" s="150">
        <v>33</v>
      </c>
      <c r="BA17" s="150">
        <v>45</v>
      </c>
      <c r="BB17" s="135" t="s">
        <v>8</v>
      </c>
    </row>
    <row r="18" spans="1:54" s="114" customFormat="1" ht="11.25" customHeight="1" x14ac:dyDescent="0.15">
      <c r="A18" s="152">
        <v>15</v>
      </c>
      <c r="B18" s="152" t="s">
        <v>139</v>
      </c>
      <c r="C18" s="135" t="s">
        <v>150</v>
      </c>
      <c r="D18" s="135"/>
      <c r="E18" s="135">
        <f t="shared" si="1"/>
        <v>22</v>
      </c>
      <c r="F18" s="136" t="s">
        <v>151</v>
      </c>
      <c r="G18" s="137">
        <v>100</v>
      </c>
      <c r="H18" s="138">
        <f>INT((G18*Valores!$C$2*100)+0.5)/100</f>
        <v>1338.26</v>
      </c>
      <c r="I18" s="139">
        <v>3727</v>
      </c>
      <c r="J18" s="140">
        <f>INT((I18*Valores!$C$2*100)+0.5)/100</f>
        <v>49876.95</v>
      </c>
      <c r="K18" s="141">
        <v>219</v>
      </c>
      <c r="L18" s="140">
        <f>INT((K18*Valores!$C$2*100)+0.5)/100</f>
        <v>2930.79</v>
      </c>
      <c r="M18" s="137">
        <v>0</v>
      </c>
      <c r="N18" s="140">
        <f>INT((M18*Valores!$C$2*100)+0.5)/100</f>
        <v>0</v>
      </c>
      <c r="O18" s="140">
        <f t="shared" si="2"/>
        <v>8622.6854999999996</v>
      </c>
      <c r="P18" s="140">
        <f t="shared" si="3"/>
        <v>0</v>
      </c>
      <c r="Q18" s="142">
        <f>Valores!$C$17</f>
        <v>11932.86</v>
      </c>
      <c r="R18" s="142">
        <f>Valores!$D$4</f>
        <v>6841.19</v>
      </c>
      <c r="S18" s="140">
        <v>0</v>
      </c>
      <c r="T18" s="143">
        <f>IF($H$5="NO",Valores!$C$45,Valores!$C$45/2)</f>
        <v>3338.57</v>
      </c>
      <c r="U18" s="140">
        <v>0</v>
      </c>
      <c r="V18" s="140">
        <f t="shared" si="4"/>
        <v>0</v>
      </c>
      <c r="W18" s="142">
        <f t="shared" si="10"/>
        <v>54146</v>
      </c>
      <c r="X18" s="142">
        <f t="shared" si="11"/>
        <v>21658.400000000001</v>
      </c>
      <c r="Y18" s="144">
        <v>0</v>
      </c>
      <c r="Z18" s="140">
        <f>Y18*Valores!$C$2</f>
        <v>0</v>
      </c>
      <c r="AA18" s="140">
        <v>0</v>
      </c>
      <c r="AB18" s="143">
        <f>Valores!$C$90</f>
        <v>2575.39</v>
      </c>
      <c r="AC18" s="145">
        <f>Valores!$C$31</f>
        <v>279.8</v>
      </c>
      <c r="AD18" s="140">
        <f t="shared" si="6"/>
        <v>0</v>
      </c>
      <c r="AE18" s="140">
        <f>Valores!$C$32</f>
        <v>279.8</v>
      </c>
      <c r="AF18" s="144">
        <v>0</v>
      </c>
      <c r="AG18" s="140">
        <f>INT(((AF18*Valores!$C$2)*100)+0.5)/100</f>
        <v>0</v>
      </c>
      <c r="AH18" s="140">
        <f>IF($H$5="NO",Valores!$C$60,Valores!$C$60/2)</f>
        <v>569.14</v>
      </c>
      <c r="AI18" s="140">
        <f>IF($H$5="NO",Valores!$C$62,Valores!$C$62/2)</f>
        <v>162.61000000000001</v>
      </c>
      <c r="AJ18" s="146">
        <f t="shared" si="7"/>
        <v>164552.4455</v>
      </c>
      <c r="AK18" s="142">
        <f>Valores!$C$37</f>
        <v>1465.56</v>
      </c>
      <c r="AL18" s="143">
        <f>Valores!$C$85</f>
        <v>2275</v>
      </c>
      <c r="AM18" s="143"/>
      <c r="AN18" s="145">
        <f>IF($H$4="NO",0,Valores!$C$52)</f>
        <v>327.60000000000002</v>
      </c>
      <c r="AO18" s="147">
        <f t="shared" si="5"/>
        <v>4068.16</v>
      </c>
      <c r="AP18" s="148">
        <f>AJ18*Valores!$C$69</f>
        <v>-18100.769005000002</v>
      </c>
      <c r="AQ18" s="148">
        <f>AJ18*-Valores!$C$70</f>
        <v>0</v>
      </c>
      <c r="AR18" s="142">
        <f>AJ18*Valores!$C$71</f>
        <v>-7404.8600474999994</v>
      </c>
      <c r="AS18" s="142">
        <f>Valores!$C$95</f>
        <v>-193.38</v>
      </c>
      <c r="AT18" s="142">
        <f>IF($H$6=0,Valores!$C$96,(Valores!$C$96+$H$6*(Valores!$C$96)))</f>
        <v>-178</v>
      </c>
      <c r="AU18" s="146">
        <f t="shared" si="8"/>
        <v>142743.59644749999</v>
      </c>
      <c r="AV18" s="199">
        <f t="shared" si="0"/>
        <v>-18100.769005000002</v>
      </c>
      <c r="AW18" s="142">
        <f>AJ18*Valores!$C$72</f>
        <v>-4442.9160284999998</v>
      </c>
      <c r="AX18" s="142">
        <f>AJ18*Valores!$C$73</f>
        <v>-493.65733650000004</v>
      </c>
      <c r="AY18" s="146">
        <f t="shared" si="9"/>
        <v>145583.26313000001</v>
      </c>
      <c r="AZ18" s="150">
        <v>33</v>
      </c>
      <c r="BA18" s="150">
        <v>45</v>
      </c>
      <c r="BB18" s="135" t="s">
        <v>8</v>
      </c>
    </row>
    <row r="19" spans="1:54" s="114" customFormat="1" ht="11.25" customHeight="1" x14ac:dyDescent="0.15">
      <c r="A19" s="134">
        <v>16</v>
      </c>
      <c r="B19" s="134"/>
      <c r="C19" s="135" t="s">
        <v>152</v>
      </c>
      <c r="D19" s="135"/>
      <c r="E19" s="135">
        <f t="shared" si="1"/>
        <v>30</v>
      </c>
      <c r="F19" s="136" t="s">
        <v>153</v>
      </c>
      <c r="G19" s="137">
        <v>100</v>
      </c>
      <c r="H19" s="138">
        <f>INT((G19*Valores!$C$2*100)+0.5)/100</f>
        <v>1338.26</v>
      </c>
      <c r="I19" s="139">
        <v>3727</v>
      </c>
      <c r="J19" s="140">
        <f>INT((I19*Valores!$C$2*100)+0.5)/100</f>
        <v>49876.95</v>
      </c>
      <c r="K19" s="141">
        <v>219</v>
      </c>
      <c r="L19" s="140">
        <f>INT((K19*Valores!$C$2*100)+0.5)/100</f>
        <v>2930.79</v>
      </c>
      <c r="M19" s="137">
        <v>0</v>
      </c>
      <c r="N19" s="140">
        <f>INT((M19*Valores!$C$2*100)+0.5)/100</f>
        <v>0</v>
      </c>
      <c r="O19" s="140">
        <f t="shared" si="2"/>
        <v>8622.6854999999996</v>
      </c>
      <c r="P19" s="140">
        <f t="shared" si="3"/>
        <v>0</v>
      </c>
      <c r="Q19" s="142">
        <f>Valores!$C$17</f>
        <v>11932.86</v>
      </c>
      <c r="R19" s="142">
        <f>Valores!$D$4</f>
        <v>6841.19</v>
      </c>
      <c r="S19" s="140">
        <v>0</v>
      </c>
      <c r="T19" s="143">
        <f>IF($H$5="NO",Valores!$C$45,Valores!$C$45/2)</f>
        <v>3338.57</v>
      </c>
      <c r="U19" s="140">
        <v>0</v>
      </c>
      <c r="V19" s="140">
        <f t="shared" si="4"/>
        <v>0</v>
      </c>
      <c r="W19" s="142">
        <f t="shared" si="10"/>
        <v>54146</v>
      </c>
      <c r="X19" s="142">
        <f t="shared" si="11"/>
        <v>21658.400000000001</v>
      </c>
      <c r="Y19" s="144">
        <v>0</v>
      </c>
      <c r="Z19" s="140">
        <f>Y19*Valores!$C$2</f>
        <v>0</v>
      </c>
      <c r="AA19" s="140">
        <v>0</v>
      </c>
      <c r="AB19" s="143">
        <f>Valores!$C$90</f>
        <v>2575.39</v>
      </c>
      <c r="AC19" s="145">
        <f>Valores!$C$31</f>
        <v>279.8</v>
      </c>
      <c r="AD19" s="140">
        <f t="shared" si="6"/>
        <v>0</v>
      </c>
      <c r="AE19" s="140">
        <f>Valores!$C$32</f>
        <v>279.8</v>
      </c>
      <c r="AF19" s="144">
        <v>0</v>
      </c>
      <c r="AG19" s="140">
        <f>INT(((AF19*Valores!$C$2)*100)+0.5)/100</f>
        <v>0</v>
      </c>
      <c r="AH19" s="140">
        <f>IF($H$5="NO",Valores!$C$60,Valores!$C$60/2)</f>
        <v>569.14</v>
      </c>
      <c r="AI19" s="140">
        <f>IF($H$5="NO",Valores!$C$62,Valores!$C$62/2)</f>
        <v>162.61000000000001</v>
      </c>
      <c r="AJ19" s="146">
        <f t="shared" si="7"/>
        <v>164552.4455</v>
      </c>
      <c r="AK19" s="142">
        <f>Valores!$C$37</f>
        <v>1465.56</v>
      </c>
      <c r="AL19" s="143">
        <f>Valores!$C$85</f>
        <v>2275</v>
      </c>
      <c r="AM19" s="143"/>
      <c r="AN19" s="145">
        <f>IF($H$4="NO",0,Valores!$C$52)</f>
        <v>327.60000000000002</v>
      </c>
      <c r="AO19" s="147">
        <f t="shared" si="5"/>
        <v>4068.16</v>
      </c>
      <c r="AP19" s="148">
        <f>AJ19*Valores!$C$69</f>
        <v>-18100.769005000002</v>
      </c>
      <c r="AQ19" s="148">
        <f>AJ19*-Valores!$C$70</f>
        <v>0</v>
      </c>
      <c r="AR19" s="142">
        <f>AJ19*Valores!$C$71</f>
        <v>-7404.8600474999994</v>
      </c>
      <c r="AS19" s="142">
        <f>Valores!$C$95</f>
        <v>-193.38</v>
      </c>
      <c r="AT19" s="142">
        <f>IF($H$6=0,Valores!$C$96,(Valores!$C$96+$H$6*(Valores!$C$96)))</f>
        <v>-178</v>
      </c>
      <c r="AU19" s="146">
        <f t="shared" si="8"/>
        <v>142743.59644749999</v>
      </c>
      <c r="AV19" s="199">
        <f t="shared" si="0"/>
        <v>-18100.769005000002</v>
      </c>
      <c r="AW19" s="142">
        <f>AJ19*Valores!$C$72</f>
        <v>-4442.9160284999998</v>
      </c>
      <c r="AX19" s="142">
        <f>AJ19*Valores!$C$73</f>
        <v>-493.65733650000004</v>
      </c>
      <c r="AY19" s="146">
        <f t="shared" si="9"/>
        <v>145583.26313000001</v>
      </c>
      <c r="AZ19" s="150"/>
      <c r="BA19" s="150">
        <v>45</v>
      </c>
      <c r="BB19" s="135" t="s">
        <v>8</v>
      </c>
    </row>
    <row r="20" spans="1:54" s="114" customFormat="1" ht="11.25" customHeight="1" x14ac:dyDescent="0.15">
      <c r="A20" s="134">
        <v>17</v>
      </c>
      <c r="B20" s="134"/>
      <c r="C20" s="135" t="s">
        <v>154</v>
      </c>
      <c r="D20" s="135"/>
      <c r="E20" s="135">
        <f t="shared" si="1"/>
        <v>24</v>
      </c>
      <c r="F20" s="136" t="s">
        <v>155</v>
      </c>
      <c r="G20" s="137">
        <v>100</v>
      </c>
      <c r="H20" s="138">
        <f>INT((G20*Valores!$C$2*100)+0.5)/100</f>
        <v>1338.26</v>
      </c>
      <c r="I20" s="139">
        <v>3727</v>
      </c>
      <c r="J20" s="140">
        <f>INT((I20*Valores!$C$2*100)+0.5)/100</f>
        <v>49876.95</v>
      </c>
      <c r="K20" s="141">
        <v>219</v>
      </c>
      <c r="L20" s="140">
        <f>INT((K20*Valores!$C$2*100)+0.5)/100</f>
        <v>2930.79</v>
      </c>
      <c r="M20" s="137">
        <v>0</v>
      </c>
      <c r="N20" s="140">
        <f>INT((M20*Valores!$C$2*100)+0.5)/100</f>
        <v>0</v>
      </c>
      <c r="O20" s="140">
        <f t="shared" si="2"/>
        <v>8622.6854999999996</v>
      </c>
      <c r="P20" s="140">
        <f t="shared" si="3"/>
        <v>0</v>
      </c>
      <c r="Q20" s="142">
        <f>Valores!$C$17</f>
        <v>11932.86</v>
      </c>
      <c r="R20" s="142">
        <f>Valores!$D$4</f>
        <v>6841.19</v>
      </c>
      <c r="S20" s="140">
        <v>0</v>
      </c>
      <c r="T20" s="143">
        <f>IF($H$5="NO",Valores!$C$45,Valores!$C$45/2)</f>
        <v>3338.57</v>
      </c>
      <c r="U20" s="140">
        <v>0</v>
      </c>
      <c r="V20" s="140">
        <f t="shared" si="4"/>
        <v>0</v>
      </c>
      <c r="W20" s="142">
        <f t="shared" si="10"/>
        <v>54146</v>
      </c>
      <c r="X20" s="142">
        <f t="shared" si="11"/>
        <v>21658.400000000001</v>
      </c>
      <c r="Y20" s="144">
        <v>0</v>
      </c>
      <c r="Z20" s="140">
        <f>Y20*Valores!$C$2</f>
        <v>0</v>
      </c>
      <c r="AA20" s="140">
        <v>0</v>
      </c>
      <c r="AB20" s="143">
        <f>Valores!$C$90</f>
        <v>2575.39</v>
      </c>
      <c r="AC20" s="145">
        <f>Valores!$C$31</f>
        <v>279.8</v>
      </c>
      <c r="AD20" s="140">
        <f t="shared" si="6"/>
        <v>0</v>
      </c>
      <c r="AE20" s="140">
        <f>Valores!$C$32</f>
        <v>279.8</v>
      </c>
      <c r="AF20" s="144">
        <v>0</v>
      </c>
      <c r="AG20" s="140">
        <f>INT(((AF20*Valores!$C$2)*100)+0.5)/100</f>
        <v>0</v>
      </c>
      <c r="AH20" s="140">
        <f>IF($H$5="NO",Valores!$C$60,Valores!$C$60/2)</f>
        <v>569.14</v>
      </c>
      <c r="AI20" s="140">
        <f>IF($H$5="NO",Valores!$C$62,Valores!$C$62/2)</f>
        <v>162.61000000000001</v>
      </c>
      <c r="AJ20" s="146">
        <f t="shared" si="7"/>
        <v>164552.4455</v>
      </c>
      <c r="AK20" s="142">
        <f>Valores!$C$37</f>
        <v>1465.56</v>
      </c>
      <c r="AL20" s="143">
        <f>Valores!$C$85</f>
        <v>2275</v>
      </c>
      <c r="AM20" s="143"/>
      <c r="AN20" s="145">
        <f>IF($H$4="NO",0,Valores!$C$52)</f>
        <v>327.60000000000002</v>
      </c>
      <c r="AO20" s="147">
        <f t="shared" si="5"/>
        <v>4068.16</v>
      </c>
      <c r="AP20" s="148">
        <f>AJ20*Valores!$C$69</f>
        <v>-18100.769005000002</v>
      </c>
      <c r="AQ20" s="148">
        <f>AJ20*-Valores!$C$70</f>
        <v>0</v>
      </c>
      <c r="AR20" s="142">
        <f>AJ20*Valores!$C$71</f>
        <v>-7404.8600474999994</v>
      </c>
      <c r="AS20" s="142">
        <f>Valores!$C$95</f>
        <v>-193.38</v>
      </c>
      <c r="AT20" s="142">
        <f>IF($H$6=0,Valores!$C$96,(Valores!$C$96+$H$6*(Valores!$C$96)))</f>
        <v>-178</v>
      </c>
      <c r="AU20" s="146">
        <f t="shared" si="8"/>
        <v>142743.59644749999</v>
      </c>
      <c r="AV20" s="199">
        <f t="shared" si="0"/>
        <v>-18100.769005000002</v>
      </c>
      <c r="AW20" s="142">
        <f>AJ20*Valores!$C$72</f>
        <v>-4442.9160284999998</v>
      </c>
      <c r="AX20" s="142">
        <f>AJ20*Valores!$C$73</f>
        <v>-493.65733650000004</v>
      </c>
      <c r="AY20" s="146">
        <f t="shared" si="9"/>
        <v>145583.26313000001</v>
      </c>
      <c r="AZ20" s="150"/>
      <c r="BA20" s="150">
        <v>45</v>
      </c>
      <c r="BB20" s="135" t="s">
        <v>8</v>
      </c>
    </row>
    <row r="21" spans="1:54" s="114" customFormat="1" ht="11.25" customHeight="1" x14ac:dyDescent="0.15">
      <c r="A21" s="134">
        <v>18</v>
      </c>
      <c r="B21" s="134"/>
      <c r="C21" s="135" t="s">
        <v>156</v>
      </c>
      <c r="D21" s="135"/>
      <c r="E21" s="135">
        <f t="shared" si="1"/>
        <v>20</v>
      </c>
      <c r="F21" s="136" t="s">
        <v>157</v>
      </c>
      <c r="G21" s="137">
        <v>100</v>
      </c>
      <c r="H21" s="138">
        <f>INT((G21*Valores!$C$2*100)+0.5)/100</f>
        <v>1338.26</v>
      </c>
      <c r="I21" s="139">
        <v>3727</v>
      </c>
      <c r="J21" s="140">
        <f>INT((I21*Valores!$C$2*100)+0.5)/100</f>
        <v>49876.95</v>
      </c>
      <c r="K21" s="141">
        <v>219</v>
      </c>
      <c r="L21" s="140">
        <f>INT((K21*Valores!$C$2*100)+0.5)/100</f>
        <v>2930.79</v>
      </c>
      <c r="M21" s="137">
        <v>0</v>
      </c>
      <c r="N21" s="140">
        <f>INT((M21*Valores!$C$2*100)+0.5)/100</f>
        <v>0</v>
      </c>
      <c r="O21" s="140">
        <f t="shared" si="2"/>
        <v>8622.6854999999996</v>
      </c>
      <c r="P21" s="140">
        <f t="shared" si="3"/>
        <v>0</v>
      </c>
      <c r="Q21" s="142">
        <f>Valores!$C$17</f>
        <v>11932.86</v>
      </c>
      <c r="R21" s="142">
        <f>Valores!$D$4</f>
        <v>6841.19</v>
      </c>
      <c r="S21" s="140">
        <v>0</v>
      </c>
      <c r="T21" s="143">
        <f>IF($H$5="NO",Valores!$C$45,Valores!$C$45/2)</f>
        <v>3338.57</v>
      </c>
      <c r="U21" s="140">
        <v>0</v>
      </c>
      <c r="V21" s="140">
        <f t="shared" si="4"/>
        <v>0</v>
      </c>
      <c r="W21" s="142">
        <f t="shared" si="10"/>
        <v>54146</v>
      </c>
      <c r="X21" s="142">
        <f t="shared" si="11"/>
        <v>21658.400000000001</v>
      </c>
      <c r="Y21" s="144">
        <v>0</v>
      </c>
      <c r="Z21" s="140">
        <f>Y21*Valores!$C$2</f>
        <v>0</v>
      </c>
      <c r="AA21" s="140">
        <v>0</v>
      </c>
      <c r="AB21" s="143">
        <f>Valores!$C$90</f>
        <v>2575.39</v>
      </c>
      <c r="AC21" s="145">
        <f>Valores!$C$31</f>
        <v>279.8</v>
      </c>
      <c r="AD21" s="140">
        <f t="shared" si="6"/>
        <v>0</v>
      </c>
      <c r="AE21" s="140">
        <f>Valores!$C$32</f>
        <v>279.8</v>
      </c>
      <c r="AF21" s="144">
        <v>0</v>
      </c>
      <c r="AG21" s="140">
        <f>INT(((AF21*Valores!$C$2)*100)+0.5)/100</f>
        <v>0</v>
      </c>
      <c r="AH21" s="140">
        <f>IF($H$5="NO",Valores!$C$60,Valores!$C$60/2)</f>
        <v>569.14</v>
      </c>
      <c r="AI21" s="140">
        <f>IF($H$5="NO",Valores!$C$62,Valores!$C$62/2)</f>
        <v>162.61000000000001</v>
      </c>
      <c r="AJ21" s="146">
        <f t="shared" si="7"/>
        <v>164552.4455</v>
      </c>
      <c r="AK21" s="142">
        <f>Valores!$C$37</f>
        <v>1465.56</v>
      </c>
      <c r="AL21" s="143">
        <f>Valores!$C$85</f>
        <v>2275</v>
      </c>
      <c r="AM21" s="143"/>
      <c r="AN21" s="145">
        <f>IF($H$4="NO",0,Valores!$C$52)</f>
        <v>327.60000000000002</v>
      </c>
      <c r="AO21" s="147">
        <f t="shared" si="5"/>
        <v>4068.16</v>
      </c>
      <c r="AP21" s="148">
        <f>AJ21*Valores!$C$69</f>
        <v>-18100.769005000002</v>
      </c>
      <c r="AQ21" s="148">
        <f>AJ21*-Valores!$C$70</f>
        <v>0</v>
      </c>
      <c r="AR21" s="142">
        <f>AJ21*Valores!$C$71</f>
        <v>-7404.8600474999994</v>
      </c>
      <c r="AS21" s="142">
        <f>Valores!$C$95</f>
        <v>-193.38</v>
      </c>
      <c r="AT21" s="142">
        <f>IF($H$6=0,Valores!$C$96,(Valores!$C$96+$H$6*(Valores!$C$96)))</f>
        <v>-178</v>
      </c>
      <c r="AU21" s="146">
        <f t="shared" si="8"/>
        <v>142743.59644749999</v>
      </c>
      <c r="AV21" s="199">
        <f t="shared" si="0"/>
        <v>-18100.769005000002</v>
      </c>
      <c r="AW21" s="142">
        <f>AJ21*Valores!$C$72</f>
        <v>-4442.9160284999998</v>
      </c>
      <c r="AX21" s="142">
        <f>AJ21*Valores!$C$73</f>
        <v>-493.65733650000004</v>
      </c>
      <c r="AY21" s="146">
        <f t="shared" si="9"/>
        <v>145583.26313000001</v>
      </c>
      <c r="AZ21" s="150"/>
      <c r="BA21" s="150">
        <v>45</v>
      </c>
      <c r="BB21" s="135" t="s">
        <v>8</v>
      </c>
    </row>
    <row r="22" spans="1:54" s="114" customFormat="1" ht="11.25" customHeight="1" x14ac:dyDescent="0.15">
      <c r="A22" s="134">
        <v>19</v>
      </c>
      <c r="B22" s="134"/>
      <c r="C22" s="135" t="s">
        <v>158</v>
      </c>
      <c r="D22" s="135"/>
      <c r="E22" s="135">
        <f t="shared" si="1"/>
        <v>29</v>
      </c>
      <c r="F22" s="136" t="s">
        <v>159</v>
      </c>
      <c r="G22" s="137">
        <v>107</v>
      </c>
      <c r="H22" s="138">
        <f>INT((G22*Valores!$C$2*100)+0.5)/100</f>
        <v>1431.94</v>
      </c>
      <c r="I22" s="139">
        <v>3720</v>
      </c>
      <c r="J22" s="140">
        <f>INT((I22*Valores!$C$2*100)+0.5)/100</f>
        <v>49783.27</v>
      </c>
      <c r="K22" s="141">
        <v>1226</v>
      </c>
      <c r="L22" s="140">
        <f>INT((K22*Valores!$C$2*100)+0.5)/100</f>
        <v>16407.07</v>
      </c>
      <c r="M22" s="137">
        <v>0</v>
      </c>
      <c r="N22" s="140">
        <f>INT((M22*Valores!$C$2*100)+0.5)/100</f>
        <v>0</v>
      </c>
      <c r="O22" s="140">
        <f t="shared" si="2"/>
        <v>11598.999</v>
      </c>
      <c r="P22" s="140">
        <f t="shared" si="3"/>
        <v>0</v>
      </c>
      <c r="Q22" s="142">
        <f>Valores!$C$19</f>
        <v>25171.69</v>
      </c>
      <c r="R22" s="142">
        <f>Valores!$D$4</f>
        <v>6841.19</v>
      </c>
      <c r="S22" s="140">
        <v>0</v>
      </c>
      <c r="T22" s="143">
        <f>IF($H$5="NO",Valores!$C$45,Valores!$C$45/2)</f>
        <v>3338.57</v>
      </c>
      <c r="U22" s="140">
        <f>Valores!$C$25</f>
        <v>6365.81</v>
      </c>
      <c r="V22" s="140">
        <f t="shared" si="4"/>
        <v>6365.81</v>
      </c>
      <c r="W22" s="140">
        <v>0</v>
      </c>
      <c r="X22" s="140">
        <v>0</v>
      </c>
      <c r="Y22" s="144">
        <v>0</v>
      </c>
      <c r="Z22" s="140">
        <f>Y22*Valores!$C$2</f>
        <v>0</v>
      </c>
      <c r="AA22" s="140">
        <v>0</v>
      </c>
      <c r="AB22" s="143">
        <f>Valores!$C$92</f>
        <v>5150.78</v>
      </c>
      <c r="AC22" s="145">
        <f>Valores!$C$31</f>
        <v>279.8</v>
      </c>
      <c r="AD22" s="140">
        <f t="shared" si="6"/>
        <v>0</v>
      </c>
      <c r="AE22" s="140">
        <f>Valores!$C$32</f>
        <v>279.8</v>
      </c>
      <c r="AF22" s="144">
        <v>0</v>
      </c>
      <c r="AG22" s="140">
        <f>INT(((AF22*Valores!$C$2)*100)+0.5)/100</f>
        <v>0</v>
      </c>
      <c r="AH22" s="140">
        <f>IF($H$5="NO",Valores!$C$60,Valores!$C$60/2)</f>
        <v>569.14</v>
      </c>
      <c r="AI22" s="140">
        <f>IF($H$5="NO",Valores!$C$62,Valores!$C$62/2)</f>
        <v>162.61000000000001</v>
      </c>
      <c r="AJ22" s="146">
        <f t="shared" si="7"/>
        <v>127380.66900000001</v>
      </c>
      <c r="AK22" s="142">
        <f>Valores!$C$37</f>
        <v>1465.56</v>
      </c>
      <c r="AL22" s="143">
        <f>Valores!$C$87</f>
        <v>4550</v>
      </c>
      <c r="AM22" s="143"/>
      <c r="AN22" s="145">
        <f>IF($H$4="NO",0,Valores!$C$52)</f>
        <v>327.60000000000002</v>
      </c>
      <c r="AO22" s="147">
        <f t="shared" si="5"/>
        <v>6343.16</v>
      </c>
      <c r="AP22" s="148">
        <f>AJ22*Valores!$C$69</f>
        <v>-14011.873590000001</v>
      </c>
      <c r="AQ22" s="148">
        <f>AJ22*-Valores!$C$70</f>
        <v>0</v>
      </c>
      <c r="AR22" s="142">
        <f>AJ22*Valores!$C$71</f>
        <v>-5732.1301050000002</v>
      </c>
      <c r="AS22" s="142">
        <f>Valores!$C$95</f>
        <v>-193.38</v>
      </c>
      <c r="AT22" s="142">
        <f>IF($H$6=0,Valores!$C$96,(Valores!$C$96+$H$6*(Valores!$C$96)))</f>
        <v>-178</v>
      </c>
      <c r="AU22" s="146">
        <f t="shared" si="8"/>
        <v>113608.445305</v>
      </c>
      <c r="AV22" s="199">
        <f t="shared" si="0"/>
        <v>-14011.873590000001</v>
      </c>
      <c r="AW22" s="142">
        <f>AJ22*Valores!$C$72</f>
        <v>-3439.2780630000002</v>
      </c>
      <c r="AX22" s="142">
        <f>AJ22*Valores!$C$73</f>
        <v>-382.14200700000004</v>
      </c>
      <c r="AY22" s="146">
        <f t="shared" si="9"/>
        <v>115890.53534</v>
      </c>
      <c r="AZ22" s="150"/>
      <c r="BA22" s="150">
        <v>45</v>
      </c>
      <c r="BB22" s="135" t="s">
        <v>4</v>
      </c>
    </row>
    <row r="23" spans="1:54" s="114" customFormat="1" ht="11.25" customHeight="1" x14ac:dyDescent="0.15">
      <c r="A23" s="152">
        <v>20</v>
      </c>
      <c r="B23" s="152" t="s">
        <v>139</v>
      </c>
      <c r="C23" s="135" t="s">
        <v>160</v>
      </c>
      <c r="D23" s="135"/>
      <c r="E23" s="135">
        <f t="shared" si="1"/>
        <v>20</v>
      </c>
      <c r="F23" s="136" t="s">
        <v>161</v>
      </c>
      <c r="G23" s="137">
        <v>100</v>
      </c>
      <c r="H23" s="138">
        <f>INT((G23*Valores!$C$2*100)+0.5)/100</f>
        <v>1338.26</v>
      </c>
      <c r="I23" s="139">
        <v>3727</v>
      </c>
      <c r="J23" s="140">
        <f>INT((I23*Valores!$C$2*100)+0.5)/100</f>
        <v>49876.95</v>
      </c>
      <c r="K23" s="141">
        <v>219</v>
      </c>
      <c r="L23" s="140">
        <f>INT((K23*Valores!$C$2*100)+0.5)/100</f>
        <v>2930.79</v>
      </c>
      <c r="M23" s="137">
        <v>0</v>
      </c>
      <c r="N23" s="140">
        <f>INT((M23*Valores!$C$2*100)+0.5)/100</f>
        <v>0</v>
      </c>
      <c r="O23" s="140">
        <f t="shared" si="2"/>
        <v>8622.6854999999996</v>
      </c>
      <c r="P23" s="140">
        <f t="shared" si="3"/>
        <v>0</v>
      </c>
      <c r="Q23" s="142">
        <f>Valores!$C$17</f>
        <v>11932.86</v>
      </c>
      <c r="R23" s="142">
        <f>Valores!$D$4</f>
        <v>6841.19</v>
      </c>
      <c r="S23" s="140">
        <v>0</v>
      </c>
      <c r="T23" s="143">
        <f>IF($H$5="NO",Valores!$C$45,Valores!$C$45/2)</f>
        <v>3338.57</v>
      </c>
      <c r="U23" s="140">
        <v>0</v>
      </c>
      <c r="V23" s="140">
        <f t="shared" si="4"/>
        <v>0</v>
      </c>
      <c r="W23" s="142">
        <f>SUM(H23,J23,L23)</f>
        <v>54146</v>
      </c>
      <c r="X23" s="142">
        <f>INT((SUM(H23,J23,L23)*0.4*100)+0.49)/100</f>
        <v>21658.400000000001</v>
      </c>
      <c r="Y23" s="144">
        <v>0</v>
      </c>
      <c r="Z23" s="140">
        <f>Y23*Valores!$C$2</f>
        <v>0</v>
      </c>
      <c r="AA23" s="140">
        <v>0</v>
      </c>
      <c r="AB23" s="143">
        <f>Valores!$C$90</f>
        <v>2575.39</v>
      </c>
      <c r="AC23" s="145">
        <f>Valores!$C$31</f>
        <v>279.8</v>
      </c>
      <c r="AD23" s="140">
        <f t="shared" si="6"/>
        <v>0</v>
      </c>
      <c r="AE23" s="140">
        <f>Valores!$C$32</f>
        <v>279.8</v>
      </c>
      <c r="AF23" s="144">
        <v>0</v>
      </c>
      <c r="AG23" s="140">
        <f>INT(((AF23*Valores!$C$2)*100)+0.5)/100</f>
        <v>0</v>
      </c>
      <c r="AH23" s="140">
        <f>IF($H$5="NO",Valores!$C$60,Valores!$C$60/2)</f>
        <v>569.14</v>
      </c>
      <c r="AI23" s="140">
        <f>IF($H$5="NO",Valores!$C$62,Valores!$C$62/2)</f>
        <v>162.61000000000001</v>
      </c>
      <c r="AJ23" s="146">
        <f t="shared" si="7"/>
        <v>164552.4455</v>
      </c>
      <c r="AK23" s="142">
        <f>Valores!$C$37</f>
        <v>1465.56</v>
      </c>
      <c r="AL23" s="143">
        <f>Valores!$C$85</f>
        <v>2275</v>
      </c>
      <c r="AM23" s="143"/>
      <c r="AN23" s="145">
        <f>IF($H$4="NO",0,Valores!$C$52)</f>
        <v>327.60000000000002</v>
      </c>
      <c r="AO23" s="147">
        <f t="shared" si="5"/>
        <v>4068.16</v>
      </c>
      <c r="AP23" s="148">
        <f>AJ23*Valores!$C$69</f>
        <v>-18100.769005000002</v>
      </c>
      <c r="AQ23" s="148">
        <f>AJ23*-Valores!$C$70</f>
        <v>0</v>
      </c>
      <c r="AR23" s="142">
        <f>AJ23*Valores!$C$71</f>
        <v>-7404.8600474999994</v>
      </c>
      <c r="AS23" s="142">
        <f>Valores!$C$95</f>
        <v>-193.38</v>
      </c>
      <c r="AT23" s="142">
        <f>IF($H$6=0,Valores!$C$96,(Valores!$C$96+$H$6*(Valores!$C$96)))</f>
        <v>-178</v>
      </c>
      <c r="AU23" s="146">
        <f t="shared" si="8"/>
        <v>142743.59644749999</v>
      </c>
      <c r="AV23" s="199">
        <f t="shared" si="0"/>
        <v>-18100.769005000002</v>
      </c>
      <c r="AW23" s="142">
        <f>AJ23*Valores!$C$72</f>
        <v>-4442.9160284999998</v>
      </c>
      <c r="AX23" s="142">
        <f>AJ23*Valores!$C$73</f>
        <v>-493.65733650000004</v>
      </c>
      <c r="AY23" s="146">
        <f t="shared" si="9"/>
        <v>145583.26313000001</v>
      </c>
      <c r="AZ23" s="150"/>
      <c r="BA23" s="150">
        <v>45</v>
      </c>
      <c r="BB23" s="135" t="s">
        <v>8</v>
      </c>
    </row>
    <row r="24" spans="1:54" s="114" customFormat="1" ht="11.25" customHeight="1" x14ac:dyDescent="0.15">
      <c r="A24" s="134">
        <v>21</v>
      </c>
      <c r="B24" s="134"/>
      <c r="C24" s="135" t="s">
        <v>162</v>
      </c>
      <c r="D24" s="135"/>
      <c r="E24" s="135">
        <f t="shared" si="1"/>
        <v>18</v>
      </c>
      <c r="F24" s="136" t="s">
        <v>163</v>
      </c>
      <c r="G24" s="137">
        <v>100</v>
      </c>
      <c r="H24" s="138">
        <f>INT((G24*Valores!$C$2*100)+0.5)/100</f>
        <v>1338.26</v>
      </c>
      <c r="I24" s="139">
        <v>3727</v>
      </c>
      <c r="J24" s="140">
        <f>INT((I24*Valores!$C$2*100)+0.5)/100</f>
        <v>49876.95</v>
      </c>
      <c r="K24" s="141">
        <v>219</v>
      </c>
      <c r="L24" s="140">
        <f>INT((K24*Valores!$C$2*100)+0.5)/100</f>
        <v>2930.79</v>
      </c>
      <c r="M24" s="137">
        <v>0</v>
      </c>
      <c r="N24" s="140">
        <f>INT((M24*Valores!$C$2*100)+0.5)/100</f>
        <v>0</v>
      </c>
      <c r="O24" s="140">
        <f t="shared" si="2"/>
        <v>8622.6854999999996</v>
      </c>
      <c r="P24" s="140">
        <f t="shared" si="3"/>
        <v>0</v>
      </c>
      <c r="Q24" s="142">
        <f>Valores!$C$17</f>
        <v>11932.86</v>
      </c>
      <c r="R24" s="142">
        <f>Valores!$D$4</f>
        <v>6841.19</v>
      </c>
      <c r="S24" s="140">
        <v>0</v>
      </c>
      <c r="T24" s="143">
        <f>IF($H$5="NO",Valores!$C$45,Valores!$C$45/2)</f>
        <v>3338.57</v>
      </c>
      <c r="U24" s="140">
        <v>0</v>
      </c>
      <c r="V24" s="140">
        <f t="shared" si="4"/>
        <v>0</v>
      </c>
      <c r="W24" s="142">
        <f>SUM(H24,J24,L24)</f>
        <v>54146</v>
      </c>
      <c r="X24" s="142">
        <f>INT((SUM(H24,J24,L24)*0.4*100)+0.49)/100</f>
        <v>21658.400000000001</v>
      </c>
      <c r="Y24" s="144">
        <v>0</v>
      </c>
      <c r="Z24" s="140">
        <f>Y24*Valores!$C$2</f>
        <v>0</v>
      </c>
      <c r="AA24" s="140">
        <v>0</v>
      </c>
      <c r="AB24" s="143">
        <f>Valores!$C$90</f>
        <v>2575.39</v>
      </c>
      <c r="AC24" s="145">
        <f>Valores!$C$31</f>
        <v>279.8</v>
      </c>
      <c r="AD24" s="140">
        <f t="shared" si="6"/>
        <v>0</v>
      </c>
      <c r="AE24" s="140">
        <f>Valores!$C$32</f>
        <v>279.8</v>
      </c>
      <c r="AF24" s="144">
        <v>0</v>
      </c>
      <c r="AG24" s="140">
        <f>INT(((AF24*Valores!$C$2)*100)+0.5)/100</f>
        <v>0</v>
      </c>
      <c r="AH24" s="140">
        <f>IF($H$5="NO",Valores!$C$60,Valores!$C$60/2)</f>
        <v>569.14</v>
      </c>
      <c r="AI24" s="140">
        <f>IF($H$5="NO",Valores!$C$62,Valores!$C$62/2)</f>
        <v>162.61000000000001</v>
      </c>
      <c r="AJ24" s="146">
        <f t="shared" si="7"/>
        <v>164552.4455</v>
      </c>
      <c r="AK24" s="142">
        <f>Valores!$C$37</f>
        <v>1465.56</v>
      </c>
      <c r="AL24" s="143">
        <f>Valores!$C$85</f>
        <v>2275</v>
      </c>
      <c r="AM24" s="143"/>
      <c r="AN24" s="145">
        <f>IF($H$4="NO",0,Valores!$C$52)</f>
        <v>327.60000000000002</v>
      </c>
      <c r="AO24" s="147">
        <f t="shared" si="5"/>
        <v>4068.16</v>
      </c>
      <c r="AP24" s="148">
        <f>AJ24*Valores!$C$69</f>
        <v>-18100.769005000002</v>
      </c>
      <c r="AQ24" s="148">
        <f>AJ24*-Valores!$C$70</f>
        <v>0</v>
      </c>
      <c r="AR24" s="142">
        <f>AJ24*Valores!$C$71</f>
        <v>-7404.8600474999994</v>
      </c>
      <c r="AS24" s="142">
        <f>Valores!$C$95</f>
        <v>-193.38</v>
      </c>
      <c r="AT24" s="142">
        <f>IF($H$6=0,Valores!$C$96,(Valores!$C$96+$H$6*(Valores!$C$96)))</f>
        <v>-178</v>
      </c>
      <c r="AU24" s="146">
        <f t="shared" si="8"/>
        <v>142743.59644749999</v>
      </c>
      <c r="AV24" s="199">
        <f t="shared" si="0"/>
        <v>-18100.769005000002</v>
      </c>
      <c r="AW24" s="142">
        <f>AJ24*Valores!$C$72</f>
        <v>-4442.9160284999998</v>
      </c>
      <c r="AX24" s="142">
        <f>AJ24*Valores!$C$73</f>
        <v>-493.65733650000004</v>
      </c>
      <c r="AY24" s="146">
        <f t="shared" si="9"/>
        <v>145583.26313000001</v>
      </c>
      <c r="AZ24" s="150"/>
      <c r="BA24" s="150">
        <v>45</v>
      </c>
      <c r="BB24" s="135" t="s">
        <v>8</v>
      </c>
    </row>
    <row r="25" spans="1:54" s="114" customFormat="1" ht="11.25" customHeight="1" x14ac:dyDescent="0.15">
      <c r="A25" s="134">
        <v>22</v>
      </c>
      <c r="B25" s="134"/>
      <c r="C25" s="135" t="s">
        <v>164</v>
      </c>
      <c r="D25" s="135"/>
      <c r="E25" s="135">
        <f t="shared" si="1"/>
        <v>18</v>
      </c>
      <c r="F25" s="136" t="s">
        <v>165</v>
      </c>
      <c r="G25" s="137">
        <v>100</v>
      </c>
      <c r="H25" s="138">
        <f>INT((G25*Valores!$C$2*100)+0.5)/100</f>
        <v>1338.26</v>
      </c>
      <c r="I25" s="139">
        <v>3727</v>
      </c>
      <c r="J25" s="140">
        <f>INT((I25*Valores!$C$2*100)+0.5)/100</f>
        <v>49876.95</v>
      </c>
      <c r="K25" s="141">
        <v>219</v>
      </c>
      <c r="L25" s="140">
        <f>INT((K25*Valores!$C$2*100)+0.5)/100</f>
        <v>2930.79</v>
      </c>
      <c r="M25" s="137">
        <v>0</v>
      </c>
      <c r="N25" s="140">
        <f>INT((M25*Valores!$C$2*100)+0.5)/100</f>
        <v>0</v>
      </c>
      <c r="O25" s="140">
        <f t="shared" si="2"/>
        <v>8622.6854999999996</v>
      </c>
      <c r="P25" s="140">
        <f t="shared" si="3"/>
        <v>0</v>
      </c>
      <c r="Q25" s="142">
        <f>Valores!$C$17</f>
        <v>11932.86</v>
      </c>
      <c r="R25" s="142">
        <f>Valores!$D$4</f>
        <v>6841.19</v>
      </c>
      <c r="S25" s="140">
        <v>0</v>
      </c>
      <c r="T25" s="143">
        <f>IF($H$5="NO",Valores!$C$45,Valores!$C$45/2)</f>
        <v>3338.57</v>
      </c>
      <c r="U25" s="140">
        <v>0</v>
      </c>
      <c r="V25" s="140">
        <f t="shared" si="4"/>
        <v>0</v>
      </c>
      <c r="W25" s="142">
        <f>SUM(H25,J25,L25)</f>
        <v>54146</v>
      </c>
      <c r="X25" s="142">
        <f>INT((SUM(H25,J25,L25)*0.4*100)+0.49)/100</f>
        <v>21658.400000000001</v>
      </c>
      <c r="Y25" s="144">
        <v>0</v>
      </c>
      <c r="Z25" s="140">
        <f>Y25*Valores!$C$2</f>
        <v>0</v>
      </c>
      <c r="AA25" s="140">
        <v>0</v>
      </c>
      <c r="AB25" s="143">
        <f>Valores!$C$90</f>
        <v>2575.39</v>
      </c>
      <c r="AC25" s="145">
        <f>Valores!$C$31</f>
        <v>279.8</v>
      </c>
      <c r="AD25" s="140">
        <f t="shared" si="6"/>
        <v>0</v>
      </c>
      <c r="AE25" s="140">
        <f>Valores!$C$32</f>
        <v>279.8</v>
      </c>
      <c r="AF25" s="144">
        <v>0</v>
      </c>
      <c r="AG25" s="140">
        <f>INT(((AF25*Valores!$C$2)*100)+0.5)/100</f>
        <v>0</v>
      </c>
      <c r="AH25" s="140">
        <f>IF($H$5="NO",Valores!$C$60,Valores!$C$60/2)</f>
        <v>569.14</v>
      </c>
      <c r="AI25" s="140">
        <f>IF($H$5="NO",Valores!$C$62,Valores!$C$62/2)</f>
        <v>162.61000000000001</v>
      </c>
      <c r="AJ25" s="146">
        <f t="shared" si="7"/>
        <v>164552.4455</v>
      </c>
      <c r="AK25" s="142">
        <f>Valores!$C$37</f>
        <v>1465.56</v>
      </c>
      <c r="AL25" s="143">
        <f>Valores!$C$85</f>
        <v>2275</v>
      </c>
      <c r="AM25" s="143"/>
      <c r="AN25" s="145">
        <f>IF($H$4="NO",0,Valores!$C$52)</f>
        <v>327.60000000000002</v>
      </c>
      <c r="AO25" s="147">
        <f t="shared" si="5"/>
        <v>4068.16</v>
      </c>
      <c r="AP25" s="148">
        <f>AJ25*Valores!$C$69</f>
        <v>-18100.769005000002</v>
      </c>
      <c r="AQ25" s="148">
        <f>AJ25*-Valores!$C$70</f>
        <v>0</v>
      </c>
      <c r="AR25" s="142">
        <f>AJ25*Valores!$C$71</f>
        <v>-7404.8600474999994</v>
      </c>
      <c r="AS25" s="142">
        <f>Valores!$C$95</f>
        <v>-193.38</v>
      </c>
      <c r="AT25" s="142">
        <f>IF($H$6=0,Valores!$C$96,(Valores!$C$96+$H$6*(Valores!$C$96)))</f>
        <v>-178</v>
      </c>
      <c r="AU25" s="146">
        <f t="shared" si="8"/>
        <v>142743.59644749999</v>
      </c>
      <c r="AV25" s="199">
        <f t="shared" si="0"/>
        <v>-18100.769005000002</v>
      </c>
      <c r="AW25" s="142">
        <f>AJ25*Valores!$C$72</f>
        <v>-4442.9160284999998</v>
      </c>
      <c r="AX25" s="142">
        <f>AJ25*Valores!$C$73</f>
        <v>-493.65733650000004</v>
      </c>
      <c r="AY25" s="146">
        <f t="shared" si="9"/>
        <v>145583.26313000001</v>
      </c>
      <c r="AZ25" s="150"/>
      <c r="BA25" s="150">
        <v>45</v>
      </c>
      <c r="BB25" s="135" t="s">
        <v>8</v>
      </c>
    </row>
    <row r="26" spans="1:54" s="114" customFormat="1" ht="11.25" customHeight="1" x14ac:dyDescent="0.15">
      <c r="A26" s="134">
        <v>23</v>
      </c>
      <c r="B26" s="134"/>
      <c r="C26" s="135" t="s">
        <v>166</v>
      </c>
      <c r="D26" s="135"/>
      <c r="E26" s="135">
        <f t="shared" si="1"/>
        <v>25</v>
      </c>
      <c r="F26" s="136" t="s">
        <v>167</v>
      </c>
      <c r="G26" s="137">
        <v>96</v>
      </c>
      <c r="H26" s="138">
        <f>INT((G26*Valores!$C$2*100)+0.5)/100</f>
        <v>1284.73</v>
      </c>
      <c r="I26" s="139">
        <v>3737</v>
      </c>
      <c r="J26" s="140">
        <f>INT((I26*Valores!$C$2*100)+0.5)/100</f>
        <v>50010.78</v>
      </c>
      <c r="K26" s="141">
        <v>1220</v>
      </c>
      <c r="L26" s="140">
        <f>INT((K26*Valores!$C$2*100)+0.5)/100</f>
        <v>16326.77</v>
      </c>
      <c r="M26" s="137">
        <v>0</v>
      </c>
      <c r="N26" s="140">
        <f>INT((M26*Valores!$C$2*100)+0.5)/100</f>
        <v>0</v>
      </c>
      <c r="O26" s="140">
        <f t="shared" si="2"/>
        <v>11598.999</v>
      </c>
      <c r="P26" s="140">
        <f t="shared" si="3"/>
        <v>0</v>
      </c>
      <c r="Q26" s="142">
        <f>Valores!$C$19</f>
        <v>25171.69</v>
      </c>
      <c r="R26" s="142">
        <f>Valores!$D$4</f>
        <v>6841.19</v>
      </c>
      <c r="S26" s="140">
        <v>0</v>
      </c>
      <c r="T26" s="143">
        <f>IF($H$5="NO",Valores!$C$45,Valores!$C$45/2)</f>
        <v>3338.57</v>
      </c>
      <c r="U26" s="140">
        <f>Valores!$C$25</f>
        <v>6365.81</v>
      </c>
      <c r="V26" s="140">
        <f t="shared" si="4"/>
        <v>6365.81</v>
      </c>
      <c r="W26" s="140">
        <v>0</v>
      </c>
      <c r="X26" s="140">
        <v>0</v>
      </c>
      <c r="Y26" s="144">
        <v>0</v>
      </c>
      <c r="Z26" s="140">
        <f>Y26*Valores!$C$2</f>
        <v>0</v>
      </c>
      <c r="AA26" s="140">
        <v>0</v>
      </c>
      <c r="AB26" s="143">
        <f>Valores!$C$92</f>
        <v>5150.78</v>
      </c>
      <c r="AC26" s="145">
        <f>Valores!$C$31</f>
        <v>279.8</v>
      </c>
      <c r="AD26" s="140">
        <f t="shared" si="6"/>
        <v>0</v>
      </c>
      <c r="AE26" s="140">
        <f>Valores!$C$32</f>
        <v>279.8</v>
      </c>
      <c r="AF26" s="144">
        <v>0</v>
      </c>
      <c r="AG26" s="140">
        <f>INT(((AF26*Valores!$C$2)*100)+0.5)/100</f>
        <v>0</v>
      </c>
      <c r="AH26" s="140">
        <f>IF($H$5="NO",Valores!$C$60,Valores!$C$60/2)</f>
        <v>569.14</v>
      </c>
      <c r="AI26" s="140">
        <f>IF($H$5="NO",Valores!$C$62,Valores!$C$62/2)</f>
        <v>162.61000000000001</v>
      </c>
      <c r="AJ26" s="146">
        <f t="shared" si="7"/>
        <v>127380.66900000001</v>
      </c>
      <c r="AK26" s="142">
        <f>Valores!$C$37</f>
        <v>1465.56</v>
      </c>
      <c r="AL26" s="143">
        <f>Valores!$C$87</f>
        <v>4550</v>
      </c>
      <c r="AM26" s="143"/>
      <c r="AN26" s="145">
        <f>IF($H$4="NO",0,Valores!$C$52)</f>
        <v>327.60000000000002</v>
      </c>
      <c r="AO26" s="147">
        <f t="shared" si="5"/>
        <v>6343.16</v>
      </c>
      <c r="AP26" s="148">
        <f>AJ26*Valores!$C$69</f>
        <v>-14011.873590000001</v>
      </c>
      <c r="AQ26" s="148">
        <f>AJ26*-Valores!$C$70</f>
        <v>0</v>
      </c>
      <c r="AR26" s="142">
        <f>AJ26*Valores!$C$71</f>
        <v>-5732.1301050000002</v>
      </c>
      <c r="AS26" s="142">
        <f>Valores!$C$95</f>
        <v>-193.38</v>
      </c>
      <c r="AT26" s="142">
        <f>IF($H$6=0,Valores!$C$96,(Valores!$C$96+$H$6*(Valores!$C$96)))</f>
        <v>-178</v>
      </c>
      <c r="AU26" s="146">
        <f t="shared" si="8"/>
        <v>113608.445305</v>
      </c>
      <c r="AV26" s="199">
        <f t="shared" si="0"/>
        <v>-14011.873590000001</v>
      </c>
      <c r="AW26" s="142">
        <f>AJ26*Valores!$C$72</f>
        <v>-3439.2780630000002</v>
      </c>
      <c r="AX26" s="142">
        <f>AJ26*Valores!$C$73</f>
        <v>-382.14200700000004</v>
      </c>
      <c r="AY26" s="146">
        <f t="shared" si="9"/>
        <v>115890.53534</v>
      </c>
      <c r="AZ26" s="150"/>
      <c r="BA26" s="150">
        <v>45</v>
      </c>
      <c r="BB26" s="135" t="s">
        <v>4</v>
      </c>
    </row>
    <row r="27" spans="1:54" s="114" customFormat="1" ht="11.25" customHeight="1" x14ac:dyDescent="0.15">
      <c r="A27" s="134">
        <v>24</v>
      </c>
      <c r="B27" s="134"/>
      <c r="C27" s="135" t="s">
        <v>168</v>
      </c>
      <c r="D27" s="135"/>
      <c r="E27" s="135">
        <f t="shared" si="1"/>
        <v>27</v>
      </c>
      <c r="F27" s="136" t="s">
        <v>169</v>
      </c>
      <c r="G27" s="137">
        <v>96</v>
      </c>
      <c r="H27" s="138">
        <f>INT((G27*Valores!$C$2*100)+0.5)/100</f>
        <v>1284.73</v>
      </c>
      <c r="I27" s="139">
        <v>3737</v>
      </c>
      <c r="J27" s="140">
        <f>INT((I27*Valores!$C$2*100)+0.5)/100</f>
        <v>50010.78</v>
      </c>
      <c r="K27" s="141">
        <v>1220</v>
      </c>
      <c r="L27" s="140">
        <f>INT((K27*Valores!$C$2*100)+0.5)/100</f>
        <v>16326.77</v>
      </c>
      <c r="M27" s="137">
        <v>0</v>
      </c>
      <c r="N27" s="140">
        <f>INT((M27*Valores!$C$2*100)+0.5)/100</f>
        <v>0</v>
      </c>
      <c r="O27" s="140">
        <f t="shared" si="2"/>
        <v>11598.999</v>
      </c>
      <c r="P27" s="140">
        <f t="shared" si="3"/>
        <v>0</v>
      </c>
      <c r="Q27" s="142">
        <f>Valores!$C$19</f>
        <v>25171.69</v>
      </c>
      <c r="R27" s="142">
        <f>Valores!$D$4</f>
        <v>6841.19</v>
      </c>
      <c r="S27" s="140">
        <v>0</v>
      </c>
      <c r="T27" s="143">
        <f>IF($H$5="NO",Valores!$C$45,Valores!$C$45/2)</f>
        <v>3338.57</v>
      </c>
      <c r="U27" s="140">
        <f>Valores!$C$25</f>
        <v>6365.81</v>
      </c>
      <c r="V27" s="140">
        <f t="shared" si="4"/>
        <v>6365.81</v>
      </c>
      <c r="W27" s="140">
        <v>0</v>
      </c>
      <c r="X27" s="140">
        <v>0</v>
      </c>
      <c r="Y27" s="144">
        <v>0</v>
      </c>
      <c r="Z27" s="140">
        <f>Y27*Valores!$C$2</f>
        <v>0</v>
      </c>
      <c r="AA27" s="140">
        <v>0</v>
      </c>
      <c r="AB27" s="143">
        <f>Valores!$C$92</f>
        <v>5150.78</v>
      </c>
      <c r="AC27" s="145">
        <f>Valores!$C$31</f>
        <v>279.8</v>
      </c>
      <c r="AD27" s="140">
        <f t="shared" si="6"/>
        <v>0</v>
      </c>
      <c r="AE27" s="140">
        <f>Valores!$C$32</f>
        <v>279.8</v>
      </c>
      <c r="AF27" s="144">
        <v>0</v>
      </c>
      <c r="AG27" s="140">
        <f>INT(((AF27*Valores!$C$2)*100)+0.5)/100</f>
        <v>0</v>
      </c>
      <c r="AH27" s="140">
        <f>IF($H$5="NO",Valores!$C$60,Valores!$C$60/2)</f>
        <v>569.14</v>
      </c>
      <c r="AI27" s="140">
        <f>IF($H$5="NO",Valores!$C$62,Valores!$C$62/2)</f>
        <v>162.61000000000001</v>
      </c>
      <c r="AJ27" s="146">
        <f t="shared" si="7"/>
        <v>127380.66900000001</v>
      </c>
      <c r="AK27" s="142">
        <f>Valores!$C$37</f>
        <v>1465.56</v>
      </c>
      <c r="AL27" s="143">
        <f>Valores!$C$87</f>
        <v>4550</v>
      </c>
      <c r="AM27" s="143"/>
      <c r="AN27" s="145">
        <f>IF($H$4="NO",0,Valores!$C$52)</f>
        <v>327.60000000000002</v>
      </c>
      <c r="AO27" s="147">
        <f t="shared" si="5"/>
        <v>6343.16</v>
      </c>
      <c r="AP27" s="148">
        <f>AJ27*Valores!$C$69</f>
        <v>-14011.873590000001</v>
      </c>
      <c r="AQ27" s="148">
        <f>AJ27*-Valores!$C$70</f>
        <v>0</v>
      </c>
      <c r="AR27" s="142">
        <f>AJ27*Valores!$C$71</f>
        <v>-5732.1301050000002</v>
      </c>
      <c r="AS27" s="142">
        <f>Valores!$C$95</f>
        <v>-193.38</v>
      </c>
      <c r="AT27" s="142">
        <f>IF($H$6=0,Valores!$C$96,(Valores!$C$96+$H$6*(Valores!$C$96)))</f>
        <v>-178</v>
      </c>
      <c r="AU27" s="146">
        <f t="shared" si="8"/>
        <v>113608.445305</v>
      </c>
      <c r="AV27" s="199">
        <f t="shared" si="0"/>
        <v>-14011.873590000001</v>
      </c>
      <c r="AW27" s="142">
        <f>AJ27*Valores!$C$72</f>
        <v>-3439.2780630000002</v>
      </c>
      <c r="AX27" s="142">
        <f>AJ27*Valores!$C$73</f>
        <v>-382.14200700000004</v>
      </c>
      <c r="AY27" s="146">
        <f t="shared" si="9"/>
        <v>115890.53534</v>
      </c>
      <c r="AZ27" s="150"/>
      <c r="BA27" s="150">
        <v>45</v>
      </c>
      <c r="BB27" s="135" t="s">
        <v>4</v>
      </c>
    </row>
    <row r="28" spans="1:54" s="114" customFormat="1" ht="11.25" customHeight="1" x14ac:dyDescent="0.15">
      <c r="A28" s="152">
        <v>25</v>
      </c>
      <c r="B28" s="152" t="s">
        <v>139</v>
      </c>
      <c r="C28" s="135" t="s">
        <v>170</v>
      </c>
      <c r="D28" s="135"/>
      <c r="E28" s="135">
        <f t="shared" si="1"/>
        <v>24</v>
      </c>
      <c r="F28" s="136" t="s">
        <v>171</v>
      </c>
      <c r="G28" s="137">
        <v>96</v>
      </c>
      <c r="H28" s="138">
        <f>INT((G28*Valores!$C$2*100)+0.5)/100</f>
        <v>1284.73</v>
      </c>
      <c r="I28" s="139">
        <v>3737</v>
      </c>
      <c r="J28" s="140">
        <f>INT((I28*Valores!$C$2*100)+0.5)/100</f>
        <v>50010.78</v>
      </c>
      <c r="K28" s="141">
        <v>1220</v>
      </c>
      <c r="L28" s="140">
        <f>INT((K28*Valores!$C$2*100)+0.5)/100</f>
        <v>16326.77</v>
      </c>
      <c r="M28" s="137">
        <v>0</v>
      </c>
      <c r="N28" s="140">
        <f>INT((M28*Valores!$C$2*100)+0.5)/100</f>
        <v>0</v>
      </c>
      <c r="O28" s="140">
        <f t="shared" si="2"/>
        <v>11598.999</v>
      </c>
      <c r="P28" s="140">
        <f t="shared" si="3"/>
        <v>0</v>
      </c>
      <c r="Q28" s="142">
        <f>Valores!$C$19</f>
        <v>25171.69</v>
      </c>
      <c r="R28" s="142">
        <f>Valores!$D$4</f>
        <v>6841.19</v>
      </c>
      <c r="S28" s="140">
        <v>0</v>
      </c>
      <c r="T28" s="143">
        <f>IF($H$5="NO",Valores!$C$45,Valores!$C$45/2)</f>
        <v>3338.57</v>
      </c>
      <c r="U28" s="140">
        <f>Valores!$C$25</f>
        <v>6365.81</v>
      </c>
      <c r="V28" s="140">
        <f t="shared" si="4"/>
        <v>6365.81</v>
      </c>
      <c r="W28" s="140">
        <v>0</v>
      </c>
      <c r="X28" s="140">
        <v>0</v>
      </c>
      <c r="Y28" s="144">
        <v>0</v>
      </c>
      <c r="Z28" s="140">
        <f>Y28*Valores!$C$2</f>
        <v>0</v>
      </c>
      <c r="AA28" s="140">
        <v>0</v>
      </c>
      <c r="AB28" s="143">
        <f>Valores!$C$92</f>
        <v>5150.78</v>
      </c>
      <c r="AC28" s="145">
        <f>Valores!$C$31</f>
        <v>279.8</v>
      </c>
      <c r="AD28" s="140">
        <f t="shared" si="6"/>
        <v>0</v>
      </c>
      <c r="AE28" s="140">
        <f>Valores!$C$32</f>
        <v>279.8</v>
      </c>
      <c r="AF28" s="144">
        <v>0</v>
      </c>
      <c r="AG28" s="140">
        <f>INT(((AF28*Valores!$C$2)*100)+0.5)/100</f>
        <v>0</v>
      </c>
      <c r="AH28" s="140">
        <f>IF($H$5="NO",Valores!$C$60,Valores!$C$60/2)</f>
        <v>569.14</v>
      </c>
      <c r="AI28" s="140">
        <f>IF($H$5="NO",Valores!$C$62,Valores!$C$62/2)</f>
        <v>162.61000000000001</v>
      </c>
      <c r="AJ28" s="146">
        <f t="shared" si="7"/>
        <v>127380.66900000001</v>
      </c>
      <c r="AK28" s="142">
        <f>Valores!$C$37</f>
        <v>1465.56</v>
      </c>
      <c r="AL28" s="143">
        <f>Valores!$C$87</f>
        <v>4550</v>
      </c>
      <c r="AM28" s="143"/>
      <c r="AN28" s="145">
        <f>IF($H$4="NO",0,Valores!$C$52)</f>
        <v>327.60000000000002</v>
      </c>
      <c r="AO28" s="147">
        <f t="shared" si="5"/>
        <v>6343.16</v>
      </c>
      <c r="AP28" s="148">
        <f>AJ28*Valores!$C$69</f>
        <v>-14011.873590000001</v>
      </c>
      <c r="AQ28" s="148">
        <f>AJ28*-Valores!$C$70</f>
        <v>0</v>
      </c>
      <c r="AR28" s="142">
        <f>AJ28*Valores!$C$71</f>
        <v>-5732.1301050000002</v>
      </c>
      <c r="AS28" s="142">
        <f>Valores!$C$95</f>
        <v>-193.38</v>
      </c>
      <c r="AT28" s="142">
        <f>IF($H$6=0,Valores!$C$96,(Valores!$C$96+$H$6*(Valores!$C$96)))</f>
        <v>-178</v>
      </c>
      <c r="AU28" s="146">
        <f t="shared" si="8"/>
        <v>113608.445305</v>
      </c>
      <c r="AV28" s="199">
        <f t="shared" si="0"/>
        <v>-14011.873590000001</v>
      </c>
      <c r="AW28" s="142">
        <f>AJ28*Valores!$C$72</f>
        <v>-3439.2780630000002</v>
      </c>
      <c r="AX28" s="142">
        <f>AJ28*Valores!$C$73</f>
        <v>-382.14200700000004</v>
      </c>
      <c r="AY28" s="146">
        <f t="shared" si="9"/>
        <v>115890.53534</v>
      </c>
      <c r="AZ28" s="150"/>
      <c r="BA28" s="150">
        <v>45</v>
      </c>
      <c r="BB28" s="135" t="s">
        <v>4</v>
      </c>
    </row>
    <row r="29" spans="1:54" s="114" customFormat="1" ht="11.25" customHeight="1" x14ac:dyDescent="0.15">
      <c r="A29" s="134">
        <v>26</v>
      </c>
      <c r="B29" s="134"/>
      <c r="C29" s="135" t="s">
        <v>172</v>
      </c>
      <c r="D29" s="135"/>
      <c r="E29" s="135">
        <f t="shared" si="1"/>
        <v>22</v>
      </c>
      <c r="F29" s="136" t="s">
        <v>173</v>
      </c>
      <c r="G29" s="137">
        <v>107</v>
      </c>
      <c r="H29" s="138">
        <f>INT((G29*Valores!$C$2*100)+0.5)/100</f>
        <v>1431.94</v>
      </c>
      <c r="I29" s="139">
        <v>3728</v>
      </c>
      <c r="J29" s="140">
        <f>INT((I29*Valores!$C$2*100)+0.5)/100</f>
        <v>49890.33</v>
      </c>
      <c r="K29" s="141">
        <v>1218</v>
      </c>
      <c r="L29" s="140">
        <f>INT((K29*Valores!$C$2*100)+0.5)/100</f>
        <v>16300.01</v>
      </c>
      <c r="M29" s="137">
        <v>0</v>
      </c>
      <c r="N29" s="140">
        <f>INT((M29*Valores!$C$2*100)+0.5)/100</f>
        <v>0</v>
      </c>
      <c r="O29" s="140">
        <f t="shared" si="2"/>
        <v>11598.999</v>
      </c>
      <c r="P29" s="140">
        <f t="shared" si="3"/>
        <v>0</v>
      </c>
      <c r="Q29" s="142">
        <f>Valores!$C$19</f>
        <v>25171.69</v>
      </c>
      <c r="R29" s="142">
        <f>Valores!$D$4</f>
        <v>6841.19</v>
      </c>
      <c r="S29" s="140">
        <v>0</v>
      </c>
      <c r="T29" s="143">
        <f>IF($H$5="NO",Valores!$C$45,Valores!$C$45/2)</f>
        <v>3338.57</v>
      </c>
      <c r="U29" s="140">
        <f>Valores!$C$25</f>
        <v>6365.81</v>
      </c>
      <c r="V29" s="140">
        <f t="shared" si="4"/>
        <v>6365.81</v>
      </c>
      <c r="W29" s="140">
        <v>0</v>
      </c>
      <c r="X29" s="140">
        <v>0</v>
      </c>
      <c r="Y29" s="144">
        <v>0</v>
      </c>
      <c r="Z29" s="140">
        <f>Y29*Valores!$C$2</f>
        <v>0</v>
      </c>
      <c r="AA29" s="140">
        <v>0</v>
      </c>
      <c r="AB29" s="143">
        <f>Valores!$C$92</f>
        <v>5150.78</v>
      </c>
      <c r="AC29" s="145">
        <f>Valores!$C$31</f>
        <v>279.8</v>
      </c>
      <c r="AD29" s="140">
        <f t="shared" si="6"/>
        <v>0</v>
      </c>
      <c r="AE29" s="140">
        <f>Valores!$C$32</f>
        <v>279.8</v>
      </c>
      <c r="AF29" s="144">
        <v>0</v>
      </c>
      <c r="AG29" s="140">
        <f>INT(((AF29*Valores!$C$2)*100)+0.5)/100</f>
        <v>0</v>
      </c>
      <c r="AH29" s="140">
        <f>IF($H$5="NO",Valores!$C$60,Valores!$C$60/2)</f>
        <v>569.14</v>
      </c>
      <c r="AI29" s="140">
        <f>IF($H$5="NO",Valores!$C$62,Valores!$C$62/2)</f>
        <v>162.61000000000001</v>
      </c>
      <c r="AJ29" s="146">
        <f t="shared" si="7"/>
        <v>127380.66900000001</v>
      </c>
      <c r="AK29" s="142">
        <f>Valores!$C$37</f>
        <v>1465.56</v>
      </c>
      <c r="AL29" s="143">
        <f>Valores!$C$87</f>
        <v>4550</v>
      </c>
      <c r="AM29" s="143"/>
      <c r="AN29" s="145">
        <f>IF($H$4="NO",0,Valores!$C$52)</f>
        <v>327.60000000000002</v>
      </c>
      <c r="AO29" s="147">
        <f t="shared" si="5"/>
        <v>6343.16</v>
      </c>
      <c r="AP29" s="148">
        <f>AJ29*Valores!$C$69</f>
        <v>-14011.873590000001</v>
      </c>
      <c r="AQ29" s="148">
        <f>AJ29*-Valores!$C$70</f>
        <v>0</v>
      </c>
      <c r="AR29" s="142">
        <f>AJ29*Valores!$C$71</f>
        <v>-5732.1301050000002</v>
      </c>
      <c r="AS29" s="142">
        <f>Valores!$C$95</f>
        <v>-193.38</v>
      </c>
      <c r="AT29" s="142">
        <f>IF($H$6=0,Valores!$C$96,(Valores!$C$96+$H$6*(Valores!$C$96)))</f>
        <v>-178</v>
      </c>
      <c r="AU29" s="146">
        <f t="shared" si="8"/>
        <v>113608.445305</v>
      </c>
      <c r="AV29" s="199">
        <f t="shared" si="0"/>
        <v>-14011.873590000001</v>
      </c>
      <c r="AW29" s="142">
        <f>AJ29*Valores!$C$72</f>
        <v>-3439.2780630000002</v>
      </c>
      <c r="AX29" s="142">
        <f>AJ29*Valores!$C$73</f>
        <v>-382.14200700000004</v>
      </c>
      <c r="AY29" s="146">
        <f t="shared" si="9"/>
        <v>115890.53534</v>
      </c>
      <c r="AZ29" s="150"/>
      <c r="BA29" s="150">
        <v>45</v>
      </c>
      <c r="BB29" s="135" t="s">
        <v>8</v>
      </c>
    </row>
    <row r="30" spans="1:54" s="114" customFormat="1" ht="11.25" customHeight="1" x14ac:dyDescent="0.15">
      <c r="A30" s="134">
        <v>27</v>
      </c>
      <c r="B30" s="134"/>
      <c r="C30" s="135" t="s">
        <v>174</v>
      </c>
      <c r="D30" s="135"/>
      <c r="E30" s="135">
        <f t="shared" si="1"/>
        <v>29</v>
      </c>
      <c r="F30" s="136" t="s">
        <v>175</v>
      </c>
      <c r="G30" s="137">
        <v>94</v>
      </c>
      <c r="H30" s="138">
        <f>INT((G30*Valores!$C$2*100)+0.5)/100</f>
        <v>1257.96</v>
      </c>
      <c r="I30" s="139">
        <v>3624</v>
      </c>
      <c r="J30" s="140">
        <f>INT((I30*Valores!$C$2*100)+0.5)/100</f>
        <v>48498.54</v>
      </c>
      <c r="K30" s="141">
        <v>1219</v>
      </c>
      <c r="L30" s="140">
        <f>INT((K30*Valores!$C$2*100)+0.5)/100</f>
        <v>16313.39</v>
      </c>
      <c r="M30" s="137">
        <v>0</v>
      </c>
      <c r="N30" s="140">
        <f>INT((M30*Valores!$C$2*100)+0.5)/100</f>
        <v>0</v>
      </c>
      <c r="O30" s="140">
        <f t="shared" si="2"/>
        <v>11366.1405</v>
      </c>
      <c r="P30" s="140">
        <f t="shared" si="3"/>
        <v>0</v>
      </c>
      <c r="Q30" s="142">
        <f>Valores!$C$19</f>
        <v>25171.69</v>
      </c>
      <c r="R30" s="142">
        <f>Valores!$D$4</f>
        <v>6841.19</v>
      </c>
      <c r="S30" s="140">
        <v>0</v>
      </c>
      <c r="T30" s="143">
        <f>IF($H$5="NO",Valores!$C$45,Valores!$C$45/2)</f>
        <v>3338.57</v>
      </c>
      <c r="U30" s="140">
        <f>Valores!$C$25</f>
        <v>6365.81</v>
      </c>
      <c r="V30" s="140">
        <f t="shared" si="4"/>
        <v>6365.81</v>
      </c>
      <c r="W30" s="140">
        <v>0</v>
      </c>
      <c r="X30" s="140">
        <v>0</v>
      </c>
      <c r="Y30" s="144">
        <v>0</v>
      </c>
      <c r="Z30" s="140">
        <f>Y30*Valores!$C$2</f>
        <v>0</v>
      </c>
      <c r="AA30" s="140">
        <v>0</v>
      </c>
      <c r="AB30" s="143">
        <f>Valores!$C$92</f>
        <v>5150.78</v>
      </c>
      <c r="AC30" s="145">
        <f>Valores!$C$31</f>
        <v>279.8</v>
      </c>
      <c r="AD30" s="140">
        <f t="shared" si="6"/>
        <v>0</v>
      </c>
      <c r="AE30" s="140">
        <f>Valores!$C$32</f>
        <v>279.8</v>
      </c>
      <c r="AF30" s="144">
        <v>0</v>
      </c>
      <c r="AG30" s="140">
        <f>INT(((AF30*Valores!$C$2)*100)+0.5)/100</f>
        <v>0</v>
      </c>
      <c r="AH30" s="140">
        <f>IF($H$5="NO",Valores!$C$60,Valores!$C$60/2)</f>
        <v>569.14</v>
      </c>
      <c r="AI30" s="140">
        <f>IF($H$5="NO",Valores!$C$62,Valores!$C$62/2)</f>
        <v>162.61000000000001</v>
      </c>
      <c r="AJ30" s="146">
        <f t="shared" si="7"/>
        <v>125595.42050000001</v>
      </c>
      <c r="AK30" s="142">
        <f>Valores!$C$37</f>
        <v>1465.56</v>
      </c>
      <c r="AL30" s="143">
        <f>Valores!$C$87</f>
        <v>4550</v>
      </c>
      <c r="AM30" s="143"/>
      <c r="AN30" s="145">
        <f>IF($H$4="NO",0,Valores!$C$52)</f>
        <v>327.60000000000002</v>
      </c>
      <c r="AO30" s="147">
        <f t="shared" si="5"/>
        <v>6343.16</v>
      </c>
      <c r="AP30" s="148">
        <f>AJ30*Valores!$C$69</f>
        <v>-13815.496255</v>
      </c>
      <c r="AQ30" s="148">
        <f>AJ30*-Valores!$C$70</f>
        <v>0</v>
      </c>
      <c r="AR30" s="142">
        <f>AJ30*Valores!$C$71</f>
        <v>-5651.7939225</v>
      </c>
      <c r="AS30" s="142">
        <f>Valores!$C$95</f>
        <v>-193.38</v>
      </c>
      <c r="AT30" s="142">
        <f>IF($H$6=0,Valores!$C$96,(Valores!$C$96+$H$6*(Valores!$C$96)))</f>
        <v>-178</v>
      </c>
      <c r="AU30" s="146">
        <f t="shared" si="8"/>
        <v>112099.91032250001</v>
      </c>
      <c r="AV30" s="199">
        <f t="shared" si="0"/>
        <v>-13815.496255</v>
      </c>
      <c r="AW30" s="142">
        <f>AJ30*Valores!$C$72</f>
        <v>-3391.0763535000001</v>
      </c>
      <c r="AX30" s="142">
        <f>AJ30*Valores!$C$73</f>
        <v>-376.78626150000002</v>
      </c>
      <c r="AY30" s="146">
        <f t="shared" si="9"/>
        <v>114355.22163000001</v>
      </c>
      <c r="AZ30" s="150"/>
      <c r="BA30" s="150">
        <v>45</v>
      </c>
      <c r="BB30" s="135" t="s">
        <v>4</v>
      </c>
    </row>
    <row r="31" spans="1:54" s="114" customFormat="1" ht="11.25" customHeight="1" x14ac:dyDescent="0.15">
      <c r="A31" s="134">
        <v>28</v>
      </c>
      <c r="B31" s="134"/>
      <c r="C31" s="135" t="s">
        <v>176</v>
      </c>
      <c r="D31" s="135"/>
      <c r="E31" s="135">
        <f t="shared" si="1"/>
        <v>25</v>
      </c>
      <c r="F31" s="136" t="s">
        <v>177</v>
      </c>
      <c r="G31" s="137">
        <v>93</v>
      </c>
      <c r="H31" s="138">
        <f>INT((G31*Valores!$C$2*100)+0.5)/100</f>
        <v>1244.58</v>
      </c>
      <c r="I31" s="139">
        <v>3627</v>
      </c>
      <c r="J31" s="140">
        <f>INT((I31*Valores!$C$2*100)+0.5)/100</f>
        <v>48538.69</v>
      </c>
      <c r="K31" s="141">
        <v>210</v>
      </c>
      <c r="L31" s="140">
        <f>INT((K31*Valores!$C$2*100)+0.5)/100</f>
        <v>2810.35</v>
      </c>
      <c r="M31" s="137">
        <v>0</v>
      </c>
      <c r="N31" s="140">
        <f>INT((M31*Valores!$C$2*100)+0.5)/100</f>
        <v>0</v>
      </c>
      <c r="O31" s="140">
        <f t="shared" si="2"/>
        <v>9344.6999999999989</v>
      </c>
      <c r="P31" s="140">
        <f t="shared" si="3"/>
        <v>0</v>
      </c>
      <c r="Q31" s="142">
        <f>Valores!$C$19</f>
        <v>25171.69</v>
      </c>
      <c r="R31" s="142">
        <f>Valores!$D$4</f>
        <v>6841.19</v>
      </c>
      <c r="S31" s="140">
        <v>0</v>
      </c>
      <c r="T31" s="143">
        <f>IF($H$5="NO",Valores!$C$45,Valores!$C$45/2)</f>
        <v>3338.57</v>
      </c>
      <c r="U31" s="140">
        <f>Valores!$C$25</f>
        <v>6365.81</v>
      </c>
      <c r="V31" s="140">
        <f t="shared" si="4"/>
        <v>6365.81</v>
      </c>
      <c r="W31" s="140">
        <v>0</v>
      </c>
      <c r="X31" s="140">
        <v>0</v>
      </c>
      <c r="Y31" s="144">
        <v>0</v>
      </c>
      <c r="Z31" s="140">
        <f>Y31*Valores!$C$2</f>
        <v>0</v>
      </c>
      <c r="AA31" s="140">
        <v>0</v>
      </c>
      <c r="AB31" s="143">
        <f>Valores!$C$92</f>
        <v>5150.78</v>
      </c>
      <c r="AC31" s="145">
        <f>Valores!$C$31</f>
        <v>279.8</v>
      </c>
      <c r="AD31" s="140">
        <f t="shared" si="6"/>
        <v>0</v>
      </c>
      <c r="AE31" s="140">
        <f>Valores!$C$32</f>
        <v>279.8</v>
      </c>
      <c r="AF31" s="144">
        <v>0</v>
      </c>
      <c r="AG31" s="140">
        <f>INT(((AF31*Valores!$C$2)*100)+0.5)/100</f>
        <v>0</v>
      </c>
      <c r="AH31" s="140">
        <f>IF($H$5="NO",Valores!$C$60,Valores!$C$60/2)</f>
        <v>569.14</v>
      </c>
      <c r="AI31" s="140">
        <f>IF($H$5="NO",Valores!$C$62,Valores!$C$62/2)</f>
        <v>162.61000000000001</v>
      </c>
      <c r="AJ31" s="146">
        <f t="shared" si="7"/>
        <v>110097.71</v>
      </c>
      <c r="AK31" s="142">
        <f>Valores!$C$37</f>
        <v>1465.56</v>
      </c>
      <c r="AL31" s="143">
        <f>Valores!$C$87</f>
        <v>4550</v>
      </c>
      <c r="AM31" s="143"/>
      <c r="AN31" s="145">
        <f>IF($H$4="NO",0,Valores!$C$52)</f>
        <v>327.60000000000002</v>
      </c>
      <c r="AO31" s="147">
        <f t="shared" si="5"/>
        <v>6343.16</v>
      </c>
      <c r="AP31" s="148">
        <f>AJ31*Valores!$C$69</f>
        <v>-12110.748100000001</v>
      </c>
      <c r="AQ31" s="148">
        <f>AJ31*-Valores!$C$70</f>
        <v>0</v>
      </c>
      <c r="AR31" s="142">
        <f>AJ31*Valores!$C$71</f>
        <v>-4954.3969500000003</v>
      </c>
      <c r="AS31" s="142">
        <f>Valores!$C$95</f>
        <v>-193.38</v>
      </c>
      <c r="AT31" s="142">
        <f>IF($H$6=0,Valores!$C$96,(Valores!$C$96+$H$6*(Valores!$C$96)))</f>
        <v>-178</v>
      </c>
      <c r="AU31" s="146">
        <f t="shared" si="8"/>
        <v>99004.344949999999</v>
      </c>
      <c r="AV31" s="199">
        <f t="shared" si="0"/>
        <v>-12110.748100000001</v>
      </c>
      <c r="AW31" s="142">
        <f>AJ31*Valores!$C$72</f>
        <v>-2972.6381700000002</v>
      </c>
      <c r="AX31" s="142">
        <f>AJ31*Valores!$C$73</f>
        <v>-330.29313000000002</v>
      </c>
      <c r="AY31" s="146">
        <f t="shared" si="9"/>
        <v>101027.1906</v>
      </c>
      <c r="AZ31" s="150"/>
      <c r="BA31" s="150">
        <v>45</v>
      </c>
      <c r="BB31" s="135" t="s">
        <v>8</v>
      </c>
    </row>
    <row r="32" spans="1:54" s="114" customFormat="1" ht="11.25" customHeight="1" x14ac:dyDescent="0.15">
      <c r="A32" s="134">
        <v>29</v>
      </c>
      <c r="B32" s="134"/>
      <c r="C32" s="135" t="s">
        <v>178</v>
      </c>
      <c r="D32" s="135"/>
      <c r="E32" s="135">
        <f t="shared" si="1"/>
        <v>32</v>
      </c>
      <c r="F32" s="136" t="s">
        <v>179</v>
      </c>
      <c r="G32" s="137">
        <v>93</v>
      </c>
      <c r="H32" s="138">
        <f>INT((G32*Valores!$C$2*100)+0.5)/100</f>
        <v>1244.58</v>
      </c>
      <c r="I32" s="139">
        <v>3630</v>
      </c>
      <c r="J32" s="140">
        <f>INT((I32*Valores!$C$2*100)+0.5)/100</f>
        <v>48578.84</v>
      </c>
      <c r="K32" s="141">
        <v>1214</v>
      </c>
      <c r="L32" s="140">
        <f>INT((K32*Valores!$C$2*100)+0.5)/100</f>
        <v>16246.48</v>
      </c>
      <c r="M32" s="137">
        <v>0</v>
      </c>
      <c r="N32" s="140">
        <f>INT((M32*Valores!$C$2*100)+0.5)/100</f>
        <v>0</v>
      </c>
      <c r="O32" s="140">
        <f t="shared" si="2"/>
        <v>11366.142</v>
      </c>
      <c r="P32" s="140">
        <f t="shared" si="3"/>
        <v>0</v>
      </c>
      <c r="Q32" s="142">
        <f>Valores!$C$19</f>
        <v>25171.69</v>
      </c>
      <c r="R32" s="142">
        <f>Valores!$D$4</f>
        <v>6841.19</v>
      </c>
      <c r="S32" s="140">
        <v>0</v>
      </c>
      <c r="T32" s="143">
        <f>IF($H$5="NO",Valores!$C$45,Valores!$C$45/2)</f>
        <v>3338.57</v>
      </c>
      <c r="U32" s="140">
        <f>Valores!$C$25</f>
        <v>6365.81</v>
      </c>
      <c r="V32" s="140">
        <f t="shared" si="4"/>
        <v>6365.81</v>
      </c>
      <c r="W32" s="140">
        <v>0</v>
      </c>
      <c r="X32" s="140">
        <v>0</v>
      </c>
      <c r="Y32" s="144">
        <v>0</v>
      </c>
      <c r="Z32" s="140">
        <f>Y32*Valores!$C$2</f>
        <v>0</v>
      </c>
      <c r="AA32" s="140">
        <v>0</v>
      </c>
      <c r="AB32" s="143">
        <f>Valores!$C$92</f>
        <v>5150.78</v>
      </c>
      <c r="AC32" s="145">
        <f>Valores!$C$31</f>
        <v>279.8</v>
      </c>
      <c r="AD32" s="140">
        <f t="shared" si="6"/>
        <v>0</v>
      </c>
      <c r="AE32" s="140">
        <f>Valores!$C$32</f>
        <v>279.8</v>
      </c>
      <c r="AF32" s="144">
        <v>0</v>
      </c>
      <c r="AG32" s="140">
        <f>INT(((AF32*Valores!$C$2)*100)+0.5)/100</f>
        <v>0</v>
      </c>
      <c r="AH32" s="140">
        <f>IF($H$5="NO",Valores!$C$60,Valores!$C$60/2)</f>
        <v>569.14</v>
      </c>
      <c r="AI32" s="140">
        <f>IF($H$5="NO",Valores!$C$62,Valores!$C$62/2)</f>
        <v>162.61000000000001</v>
      </c>
      <c r="AJ32" s="146">
        <f t="shared" si="7"/>
        <v>125595.432</v>
      </c>
      <c r="AK32" s="142">
        <f>Valores!$C$37</f>
        <v>1465.56</v>
      </c>
      <c r="AL32" s="143">
        <f>Valores!$C$87</f>
        <v>4550</v>
      </c>
      <c r="AM32" s="143"/>
      <c r="AN32" s="145">
        <f>IF($H$4="NO",0,Valores!$C$52)</f>
        <v>327.60000000000002</v>
      </c>
      <c r="AO32" s="147">
        <f t="shared" si="5"/>
        <v>6343.16</v>
      </c>
      <c r="AP32" s="148">
        <f>AJ32*Valores!$C$69</f>
        <v>-13815.497520000001</v>
      </c>
      <c r="AQ32" s="148">
        <f>AJ32*-Valores!$C$70</f>
        <v>0</v>
      </c>
      <c r="AR32" s="142">
        <f>AJ32*Valores!$C$71</f>
        <v>-5651.7944399999997</v>
      </c>
      <c r="AS32" s="142">
        <f>Valores!$C$95</f>
        <v>-193.38</v>
      </c>
      <c r="AT32" s="142">
        <f>IF($H$6=0,Valores!$C$96,(Valores!$C$96+$H$6*(Valores!$C$96)))</f>
        <v>-178</v>
      </c>
      <c r="AU32" s="146">
        <f t="shared" si="8"/>
        <v>112099.92004</v>
      </c>
      <c r="AV32" s="199">
        <f t="shared" si="0"/>
        <v>-13815.497520000001</v>
      </c>
      <c r="AW32" s="142">
        <f>AJ32*Valores!$C$72</f>
        <v>-3391.0766640000002</v>
      </c>
      <c r="AX32" s="142">
        <f>AJ32*Valores!$C$73</f>
        <v>-376.78629599999999</v>
      </c>
      <c r="AY32" s="146">
        <f t="shared" si="9"/>
        <v>114355.23152</v>
      </c>
      <c r="AZ32" s="150"/>
      <c r="BA32" s="150">
        <v>45</v>
      </c>
      <c r="BB32" s="135" t="s">
        <v>4</v>
      </c>
    </row>
    <row r="33" spans="1:54" s="114" customFormat="1" ht="11.25" customHeight="1" x14ac:dyDescent="0.15">
      <c r="A33" s="152">
        <v>30</v>
      </c>
      <c r="B33" s="152" t="s">
        <v>139</v>
      </c>
      <c r="C33" s="135" t="s">
        <v>180</v>
      </c>
      <c r="D33" s="135"/>
      <c r="E33" s="135">
        <f t="shared" si="1"/>
        <v>35</v>
      </c>
      <c r="F33" s="136" t="s">
        <v>181</v>
      </c>
      <c r="G33" s="137">
        <v>96</v>
      </c>
      <c r="H33" s="138">
        <f>INT((G33*Valores!$C$2*100)+0.5)/100</f>
        <v>1284.73</v>
      </c>
      <c r="I33" s="139">
        <v>3737</v>
      </c>
      <c r="J33" s="140">
        <f>INT((I33*Valores!$C$2*100)+0.5)/100</f>
        <v>50010.78</v>
      </c>
      <c r="K33" s="141">
        <v>1220</v>
      </c>
      <c r="L33" s="140">
        <f>INT((K33*Valores!$C$2*100)+0.5)/100</f>
        <v>16326.77</v>
      </c>
      <c r="M33" s="137">
        <v>0</v>
      </c>
      <c r="N33" s="140">
        <f>INT((M33*Valores!$C$2*100)+0.5)/100</f>
        <v>0</v>
      </c>
      <c r="O33" s="140">
        <f t="shared" si="2"/>
        <v>11598.999</v>
      </c>
      <c r="P33" s="140">
        <f t="shared" si="3"/>
        <v>0</v>
      </c>
      <c r="Q33" s="142">
        <f>Valores!$C$19</f>
        <v>25171.69</v>
      </c>
      <c r="R33" s="142">
        <f>Valores!$D$4</f>
        <v>6841.19</v>
      </c>
      <c r="S33" s="140">
        <v>0</v>
      </c>
      <c r="T33" s="143">
        <f>IF($H$5="NO",Valores!$C$45,Valores!$C$45/2)</f>
        <v>3338.57</v>
      </c>
      <c r="U33" s="140">
        <f>Valores!$C$25</f>
        <v>6365.81</v>
      </c>
      <c r="V33" s="140">
        <f t="shared" si="4"/>
        <v>6365.81</v>
      </c>
      <c r="W33" s="140">
        <v>0</v>
      </c>
      <c r="X33" s="140">
        <v>0</v>
      </c>
      <c r="Y33" s="144">
        <v>0</v>
      </c>
      <c r="Z33" s="140">
        <f>Y33*Valores!$C$2</f>
        <v>0</v>
      </c>
      <c r="AA33" s="140">
        <f>SUM(L33,J33,H33,T33)*Valores!$C$3</f>
        <v>10644.127500000001</v>
      </c>
      <c r="AB33" s="143">
        <f>Valores!$C$92</f>
        <v>5150.78</v>
      </c>
      <c r="AC33" s="145">
        <f>Valores!$C$31</f>
        <v>279.8</v>
      </c>
      <c r="AD33" s="140">
        <f t="shared" si="6"/>
        <v>0</v>
      </c>
      <c r="AE33" s="140">
        <f>Valores!$C$32</f>
        <v>279.8</v>
      </c>
      <c r="AF33" s="144">
        <v>0</v>
      </c>
      <c r="AG33" s="140">
        <f>INT(((AF33*Valores!$C$2)*100)+0.5)/100</f>
        <v>0</v>
      </c>
      <c r="AH33" s="140">
        <f>IF($H$5="NO",Valores!$C$60,Valores!$C$60/2)</f>
        <v>569.14</v>
      </c>
      <c r="AI33" s="140">
        <f>IF($H$5="NO",Valores!$C$62,Valores!$C$62/2)</f>
        <v>162.61000000000001</v>
      </c>
      <c r="AJ33" s="146">
        <f t="shared" si="7"/>
        <v>138024.7965</v>
      </c>
      <c r="AK33" s="142">
        <f>Valores!$C$37</f>
        <v>1465.56</v>
      </c>
      <c r="AL33" s="143">
        <f>Valores!$C$87</f>
        <v>4550</v>
      </c>
      <c r="AM33" s="143"/>
      <c r="AN33" s="145">
        <f>IF($H$4="NO",0,Valores!$C$52)</f>
        <v>327.60000000000002</v>
      </c>
      <c r="AO33" s="147">
        <f t="shared" si="5"/>
        <v>6343.16</v>
      </c>
      <c r="AP33" s="148">
        <f>AJ33*Valores!$C$69</f>
        <v>-15182.727615</v>
      </c>
      <c r="AQ33" s="148">
        <f>AJ33*-Valores!$C$70</f>
        <v>0</v>
      </c>
      <c r="AR33" s="142">
        <f>AJ33*Valores!$C$71</f>
        <v>-6211.1158424999994</v>
      </c>
      <c r="AS33" s="142">
        <f>Valores!$C$95</f>
        <v>-193.38</v>
      </c>
      <c r="AT33" s="142">
        <f>IF($H$6=0,Valores!$C$96,(Valores!$C$96+$H$6*(Valores!$C$96)))</f>
        <v>-178</v>
      </c>
      <c r="AU33" s="146">
        <f t="shared" si="8"/>
        <v>122602.7330425</v>
      </c>
      <c r="AV33" s="199">
        <f t="shared" si="0"/>
        <v>-15182.727615</v>
      </c>
      <c r="AW33" s="142">
        <f>AJ33*Valores!$C$72</f>
        <v>-3726.6695055</v>
      </c>
      <c r="AX33" s="142">
        <f>AJ33*Valores!$C$73</f>
        <v>-414.0743895</v>
      </c>
      <c r="AY33" s="146">
        <f t="shared" si="9"/>
        <v>125044.48499</v>
      </c>
      <c r="AZ33" s="150"/>
      <c r="BA33" s="150">
        <v>45</v>
      </c>
      <c r="BB33" s="135" t="s">
        <v>8</v>
      </c>
    </row>
    <row r="34" spans="1:54" s="114" customFormat="1" ht="11.25" customHeight="1" x14ac:dyDescent="0.15">
      <c r="A34" s="134">
        <v>31</v>
      </c>
      <c r="B34" s="134"/>
      <c r="C34" s="135" t="s">
        <v>182</v>
      </c>
      <c r="D34" s="135"/>
      <c r="E34" s="135">
        <f t="shared" si="1"/>
        <v>20</v>
      </c>
      <c r="F34" s="136" t="s">
        <v>183</v>
      </c>
      <c r="G34" s="137">
        <v>92</v>
      </c>
      <c r="H34" s="138">
        <f>INT((G34*Valores!$C$2*100)+0.5)/100</f>
        <v>1231.2</v>
      </c>
      <c r="I34" s="139">
        <v>3483</v>
      </c>
      <c r="J34" s="140">
        <f>INT((I34*Valores!$C$2*100)+0.5)/100</f>
        <v>46611.6</v>
      </c>
      <c r="K34" s="141">
        <v>1217</v>
      </c>
      <c r="L34" s="140">
        <f>INT((K34*Valores!$C$2*100)+0.5)/100</f>
        <v>16286.62</v>
      </c>
      <c r="M34" s="137">
        <v>0</v>
      </c>
      <c r="N34" s="140">
        <f>INT((M34*Valores!$C$2*100)+0.5)/100</f>
        <v>0</v>
      </c>
      <c r="O34" s="140">
        <f t="shared" si="2"/>
        <v>11075.07</v>
      </c>
      <c r="P34" s="140">
        <f t="shared" si="3"/>
        <v>0</v>
      </c>
      <c r="Q34" s="142">
        <f>Valores!$C$19</f>
        <v>25171.69</v>
      </c>
      <c r="R34" s="142">
        <f>Valores!$D$4</f>
        <v>6841.19</v>
      </c>
      <c r="S34" s="140">
        <v>0</v>
      </c>
      <c r="T34" s="143">
        <f>IF($H$5="NO",Valores!$C$45,Valores!$C$45/2)</f>
        <v>3338.57</v>
      </c>
      <c r="U34" s="140">
        <f>Valores!$C$25</f>
        <v>6365.81</v>
      </c>
      <c r="V34" s="140">
        <f t="shared" si="4"/>
        <v>6365.81</v>
      </c>
      <c r="W34" s="140">
        <v>0</v>
      </c>
      <c r="X34" s="140">
        <v>0</v>
      </c>
      <c r="Y34" s="144">
        <v>0</v>
      </c>
      <c r="Z34" s="140">
        <f>Y34*Valores!$C$2</f>
        <v>0</v>
      </c>
      <c r="AA34" s="140">
        <v>0</v>
      </c>
      <c r="AB34" s="143">
        <f>Valores!$C$92</f>
        <v>5150.78</v>
      </c>
      <c r="AC34" s="145">
        <f>Valores!$C$31</f>
        <v>279.8</v>
      </c>
      <c r="AD34" s="140">
        <f t="shared" si="6"/>
        <v>0</v>
      </c>
      <c r="AE34" s="140">
        <f>Valores!$C$32</f>
        <v>279.8</v>
      </c>
      <c r="AF34" s="144">
        <v>0</v>
      </c>
      <c r="AG34" s="140">
        <f>INT(((AF34*Valores!$C$2)*100)+0.5)/100</f>
        <v>0</v>
      </c>
      <c r="AH34" s="140">
        <f>IF($H$5="NO",Valores!$C$60,Valores!$C$60/2)</f>
        <v>569.14</v>
      </c>
      <c r="AI34" s="140">
        <f>IF($H$5="NO",Valores!$C$62,Valores!$C$62/2)</f>
        <v>162.61000000000001</v>
      </c>
      <c r="AJ34" s="146">
        <f t="shared" si="7"/>
        <v>123363.88</v>
      </c>
      <c r="AK34" s="142">
        <f>Valores!$C$37</f>
        <v>1465.56</v>
      </c>
      <c r="AL34" s="143">
        <f>Valores!$C$87</f>
        <v>4550</v>
      </c>
      <c r="AM34" s="143"/>
      <c r="AN34" s="145">
        <f>IF($H$4="NO",0,Valores!$C$52)</f>
        <v>327.60000000000002</v>
      </c>
      <c r="AO34" s="147">
        <f t="shared" si="5"/>
        <v>6343.16</v>
      </c>
      <c r="AP34" s="148">
        <f>AJ34*Valores!$C$69</f>
        <v>-13570.026800000001</v>
      </c>
      <c r="AQ34" s="148">
        <f>AJ34*-Valores!$C$70</f>
        <v>0</v>
      </c>
      <c r="AR34" s="142">
        <f>AJ34*Valores!$C$71</f>
        <v>-5551.3746000000001</v>
      </c>
      <c r="AS34" s="142">
        <f>Valores!$C$95</f>
        <v>-193.38</v>
      </c>
      <c r="AT34" s="142">
        <f>IF($H$6=0,Valores!$C$96,(Valores!$C$96+$H$6*(Valores!$C$96)))</f>
        <v>-178</v>
      </c>
      <c r="AU34" s="146">
        <f t="shared" si="8"/>
        <v>110214.2586</v>
      </c>
      <c r="AV34" s="199">
        <f t="shared" si="0"/>
        <v>-13570.026800000001</v>
      </c>
      <c r="AW34" s="142">
        <f>AJ34*Valores!$C$72</f>
        <v>-3330.82476</v>
      </c>
      <c r="AX34" s="142">
        <f>AJ34*Valores!$C$73</f>
        <v>-370.09164000000004</v>
      </c>
      <c r="AY34" s="146">
        <f t="shared" si="9"/>
        <v>112436.0968</v>
      </c>
      <c r="AZ34" s="150"/>
      <c r="BA34" s="150">
        <v>45</v>
      </c>
      <c r="BB34" s="135" t="s">
        <v>4</v>
      </c>
    </row>
    <row r="35" spans="1:54" s="114" customFormat="1" ht="11.25" customHeight="1" x14ac:dyDescent="0.15">
      <c r="A35" s="134">
        <v>32</v>
      </c>
      <c r="B35" s="134"/>
      <c r="C35" s="135" t="s">
        <v>184</v>
      </c>
      <c r="D35" s="135"/>
      <c r="E35" s="135">
        <f t="shared" si="1"/>
        <v>30</v>
      </c>
      <c r="F35" s="136" t="s">
        <v>185</v>
      </c>
      <c r="G35" s="137">
        <v>85</v>
      </c>
      <c r="H35" s="138">
        <f>INT((G35*Valores!$C$2*100)+0.5)/100</f>
        <v>1137.52</v>
      </c>
      <c r="I35" s="139">
        <v>3498</v>
      </c>
      <c r="J35" s="140">
        <f>INT((I35*Valores!$C$2*100)+0.5)/100</f>
        <v>46812.33</v>
      </c>
      <c r="K35" s="141">
        <v>1209</v>
      </c>
      <c r="L35" s="140">
        <f>INT((K35*Valores!$C$2*100)+0.5)/100</f>
        <v>16179.56</v>
      </c>
      <c r="M35" s="137">
        <v>0</v>
      </c>
      <c r="N35" s="140">
        <f>INT((M35*Valores!$C$2*100)+0.5)/100</f>
        <v>0</v>
      </c>
      <c r="O35" s="140">
        <f t="shared" si="2"/>
        <v>11075.068500000001</v>
      </c>
      <c r="P35" s="140">
        <f t="shared" si="3"/>
        <v>0</v>
      </c>
      <c r="Q35" s="142">
        <f>Valores!$C$19</f>
        <v>25171.69</v>
      </c>
      <c r="R35" s="142">
        <f>Valores!$D$4</f>
        <v>6841.19</v>
      </c>
      <c r="S35" s="140">
        <v>0</v>
      </c>
      <c r="T35" s="143">
        <f>IF($H$5="NO",Valores!$C$45,Valores!$C$45/2)</f>
        <v>3338.57</v>
      </c>
      <c r="U35" s="140">
        <f>Valores!$C$25</f>
        <v>6365.81</v>
      </c>
      <c r="V35" s="140">
        <f t="shared" si="4"/>
        <v>6365.81</v>
      </c>
      <c r="W35" s="140">
        <v>0</v>
      </c>
      <c r="X35" s="140">
        <v>0</v>
      </c>
      <c r="Y35" s="144">
        <v>0</v>
      </c>
      <c r="Z35" s="140">
        <f>Y35*Valores!$C$2</f>
        <v>0</v>
      </c>
      <c r="AA35" s="140">
        <v>0</v>
      </c>
      <c r="AB35" s="143">
        <f>Valores!$C$92</f>
        <v>5150.78</v>
      </c>
      <c r="AC35" s="145">
        <f>Valores!$C$31</f>
        <v>279.8</v>
      </c>
      <c r="AD35" s="140">
        <f t="shared" si="6"/>
        <v>0</v>
      </c>
      <c r="AE35" s="140">
        <f>Valores!$C$32</f>
        <v>279.8</v>
      </c>
      <c r="AF35" s="144">
        <v>0</v>
      </c>
      <c r="AG35" s="140">
        <f>INT(((AF35*Valores!$C$2)*100)+0.5)/100</f>
        <v>0</v>
      </c>
      <c r="AH35" s="140">
        <f>IF($H$5="NO",Valores!$C$60,Valores!$C$60/2)</f>
        <v>569.14</v>
      </c>
      <c r="AI35" s="140">
        <f>IF($H$5="NO",Valores!$C$62,Valores!$C$62/2)</f>
        <v>162.61000000000001</v>
      </c>
      <c r="AJ35" s="146">
        <f t="shared" si="7"/>
        <v>123363.86850000001</v>
      </c>
      <c r="AK35" s="142">
        <f>Valores!$C$37</f>
        <v>1465.56</v>
      </c>
      <c r="AL35" s="143">
        <f>Valores!$C$87</f>
        <v>4550</v>
      </c>
      <c r="AM35" s="143"/>
      <c r="AN35" s="145">
        <f>IF($H$4="NO",0,Valores!$C$52)</f>
        <v>327.60000000000002</v>
      </c>
      <c r="AO35" s="147">
        <f t="shared" si="5"/>
        <v>6343.16</v>
      </c>
      <c r="AP35" s="148">
        <f>AJ35*Valores!$C$69</f>
        <v>-13570.025535000001</v>
      </c>
      <c r="AQ35" s="148">
        <f>AJ35*-Valores!$C$70</f>
        <v>0</v>
      </c>
      <c r="AR35" s="142">
        <f>AJ35*Valores!$C$71</f>
        <v>-5551.3740825000004</v>
      </c>
      <c r="AS35" s="142">
        <f>Valores!$C$95</f>
        <v>-193.38</v>
      </c>
      <c r="AT35" s="142">
        <f>IF($H$6=0,Valores!$C$96,(Valores!$C$96+$H$6*(Valores!$C$96)))</f>
        <v>-178</v>
      </c>
      <c r="AU35" s="146">
        <f t="shared" si="8"/>
        <v>110214.24888250002</v>
      </c>
      <c r="AV35" s="199">
        <f t="shared" si="0"/>
        <v>-13570.025535000001</v>
      </c>
      <c r="AW35" s="142">
        <f>AJ35*Valores!$C$72</f>
        <v>-3330.8244495000004</v>
      </c>
      <c r="AX35" s="142">
        <f>AJ35*Valores!$C$73</f>
        <v>-370.09160550000001</v>
      </c>
      <c r="AY35" s="146">
        <f t="shared" si="9"/>
        <v>112436.08691000001</v>
      </c>
      <c r="AZ35" s="150"/>
      <c r="BA35" s="150">
        <v>45</v>
      </c>
      <c r="BB35" s="135" t="s">
        <v>4</v>
      </c>
    </row>
    <row r="36" spans="1:54" s="114" customFormat="1" ht="11.25" customHeight="1" x14ac:dyDescent="0.15">
      <c r="A36" s="134">
        <v>33</v>
      </c>
      <c r="B36" s="134"/>
      <c r="C36" s="135" t="s">
        <v>186</v>
      </c>
      <c r="D36" s="135"/>
      <c r="E36" s="135">
        <f t="shared" si="1"/>
        <v>16</v>
      </c>
      <c r="F36" s="136" t="s">
        <v>187</v>
      </c>
      <c r="G36" s="137">
        <v>92</v>
      </c>
      <c r="H36" s="138">
        <f>INT((G36*Valores!$C$2*100)+0.5)/100</f>
        <v>1231.2</v>
      </c>
      <c r="I36" s="139">
        <v>3483</v>
      </c>
      <c r="J36" s="140">
        <f>INT((I36*Valores!$C$2*100)+0.5)/100</f>
        <v>46611.6</v>
      </c>
      <c r="K36" s="141">
        <v>1217</v>
      </c>
      <c r="L36" s="140">
        <f>INT((K36*Valores!$C$2*100)+0.5)/100</f>
        <v>16286.62</v>
      </c>
      <c r="M36" s="137">
        <v>0</v>
      </c>
      <c r="N36" s="140">
        <f>INT((M36*Valores!$C$2*100)+0.5)/100</f>
        <v>0</v>
      </c>
      <c r="O36" s="140">
        <f t="shared" si="2"/>
        <v>11075.07</v>
      </c>
      <c r="P36" s="140">
        <f t="shared" si="3"/>
        <v>0</v>
      </c>
      <c r="Q36" s="142">
        <f>Valores!$C$19</f>
        <v>25171.69</v>
      </c>
      <c r="R36" s="142">
        <f>Valores!$D$4</f>
        <v>6841.19</v>
      </c>
      <c r="S36" s="140">
        <v>0</v>
      </c>
      <c r="T36" s="143">
        <f>IF($H$5="NO",Valores!$C$45,Valores!$C$45/2)</f>
        <v>3338.57</v>
      </c>
      <c r="U36" s="140">
        <f>Valores!$C$25</f>
        <v>6365.81</v>
      </c>
      <c r="V36" s="140">
        <f t="shared" si="4"/>
        <v>6365.81</v>
      </c>
      <c r="W36" s="140">
        <v>0</v>
      </c>
      <c r="X36" s="140">
        <v>0</v>
      </c>
      <c r="Y36" s="144">
        <v>0</v>
      </c>
      <c r="Z36" s="140">
        <f>Y36*Valores!$C$2</f>
        <v>0</v>
      </c>
      <c r="AA36" s="140">
        <v>0</v>
      </c>
      <c r="AB36" s="143">
        <f>Valores!$C$92</f>
        <v>5150.78</v>
      </c>
      <c r="AC36" s="145">
        <f>Valores!$C$31</f>
        <v>279.8</v>
      </c>
      <c r="AD36" s="140">
        <f t="shared" si="6"/>
        <v>0</v>
      </c>
      <c r="AE36" s="140">
        <f>Valores!$C$32</f>
        <v>279.8</v>
      </c>
      <c r="AF36" s="144">
        <v>0</v>
      </c>
      <c r="AG36" s="140">
        <f>INT(((AF36*Valores!$C$2)*100)+0.5)/100</f>
        <v>0</v>
      </c>
      <c r="AH36" s="140">
        <f>IF($H$5="NO",Valores!$C$60,Valores!$C$60/2)</f>
        <v>569.14</v>
      </c>
      <c r="AI36" s="140">
        <f>IF($H$5="NO",Valores!$C$62,Valores!$C$62/2)</f>
        <v>162.61000000000001</v>
      </c>
      <c r="AJ36" s="146">
        <f t="shared" si="7"/>
        <v>123363.88</v>
      </c>
      <c r="AK36" s="142">
        <f>Valores!$C$37</f>
        <v>1465.56</v>
      </c>
      <c r="AL36" s="143">
        <f>Valores!$C$87</f>
        <v>4550</v>
      </c>
      <c r="AM36" s="143"/>
      <c r="AN36" s="145">
        <f>IF($H$4="NO",0,Valores!$C$52)</f>
        <v>327.60000000000002</v>
      </c>
      <c r="AO36" s="147">
        <f t="shared" si="5"/>
        <v>6343.16</v>
      </c>
      <c r="AP36" s="148">
        <f>AJ36*Valores!$C$69</f>
        <v>-13570.026800000001</v>
      </c>
      <c r="AQ36" s="148">
        <f>AJ36*-Valores!$C$70</f>
        <v>0</v>
      </c>
      <c r="AR36" s="142">
        <f>AJ36*Valores!$C$71</f>
        <v>-5551.3746000000001</v>
      </c>
      <c r="AS36" s="142">
        <f>Valores!$C$95</f>
        <v>-193.38</v>
      </c>
      <c r="AT36" s="142">
        <f>IF($H$6=0,Valores!$C$96,(Valores!$C$96+$H$6*(Valores!$C$96)))</f>
        <v>-178</v>
      </c>
      <c r="AU36" s="146">
        <f t="shared" si="8"/>
        <v>110214.2586</v>
      </c>
      <c r="AV36" s="199">
        <f t="shared" si="0"/>
        <v>-13570.026800000001</v>
      </c>
      <c r="AW36" s="142">
        <f>AJ36*Valores!$C$72</f>
        <v>-3330.82476</v>
      </c>
      <c r="AX36" s="142">
        <f>AJ36*Valores!$C$73</f>
        <v>-370.09164000000004</v>
      </c>
      <c r="AY36" s="146">
        <f t="shared" si="9"/>
        <v>112436.0968</v>
      </c>
      <c r="AZ36" s="150"/>
      <c r="BA36" s="150">
        <v>45</v>
      </c>
      <c r="BB36" s="135" t="s">
        <v>4</v>
      </c>
    </row>
    <row r="37" spans="1:54" s="114" customFormat="1" ht="11.25" customHeight="1" x14ac:dyDescent="0.15">
      <c r="A37" s="134">
        <v>34</v>
      </c>
      <c r="B37" s="134"/>
      <c r="C37" s="135" t="s">
        <v>188</v>
      </c>
      <c r="D37" s="135"/>
      <c r="E37" s="135">
        <f t="shared" si="1"/>
        <v>28</v>
      </c>
      <c r="F37" s="136" t="s">
        <v>189</v>
      </c>
      <c r="G37" s="137">
        <v>85</v>
      </c>
      <c r="H37" s="138">
        <f>INT((G37*Valores!$C$2*100)+0.5)/100</f>
        <v>1137.52</v>
      </c>
      <c r="I37" s="139">
        <v>3498</v>
      </c>
      <c r="J37" s="140">
        <f>INT((I37*Valores!$C$2*100)+0.5)/100</f>
        <v>46812.33</v>
      </c>
      <c r="K37" s="141">
        <v>1209</v>
      </c>
      <c r="L37" s="140">
        <f>INT((K37*Valores!$C$2*100)+0.5)/100</f>
        <v>16179.56</v>
      </c>
      <c r="M37" s="137">
        <v>0</v>
      </c>
      <c r="N37" s="140">
        <f>INT((M37*Valores!$C$2*100)+0.5)/100</f>
        <v>0</v>
      </c>
      <c r="O37" s="140">
        <f t="shared" si="2"/>
        <v>11075.068500000001</v>
      </c>
      <c r="P37" s="140">
        <f t="shared" si="3"/>
        <v>0</v>
      </c>
      <c r="Q37" s="142">
        <f>Valores!$C$19</f>
        <v>25171.69</v>
      </c>
      <c r="R37" s="142">
        <f>Valores!$D$4</f>
        <v>6841.19</v>
      </c>
      <c r="S37" s="140">
        <v>0</v>
      </c>
      <c r="T37" s="143">
        <f>IF($H$5="NO",Valores!$C$45,Valores!$C$45/2)</f>
        <v>3338.57</v>
      </c>
      <c r="U37" s="140">
        <f>Valores!$C$25</f>
        <v>6365.81</v>
      </c>
      <c r="V37" s="140">
        <f t="shared" si="4"/>
        <v>6365.81</v>
      </c>
      <c r="W37" s="140">
        <v>0</v>
      </c>
      <c r="X37" s="140">
        <v>0</v>
      </c>
      <c r="Y37" s="144">
        <v>0</v>
      </c>
      <c r="Z37" s="140">
        <f>Y37*Valores!$C$2</f>
        <v>0</v>
      </c>
      <c r="AA37" s="140">
        <v>0</v>
      </c>
      <c r="AB37" s="143">
        <f>Valores!$C$92</f>
        <v>5150.78</v>
      </c>
      <c r="AC37" s="145">
        <f>Valores!$C$31</f>
        <v>279.8</v>
      </c>
      <c r="AD37" s="140">
        <f t="shared" si="6"/>
        <v>0</v>
      </c>
      <c r="AE37" s="140">
        <f>Valores!$C$32</f>
        <v>279.8</v>
      </c>
      <c r="AF37" s="144">
        <v>0</v>
      </c>
      <c r="AG37" s="140">
        <f>INT(((AF37*Valores!$C$2)*100)+0.5)/100</f>
        <v>0</v>
      </c>
      <c r="AH37" s="140">
        <f>IF($H$5="NO",Valores!$C$60,Valores!$C$60/2)</f>
        <v>569.14</v>
      </c>
      <c r="AI37" s="140">
        <f>IF($H$5="NO",Valores!$C$62,Valores!$C$62/2)</f>
        <v>162.61000000000001</v>
      </c>
      <c r="AJ37" s="146">
        <f t="shared" si="7"/>
        <v>123363.86850000001</v>
      </c>
      <c r="AK37" s="142">
        <f>Valores!$C$37</f>
        <v>1465.56</v>
      </c>
      <c r="AL37" s="143">
        <f>Valores!$C$87</f>
        <v>4550</v>
      </c>
      <c r="AM37" s="143"/>
      <c r="AN37" s="145">
        <f>IF($H$4="NO",0,Valores!$C$52)</f>
        <v>327.60000000000002</v>
      </c>
      <c r="AO37" s="147">
        <f t="shared" si="5"/>
        <v>6343.16</v>
      </c>
      <c r="AP37" s="148">
        <f>AJ37*Valores!$C$69</f>
        <v>-13570.025535000001</v>
      </c>
      <c r="AQ37" s="148">
        <f>AJ37*-Valores!$C$70</f>
        <v>0</v>
      </c>
      <c r="AR37" s="142">
        <f>AJ37*Valores!$C$71</f>
        <v>-5551.3740825000004</v>
      </c>
      <c r="AS37" s="142">
        <f>Valores!$C$95</f>
        <v>-193.38</v>
      </c>
      <c r="AT37" s="142">
        <f>IF($H$6=0,Valores!$C$96,(Valores!$C$96+$H$6*(Valores!$C$96)))</f>
        <v>-178</v>
      </c>
      <c r="AU37" s="146">
        <f t="shared" si="8"/>
        <v>110214.24888250002</v>
      </c>
      <c r="AV37" s="199">
        <f t="shared" si="0"/>
        <v>-13570.025535000001</v>
      </c>
      <c r="AW37" s="142">
        <f>AJ37*Valores!$C$72</f>
        <v>-3330.8244495000004</v>
      </c>
      <c r="AX37" s="142">
        <f>AJ37*Valores!$C$73</f>
        <v>-370.09160550000001</v>
      </c>
      <c r="AY37" s="146">
        <f t="shared" si="9"/>
        <v>112436.08691000001</v>
      </c>
      <c r="AZ37" s="150"/>
      <c r="BA37" s="150">
        <v>45</v>
      </c>
      <c r="BB37" s="135" t="s">
        <v>8</v>
      </c>
    </row>
    <row r="38" spans="1:54" s="114" customFormat="1" ht="11.25" customHeight="1" x14ac:dyDescent="0.15">
      <c r="A38" s="152">
        <v>35</v>
      </c>
      <c r="B38" s="152" t="s">
        <v>139</v>
      </c>
      <c r="C38" s="135" t="s">
        <v>190</v>
      </c>
      <c r="D38" s="135"/>
      <c r="E38" s="135">
        <f t="shared" si="1"/>
        <v>29</v>
      </c>
      <c r="F38" s="136" t="s">
        <v>191</v>
      </c>
      <c r="G38" s="137">
        <v>92</v>
      </c>
      <c r="H38" s="138">
        <f>INT((G38*Valores!$C$2*100)+0.5)/100</f>
        <v>1231.2</v>
      </c>
      <c r="I38" s="139">
        <v>3483</v>
      </c>
      <c r="J38" s="140">
        <f>INT((I38*Valores!$C$2*100)+0.5)/100</f>
        <v>46611.6</v>
      </c>
      <c r="K38" s="141">
        <v>1217</v>
      </c>
      <c r="L38" s="140">
        <f>INT((K38*Valores!$C$2*100)+0.5)/100</f>
        <v>16286.62</v>
      </c>
      <c r="M38" s="137">
        <v>0</v>
      </c>
      <c r="N38" s="140">
        <f>INT((M38*Valores!$C$2*100)+0.5)/100</f>
        <v>0</v>
      </c>
      <c r="O38" s="140">
        <f t="shared" si="2"/>
        <v>11075.07</v>
      </c>
      <c r="P38" s="140">
        <f t="shared" si="3"/>
        <v>0</v>
      </c>
      <c r="Q38" s="142">
        <f>Valores!$C$19</f>
        <v>25171.69</v>
      </c>
      <c r="R38" s="142">
        <f>Valores!$D$4</f>
        <v>6841.19</v>
      </c>
      <c r="S38" s="140">
        <v>0</v>
      </c>
      <c r="T38" s="143">
        <f>IF($H$5="NO",Valores!$C$45,Valores!$C$45/2)</f>
        <v>3338.57</v>
      </c>
      <c r="U38" s="140">
        <f>Valores!$C$25</f>
        <v>6365.81</v>
      </c>
      <c r="V38" s="140">
        <f t="shared" si="4"/>
        <v>6365.81</v>
      </c>
      <c r="W38" s="140">
        <v>0</v>
      </c>
      <c r="X38" s="140">
        <v>0</v>
      </c>
      <c r="Y38" s="144">
        <v>0</v>
      </c>
      <c r="Z38" s="140">
        <f>Y38*Valores!$C$2</f>
        <v>0</v>
      </c>
      <c r="AA38" s="140">
        <f>SUM(L38,J38,H38,T38)*Valores!$C$3</f>
        <v>10120.1985</v>
      </c>
      <c r="AB38" s="143">
        <f>Valores!$C$92</f>
        <v>5150.78</v>
      </c>
      <c r="AC38" s="145">
        <f>Valores!$C$31</f>
        <v>279.8</v>
      </c>
      <c r="AD38" s="140">
        <f t="shared" si="6"/>
        <v>0</v>
      </c>
      <c r="AE38" s="140">
        <f>Valores!$C$32</f>
        <v>279.8</v>
      </c>
      <c r="AF38" s="144">
        <v>0</v>
      </c>
      <c r="AG38" s="140">
        <f>INT(((AF38*Valores!$C$2)*100)+0.5)/100</f>
        <v>0</v>
      </c>
      <c r="AH38" s="140">
        <f>IF($H$5="NO",Valores!$C$60,Valores!$C$60/2)</f>
        <v>569.14</v>
      </c>
      <c r="AI38" s="140">
        <f>IF($H$5="NO",Valores!$C$62,Valores!$C$62/2)</f>
        <v>162.61000000000001</v>
      </c>
      <c r="AJ38" s="146">
        <f t="shared" si="7"/>
        <v>133484.0785</v>
      </c>
      <c r="AK38" s="142">
        <f>Valores!$C$37</f>
        <v>1465.56</v>
      </c>
      <c r="AL38" s="143">
        <f>Valores!$C$87</f>
        <v>4550</v>
      </c>
      <c r="AM38" s="143"/>
      <c r="AN38" s="145">
        <f>IF($H$4="NO",0,Valores!$C$52)</f>
        <v>327.60000000000002</v>
      </c>
      <c r="AO38" s="147">
        <f t="shared" si="5"/>
        <v>6343.16</v>
      </c>
      <c r="AP38" s="148">
        <f>AJ38*Valores!$C$69</f>
        <v>-14683.248635</v>
      </c>
      <c r="AQ38" s="148">
        <f>AJ38*-Valores!$C$70</f>
        <v>0</v>
      </c>
      <c r="AR38" s="142">
        <f>AJ38*Valores!$C$71</f>
        <v>-6006.7835324999996</v>
      </c>
      <c r="AS38" s="142">
        <f>Valores!$C$95</f>
        <v>-193.38</v>
      </c>
      <c r="AT38" s="142">
        <f>IF($H$6=0,Valores!$C$96,(Valores!$C$96+$H$6*(Valores!$C$96)))</f>
        <v>-178</v>
      </c>
      <c r="AU38" s="146">
        <f t="shared" si="8"/>
        <v>118765.8263325</v>
      </c>
      <c r="AV38" s="199">
        <f t="shared" si="0"/>
        <v>-14683.248635</v>
      </c>
      <c r="AW38" s="142">
        <f>AJ38*Valores!$C$72</f>
        <v>-3604.0701195000001</v>
      </c>
      <c r="AX38" s="142">
        <f>AJ38*Valores!$C$73</f>
        <v>-400.45223550000003</v>
      </c>
      <c r="AY38" s="146">
        <f t="shared" si="9"/>
        <v>121139.46751</v>
      </c>
      <c r="AZ38" s="150"/>
      <c r="BA38" s="150">
        <v>45</v>
      </c>
      <c r="BB38" s="135" t="s">
        <v>8</v>
      </c>
    </row>
    <row r="39" spans="1:54" s="114" customFormat="1" ht="11.25" customHeight="1" x14ac:dyDescent="0.15">
      <c r="A39" s="134">
        <v>36</v>
      </c>
      <c r="B39" s="134"/>
      <c r="C39" s="135" t="s">
        <v>192</v>
      </c>
      <c r="D39" s="135"/>
      <c r="E39" s="135">
        <f t="shared" si="1"/>
        <v>27</v>
      </c>
      <c r="F39" s="136" t="s">
        <v>193</v>
      </c>
      <c r="G39" s="137">
        <v>85</v>
      </c>
      <c r="H39" s="138">
        <f>INT((G39*Valores!$C$2*100)+0.5)/100</f>
        <v>1137.52</v>
      </c>
      <c r="I39" s="139">
        <v>3498</v>
      </c>
      <c r="J39" s="140">
        <f>INT((I39*Valores!$C$2*100)+0.5)/100</f>
        <v>46812.33</v>
      </c>
      <c r="K39" s="141">
        <v>202</v>
      </c>
      <c r="L39" s="140">
        <f>INT((K39*Valores!$C$2*100)+0.5)/100</f>
        <v>2703.29</v>
      </c>
      <c r="M39" s="137">
        <v>0</v>
      </c>
      <c r="N39" s="140">
        <f>INT((M39*Valores!$C$2*100)+0.5)/100</f>
        <v>0</v>
      </c>
      <c r="O39" s="140">
        <f t="shared" si="2"/>
        <v>9053.6279999999988</v>
      </c>
      <c r="P39" s="140">
        <f t="shared" si="3"/>
        <v>0</v>
      </c>
      <c r="Q39" s="142">
        <f>Valores!$C$19</f>
        <v>25171.69</v>
      </c>
      <c r="R39" s="142">
        <f>Valores!$D$4</f>
        <v>6841.19</v>
      </c>
      <c r="S39" s="140">
        <v>0</v>
      </c>
      <c r="T39" s="143">
        <f>IF($H$5="NO",Valores!$C$45,Valores!$C$45/2)</f>
        <v>3338.57</v>
      </c>
      <c r="U39" s="140">
        <f>Valores!$C$25</f>
        <v>6365.81</v>
      </c>
      <c r="V39" s="140">
        <f t="shared" si="4"/>
        <v>6365.81</v>
      </c>
      <c r="W39" s="140">
        <v>0</v>
      </c>
      <c r="X39" s="140">
        <v>0</v>
      </c>
      <c r="Y39" s="144">
        <v>0</v>
      </c>
      <c r="Z39" s="140">
        <f>Y39*Valores!$C$2</f>
        <v>0</v>
      </c>
      <c r="AA39" s="140">
        <v>0</v>
      </c>
      <c r="AB39" s="143">
        <f>Valores!$C$92</f>
        <v>5150.78</v>
      </c>
      <c r="AC39" s="145">
        <f>Valores!$C$31</f>
        <v>279.8</v>
      </c>
      <c r="AD39" s="140">
        <f t="shared" si="6"/>
        <v>0</v>
      </c>
      <c r="AE39" s="140">
        <f>Valores!$C$32</f>
        <v>279.8</v>
      </c>
      <c r="AF39" s="144">
        <v>0</v>
      </c>
      <c r="AG39" s="140">
        <f>INT(((AF39*Valores!$C$2)*100)+0.5)/100</f>
        <v>0</v>
      </c>
      <c r="AH39" s="140">
        <f>IF($H$5="NO",Valores!$C$60,Valores!$C$60/2)</f>
        <v>569.14</v>
      </c>
      <c r="AI39" s="140">
        <f>IF($H$5="NO",Valores!$C$62,Valores!$C$62/2)</f>
        <v>162.61000000000001</v>
      </c>
      <c r="AJ39" s="146">
        <f t="shared" si="7"/>
        <v>107866.15800000001</v>
      </c>
      <c r="AK39" s="142">
        <f>Valores!$C$37</f>
        <v>1465.56</v>
      </c>
      <c r="AL39" s="143">
        <f>Valores!$C$87</f>
        <v>4550</v>
      </c>
      <c r="AM39" s="143"/>
      <c r="AN39" s="145">
        <f>IF($H$4="NO",0,Valores!$C$52)</f>
        <v>327.60000000000002</v>
      </c>
      <c r="AO39" s="147">
        <f t="shared" si="5"/>
        <v>6343.16</v>
      </c>
      <c r="AP39" s="148">
        <f>AJ39*Valores!$C$69</f>
        <v>-11865.277380000001</v>
      </c>
      <c r="AQ39" s="148">
        <f>AJ39*-Valores!$C$70</f>
        <v>0</v>
      </c>
      <c r="AR39" s="142">
        <f>AJ39*Valores!$C$71</f>
        <v>-4853.9771100000007</v>
      </c>
      <c r="AS39" s="142">
        <f>Valores!$C$95</f>
        <v>-193.38</v>
      </c>
      <c r="AT39" s="142">
        <f>IF($H$6=0,Valores!$C$96,(Valores!$C$96+$H$6*(Valores!$C$96)))</f>
        <v>-178</v>
      </c>
      <c r="AU39" s="146">
        <f t="shared" si="8"/>
        <v>97118.683510000003</v>
      </c>
      <c r="AV39" s="199">
        <f t="shared" si="0"/>
        <v>-11865.277380000001</v>
      </c>
      <c r="AW39" s="142">
        <f>AJ39*Valores!$C$72</f>
        <v>-2912.3862660000004</v>
      </c>
      <c r="AX39" s="142">
        <f>AJ39*Valores!$C$73</f>
        <v>-323.59847400000001</v>
      </c>
      <c r="AY39" s="146">
        <f t="shared" si="9"/>
        <v>99108.055880000014</v>
      </c>
      <c r="AZ39" s="150"/>
      <c r="BA39" s="150">
        <v>45</v>
      </c>
      <c r="BB39" s="135" t="s">
        <v>8</v>
      </c>
    </row>
    <row r="40" spans="1:54" s="114" customFormat="1" ht="11.25" customHeight="1" x14ac:dyDescent="0.15">
      <c r="A40" s="134">
        <v>37</v>
      </c>
      <c r="B40" s="134"/>
      <c r="C40" s="135" t="s">
        <v>194</v>
      </c>
      <c r="D40" s="135"/>
      <c r="E40" s="135">
        <f t="shared" si="1"/>
        <v>22</v>
      </c>
      <c r="F40" s="136" t="s">
        <v>195</v>
      </c>
      <c r="G40" s="137">
        <v>85</v>
      </c>
      <c r="H40" s="138">
        <f>INT((G40*Valores!$C$2*100)+0.5)/100</f>
        <v>1137.52</v>
      </c>
      <c r="I40" s="139">
        <v>3498</v>
      </c>
      <c r="J40" s="140">
        <f>INT((I40*Valores!$C$2*100)+0.5)/100</f>
        <v>46812.33</v>
      </c>
      <c r="K40" s="141">
        <v>1209</v>
      </c>
      <c r="L40" s="140">
        <f>INT((K40*Valores!$C$2*100)+0.5)/100</f>
        <v>16179.56</v>
      </c>
      <c r="M40" s="137">
        <v>0</v>
      </c>
      <c r="N40" s="140">
        <f>INT((M40*Valores!$C$2*100)+0.5)/100</f>
        <v>0</v>
      </c>
      <c r="O40" s="140">
        <f t="shared" si="2"/>
        <v>11075.068500000001</v>
      </c>
      <c r="P40" s="140">
        <f t="shared" si="3"/>
        <v>0</v>
      </c>
      <c r="Q40" s="142">
        <f>Valores!$C$19</f>
        <v>25171.69</v>
      </c>
      <c r="R40" s="142">
        <f>Valores!$D$4</f>
        <v>6841.19</v>
      </c>
      <c r="S40" s="140">
        <v>0</v>
      </c>
      <c r="T40" s="143">
        <f>IF($H$5="NO",Valores!$C$45,Valores!$C$45/2)</f>
        <v>3338.57</v>
      </c>
      <c r="U40" s="140">
        <f>Valores!$C$25</f>
        <v>6365.81</v>
      </c>
      <c r="V40" s="140">
        <f t="shared" si="4"/>
        <v>6365.81</v>
      </c>
      <c r="W40" s="140">
        <v>0</v>
      </c>
      <c r="X40" s="140">
        <v>0</v>
      </c>
      <c r="Y40" s="144">
        <v>0</v>
      </c>
      <c r="Z40" s="140">
        <f>Y40*Valores!$C$2</f>
        <v>0</v>
      </c>
      <c r="AA40" s="140">
        <v>0</v>
      </c>
      <c r="AB40" s="143">
        <f>Valores!$C$92</f>
        <v>5150.78</v>
      </c>
      <c r="AC40" s="145">
        <f>Valores!$C$31</f>
        <v>279.8</v>
      </c>
      <c r="AD40" s="140">
        <f t="shared" si="6"/>
        <v>0</v>
      </c>
      <c r="AE40" s="140">
        <f>Valores!$C$32</f>
        <v>279.8</v>
      </c>
      <c r="AF40" s="144">
        <v>0</v>
      </c>
      <c r="AG40" s="140">
        <f>INT(((AF40*Valores!$C$2)*100)+0.5)/100</f>
        <v>0</v>
      </c>
      <c r="AH40" s="140">
        <f>IF($H$5="NO",Valores!$C$60,Valores!$C$60/2)</f>
        <v>569.14</v>
      </c>
      <c r="AI40" s="140">
        <f>IF($H$5="NO",Valores!$C$62,Valores!$C$62/2)</f>
        <v>162.61000000000001</v>
      </c>
      <c r="AJ40" s="146">
        <f t="shared" si="7"/>
        <v>123363.86850000001</v>
      </c>
      <c r="AK40" s="142">
        <f>Valores!$C$37</f>
        <v>1465.56</v>
      </c>
      <c r="AL40" s="143">
        <f>Valores!$C$87</f>
        <v>4550</v>
      </c>
      <c r="AM40" s="143"/>
      <c r="AN40" s="145">
        <f>IF($H$4="NO",0,Valores!$C$52)</f>
        <v>327.60000000000002</v>
      </c>
      <c r="AO40" s="147">
        <f t="shared" si="5"/>
        <v>6343.16</v>
      </c>
      <c r="AP40" s="148">
        <f>AJ40*Valores!$C$69</f>
        <v>-13570.025535000001</v>
      </c>
      <c r="AQ40" s="148">
        <f>AJ40*-Valores!$C$70</f>
        <v>0</v>
      </c>
      <c r="AR40" s="142">
        <f>AJ40*Valores!$C$71</f>
        <v>-5551.3740825000004</v>
      </c>
      <c r="AS40" s="142">
        <f>Valores!$C$95</f>
        <v>-193.38</v>
      </c>
      <c r="AT40" s="142">
        <f>IF($H$6=0,Valores!$C$96,(Valores!$C$96+$H$6*(Valores!$C$96)))</f>
        <v>-178</v>
      </c>
      <c r="AU40" s="146">
        <f t="shared" si="8"/>
        <v>110214.24888250002</v>
      </c>
      <c r="AV40" s="199">
        <f t="shared" si="0"/>
        <v>-13570.025535000001</v>
      </c>
      <c r="AW40" s="142">
        <f>AJ40*Valores!$C$72</f>
        <v>-3330.8244495000004</v>
      </c>
      <c r="AX40" s="142">
        <f>AJ40*Valores!$C$73</f>
        <v>-370.09160550000001</v>
      </c>
      <c r="AY40" s="146">
        <f t="shared" si="9"/>
        <v>112436.08691000001</v>
      </c>
      <c r="AZ40" s="150"/>
      <c r="BA40" s="150">
        <v>45</v>
      </c>
      <c r="BB40" s="135" t="s">
        <v>4</v>
      </c>
    </row>
    <row r="41" spans="1:54" s="114" customFormat="1" ht="11.25" customHeight="1" x14ac:dyDescent="0.15">
      <c r="A41" s="134">
        <v>38</v>
      </c>
      <c r="B41" s="134"/>
      <c r="C41" s="135" t="s">
        <v>196</v>
      </c>
      <c r="D41" s="135"/>
      <c r="E41" s="135">
        <f t="shared" si="1"/>
        <v>30</v>
      </c>
      <c r="F41" s="136" t="s">
        <v>197</v>
      </c>
      <c r="G41" s="137">
        <v>85</v>
      </c>
      <c r="H41" s="138">
        <f>INT((G41*Valores!$C$2*100)+0.5)/100</f>
        <v>1137.52</v>
      </c>
      <c r="I41" s="139">
        <v>3498</v>
      </c>
      <c r="J41" s="140">
        <f>INT((I41*Valores!$C$2*100)+0.5)/100</f>
        <v>46812.33</v>
      </c>
      <c r="K41" s="141">
        <v>1209</v>
      </c>
      <c r="L41" s="140">
        <f>INT((K41*Valores!$C$2*100)+0.5)/100</f>
        <v>16179.56</v>
      </c>
      <c r="M41" s="137">
        <v>0</v>
      </c>
      <c r="N41" s="140">
        <f>INT((M41*Valores!$C$2*100)+0.5)/100</f>
        <v>0</v>
      </c>
      <c r="O41" s="140">
        <f t="shared" si="2"/>
        <v>11075.068500000001</v>
      </c>
      <c r="P41" s="140">
        <f t="shared" si="3"/>
        <v>0</v>
      </c>
      <c r="Q41" s="142">
        <f>Valores!$C$19</f>
        <v>25171.69</v>
      </c>
      <c r="R41" s="142">
        <f>Valores!$D$4</f>
        <v>6841.19</v>
      </c>
      <c r="S41" s="140">
        <v>0</v>
      </c>
      <c r="T41" s="143">
        <f>IF($H$5="NO",Valores!$C$45,Valores!$C$45/2)</f>
        <v>3338.57</v>
      </c>
      <c r="U41" s="140">
        <f>Valores!$C$25</f>
        <v>6365.81</v>
      </c>
      <c r="V41" s="140">
        <f t="shared" si="4"/>
        <v>6365.81</v>
      </c>
      <c r="W41" s="140">
        <v>0</v>
      </c>
      <c r="X41" s="140">
        <v>0</v>
      </c>
      <c r="Y41" s="144">
        <v>0</v>
      </c>
      <c r="Z41" s="140">
        <f>Y41*Valores!$C$2</f>
        <v>0</v>
      </c>
      <c r="AA41" s="140">
        <v>0</v>
      </c>
      <c r="AB41" s="143">
        <f>Valores!$C$92</f>
        <v>5150.78</v>
      </c>
      <c r="AC41" s="145">
        <f>Valores!$C$31</f>
        <v>279.8</v>
      </c>
      <c r="AD41" s="140">
        <f t="shared" si="6"/>
        <v>0</v>
      </c>
      <c r="AE41" s="140">
        <f>Valores!$C$32</f>
        <v>279.8</v>
      </c>
      <c r="AF41" s="144">
        <v>0</v>
      </c>
      <c r="AG41" s="140">
        <f>INT(((AF41*Valores!$C$2)*100)+0.5)/100</f>
        <v>0</v>
      </c>
      <c r="AH41" s="140">
        <f>IF($H$5="NO",Valores!$C$60,Valores!$C$60/2)</f>
        <v>569.14</v>
      </c>
      <c r="AI41" s="140">
        <f>IF($H$5="NO",Valores!$C$62,Valores!$C$62/2)</f>
        <v>162.61000000000001</v>
      </c>
      <c r="AJ41" s="146">
        <f t="shared" si="7"/>
        <v>123363.86850000001</v>
      </c>
      <c r="AK41" s="142">
        <f>Valores!$C$37</f>
        <v>1465.56</v>
      </c>
      <c r="AL41" s="143">
        <f>Valores!$C$87</f>
        <v>4550</v>
      </c>
      <c r="AM41" s="143"/>
      <c r="AN41" s="145">
        <f>IF($H$4="NO",0,Valores!$C$52)</f>
        <v>327.60000000000002</v>
      </c>
      <c r="AO41" s="147">
        <f t="shared" si="5"/>
        <v>6343.16</v>
      </c>
      <c r="AP41" s="148">
        <f>AJ41*Valores!$C$69</f>
        <v>-13570.025535000001</v>
      </c>
      <c r="AQ41" s="148">
        <f>AJ41*-Valores!$C$70</f>
        <v>0</v>
      </c>
      <c r="AR41" s="142">
        <f>AJ41*Valores!$C$71</f>
        <v>-5551.3740825000004</v>
      </c>
      <c r="AS41" s="142">
        <f>Valores!$C$95</f>
        <v>-193.38</v>
      </c>
      <c r="AT41" s="142">
        <f>IF($H$6=0,Valores!$C$96,(Valores!$C$96+$H$6*(Valores!$C$96)))</f>
        <v>-178</v>
      </c>
      <c r="AU41" s="146">
        <f t="shared" si="8"/>
        <v>110214.24888250002</v>
      </c>
      <c r="AV41" s="199">
        <f t="shared" si="0"/>
        <v>-13570.025535000001</v>
      </c>
      <c r="AW41" s="142">
        <f>AJ41*Valores!$C$72</f>
        <v>-3330.8244495000004</v>
      </c>
      <c r="AX41" s="142">
        <f>AJ41*Valores!$C$73</f>
        <v>-370.09160550000001</v>
      </c>
      <c r="AY41" s="146">
        <f t="shared" si="9"/>
        <v>112436.08691000001</v>
      </c>
      <c r="AZ41" s="150"/>
      <c r="BA41" s="150">
        <v>45</v>
      </c>
      <c r="BB41" s="135" t="s">
        <v>8</v>
      </c>
    </row>
    <row r="42" spans="1:54" s="114" customFormat="1" ht="11.25" customHeight="1" x14ac:dyDescent="0.15">
      <c r="A42" s="134">
        <v>39</v>
      </c>
      <c r="B42" s="134"/>
      <c r="C42" s="135" t="s">
        <v>198</v>
      </c>
      <c r="D42" s="135"/>
      <c r="E42" s="135">
        <f t="shared" si="1"/>
        <v>30</v>
      </c>
      <c r="F42" s="136" t="s">
        <v>199</v>
      </c>
      <c r="G42" s="137">
        <v>101</v>
      </c>
      <c r="H42" s="138">
        <f>INT((G42*Valores!$C$2*100)+0.5)/100</f>
        <v>1351.64</v>
      </c>
      <c r="I42" s="139">
        <v>2548</v>
      </c>
      <c r="J42" s="140">
        <f>INT((I42*Valores!$C$2*100)+0.5)/100</f>
        <v>34098.86</v>
      </c>
      <c r="K42" s="141">
        <v>216</v>
      </c>
      <c r="L42" s="140">
        <f>INT((K42*Valores!$C$2*100)+0.5)/100</f>
        <v>2890.64</v>
      </c>
      <c r="M42" s="137">
        <v>0</v>
      </c>
      <c r="N42" s="140">
        <f>INT((M42*Valores!$C$2*100)+0.5)/100</f>
        <v>0</v>
      </c>
      <c r="O42" s="140">
        <f t="shared" si="2"/>
        <v>7206.8279999999995</v>
      </c>
      <c r="P42" s="140">
        <f t="shared" si="3"/>
        <v>0</v>
      </c>
      <c r="Q42" s="142">
        <f>Valores!$C$16</f>
        <v>14032.86</v>
      </c>
      <c r="R42" s="142">
        <f>Valores!$D$4</f>
        <v>6841.19</v>
      </c>
      <c r="S42" s="140">
        <v>0</v>
      </c>
      <c r="T42" s="143">
        <f>IF($H$5="NO",Valores!$C$45,Valores!$C$45/2)</f>
        <v>3338.57</v>
      </c>
      <c r="U42" s="140">
        <f>Valores!$C$25</f>
        <v>6365.81</v>
      </c>
      <c r="V42" s="140">
        <f t="shared" si="4"/>
        <v>6365.81</v>
      </c>
      <c r="W42" s="140">
        <v>0</v>
      </c>
      <c r="X42" s="140">
        <v>0</v>
      </c>
      <c r="Y42" s="144">
        <v>0</v>
      </c>
      <c r="Z42" s="140">
        <f>Y42*Valores!$C$2</f>
        <v>0</v>
      </c>
      <c r="AA42" s="140">
        <v>0</v>
      </c>
      <c r="AB42" s="143">
        <f>Valores!$C$90</f>
        <v>2575.39</v>
      </c>
      <c r="AC42" s="145">
        <f>Valores!$C$31</f>
        <v>279.8</v>
      </c>
      <c r="AD42" s="140">
        <f t="shared" si="6"/>
        <v>0</v>
      </c>
      <c r="AE42" s="140">
        <f>Valores!$C$32</f>
        <v>279.8</v>
      </c>
      <c r="AF42" s="144">
        <v>0</v>
      </c>
      <c r="AG42" s="140">
        <f>INT(((AF42*Valores!$C$2)*100)+0.5)/100</f>
        <v>0</v>
      </c>
      <c r="AH42" s="140">
        <f>IF($H$5="NO",Valores!$C$60,Valores!$C$60/2)</f>
        <v>569.14</v>
      </c>
      <c r="AI42" s="140">
        <f>IF($H$5="NO",Valores!$C$62,Valores!$C$62/2)</f>
        <v>162.61000000000001</v>
      </c>
      <c r="AJ42" s="146">
        <f t="shared" si="7"/>
        <v>79993.138000000006</v>
      </c>
      <c r="AK42" s="142">
        <f>Valores!$C$37</f>
        <v>1465.56</v>
      </c>
      <c r="AL42" s="143">
        <f>Valores!$C$85</f>
        <v>2275</v>
      </c>
      <c r="AM42" s="143"/>
      <c r="AN42" s="145">
        <f>IF($H$4="NO",0,Valores!$C$52)</f>
        <v>327.60000000000002</v>
      </c>
      <c r="AO42" s="147">
        <f t="shared" si="5"/>
        <v>4068.16</v>
      </c>
      <c r="AP42" s="148">
        <f>AJ42*Valores!$C$69</f>
        <v>-8799.2451799999999</v>
      </c>
      <c r="AQ42" s="148">
        <f>AJ42*-Valores!$C$70</f>
        <v>0</v>
      </c>
      <c r="AR42" s="142">
        <f>AJ42*Valores!$C$71</f>
        <v>-3599.69121</v>
      </c>
      <c r="AS42" s="142">
        <f>Valores!$C$95</f>
        <v>-193.38</v>
      </c>
      <c r="AT42" s="142">
        <f>IF($H$6=0,Valores!$C$96,(Valores!$C$96+$H$6*(Valores!$C$96)))</f>
        <v>-178</v>
      </c>
      <c r="AU42" s="146">
        <f t="shared" si="8"/>
        <v>71290.981610000003</v>
      </c>
      <c r="AV42" s="199">
        <f t="shared" si="0"/>
        <v>-8799.2451799999999</v>
      </c>
      <c r="AW42" s="142">
        <f>AJ42*Valores!$C$72</f>
        <v>-2159.8147260000001</v>
      </c>
      <c r="AX42" s="142">
        <f>AJ42*Valores!$C$73</f>
        <v>-239.97941400000002</v>
      </c>
      <c r="AY42" s="146">
        <f t="shared" si="9"/>
        <v>72862.258680000014</v>
      </c>
      <c r="AZ42" s="150"/>
      <c r="BA42" s="150">
        <v>45</v>
      </c>
      <c r="BB42" s="135" t="s">
        <v>8</v>
      </c>
    </row>
    <row r="43" spans="1:54" s="114" customFormat="1" ht="11.25" customHeight="1" x14ac:dyDescent="0.15">
      <c r="A43" s="152">
        <v>40</v>
      </c>
      <c r="B43" s="152" t="s">
        <v>139</v>
      </c>
      <c r="C43" s="135" t="s">
        <v>200</v>
      </c>
      <c r="D43" s="135"/>
      <c r="E43" s="135">
        <f t="shared" si="1"/>
        <v>30</v>
      </c>
      <c r="F43" s="136" t="s">
        <v>199</v>
      </c>
      <c r="G43" s="137">
        <v>101</v>
      </c>
      <c r="H43" s="138">
        <f>INT((G43*Valores!$C$2*100)+0.5)/100</f>
        <v>1351.64</v>
      </c>
      <c r="I43" s="139">
        <v>2548</v>
      </c>
      <c r="J43" s="140">
        <f>INT((I43*Valores!$C$2*100)+0.5)/100</f>
        <v>34098.86</v>
      </c>
      <c r="K43" s="141">
        <v>216</v>
      </c>
      <c r="L43" s="140">
        <f>INT((K43*Valores!$C$2*100)+0.5)/100</f>
        <v>2890.64</v>
      </c>
      <c r="M43" s="137">
        <v>0</v>
      </c>
      <c r="N43" s="140">
        <f>INT((M43*Valores!$C$2*100)+0.5)/100</f>
        <v>0</v>
      </c>
      <c r="O43" s="140">
        <f t="shared" si="2"/>
        <v>7206.8279999999995</v>
      </c>
      <c r="P43" s="140">
        <f t="shared" si="3"/>
        <v>0</v>
      </c>
      <c r="Q43" s="142">
        <f>Valores!$C$16</f>
        <v>14032.86</v>
      </c>
      <c r="R43" s="142">
        <f>Valores!$D$4</f>
        <v>6841.19</v>
      </c>
      <c r="S43" s="140">
        <v>0</v>
      </c>
      <c r="T43" s="143">
        <f>IF($H$5="NO",Valores!$C$45,Valores!$C$45/2)</f>
        <v>3338.57</v>
      </c>
      <c r="U43" s="140">
        <f>Valores!$C$25</f>
        <v>6365.81</v>
      </c>
      <c r="V43" s="140">
        <f t="shared" si="4"/>
        <v>6365.81</v>
      </c>
      <c r="W43" s="140">
        <v>0</v>
      </c>
      <c r="X43" s="140">
        <v>0</v>
      </c>
      <c r="Y43" s="144">
        <v>0</v>
      </c>
      <c r="Z43" s="140">
        <f>Y43*Valores!$C$2</f>
        <v>0</v>
      </c>
      <c r="AA43" s="140">
        <v>0</v>
      </c>
      <c r="AB43" s="143">
        <f>Valores!$C$90</f>
        <v>2575.39</v>
      </c>
      <c r="AC43" s="145">
        <f>Valores!$C$31</f>
        <v>279.8</v>
      </c>
      <c r="AD43" s="140">
        <f t="shared" si="6"/>
        <v>0</v>
      </c>
      <c r="AE43" s="140">
        <f>Valores!$C$32</f>
        <v>279.8</v>
      </c>
      <c r="AF43" s="144">
        <v>0</v>
      </c>
      <c r="AG43" s="140">
        <f>INT(((AF43*Valores!$C$2)*100)+0.5)/100</f>
        <v>0</v>
      </c>
      <c r="AH43" s="140">
        <f>IF($H$5="NO",Valores!$C$60,Valores!$C$60/2)</f>
        <v>569.14</v>
      </c>
      <c r="AI43" s="140">
        <f>IF($H$5="NO",Valores!$C$62,Valores!$C$62/2)</f>
        <v>162.61000000000001</v>
      </c>
      <c r="AJ43" s="146">
        <f t="shared" si="7"/>
        <v>79993.138000000006</v>
      </c>
      <c r="AK43" s="142">
        <f>Valores!$C$37</f>
        <v>1465.56</v>
      </c>
      <c r="AL43" s="143">
        <f>Valores!$C$85</f>
        <v>2275</v>
      </c>
      <c r="AM43" s="143"/>
      <c r="AN43" s="145">
        <f>IF($H$4="NO",0,Valores!$C$52)</f>
        <v>327.60000000000002</v>
      </c>
      <c r="AO43" s="147">
        <f t="shared" si="5"/>
        <v>4068.16</v>
      </c>
      <c r="AP43" s="148">
        <f>AJ43*Valores!$C$69</f>
        <v>-8799.2451799999999</v>
      </c>
      <c r="AQ43" s="148">
        <f>AJ43*-Valores!$C$70</f>
        <v>0</v>
      </c>
      <c r="AR43" s="142">
        <f>AJ43*Valores!$C$71</f>
        <v>-3599.69121</v>
      </c>
      <c r="AS43" s="142">
        <f>Valores!$C$95</f>
        <v>-193.38</v>
      </c>
      <c r="AT43" s="142">
        <f>IF($H$6=0,Valores!$C$96,(Valores!$C$96+$H$6*(Valores!$C$96)))</f>
        <v>-178</v>
      </c>
      <c r="AU43" s="146">
        <f t="shared" si="8"/>
        <v>71290.981610000003</v>
      </c>
      <c r="AV43" s="199">
        <f t="shared" si="0"/>
        <v>-8799.2451799999999</v>
      </c>
      <c r="AW43" s="142">
        <f>AJ43*Valores!$C$72</f>
        <v>-2159.8147260000001</v>
      </c>
      <c r="AX43" s="142">
        <f>AJ43*Valores!$C$73</f>
        <v>-239.97941400000002</v>
      </c>
      <c r="AY43" s="146">
        <f t="shared" si="9"/>
        <v>72862.258680000014</v>
      </c>
      <c r="AZ43" s="150"/>
      <c r="BA43" s="150">
        <v>45</v>
      </c>
      <c r="BB43" s="135" t="s">
        <v>8</v>
      </c>
    </row>
    <row r="44" spans="1:54" s="114" customFormat="1" ht="11.25" customHeight="1" x14ac:dyDescent="0.15">
      <c r="A44" s="134">
        <v>41</v>
      </c>
      <c r="B44" s="134"/>
      <c r="C44" s="135" t="s">
        <v>201</v>
      </c>
      <c r="D44" s="135"/>
      <c r="E44" s="135">
        <f t="shared" si="1"/>
        <v>27</v>
      </c>
      <c r="F44" s="136" t="s">
        <v>202</v>
      </c>
      <c r="G44" s="137">
        <v>96</v>
      </c>
      <c r="H44" s="138">
        <f>INT((G44*Valores!$C$2*100)+0.5)/100</f>
        <v>1284.73</v>
      </c>
      <c r="I44" s="139">
        <v>2475</v>
      </c>
      <c r="J44" s="140">
        <f>INT((I44*Valores!$C$2*100)+0.5)/100</f>
        <v>33121.94</v>
      </c>
      <c r="K44" s="141">
        <v>213</v>
      </c>
      <c r="L44" s="140">
        <f>INT((K44*Valores!$C$2*100)+0.5)/100</f>
        <v>2850.49</v>
      </c>
      <c r="M44" s="137">
        <v>0</v>
      </c>
      <c r="N44" s="140">
        <f>INT((M44*Valores!$C$2*100)+0.5)/100</f>
        <v>0</v>
      </c>
      <c r="O44" s="140">
        <f t="shared" si="2"/>
        <v>6883.6080000000002</v>
      </c>
      <c r="P44" s="140">
        <f t="shared" si="3"/>
        <v>0</v>
      </c>
      <c r="Q44" s="142">
        <f>Valores!$C$16</f>
        <v>14032.86</v>
      </c>
      <c r="R44" s="142">
        <f>Valores!$D$4</f>
        <v>6841.19</v>
      </c>
      <c r="S44" s="140">
        <v>0</v>
      </c>
      <c r="T44" s="143">
        <f>IF($H$5="NO",Valores!$C$44,Valores!$C$44/2)</f>
        <v>2267.75</v>
      </c>
      <c r="U44" s="140">
        <f>Valores!$C$25</f>
        <v>6365.81</v>
      </c>
      <c r="V44" s="140">
        <f t="shared" si="4"/>
        <v>6365.81</v>
      </c>
      <c r="W44" s="140">
        <v>0</v>
      </c>
      <c r="X44" s="140">
        <v>0</v>
      </c>
      <c r="Y44" s="144">
        <v>0</v>
      </c>
      <c r="Z44" s="140">
        <f>Y44*Valores!$C$2</f>
        <v>0</v>
      </c>
      <c r="AA44" s="140">
        <v>0</v>
      </c>
      <c r="AB44" s="143">
        <f>Valores!$C$90</f>
        <v>2575.39</v>
      </c>
      <c r="AC44" s="145">
        <f>Valores!$C$31</f>
        <v>279.8</v>
      </c>
      <c r="AD44" s="140">
        <f t="shared" si="6"/>
        <v>0</v>
      </c>
      <c r="AE44" s="140">
        <f>Valores!$C$32</f>
        <v>279.8</v>
      </c>
      <c r="AF44" s="144">
        <v>0</v>
      </c>
      <c r="AG44" s="140">
        <f>INT(((AF44*Valores!$C$2)*100)+0.5)/100</f>
        <v>0</v>
      </c>
      <c r="AH44" s="140">
        <f>IF($H$5="NO",Valores!$C$60,Valores!$C$60/2)</f>
        <v>569.14</v>
      </c>
      <c r="AI44" s="140">
        <f>IF($H$5="NO",Valores!$C$62,Valores!$C$62/2)</f>
        <v>162.61000000000001</v>
      </c>
      <c r="AJ44" s="146">
        <f t="shared" si="7"/>
        <v>77515.118000000017</v>
      </c>
      <c r="AK44" s="142">
        <f>Valores!$C$37</f>
        <v>1465.56</v>
      </c>
      <c r="AL44" s="143">
        <f>Valores!$C$85</f>
        <v>2275</v>
      </c>
      <c r="AM44" s="143"/>
      <c r="AN44" s="145">
        <f>IF($H$4="NO",0,Valores!$C$53)</f>
        <v>170.34</v>
      </c>
      <c r="AO44" s="147">
        <f t="shared" si="5"/>
        <v>3910.9</v>
      </c>
      <c r="AP44" s="148">
        <f>AJ44*Valores!$C$69</f>
        <v>-8526.6629800000028</v>
      </c>
      <c r="AQ44" s="148">
        <f>AJ44*-Valores!$C$70</f>
        <v>0</v>
      </c>
      <c r="AR44" s="142">
        <f>AJ44*Valores!$C$71</f>
        <v>-3488.1803100000006</v>
      </c>
      <c r="AS44" s="142">
        <f>Valores!$C$95</f>
        <v>-193.38</v>
      </c>
      <c r="AT44" s="142">
        <f>IF($H$6=0,Valores!$C$96,(Valores!$C$96+$H$6*(Valores!$C$96)))</f>
        <v>-178</v>
      </c>
      <c r="AU44" s="146">
        <f t="shared" si="8"/>
        <v>69039.794710000016</v>
      </c>
      <c r="AV44" s="199">
        <f t="shared" si="0"/>
        <v>-8526.6629800000028</v>
      </c>
      <c r="AW44" s="142">
        <f>AJ44*Valores!$C$72</f>
        <v>-2092.9081860000006</v>
      </c>
      <c r="AX44" s="142">
        <f>AJ44*Valores!$C$73</f>
        <v>-232.54535400000006</v>
      </c>
      <c r="AY44" s="146">
        <f t="shared" si="9"/>
        <v>70573.90148</v>
      </c>
      <c r="AZ44" s="150"/>
      <c r="BA44" s="150">
        <v>45</v>
      </c>
      <c r="BB44" s="135" t="s">
        <v>4</v>
      </c>
    </row>
    <row r="45" spans="1:54" s="114" customFormat="1" ht="11.25" customHeight="1" x14ac:dyDescent="0.15">
      <c r="A45" s="134">
        <v>42</v>
      </c>
      <c r="B45" s="134"/>
      <c r="C45" s="135" t="s">
        <v>203</v>
      </c>
      <c r="D45" s="135"/>
      <c r="E45" s="135">
        <f t="shared" si="1"/>
        <v>31</v>
      </c>
      <c r="F45" s="136" t="s">
        <v>204</v>
      </c>
      <c r="G45" s="137">
        <v>72</v>
      </c>
      <c r="H45" s="138">
        <f>INT((G45*Valores!$C$2*100)+0.5)/100</f>
        <v>963.55</v>
      </c>
      <c r="I45" s="139">
        <v>2471</v>
      </c>
      <c r="J45" s="140">
        <f>INT((I45*Valores!$C$2*100)+0.5)/100</f>
        <v>33068.400000000001</v>
      </c>
      <c r="K45" s="141">
        <v>199</v>
      </c>
      <c r="L45" s="140">
        <f>INT((K45*Valores!$C$2*100)+0.5)/100</f>
        <v>2663.14</v>
      </c>
      <c r="M45" s="137">
        <v>0</v>
      </c>
      <c r="N45" s="140">
        <f>INT((M45*Valores!$C$2*100)+0.5)/100</f>
        <v>0</v>
      </c>
      <c r="O45" s="140">
        <f t="shared" si="2"/>
        <v>6799.2974999999997</v>
      </c>
      <c r="P45" s="140">
        <f t="shared" si="3"/>
        <v>0</v>
      </c>
      <c r="Q45" s="142">
        <f>Valores!$C$16</f>
        <v>14032.86</v>
      </c>
      <c r="R45" s="142">
        <f>Valores!$D$4</f>
        <v>6841.19</v>
      </c>
      <c r="S45" s="140">
        <v>0</v>
      </c>
      <c r="T45" s="143">
        <f>IF($H$5="NO",Valores!$C$44,Valores!$C$44/2)</f>
        <v>2267.75</v>
      </c>
      <c r="U45" s="140">
        <f>Valores!$C$25</f>
        <v>6365.81</v>
      </c>
      <c r="V45" s="140">
        <f t="shared" si="4"/>
        <v>6365.81</v>
      </c>
      <c r="W45" s="140">
        <v>0</v>
      </c>
      <c r="X45" s="140">
        <v>0</v>
      </c>
      <c r="Y45" s="144">
        <v>0</v>
      </c>
      <c r="Z45" s="140">
        <f>Y45*Valores!$C$2</f>
        <v>0</v>
      </c>
      <c r="AA45" s="140">
        <v>0</v>
      </c>
      <c r="AB45" s="143">
        <f>Valores!$C$90</f>
        <v>2575.39</v>
      </c>
      <c r="AC45" s="145">
        <f>Valores!$C$31</f>
        <v>279.8</v>
      </c>
      <c r="AD45" s="140">
        <f t="shared" si="6"/>
        <v>0</v>
      </c>
      <c r="AE45" s="140">
        <f>Valores!$C$32</f>
        <v>279.8</v>
      </c>
      <c r="AF45" s="144">
        <v>0</v>
      </c>
      <c r="AG45" s="140">
        <f>INT(((AF45*Valores!$C$2)*100)+0.5)/100</f>
        <v>0</v>
      </c>
      <c r="AH45" s="140">
        <f>IF($H$5="NO",Valores!$C$60,Valores!$C$60/2)</f>
        <v>569.14</v>
      </c>
      <c r="AI45" s="140">
        <f>IF($H$5="NO",Valores!$C$62,Valores!$C$62/2)</f>
        <v>162.61000000000001</v>
      </c>
      <c r="AJ45" s="146">
        <f t="shared" si="7"/>
        <v>76868.737500000017</v>
      </c>
      <c r="AK45" s="142">
        <f>Valores!$C$37</f>
        <v>1465.56</v>
      </c>
      <c r="AL45" s="143">
        <f>Valores!$C$85</f>
        <v>2275</v>
      </c>
      <c r="AM45" s="143"/>
      <c r="AN45" s="145">
        <f>IF($H$4="NO",0,Valores!$C$53)</f>
        <v>170.34</v>
      </c>
      <c r="AO45" s="147">
        <f t="shared" si="5"/>
        <v>3910.9</v>
      </c>
      <c r="AP45" s="148">
        <f>AJ45*Valores!$C$69</f>
        <v>-8455.561125000002</v>
      </c>
      <c r="AQ45" s="148">
        <f>AJ45*-Valores!$C$70</f>
        <v>0</v>
      </c>
      <c r="AR45" s="142">
        <f>AJ45*Valores!$C$71</f>
        <v>-3459.0931875000006</v>
      </c>
      <c r="AS45" s="142">
        <f>Valores!$C$95</f>
        <v>-193.38</v>
      </c>
      <c r="AT45" s="142">
        <f>IF($H$6=0,Valores!$C$96,(Valores!$C$96+$H$6*(Valores!$C$96)))</f>
        <v>-178</v>
      </c>
      <c r="AU45" s="146">
        <f t="shared" si="8"/>
        <v>68493.603187500019</v>
      </c>
      <c r="AV45" s="199">
        <f t="shared" si="0"/>
        <v>-8455.561125000002</v>
      </c>
      <c r="AW45" s="142">
        <f>AJ45*Valores!$C$72</f>
        <v>-2075.4559125000005</v>
      </c>
      <c r="AX45" s="142">
        <f>AJ45*Valores!$C$73</f>
        <v>-230.60621250000005</v>
      </c>
      <c r="AY45" s="146">
        <f t="shared" si="9"/>
        <v>70018.014250000007</v>
      </c>
      <c r="AZ45" s="150"/>
      <c r="BA45" s="150">
        <v>45</v>
      </c>
      <c r="BB45" s="135" t="s">
        <v>4</v>
      </c>
    </row>
    <row r="46" spans="1:54" s="114" customFormat="1" ht="11.25" customHeight="1" x14ac:dyDescent="0.15">
      <c r="A46" s="134">
        <v>43</v>
      </c>
      <c r="B46" s="134"/>
      <c r="C46" s="135" t="s">
        <v>205</v>
      </c>
      <c r="D46" s="135"/>
      <c r="E46" s="135">
        <f t="shared" si="1"/>
        <v>31</v>
      </c>
      <c r="F46" s="136" t="s">
        <v>206</v>
      </c>
      <c r="G46" s="137">
        <f>G40</f>
        <v>85</v>
      </c>
      <c r="H46" s="138">
        <f>INT((G46*Valores!$C$2*100)+0.5)/100</f>
        <v>1137.52</v>
      </c>
      <c r="I46" s="139">
        <f>I40</f>
        <v>3498</v>
      </c>
      <c r="J46" s="140">
        <f>INT((I46*Valores!$C$2*100)+0.5)/100</f>
        <v>46812.33</v>
      </c>
      <c r="K46" s="141">
        <f>K40</f>
        <v>1209</v>
      </c>
      <c r="L46" s="140">
        <f>INT((K46*Valores!$C$2*100)+0.5)/100</f>
        <v>16179.56</v>
      </c>
      <c r="M46" s="153">
        <v>0</v>
      </c>
      <c r="N46" s="140">
        <f>INT((M46*Valores!$C$2*100)+0.5)/100</f>
        <v>0</v>
      </c>
      <c r="O46" s="140">
        <f t="shared" si="2"/>
        <v>11075.068500000001</v>
      </c>
      <c r="P46" s="140">
        <f t="shared" si="3"/>
        <v>0</v>
      </c>
      <c r="Q46" s="142">
        <f>Q40</f>
        <v>25171.69</v>
      </c>
      <c r="R46" s="142">
        <f>R40</f>
        <v>6841.19</v>
      </c>
      <c r="S46" s="154">
        <v>0</v>
      </c>
      <c r="T46" s="143">
        <f>IF($H$5="NO",Valores!$C$45,Valores!$C$45/2)</f>
        <v>3338.57</v>
      </c>
      <c r="U46" s="154">
        <f>U40</f>
        <v>6365.81</v>
      </c>
      <c r="V46" s="140">
        <f t="shared" si="4"/>
        <v>6365.81</v>
      </c>
      <c r="W46" s="140">
        <v>0</v>
      </c>
      <c r="X46" s="140">
        <v>0</v>
      </c>
      <c r="Y46" s="144">
        <v>0</v>
      </c>
      <c r="Z46" s="140">
        <f>Y46*Valores!$C$2</f>
        <v>0</v>
      </c>
      <c r="AA46" s="140">
        <v>0</v>
      </c>
      <c r="AB46" s="142">
        <f>AB40</f>
        <v>5150.78</v>
      </c>
      <c r="AC46" s="154">
        <f>Valores!$C$31</f>
        <v>279.8</v>
      </c>
      <c r="AD46" s="140">
        <f t="shared" si="6"/>
        <v>0</v>
      </c>
      <c r="AE46" s="154">
        <f>Valores!$C$32</f>
        <v>279.8</v>
      </c>
      <c r="AF46" s="144">
        <v>0</v>
      </c>
      <c r="AG46" s="142">
        <f>INT(((AF46*Valores!$C$2)*100)+0.5)/100</f>
        <v>0</v>
      </c>
      <c r="AH46" s="140">
        <f>IF($H$5="NO",Valores!$C$60,Valores!$C$60/2)</f>
        <v>569.14</v>
      </c>
      <c r="AI46" s="140">
        <f>IF($H$5="NO",Valores!$C$62,Valores!$C$62/2)</f>
        <v>162.61000000000001</v>
      </c>
      <c r="AJ46" s="146">
        <f t="shared" si="7"/>
        <v>123363.86850000001</v>
      </c>
      <c r="AK46" s="142">
        <f>Valores!$C$37</f>
        <v>1465.56</v>
      </c>
      <c r="AL46" s="142">
        <f>AL40</f>
        <v>4550</v>
      </c>
      <c r="AM46" s="143"/>
      <c r="AN46" s="145">
        <f>IF($H$4="NO",0,Valores!$C$52)</f>
        <v>327.60000000000002</v>
      </c>
      <c r="AO46" s="147">
        <f t="shared" si="5"/>
        <v>6343.16</v>
      </c>
      <c r="AP46" s="148">
        <f>AJ46*Valores!$C$69</f>
        <v>-13570.025535000001</v>
      </c>
      <c r="AQ46" s="148">
        <f>AJ46*-Valores!$C$70</f>
        <v>0</v>
      </c>
      <c r="AR46" s="142">
        <f>AJ46*Valores!$C$71</f>
        <v>-5551.3740825000004</v>
      </c>
      <c r="AS46" s="142">
        <f>Valores!$C$95</f>
        <v>-193.38</v>
      </c>
      <c r="AT46" s="142">
        <f>IF($H$6=0,Valores!$C$96,(Valores!$C$96+$H$6*(Valores!$C$96)))</f>
        <v>-178</v>
      </c>
      <c r="AU46" s="146">
        <f t="shared" si="8"/>
        <v>110214.24888250002</v>
      </c>
      <c r="AV46" s="199">
        <f t="shared" si="0"/>
        <v>-13570.025535000001</v>
      </c>
      <c r="AW46" s="142">
        <f>AJ46*Valores!$C$72</f>
        <v>-3330.8244495000004</v>
      </c>
      <c r="AX46" s="142">
        <f>AJ46*Valores!$C$73</f>
        <v>-370.09160550000001</v>
      </c>
      <c r="AY46" s="146">
        <f t="shared" si="9"/>
        <v>112436.08691000001</v>
      </c>
      <c r="AZ46" s="150"/>
      <c r="BA46" s="150">
        <v>45</v>
      </c>
      <c r="BB46" s="135" t="s">
        <v>8</v>
      </c>
    </row>
    <row r="47" spans="1:54" s="114" customFormat="1" ht="11.25" customHeight="1" x14ac:dyDescent="0.15">
      <c r="A47" s="134">
        <v>44</v>
      </c>
      <c r="B47" s="134"/>
      <c r="C47" s="135" t="s">
        <v>207</v>
      </c>
      <c r="D47" s="135"/>
      <c r="E47" s="135">
        <f t="shared" si="1"/>
        <v>26</v>
      </c>
      <c r="F47" s="136" t="s">
        <v>208</v>
      </c>
      <c r="G47" s="137">
        <f>G89+G306</f>
        <v>518</v>
      </c>
      <c r="H47" s="138">
        <f>INT((G47*Valores!$C$2*100)+0.5)/100</f>
        <v>6932.19</v>
      </c>
      <c r="I47" s="139">
        <f>I89+I306</f>
        <v>1997</v>
      </c>
      <c r="J47" s="140">
        <f>INT((I47*Valores!$C$2*100)+0.5)/100</f>
        <v>26725.05</v>
      </c>
      <c r="K47" s="155">
        <v>0</v>
      </c>
      <c r="L47" s="140">
        <f>INT((K47*Valores!$C$2*100)+0.5)/100</f>
        <v>0</v>
      </c>
      <c r="M47" s="153">
        <v>0</v>
      </c>
      <c r="N47" s="140">
        <f>INT((M47*Valores!$C$2*100)+0.5)/100</f>
        <v>0</v>
      </c>
      <c r="O47" s="140">
        <f t="shared" si="2"/>
        <v>6415.2824999999993</v>
      </c>
      <c r="P47" s="140">
        <f t="shared" si="3"/>
        <v>0</v>
      </c>
      <c r="Q47" s="142">
        <f t="shared" ref="Q47:V47" si="12">Q89+Q306</f>
        <v>16552.86</v>
      </c>
      <c r="R47" s="142">
        <f t="shared" si="12"/>
        <v>6841.19</v>
      </c>
      <c r="S47" s="154">
        <f t="shared" si="12"/>
        <v>6103.41</v>
      </c>
      <c r="T47" s="154">
        <f t="shared" si="12"/>
        <v>2745.5</v>
      </c>
      <c r="U47" s="154">
        <f t="shared" si="12"/>
        <v>6365.81</v>
      </c>
      <c r="V47" s="142">
        <f t="shared" si="12"/>
        <v>6365.81</v>
      </c>
      <c r="W47" s="140">
        <v>0</v>
      </c>
      <c r="X47" s="140">
        <v>0</v>
      </c>
      <c r="Y47" s="144">
        <v>0</v>
      </c>
      <c r="Z47" s="140">
        <f>Y47*Valores!$C$2</f>
        <v>0</v>
      </c>
      <c r="AA47" s="140">
        <v>0</v>
      </c>
      <c r="AB47" s="142">
        <f>AB89+AB306</f>
        <v>2575.39</v>
      </c>
      <c r="AC47" s="142">
        <f>Valores!$C$31</f>
        <v>279.8</v>
      </c>
      <c r="AD47" s="140">
        <f t="shared" si="6"/>
        <v>0</v>
      </c>
      <c r="AE47" s="210">
        <f>Valores!$C$32</f>
        <v>279.8</v>
      </c>
      <c r="AF47" s="144">
        <v>0</v>
      </c>
      <c r="AG47" s="140">
        <f>INT(((AF47*Valores!$C$2)*100)+0.5)/100</f>
        <v>0</v>
      </c>
      <c r="AH47" s="140">
        <f>IF($H$5="NO",Valores!$C$60,Valores!$C$60/2)</f>
        <v>569.14</v>
      </c>
      <c r="AI47" s="140">
        <f>IF($H$5="NO",Valores!$C$62,Valores!$C$62/2)</f>
        <v>162.61000000000001</v>
      </c>
      <c r="AJ47" s="146">
        <f t="shared" si="7"/>
        <v>82548.032500000001</v>
      </c>
      <c r="AK47" s="142">
        <f>Valores!$C$37</f>
        <v>1465.56</v>
      </c>
      <c r="AL47" s="142">
        <f>AL89+AL306</f>
        <v>2275</v>
      </c>
      <c r="AM47" s="143"/>
      <c r="AN47" s="145">
        <f>IF($H$4="NO",0,Valores!$C$53)</f>
        <v>170.34</v>
      </c>
      <c r="AO47" s="147">
        <f t="shared" si="5"/>
        <v>3910.9</v>
      </c>
      <c r="AP47" s="148">
        <f>AJ47*Valores!$C$69</f>
        <v>-9080.2835749999995</v>
      </c>
      <c r="AQ47" s="148">
        <f>AJ47*-Valores!$C$70</f>
        <v>0</v>
      </c>
      <c r="AR47" s="142">
        <f>AJ47*Valores!$C$71</f>
        <v>-3714.6614624999997</v>
      </c>
      <c r="AS47" s="142">
        <f>Valores!$C$95</f>
        <v>-193.38</v>
      </c>
      <c r="AT47" s="142">
        <f>IF($H$6=0,Valores!$C$96,(Valores!$C$96+$H$6*(Valores!$C$96)))</f>
        <v>-178</v>
      </c>
      <c r="AU47" s="146">
        <f t="shared" si="8"/>
        <v>73292.607462500004</v>
      </c>
      <c r="AV47" s="199">
        <f t="shared" si="0"/>
        <v>-9080.2835749999995</v>
      </c>
      <c r="AW47" s="142">
        <f>AJ47*Valores!$C$72</f>
        <v>-2228.7968774999999</v>
      </c>
      <c r="AX47" s="142">
        <f>AJ47*Valores!$C$73</f>
        <v>-247.64409750000002</v>
      </c>
      <c r="AY47" s="146">
        <f t="shared" si="9"/>
        <v>74902.207949999996</v>
      </c>
      <c r="AZ47" s="150"/>
      <c r="BA47" s="150"/>
      <c r="BB47" s="135" t="s">
        <v>8</v>
      </c>
    </row>
    <row r="48" spans="1:54" s="114" customFormat="1" ht="11.25" customHeight="1" x14ac:dyDescent="0.15">
      <c r="A48" s="152">
        <v>45</v>
      </c>
      <c r="B48" s="152" t="s">
        <v>139</v>
      </c>
      <c r="C48" s="135" t="s">
        <v>209</v>
      </c>
      <c r="D48" s="135"/>
      <c r="E48" s="135">
        <f t="shared" si="1"/>
        <v>33</v>
      </c>
      <c r="F48" s="136" t="s">
        <v>210</v>
      </c>
      <c r="G48" s="137">
        <f>G56+G240</f>
        <v>572</v>
      </c>
      <c r="H48" s="138">
        <f>INT((G48*Valores!$C$2*100)+0.5)/100</f>
        <v>7654.85</v>
      </c>
      <c r="I48" s="156">
        <f>I56+I240</f>
        <v>2686</v>
      </c>
      <c r="J48" s="140">
        <f>INT((I48*Valores!$C$2*100)+0.5)/100</f>
        <v>35945.660000000003</v>
      </c>
      <c r="K48" s="155">
        <v>0</v>
      </c>
      <c r="L48" s="140">
        <f>INT((K48*Valores!$C$2*100)+0.5)/100</f>
        <v>0</v>
      </c>
      <c r="M48" s="153">
        <v>0</v>
      </c>
      <c r="N48" s="140">
        <f>INT((M48*Valores!$C$2*100)+0.5)/100</f>
        <v>0</v>
      </c>
      <c r="O48" s="140">
        <f t="shared" si="2"/>
        <v>8049.5715</v>
      </c>
      <c r="P48" s="140">
        <f t="shared" si="3"/>
        <v>0</v>
      </c>
      <c r="Q48" s="140">
        <f>Q56+Q240</f>
        <v>16755.900000000001</v>
      </c>
      <c r="R48" s="142">
        <f>Valores!$D$4</f>
        <v>6841.19</v>
      </c>
      <c r="S48" s="140">
        <f>S56+S240</f>
        <v>6103.41</v>
      </c>
      <c r="T48" s="143">
        <f>T56+T240</f>
        <v>2841.05</v>
      </c>
      <c r="U48" s="140">
        <f>U56+U240</f>
        <v>7222.25</v>
      </c>
      <c r="V48" s="140">
        <f t="shared" ref="V48:V111" si="13">U48*(1+$J$2)</f>
        <v>7222.25</v>
      </c>
      <c r="W48" s="140">
        <v>0</v>
      </c>
      <c r="X48" s="140">
        <v>0</v>
      </c>
      <c r="Y48" s="144">
        <v>0</v>
      </c>
      <c r="Z48" s="140">
        <f>Y48*Valores!$C$2</f>
        <v>0</v>
      </c>
      <c r="AA48" s="140">
        <v>0</v>
      </c>
      <c r="AB48" s="140">
        <f>AB56+AB240</f>
        <v>3878.21</v>
      </c>
      <c r="AC48" s="140">
        <f>AC56+AC240</f>
        <v>347.06</v>
      </c>
      <c r="AD48" s="140">
        <f t="shared" si="6"/>
        <v>0</v>
      </c>
      <c r="AE48" s="140">
        <f>Valores!$C$32</f>
        <v>279.8</v>
      </c>
      <c r="AF48" s="144">
        <v>0</v>
      </c>
      <c r="AG48" s="140">
        <f>INT(((AF48*Valores!$C$2)*100)+0.5)/100</f>
        <v>0</v>
      </c>
      <c r="AH48" s="145">
        <f>AH56+AH240</f>
        <v>796.78</v>
      </c>
      <c r="AI48" s="145">
        <f>AI56+AI240</f>
        <v>227.714</v>
      </c>
      <c r="AJ48" s="146">
        <f t="shared" si="7"/>
        <v>96943.445500000016</v>
      </c>
      <c r="AK48" s="145">
        <f>AK56+AK240</f>
        <v>2051.7600000000002</v>
      </c>
      <c r="AL48" s="140">
        <f>AL56+AL240</f>
        <v>3412.5</v>
      </c>
      <c r="AM48" s="140"/>
      <c r="AN48" s="145">
        <f>IF($H$4="NO",0,Valores!$C$53)</f>
        <v>170.34</v>
      </c>
      <c r="AO48" s="147">
        <f t="shared" si="5"/>
        <v>5634.6</v>
      </c>
      <c r="AP48" s="148">
        <f>AJ48*Valores!$C$69</f>
        <v>-10663.779005000002</v>
      </c>
      <c r="AQ48" s="148">
        <f>AJ48*-Valores!$C$70</f>
        <v>0</v>
      </c>
      <c r="AR48" s="142">
        <f>AJ48*Valores!$C$71</f>
        <v>-4362.4550475000005</v>
      </c>
      <c r="AS48" s="142">
        <f>Valores!$C$95</f>
        <v>-193.38</v>
      </c>
      <c r="AT48" s="142">
        <f>IF($H$6=0,Valores!$C$96,(Valores!$C$96+$H$6*(Valores!$C$96)))</f>
        <v>-178</v>
      </c>
      <c r="AU48" s="146">
        <f t="shared" si="8"/>
        <v>87180.431447500014</v>
      </c>
      <c r="AV48" s="199">
        <f t="shared" si="0"/>
        <v>-10663.779005000002</v>
      </c>
      <c r="AW48" s="142">
        <f>AJ48*Valores!$C$72</f>
        <v>-2617.4730285000005</v>
      </c>
      <c r="AX48" s="142">
        <f>AJ48*Valores!$C$73</f>
        <v>-290.83033650000004</v>
      </c>
      <c r="AY48" s="146">
        <f t="shared" si="9"/>
        <v>89005.963130000018</v>
      </c>
      <c r="AZ48" s="150"/>
      <c r="BA48" s="150"/>
      <c r="BB48" s="135" t="s">
        <v>8</v>
      </c>
    </row>
    <row r="49" spans="1:54" s="114" customFormat="1" ht="11.25" customHeight="1" x14ac:dyDescent="0.15">
      <c r="A49" s="134">
        <v>46</v>
      </c>
      <c r="B49" s="134"/>
      <c r="C49" s="135" t="s">
        <v>211</v>
      </c>
      <c r="D49" s="135"/>
      <c r="E49" s="135">
        <f t="shared" si="1"/>
        <v>33</v>
      </c>
      <c r="F49" s="136" t="s">
        <v>212</v>
      </c>
      <c r="G49" s="137">
        <v>108</v>
      </c>
      <c r="H49" s="138">
        <f>INT((G49*Valores!$C$2*100)+0.5)/100</f>
        <v>1445.32</v>
      </c>
      <c r="I49" s="139">
        <v>2907</v>
      </c>
      <c r="J49" s="140">
        <f>INT((I49*Valores!$C$2*100)+0.5)/100</f>
        <v>38903.22</v>
      </c>
      <c r="K49" s="155">
        <v>0</v>
      </c>
      <c r="L49" s="140">
        <f>INT((K49*Valores!$C$2*100)+0.5)/100</f>
        <v>0</v>
      </c>
      <c r="M49" s="137">
        <v>0</v>
      </c>
      <c r="N49" s="140">
        <f>INT((M49*Valores!$C$2*100)+0.5)/100</f>
        <v>0</v>
      </c>
      <c r="O49" s="140">
        <f t="shared" si="2"/>
        <v>7347.3149999999996</v>
      </c>
      <c r="P49" s="140">
        <f t="shared" si="3"/>
        <v>0</v>
      </c>
      <c r="Q49" s="142">
        <f>Valores!$C$16</f>
        <v>14032.86</v>
      </c>
      <c r="R49" s="142">
        <f>Valores!$D$4</f>
        <v>6841.19</v>
      </c>
      <c r="S49" s="154">
        <f>Valores!$C$28</f>
        <v>6103.41</v>
      </c>
      <c r="T49" s="143">
        <f>IF($H$5="NO",Valores!$C$44,Valores!$C$44/2)</f>
        <v>2267.75</v>
      </c>
      <c r="U49" s="140">
        <f>Valores!$C$25</f>
        <v>6365.81</v>
      </c>
      <c r="V49" s="140">
        <f t="shared" si="13"/>
        <v>6365.81</v>
      </c>
      <c r="W49" s="140">
        <v>0</v>
      </c>
      <c r="X49" s="140">
        <v>0</v>
      </c>
      <c r="Y49" s="144">
        <v>0</v>
      </c>
      <c r="Z49" s="140">
        <f>Y49*Valores!$C$2</f>
        <v>0</v>
      </c>
      <c r="AA49" s="140">
        <v>0</v>
      </c>
      <c r="AB49" s="143">
        <f>Valores!$C$91</f>
        <v>3090.47</v>
      </c>
      <c r="AC49" s="145">
        <f>Valores!$C$31</f>
        <v>279.8</v>
      </c>
      <c r="AD49" s="140">
        <f t="shared" si="6"/>
        <v>0</v>
      </c>
      <c r="AE49" s="140">
        <f>Valores!$C$32</f>
        <v>279.8</v>
      </c>
      <c r="AF49" s="144">
        <v>0</v>
      </c>
      <c r="AG49" s="140">
        <f>INT(((AF49*Valores!$C$2)*100)+0.5)/100</f>
        <v>0</v>
      </c>
      <c r="AH49" s="140">
        <f>IF($H$5="NO",Valores!$C$60,Valores!$C$60/2)</f>
        <v>569.14</v>
      </c>
      <c r="AI49" s="140">
        <f>IF($H$5="NO",Valores!$C$62,Valores!$C$62/2)</f>
        <v>162.61000000000001</v>
      </c>
      <c r="AJ49" s="146">
        <f t="shared" si="7"/>
        <v>87688.695000000007</v>
      </c>
      <c r="AK49" s="142">
        <f>Valores!$C$37</f>
        <v>1465.56</v>
      </c>
      <c r="AL49" s="143">
        <f>Valores!$C$86</f>
        <v>2730</v>
      </c>
      <c r="AM49" s="143"/>
      <c r="AN49" s="145">
        <f>IF($H$4="NO",0,Valores!$C$53)</f>
        <v>170.34</v>
      </c>
      <c r="AO49" s="147">
        <f t="shared" si="5"/>
        <v>4365.8999999999996</v>
      </c>
      <c r="AP49" s="148">
        <f>AJ49*Valores!$C$69</f>
        <v>-9645.7564500000008</v>
      </c>
      <c r="AQ49" s="148">
        <f>AJ49*-Valores!$C$70</f>
        <v>0</v>
      </c>
      <c r="AR49" s="142">
        <f>AJ49*Valores!$C$71</f>
        <v>-3945.9912750000003</v>
      </c>
      <c r="AS49" s="142">
        <f>Valores!$C$95</f>
        <v>-193.38</v>
      </c>
      <c r="AT49" s="142">
        <f>IF($H$6=0,Valores!$C$96,(Valores!$C$96+$H$6*(Valores!$C$96)))</f>
        <v>-178</v>
      </c>
      <c r="AU49" s="146">
        <f t="shared" si="8"/>
        <v>78091.467275000003</v>
      </c>
      <c r="AV49" s="199">
        <f t="shared" si="0"/>
        <v>-9645.7564500000008</v>
      </c>
      <c r="AW49" s="142">
        <f>AJ49*Valores!$C$72</f>
        <v>-2367.5947650000003</v>
      </c>
      <c r="AX49" s="142">
        <f>AJ49*Valores!$C$73</f>
        <v>-263.06608500000004</v>
      </c>
      <c r="AY49" s="146">
        <f t="shared" si="9"/>
        <v>79778.1777</v>
      </c>
      <c r="AZ49" s="150"/>
      <c r="BA49" s="150">
        <v>30</v>
      </c>
      <c r="BB49" s="135" t="s">
        <v>4</v>
      </c>
    </row>
    <row r="50" spans="1:54" s="114" customFormat="1" ht="11.25" customHeight="1" x14ac:dyDescent="0.15">
      <c r="A50" s="134">
        <v>47</v>
      </c>
      <c r="B50" s="134"/>
      <c r="C50" s="135" t="s">
        <v>213</v>
      </c>
      <c r="D50" s="135"/>
      <c r="E50" s="135">
        <f t="shared" si="1"/>
        <v>33</v>
      </c>
      <c r="F50" s="136" t="s">
        <v>214</v>
      </c>
      <c r="G50" s="137">
        <v>88</v>
      </c>
      <c r="H50" s="138">
        <f>INT((G50*Valores!$C$2*100)+0.5)/100</f>
        <v>1177.67</v>
      </c>
      <c r="I50" s="139">
        <v>2622</v>
      </c>
      <c r="J50" s="140">
        <f>INT((I50*Valores!$C$2*100)+0.5)/100</f>
        <v>35089.18</v>
      </c>
      <c r="K50" s="155">
        <v>0</v>
      </c>
      <c r="L50" s="140">
        <f>INT((K50*Valores!$C$2*100)+0.5)/100</f>
        <v>0</v>
      </c>
      <c r="M50" s="153">
        <v>0</v>
      </c>
      <c r="N50" s="140">
        <f>INT((M50*Valores!$C$2*100)+0.5)/100</f>
        <v>0</v>
      </c>
      <c r="O50" s="140">
        <f t="shared" si="2"/>
        <v>6735.0614999999989</v>
      </c>
      <c r="P50" s="140">
        <f t="shared" si="3"/>
        <v>0</v>
      </c>
      <c r="Q50" s="142">
        <f>Valores!$C$16</f>
        <v>14032.86</v>
      </c>
      <c r="R50" s="142">
        <f>Valores!$D$4</f>
        <v>6841.19</v>
      </c>
      <c r="S50" s="154">
        <f>Valores!$C$28</f>
        <v>6103.41</v>
      </c>
      <c r="T50" s="143">
        <f>IF($H$5="NO",Valores!$C$44,Valores!$C$44/2)</f>
        <v>2267.75</v>
      </c>
      <c r="U50" s="140">
        <f>Valores!$C$25</f>
        <v>6365.81</v>
      </c>
      <c r="V50" s="140">
        <f t="shared" si="13"/>
        <v>6365.81</v>
      </c>
      <c r="W50" s="140">
        <v>0</v>
      </c>
      <c r="X50" s="140">
        <v>0</v>
      </c>
      <c r="Y50" s="144">
        <v>0</v>
      </c>
      <c r="Z50" s="140">
        <f>Y50*Valores!$C$2</f>
        <v>0</v>
      </c>
      <c r="AA50" s="140">
        <v>0</v>
      </c>
      <c r="AB50" s="143">
        <f>Valores!$C$91</f>
        <v>3090.47</v>
      </c>
      <c r="AC50" s="145">
        <f>Valores!$C$31</f>
        <v>279.8</v>
      </c>
      <c r="AD50" s="140">
        <f t="shared" si="6"/>
        <v>0</v>
      </c>
      <c r="AE50" s="140">
        <f>Valores!$C$32</f>
        <v>279.8</v>
      </c>
      <c r="AF50" s="144">
        <v>0</v>
      </c>
      <c r="AG50" s="140">
        <f>INT(((AF50*Valores!$C$2)*100)+0.5)/100</f>
        <v>0</v>
      </c>
      <c r="AH50" s="140">
        <f>IF($H$5="NO",Valores!$C$60,Valores!$C$60/2)</f>
        <v>569.14</v>
      </c>
      <c r="AI50" s="140">
        <f>IF($H$5="NO",Valores!$C$62,Valores!$C$62/2)</f>
        <v>162.61000000000001</v>
      </c>
      <c r="AJ50" s="146">
        <f t="shared" si="7"/>
        <v>82994.751499999998</v>
      </c>
      <c r="AK50" s="142">
        <f>Valores!$C$37</f>
        <v>1465.56</v>
      </c>
      <c r="AL50" s="143">
        <f>Valores!$C$86</f>
        <v>2730</v>
      </c>
      <c r="AM50" s="143"/>
      <c r="AN50" s="145">
        <f>IF($H$4="NO",0,Valores!$C$53)</f>
        <v>170.34</v>
      </c>
      <c r="AO50" s="147">
        <f t="shared" si="5"/>
        <v>4365.8999999999996</v>
      </c>
      <c r="AP50" s="148">
        <f>AJ50*Valores!$C$69</f>
        <v>-9129.4226650000001</v>
      </c>
      <c r="AQ50" s="148">
        <f>AJ50*-Valores!$C$70</f>
        <v>0</v>
      </c>
      <c r="AR50" s="142">
        <f>AJ50*Valores!$C$71</f>
        <v>-3734.7638174999997</v>
      </c>
      <c r="AS50" s="142">
        <f>Valores!$C$95</f>
        <v>-193.38</v>
      </c>
      <c r="AT50" s="142">
        <f>IF($H$6=0,Valores!$C$96,(Valores!$C$96+$H$6*(Valores!$C$96)))</f>
        <v>-178</v>
      </c>
      <c r="AU50" s="146">
        <f t="shared" si="8"/>
        <v>74125.085017499994</v>
      </c>
      <c r="AV50" s="199">
        <f t="shared" si="0"/>
        <v>-9129.4226650000001</v>
      </c>
      <c r="AW50" s="142">
        <f>AJ50*Valores!$C$72</f>
        <v>-2240.8582904999998</v>
      </c>
      <c r="AX50" s="142">
        <f>AJ50*Valores!$C$73</f>
        <v>-248.98425449999999</v>
      </c>
      <c r="AY50" s="146">
        <f t="shared" si="9"/>
        <v>75741.386289999995</v>
      </c>
      <c r="AZ50" s="150"/>
      <c r="BA50" s="150">
        <v>30</v>
      </c>
      <c r="BB50" s="135" t="s">
        <v>4</v>
      </c>
    </row>
    <row r="51" spans="1:54" s="114" customFormat="1" ht="11.25" customHeight="1" x14ac:dyDescent="0.15">
      <c r="A51" s="134">
        <v>48</v>
      </c>
      <c r="B51" s="134"/>
      <c r="C51" s="135" t="s">
        <v>215</v>
      </c>
      <c r="D51" s="135"/>
      <c r="E51" s="135">
        <f t="shared" si="1"/>
        <v>31</v>
      </c>
      <c r="F51" s="136" t="s">
        <v>216</v>
      </c>
      <c r="G51" s="137">
        <v>88</v>
      </c>
      <c r="H51" s="138">
        <f>INT((G51*Valores!$C$2*100)+0.5)/100</f>
        <v>1177.67</v>
      </c>
      <c r="I51" s="139">
        <v>2622</v>
      </c>
      <c r="J51" s="140">
        <f>INT((I51*Valores!$C$2*100)+0.5)/100</f>
        <v>35089.18</v>
      </c>
      <c r="K51" s="155">
        <v>0</v>
      </c>
      <c r="L51" s="140">
        <f>INT((K51*Valores!$C$2*100)+0.5)/100</f>
        <v>0</v>
      </c>
      <c r="M51" s="153">
        <v>0</v>
      </c>
      <c r="N51" s="140">
        <f>INT((M51*Valores!$C$2*100)+0.5)/100</f>
        <v>0</v>
      </c>
      <c r="O51" s="140">
        <f t="shared" si="2"/>
        <v>6735.0614999999989</v>
      </c>
      <c r="P51" s="140">
        <f t="shared" si="3"/>
        <v>0</v>
      </c>
      <c r="Q51" s="142">
        <f>Valores!$C$16</f>
        <v>14032.86</v>
      </c>
      <c r="R51" s="142">
        <f>Valores!$D$4</f>
        <v>6841.19</v>
      </c>
      <c r="S51" s="140">
        <f>Valores!$C$28</f>
        <v>6103.41</v>
      </c>
      <c r="T51" s="143">
        <f>IF($H$5="NO",Valores!$C$44,Valores!$C$44/2)</f>
        <v>2267.75</v>
      </c>
      <c r="U51" s="140">
        <f>Valores!$C$25</f>
        <v>6365.81</v>
      </c>
      <c r="V51" s="140">
        <f t="shared" si="13"/>
        <v>6365.81</v>
      </c>
      <c r="W51" s="140">
        <v>0</v>
      </c>
      <c r="X51" s="140">
        <v>0</v>
      </c>
      <c r="Y51" s="144">
        <v>0</v>
      </c>
      <c r="Z51" s="140">
        <f>Y51*Valores!$C$2</f>
        <v>0</v>
      </c>
      <c r="AA51" s="140">
        <v>0</v>
      </c>
      <c r="AB51" s="143">
        <f>Valores!$C$91</f>
        <v>3090.47</v>
      </c>
      <c r="AC51" s="145">
        <f>Valores!$C$31</f>
        <v>279.8</v>
      </c>
      <c r="AD51" s="140">
        <f t="shared" si="6"/>
        <v>0</v>
      </c>
      <c r="AE51" s="140">
        <f>Valores!$C$32</f>
        <v>279.8</v>
      </c>
      <c r="AF51" s="144">
        <v>0</v>
      </c>
      <c r="AG51" s="140">
        <f>INT(((AF51*Valores!$C$2)*100)+0.5)/100</f>
        <v>0</v>
      </c>
      <c r="AH51" s="140">
        <f>IF($H$5="NO",Valores!$C$60,Valores!$C$60/2)</f>
        <v>569.14</v>
      </c>
      <c r="AI51" s="140">
        <f>IF($H$5="NO",Valores!$C$62,Valores!$C$62/2)</f>
        <v>162.61000000000001</v>
      </c>
      <c r="AJ51" s="146">
        <f t="shared" si="7"/>
        <v>82994.751499999998</v>
      </c>
      <c r="AK51" s="142">
        <f>Valores!$C$37</f>
        <v>1465.56</v>
      </c>
      <c r="AL51" s="143">
        <f>Valores!$C$86</f>
        <v>2730</v>
      </c>
      <c r="AM51" s="143"/>
      <c r="AN51" s="145">
        <f>IF($H$4="NO",0,Valores!$C$53)</f>
        <v>170.34</v>
      </c>
      <c r="AO51" s="147">
        <f t="shared" si="5"/>
        <v>4365.8999999999996</v>
      </c>
      <c r="AP51" s="148">
        <f>AJ51*Valores!$C$69</f>
        <v>-9129.4226650000001</v>
      </c>
      <c r="AQ51" s="148">
        <f>AJ51*-Valores!$C$70</f>
        <v>0</v>
      </c>
      <c r="AR51" s="142">
        <f>AJ51*Valores!$C$71</f>
        <v>-3734.7638174999997</v>
      </c>
      <c r="AS51" s="142">
        <f>Valores!$C$95</f>
        <v>-193.38</v>
      </c>
      <c r="AT51" s="142">
        <f>IF($H$6=0,Valores!$C$96,(Valores!$C$96+$H$6*(Valores!$C$96)))</f>
        <v>-178</v>
      </c>
      <c r="AU51" s="146">
        <f t="shared" si="8"/>
        <v>74125.085017499994</v>
      </c>
      <c r="AV51" s="199">
        <f t="shared" si="0"/>
        <v>-9129.4226650000001</v>
      </c>
      <c r="AW51" s="142">
        <f>AJ51*Valores!$C$72</f>
        <v>-2240.8582904999998</v>
      </c>
      <c r="AX51" s="142">
        <f>AJ51*Valores!$C$73</f>
        <v>-248.98425449999999</v>
      </c>
      <c r="AY51" s="146">
        <f t="shared" si="9"/>
        <v>75741.386289999995</v>
      </c>
      <c r="AZ51" s="150"/>
      <c r="BA51" s="150">
        <v>30</v>
      </c>
      <c r="BB51" s="135" t="s">
        <v>4</v>
      </c>
    </row>
    <row r="52" spans="1:54" s="114" customFormat="1" ht="11.25" customHeight="1" x14ac:dyDescent="0.15">
      <c r="A52" s="134">
        <v>49</v>
      </c>
      <c r="B52" s="134"/>
      <c r="C52" s="135" t="s">
        <v>217</v>
      </c>
      <c r="D52" s="135"/>
      <c r="E52" s="135">
        <f t="shared" si="1"/>
        <v>26</v>
      </c>
      <c r="F52" s="136" t="s">
        <v>218</v>
      </c>
      <c r="G52" s="137">
        <v>80</v>
      </c>
      <c r="H52" s="138">
        <f>INT((G52*Valores!$C$2*100)+0.5)/100</f>
        <v>1070.6099999999999</v>
      </c>
      <c r="I52" s="139">
        <v>2278</v>
      </c>
      <c r="J52" s="140">
        <f>INT((I52*Valores!$C$2*100)+0.5)/100</f>
        <v>30485.56</v>
      </c>
      <c r="K52" s="155">
        <v>0</v>
      </c>
      <c r="L52" s="140">
        <f>INT((K52*Valores!$C$2*100)+0.5)/100</f>
        <v>0</v>
      </c>
      <c r="M52" s="153">
        <v>0</v>
      </c>
      <c r="N52" s="140">
        <f>INT((M52*Valores!$C$2*100)+0.5)/100</f>
        <v>0</v>
      </c>
      <c r="O52" s="140">
        <f t="shared" si="2"/>
        <v>6028.4594999999999</v>
      </c>
      <c r="P52" s="140">
        <f t="shared" si="3"/>
        <v>0</v>
      </c>
      <c r="Q52" s="142">
        <f>Valores!$C$16</f>
        <v>14032.86</v>
      </c>
      <c r="R52" s="142">
        <f>Valores!$D$4</f>
        <v>6841.19</v>
      </c>
      <c r="S52" s="154">
        <f>Valores!$C$28</f>
        <v>6103.41</v>
      </c>
      <c r="T52" s="143">
        <f>IF($H$5="NO",Valores!$C$44,Valores!$C$44/2)</f>
        <v>2267.75</v>
      </c>
      <c r="U52" s="140">
        <f>Valores!$C$25</f>
        <v>6365.81</v>
      </c>
      <c r="V52" s="140">
        <f t="shared" si="13"/>
        <v>6365.81</v>
      </c>
      <c r="W52" s="140">
        <v>0</v>
      </c>
      <c r="X52" s="140">
        <v>0</v>
      </c>
      <c r="Y52" s="144">
        <v>0</v>
      </c>
      <c r="Z52" s="140">
        <f>Y52*Valores!$C$2</f>
        <v>0</v>
      </c>
      <c r="AA52" s="140">
        <v>0</v>
      </c>
      <c r="AB52" s="143">
        <f>Valores!$C$91</f>
        <v>3090.47</v>
      </c>
      <c r="AC52" s="145">
        <f>Valores!$C$31</f>
        <v>279.8</v>
      </c>
      <c r="AD52" s="140">
        <f t="shared" si="6"/>
        <v>0</v>
      </c>
      <c r="AE52" s="140">
        <f>Valores!$C$32</f>
        <v>279.8</v>
      </c>
      <c r="AF52" s="144">
        <v>0</v>
      </c>
      <c r="AG52" s="140">
        <f>INT(((AF52*Valores!$C$2)*100)+0.5)/100</f>
        <v>0</v>
      </c>
      <c r="AH52" s="140">
        <f>IF($H$5="NO",Valores!$C$60,Valores!$C$60/2)</f>
        <v>569.14</v>
      </c>
      <c r="AI52" s="140">
        <f>IF($H$5="NO",Valores!$C$62,Valores!$C$62/2)</f>
        <v>162.61000000000001</v>
      </c>
      <c r="AJ52" s="146">
        <f t="shared" si="7"/>
        <v>77577.469500000007</v>
      </c>
      <c r="AK52" s="142">
        <f>Valores!$C$37</f>
        <v>1465.56</v>
      </c>
      <c r="AL52" s="143">
        <f>Valores!$C$86</f>
        <v>2730</v>
      </c>
      <c r="AM52" s="143"/>
      <c r="AN52" s="145">
        <f>IF($H$4="NO",0,Valores!$C$53)</f>
        <v>170.34</v>
      </c>
      <c r="AO52" s="147">
        <f t="shared" si="5"/>
        <v>4365.8999999999996</v>
      </c>
      <c r="AP52" s="148">
        <f>AJ52*Valores!$C$69</f>
        <v>-8533.5216450000007</v>
      </c>
      <c r="AQ52" s="148">
        <f>AJ52*-Valores!$C$70</f>
        <v>0</v>
      </c>
      <c r="AR52" s="142">
        <f>AJ52*Valores!$C$71</f>
        <v>-3490.9861275000003</v>
      </c>
      <c r="AS52" s="142">
        <f>Valores!$C$95</f>
        <v>-193.38</v>
      </c>
      <c r="AT52" s="142">
        <f>IF($H$6=0,Valores!$C$96,(Valores!$C$96+$H$6*(Valores!$C$96)))</f>
        <v>-178</v>
      </c>
      <c r="AU52" s="146">
        <f t="shared" si="8"/>
        <v>69547.48172750001</v>
      </c>
      <c r="AV52" s="199">
        <f t="shared" si="0"/>
        <v>-8533.5216450000007</v>
      </c>
      <c r="AW52" s="142">
        <f>AJ52*Valores!$C$72</f>
        <v>-2094.5916765000002</v>
      </c>
      <c r="AX52" s="142">
        <f>AJ52*Valores!$C$73</f>
        <v>-232.73240850000002</v>
      </c>
      <c r="AY52" s="146">
        <f t="shared" si="9"/>
        <v>71082.52377</v>
      </c>
      <c r="AZ52" s="150"/>
      <c r="BA52" s="150">
        <v>30</v>
      </c>
      <c r="BB52" s="135" t="s">
        <v>4</v>
      </c>
    </row>
    <row r="53" spans="1:54" s="114" customFormat="1" ht="11.25" customHeight="1" x14ac:dyDescent="0.15">
      <c r="A53" s="152">
        <v>50</v>
      </c>
      <c r="B53" s="152" t="s">
        <v>139</v>
      </c>
      <c r="C53" s="135" t="s">
        <v>219</v>
      </c>
      <c r="D53" s="135"/>
      <c r="E53" s="135">
        <f t="shared" si="1"/>
        <v>33</v>
      </c>
      <c r="F53" s="136" t="s">
        <v>220</v>
      </c>
      <c r="G53" s="137">
        <v>100</v>
      </c>
      <c r="H53" s="138">
        <f>INT((G53*Valores!$C$2*100)+0.5)/100</f>
        <v>1338.26</v>
      </c>
      <c r="I53" s="139">
        <v>3620</v>
      </c>
      <c r="J53" s="140">
        <f>INT((I53*Valores!$C$2*100)+0.5)/100</f>
        <v>48445.01</v>
      </c>
      <c r="K53" s="155">
        <v>0</v>
      </c>
      <c r="L53" s="140">
        <f>INT((K53*Valores!$C$2*100)+0.5)/100</f>
        <v>0</v>
      </c>
      <c r="M53" s="153">
        <v>0</v>
      </c>
      <c r="N53" s="140">
        <f>INT((M53*Valores!$C$2*100)+0.5)/100</f>
        <v>0</v>
      </c>
      <c r="O53" s="140">
        <f t="shared" si="2"/>
        <v>8923.1474999999991</v>
      </c>
      <c r="P53" s="140">
        <f t="shared" si="3"/>
        <v>0</v>
      </c>
      <c r="Q53" s="142">
        <f>Valores!$C$16</f>
        <v>14032.86</v>
      </c>
      <c r="R53" s="142">
        <f>Valores!$D$4</f>
        <v>6841.19</v>
      </c>
      <c r="S53" s="154">
        <f>Valores!$C$28</f>
        <v>6103.41</v>
      </c>
      <c r="T53" s="143">
        <f>IF($H$5="NO",Valores!$C$45,Valores!$C$45/2)</f>
        <v>3338.57</v>
      </c>
      <c r="U53" s="140">
        <f>Valores!$C$25</f>
        <v>6365.81</v>
      </c>
      <c r="V53" s="140">
        <f t="shared" si="13"/>
        <v>6365.81</v>
      </c>
      <c r="W53" s="140">
        <v>0</v>
      </c>
      <c r="X53" s="140">
        <v>0</v>
      </c>
      <c r="Y53" s="144">
        <v>0</v>
      </c>
      <c r="Z53" s="140">
        <f>Y53*Valores!$C$2</f>
        <v>0</v>
      </c>
      <c r="AA53" s="140">
        <v>0</v>
      </c>
      <c r="AB53" s="143">
        <f>Valores!$C$92</f>
        <v>5150.78</v>
      </c>
      <c r="AC53" s="145">
        <f>Valores!$C$31</f>
        <v>279.8</v>
      </c>
      <c r="AD53" s="140">
        <f t="shared" si="6"/>
        <v>0</v>
      </c>
      <c r="AE53" s="140">
        <f>Valores!$C$32</f>
        <v>279.8</v>
      </c>
      <c r="AF53" s="144">
        <v>0</v>
      </c>
      <c r="AG53" s="140">
        <f>INT(((AF53*Valores!$C$2)*100)+0.5)/100</f>
        <v>0</v>
      </c>
      <c r="AH53" s="140">
        <f>IF($H$5="NO",Valores!$C$60,Valores!$C$60/2)</f>
        <v>569.14</v>
      </c>
      <c r="AI53" s="140">
        <f>IF($H$5="NO",Valores!$C$62,Valores!$C$62/2)</f>
        <v>162.61000000000001</v>
      </c>
      <c r="AJ53" s="146">
        <f t="shared" si="7"/>
        <v>101830.38750000001</v>
      </c>
      <c r="AK53" s="142">
        <f>Valores!$C$37</f>
        <v>1465.56</v>
      </c>
      <c r="AL53" s="143">
        <f>Valores!$C$87</f>
        <v>4550</v>
      </c>
      <c r="AM53" s="143"/>
      <c r="AN53" s="145">
        <f>IF($H$4="NO",0,Valores!$C$53)</f>
        <v>170.34</v>
      </c>
      <c r="AO53" s="147">
        <f t="shared" si="5"/>
        <v>6185.9</v>
      </c>
      <c r="AP53" s="148">
        <f>AJ53*Valores!$C$69</f>
        <v>-11201.342625000001</v>
      </c>
      <c r="AQ53" s="148">
        <f>AJ53*-Valores!$C$70</f>
        <v>0</v>
      </c>
      <c r="AR53" s="142">
        <f>AJ53*Valores!$C$71</f>
        <v>-4582.3674375000001</v>
      </c>
      <c r="AS53" s="142">
        <f>Valores!$C$95</f>
        <v>-193.38</v>
      </c>
      <c r="AT53" s="142">
        <f>IF($H$6=0,Valores!$C$96,(Valores!$C$96+$H$6*(Valores!$C$96)))</f>
        <v>-178</v>
      </c>
      <c r="AU53" s="146">
        <f t="shared" si="8"/>
        <v>91861.197437500014</v>
      </c>
      <c r="AV53" s="199">
        <f t="shared" si="0"/>
        <v>-11201.342625000001</v>
      </c>
      <c r="AW53" s="142">
        <f>AJ53*Valores!$C$72</f>
        <v>-2749.4204625000002</v>
      </c>
      <c r="AX53" s="142">
        <f>AJ53*Valores!$C$73</f>
        <v>-305.49116250000003</v>
      </c>
      <c r="AY53" s="146">
        <f t="shared" si="9"/>
        <v>93760.033250000008</v>
      </c>
      <c r="AZ53" s="150"/>
      <c r="BA53" s="150"/>
      <c r="BB53" s="135" t="s">
        <v>4</v>
      </c>
    </row>
    <row r="54" spans="1:54" s="114" customFormat="1" ht="11.25" customHeight="1" x14ac:dyDescent="0.15">
      <c r="A54" s="134">
        <v>51</v>
      </c>
      <c r="B54" s="134"/>
      <c r="C54" s="135" t="s">
        <v>221</v>
      </c>
      <c r="D54" s="135"/>
      <c r="E54" s="135">
        <f t="shared" si="1"/>
        <v>33</v>
      </c>
      <c r="F54" s="136" t="s">
        <v>222</v>
      </c>
      <c r="G54" s="137">
        <v>100</v>
      </c>
      <c r="H54" s="138">
        <f>INT((G54*Valores!$C$2*100)+0.5)/100</f>
        <v>1338.26</v>
      </c>
      <c r="I54" s="139">
        <v>3560</v>
      </c>
      <c r="J54" s="140">
        <f>INT((I54*Valores!$C$2*100)+0.5)/100</f>
        <v>47642.06</v>
      </c>
      <c r="K54" s="155">
        <v>0</v>
      </c>
      <c r="L54" s="140">
        <f>INT((K54*Valores!$C$2*100)+0.5)/100</f>
        <v>0</v>
      </c>
      <c r="M54" s="153">
        <v>0</v>
      </c>
      <c r="N54" s="140">
        <f>INT((M54*Valores!$C$2*100)+0.5)/100</f>
        <v>0</v>
      </c>
      <c r="O54" s="140">
        <f t="shared" si="2"/>
        <v>8802.7049999999999</v>
      </c>
      <c r="P54" s="140">
        <f t="shared" si="3"/>
        <v>0</v>
      </c>
      <c r="Q54" s="142">
        <f>Valores!$C$16</f>
        <v>14032.86</v>
      </c>
      <c r="R54" s="142">
        <f>Valores!$D$4</f>
        <v>6841.19</v>
      </c>
      <c r="S54" s="140">
        <v>0</v>
      </c>
      <c r="T54" s="143">
        <f>IF($H$5="NO",Valores!$C$45,Valores!$C$45/2)</f>
        <v>3338.57</v>
      </c>
      <c r="U54" s="140">
        <f>Valores!$C$25</f>
        <v>6365.81</v>
      </c>
      <c r="V54" s="140">
        <f t="shared" si="13"/>
        <v>6365.81</v>
      </c>
      <c r="W54" s="140">
        <v>0</v>
      </c>
      <c r="X54" s="140">
        <v>0</v>
      </c>
      <c r="Y54" s="144">
        <v>0</v>
      </c>
      <c r="Z54" s="140">
        <f>Y54*Valores!$C$2</f>
        <v>0</v>
      </c>
      <c r="AA54" s="140">
        <v>0</v>
      </c>
      <c r="AB54" s="143">
        <f>Valores!$C$92</f>
        <v>5150.78</v>
      </c>
      <c r="AC54" s="145">
        <f>Valores!$C$31</f>
        <v>279.8</v>
      </c>
      <c r="AD54" s="140">
        <f t="shared" si="6"/>
        <v>0</v>
      </c>
      <c r="AE54" s="140">
        <f>Valores!$C$32</f>
        <v>279.8</v>
      </c>
      <c r="AF54" s="144">
        <v>0</v>
      </c>
      <c r="AG54" s="140">
        <f>INT(((AF54*Valores!$C$2)*100)+0.5)/100</f>
        <v>0</v>
      </c>
      <c r="AH54" s="140">
        <f>IF($H$5="NO",Valores!$C$60,Valores!$C$60/2)</f>
        <v>569.14</v>
      </c>
      <c r="AI54" s="140">
        <f>IF($H$5="NO",Valores!$C$62,Valores!$C$62/2)</f>
        <v>162.61000000000001</v>
      </c>
      <c r="AJ54" s="146">
        <f t="shared" si="7"/>
        <v>94803.585000000021</v>
      </c>
      <c r="AK54" s="142">
        <f>Valores!$C$37</f>
        <v>1465.56</v>
      </c>
      <c r="AL54" s="143">
        <f>Valores!$C$87</f>
        <v>4550</v>
      </c>
      <c r="AM54" s="143"/>
      <c r="AN54" s="145">
        <f>IF($H$4="NO",0,Valores!$C$53)</f>
        <v>170.34</v>
      </c>
      <c r="AO54" s="147">
        <f t="shared" si="5"/>
        <v>6185.9</v>
      </c>
      <c r="AP54" s="148">
        <f>AJ54*Valores!$C$69</f>
        <v>-10428.394350000002</v>
      </c>
      <c r="AQ54" s="148">
        <f>AJ54*-Valores!$C$70</f>
        <v>0</v>
      </c>
      <c r="AR54" s="142">
        <f>AJ54*Valores!$C$71</f>
        <v>-4266.1613250000009</v>
      </c>
      <c r="AS54" s="142">
        <f>Valores!$C$95</f>
        <v>-193.38</v>
      </c>
      <c r="AT54" s="142">
        <f>IF($H$6=0,Valores!$C$96,(Valores!$C$96+$H$6*(Valores!$C$96)))</f>
        <v>-178</v>
      </c>
      <c r="AU54" s="146">
        <f t="shared" si="8"/>
        <v>85923.549325000015</v>
      </c>
      <c r="AV54" s="199">
        <f t="shared" si="0"/>
        <v>-10428.394350000002</v>
      </c>
      <c r="AW54" s="142">
        <f>AJ54*Valores!$C$72</f>
        <v>-2559.6967950000007</v>
      </c>
      <c r="AX54" s="142">
        <f>AJ54*Valores!$C$73</f>
        <v>-284.41075500000005</v>
      </c>
      <c r="AY54" s="146">
        <f t="shared" si="9"/>
        <v>87716.983100000012</v>
      </c>
      <c r="AZ54" s="150"/>
      <c r="BA54" s="150"/>
      <c r="BB54" s="135" t="s">
        <v>8</v>
      </c>
    </row>
    <row r="55" spans="1:54" s="114" customFormat="1" ht="11.25" customHeight="1" x14ac:dyDescent="0.15">
      <c r="A55" s="134">
        <v>52</v>
      </c>
      <c r="B55" s="134"/>
      <c r="C55" s="135" t="s">
        <v>223</v>
      </c>
      <c r="D55" s="135"/>
      <c r="E55" s="135">
        <f t="shared" si="1"/>
        <v>33</v>
      </c>
      <c r="F55" s="136" t="s">
        <v>224</v>
      </c>
      <c r="G55" s="137">
        <v>100</v>
      </c>
      <c r="H55" s="138">
        <f>INT((G55*Valores!$C$2*100)+0.5)/100</f>
        <v>1338.26</v>
      </c>
      <c r="I55" s="139">
        <v>3360</v>
      </c>
      <c r="J55" s="140">
        <f>INT((I55*Valores!$C$2*100)+0.5)/100</f>
        <v>44965.54</v>
      </c>
      <c r="K55" s="155">
        <v>0</v>
      </c>
      <c r="L55" s="140">
        <f>INT((K55*Valores!$C$2*100)+0.5)/100</f>
        <v>0</v>
      </c>
      <c r="M55" s="153">
        <v>0</v>
      </c>
      <c r="N55" s="140">
        <f>INT((M55*Valores!$C$2*100)+0.5)/100</f>
        <v>0</v>
      </c>
      <c r="O55" s="140">
        <f t="shared" si="2"/>
        <v>8401.226999999999</v>
      </c>
      <c r="P55" s="140">
        <f t="shared" si="3"/>
        <v>0</v>
      </c>
      <c r="Q55" s="142">
        <f>Valores!$C$16</f>
        <v>14032.86</v>
      </c>
      <c r="R55" s="142">
        <f>Valores!$D$4</f>
        <v>6841.19</v>
      </c>
      <c r="S55" s="154">
        <f>Valores!$C$28</f>
        <v>6103.41</v>
      </c>
      <c r="T55" s="143">
        <f>IF($H$5="NO",Valores!$C$45,Valores!$C$45/2)</f>
        <v>3338.57</v>
      </c>
      <c r="U55" s="140">
        <f>Valores!$C$25</f>
        <v>6365.81</v>
      </c>
      <c r="V55" s="140">
        <f t="shared" si="13"/>
        <v>6365.81</v>
      </c>
      <c r="W55" s="140">
        <v>0</v>
      </c>
      <c r="X55" s="140">
        <v>0</v>
      </c>
      <c r="Y55" s="144">
        <v>0</v>
      </c>
      <c r="Z55" s="140">
        <f>Y55*Valores!$C$2</f>
        <v>0</v>
      </c>
      <c r="AA55" s="140">
        <v>0</v>
      </c>
      <c r="AB55" s="143">
        <f>Valores!$C$92</f>
        <v>5150.78</v>
      </c>
      <c r="AC55" s="145">
        <f>Valores!$C$31</f>
        <v>279.8</v>
      </c>
      <c r="AD55" s="140">
        <f t="shared" si="6"/>
        <v>0</v>
      </c>
      <c r="AE55" s="140">
        <f>Valores!$C$32</f>
        <v>279.8</v>
      </c>
      <c r="AF55" s="144">
        <v>0</v>
      </c>
      <c r="AG55" s="140">
        <f>INT(((AF55*Valores!$C$2)*100)+0.5)/100</f>
        <v>0</v>
      </c>
      <c r="AH55" s="140">
        <f>IF($H$5="NO",Valores!$C$60,Valores!$C$60/2)</f>
        <v>569.14</v>
      </c>
      <c r="AI55" s="140">
        <f>IF($H$5="NO",Valores!$C$62,Valores!$C$62/2)</f>
        <v>162.61000000000001</v>
      </c>
      <c r="AJ55" s="146">
        <f t="shared" si="7"/>
        <v>97828.997000000018</v>
      </c>
      <c r="AK55" s="142">
        <f>Valores!$C$37</f>
        <v>1465.56</v>
      </c>
      <c r="AL55" s="143">
        <f>Valores!$C$87</f>
        <v>4550</v>
      </c>
      <c r="AM55" s="143"/>
      <c r="AN55" s="145">
        <f>IF($H$4="NO",0,Valores!$C$53)</f>
        <v>170.34</v>
      </c>
      <c r="AO55" s="147">
        <f t="shared" si="5"/>
        <v>6185.9</v>
      </c>
      <c r="AP55" s="148">
        <f>AJ55*Valores!$C$69</f>
        <v>-10761.189670000002</v>
      </c>
      <c r="AQ55" s="148">
        <f>AJ55*-Valores!$C$70</f>
        <v>0</v>
      </c>
      <c r="AR55" s="142">
        <f>AJ55*Valores!$C$71</f>
        <v>-4402.304865000001</v>
      </c>
      <c r="AS55" s="142">
        <f>Valores!$C$95</f>
        <v>-193.38</v>
      </c>
      <c r="AT55" s="142">
        <f>IF($H$6=0,Valores!$C$96,(Valores!$C$96+$H$6*(Valores!$C$96)))</f>
        <v>-178</v>
      </c>
      <c r="AU55" s="146">
        <f t="shared" si="8"/>
        <v>88480.022465000016</v>
      </c>
      <c r="AV55" s="199">
        <f t="shared" si="0"/>
        <v>-10761.189670000002</v>
      </c>
      <c r="AW55" s="142">
        <f>AJ55*Valores!$C$72</f>
        <v>-2641.3829190000006</v>
      </c>
      <c r="AX55" s="142">
        <f>AJ55*Valores!$C$73</f>
        <v>-293.48699100000005</v>
      </c>
      <c r="AY55" s="146">
        <f t="shared" si="9"/>
        <v>90318.837420000011</v>
      </c>
      <c r="AZ55" s="150"/>
      <c r="BA55" s="150"/>
      <c r="BB55" s="135" t="s">
        <v>4</v>
      </c>
    </row>
    <row r="56" spans="1:54" s="114" customFormat="1" ht="11.25" customHeight="1" x14ac:dyDescent="0.15">
      <c r="A56" s="134">
        <v>53</v>
      </c>
      <c r="B56" s="134"/>
      <c r="C56" s="135" t="s">
        <v>225</v>
      </c>
      <c r="D56" s="135"/>
      <c r="E56" s="135">
        <f t="shared" si="1"/>
        <v>25</v>
      </c>
      <c r="F56" s="136" t="s">
        <v>226</v>
      </c>
      <c r="G56" s="137">
        <v>98</v>
      </c>
      <c r="H56" s="138">
        <f>INT((G56*Valores!$C$2*100)+0.5)/100</f>
        <v>1311.49</v>
      </c>
      <c r="I56" s="139">
        <v>2686</v>
      </c>
      <c r="J56" s="140">
        <f>INT((I56*Valores!$C$2*100)+0.5)/100</f>
        <v>35945.660000000003</v>
      </c>
      <c r="K56" s="155">
        <v>0</v>
      </c>
      <c r="L56" s="140">
        <f>INT((K56*Valores!$C$2*100)+0.5)/100</f>
        <v>0</v>
      </c>
      <c r="M56" s="153">
        <v>0</v>
      </c>
      <c r="N56" s="140">
        <f>INT((M56*Valores!$C$2*100)+0.5)/100</f>
        <v>0</v>
      </c>
      <c r="O56" s="140">
        <f t="shared" si="2"/>
        <v>6883.6064999999999</v>
      </c>
      <c r="P56" s="140">
        <f t="shared" si="3"/>
        <v>0</v>
      </c>
      <c r="Q56" s="142">
        <f>Valores!$C$16</f>
        <v>14032.86</v>
      </c>
      <c r="R56" s="142">
        <f>Valores!$D$4</f>
        <v>6841.19</v>
      </c>
      <c r="S56" s="140">
        <f>Valores!$C$28</f>
        <v>6103.41</v>
      </c>
      <c r="T56" s="143">
        <f>IF($H$5="NO",Valores!$C$44,Valores!$C$44/2)</f>
        <v>2267.75</v>
      </c>
      <c r="U56" s="140">
        <f>Valores!$C$25</f>
        <v>6365.81</v>
      </c>
      <c r="V56" s="140">
        <f t="shared" si="13"/>
        <v>6365.81</v>
      </c>
      <c r="W56" s="140">
        <v>0</v>
      </c>
      <c r="X56" s="140">
        <v>0</v>
      </c>
      <c r="Y56" s="144">
        <v>0</v>
      </c>
      <c r="Z56" s="140">
        <f>Y56*Valores!$C$2</f>
        <v>0</v>
      </c>
      <c r="AA56" s="140">
        <v>0</v>
      </c>
      <c r="AB56" s="143">
        <f>Valores!$C$91</f>
        <v>3090.47</v>
      </c>
      <c r="AC56" s="145">
        <f>Valores!$C$31</f>
        <v>279.8</v>
      </c>
      <c r="AD56" s="140">
        <f t="shared" si="6"/>
        <v>0</v>
      </c>
      <c r="AE56" s="140">
        <f>Valores!$C$32</f>
        <v>279.8</v>
      </c>
      <c r="AF56" s="144">
        <v>0</v>
      </c>
      <c r="AG56" s="140">
        <f>INT(((AF56*Valores!$C$2)*100)+0.5)/100</f>
        <v>0</v>
      </c>
      <c r="AH56" s="140">
        <f>IF($H$5="NO",Valores!$C$60,Valores!$C$60/2)</f>
        <v>569.14</v>
      </c>
      <c r="AI56" s="140">
        <f>IF($H$5="NO",Valores!$C$62,Valores!$C$62/2)</f>
        <v>162.61000000000001</v>
      </c>
      <c r="AJ56" s="146">
        <f t="shared" si="7"/>
        <v>84133.596500000014</v>
      </c>
      <c r="AK56" s="142">
        <f>Valores!$C$37</f>
        <v>1465.56</v>
      </c>
      <c r="AL56" s="143">
        <f>Valores!$C$86</f>
        <v>2730</v>
      </c>
      <c r="AM56" s="143"/>
      <c r="AN56" s="145">
        <f>IF($H$4="NO",0,Valores!$C$53)</f>
        <v>170.34</v>
      </c>
      <c r="AO56" s="147">
        <f t="shared" si="5"/>
        <v>4365.8999999999996</v>
      </c>
      <c r="AP56" s="148">
        <f>AJ56*Valores!$C$69</f>
        <v>-9254.6956150000024</v>
      </c>
      <c r="AQ56" s="148">
        <f>AJ56*-Valores!$C$70</f>
        <v>0</v>
      </c>
      <c r="AR56" s="142">
        <f>AJ56*Valores!$C$71</f>
        <v>-3786.0118425000005</v>
      </c>
      <c r="AS56" s="142">
        <f>Valores!$C$95</f>
        <v>-193.38</v>
      </c>
      <c r="AT56" s="142">
        <f>IF($H$6=0,Valores!$C$96,(Valores!$C$96+$H$6*(Valores!$C$96)))</f>
        <v>-178</v>
      </c>
      <c r="AU56" s="146">
        <f t="shared" si="8"/>
        <v>75087.409042500018</v>
      </c>
      <c r="AV56" s="199">
        <f t="shared" si="0"/>
        <v>-9254.6956150000024</v>
      </c>
      <c r="AW56" s="142">
        <f>AJ56*Valores!$C$72</f>
        <v>-2271.6071055000002</v>
      </c>
      <c r="AX56" s="142">
        <f>AJ56*Valores!$C$73</f>
        <v>-252.40078950000006</v>
      </c>
      <c r="AY56" s="146">
        <f t="shared" si="9"/>
        <v>76720.792990000002</v>
      </c>
      <c r="AZ56" s="150"/>
      <c r="BA56" s="150">
        <v>30</v>
      </c>
      <c r="BB56" s="135" t="s">
        <v>4</v>
      </c>
    </row>
    <row r="57" spans="1:54" s="114" customFormat="1" ht="11.25" customHeight="1" x14ac:dyDescent="0.15">
      <c r="A57" s="134">
        <v>54</v>
      </c>
      <c r="B57" s="134"/>
      <c r="C57" s="135" t="s">
        <v>227</v>
      </c>
      <c r="D57" s="135"/>
      <c r="E57" s="135">
        <f t="shared" si="1"/>
        <v>28</v>
      </c>
      <c r="F57" s="136" t="s">
        <v>228</v>
      </c>
      <c r="G57" s="137">
        <v>94</v>
      </c>
      <c r="H57" s="138">
        <f>INT((G57*Valores!$C$2*100)+0.5)/100</f>
        <v>1257.96</v>
      </c>
      <c r="I57" s="139">
        <v>2690</v>
      </c>
      <c r="J57" s="140">
        <f>INT((I57*Valores!$C$2*100)+0.5)/100</f>
        <v>35999.19</v>
      </c>
      <c r="K57" s="155">
        <v>0</v>
      </c>
      <c r="L57" s="140">
        <f>INT((K57*Valores!$C$2*100)+0.5)/100</f>
        <v>0</v>
      </c>
      <c r="M57" s="153">
        <v>0</v>
      </c>
      <c r="N57" s="140">
        <f>INT((M57*Valores!$C$2*100)+0.5)/100</f>
        <v>0</v>
      </c>
      <c r="O57" s="140">
        <f t="shared" si="2"/>
        <v>6883.6064999999999</v>
      </c>
      <c r="P57" s="140">
        <f t="shared" si="3"/>
        <v>0</v>
      </c>
      <c r="Q57" s="142">
        <f>Valores!$C$16</f>
        <v>14032.86</v>
      </c>
      <c r="R57" s="142">
        <f>Valores!$D$4</f>
        <v>6841.19</v>
      </c>
      <c r="S57" s="154">
        <f>Valores!$C$28</f>
        <v>6103.41</v>
      </c>
      <c r="T57" s="143">
        <f>IF($H$5="NO",Valores!$C$44,Valores!$C$44/2)</f>
        <v>2267.75</v>
      </c>
      <c r="U57" s="140">
        <f>Valores!$C$25</f>
        <v>6365.81</v>
      </c>
      <c r="V57" s="140">
        <f t="shared" si="13"/>
        <v>6365.81</v>
      </c>
      <c r="W57" s="140">
        <v>0</v>
      </c>
      <c r="X57" s="140">
        <v>0</v>
      </c>
      <c r="Y57" s="144">
        <v>0</v>
      </c>
      <c r="Z57" s="140">
        <f>Y57*Valores!$C$2</f>
        <v>0</v>
      </c>
      <c r="AA57" s="140">
        <v>0</v>
      </c>
      <c r="AB57" s="143">
        <f>Valores!$C$91</f>
        <v>3090.47</v>
      </c>
      <c r="AC57" s="145">
        <f>Valores!$C$31</f>
        <v>279.8</v>
      </c>
      <c r="AD57" s="140">
        <f t="shared" si="6"/>
        <v>0</v>
      </c>
      <c r="AE57" s="140">
        <f>Valores!$C$32</f>
        <v>279.8</v>
      </c>
      <c r="AF57" s="144">
        <v>94</v>
      </c>
      <c r="AG57" s="140">
        <f>INT(((AF57*Valores!$C$2)*100)+0.5)/100</f>
        <v>1257.96</v>
      </c>
      <c r="AH57" s="140">
        <f>IF($H$5="NO",Valores!$C$60,Valores!$C$60/2)</f>
        <v>569.14</v>
      </c>
      <c r="AI57" s="140">
        <f>IF($H$5="NO",Valores!$C$62,Valores!$C$62/2)</f>
        <v>162.61000000000001</v>
      </c>
      <c r="AJ57" s="146">
        <f t="shared" si="7"/>
        <v>85391.556500000021</v>
      </c>
      <c r="AK57" s="142">
        <f>Valores!$C$37</f>
        <v>1465.56</v>
      </c>
      <c r="AL57" s="143">
        <f>Valores!$C$86</f>
        <v>2730</v>
      </c>
      <c r="AM57" s="143"/>
      <c r="AN57" s="145">
        <f>IF($H$4="NO",0,Valores!$C$53)</f>
        <v>170.34</v>
      </c>
      <c r="AO57" s="147">
        <f t="shared" si="5"/>
        <v>4365.8999999999996</v>
      </c>
      <c r="AP57" s="148">
        <f>AJ57*Valores!$C$69</f>
        <v>-9393.0712150000018</v>
      </c>
      <c r="AQ57" s="148">
        <f>AJ57*-Valores!$C$70</f>
        <v>0</v>
      </c>
      <c r="AR57" s="142">
        <f>AJ57*Valores!$C$71</f>
        <v>-3842.6200425000006</v>
      </c>
      <c r="AS57" s="142">
        <f>Valores!$C$95</f>
        <v>-193.38</v>
      </c>
      <c r="AT57" s="142">
        <f>IF($H$6=0,Valores!$C$96,(Valores!$C$96+$H$6*(Valores!$C$96)))</f>
        <v>-178</v>
      </c>
      <c r="AU57" s="146">
        <f t="shared" si="8"/>
        <v>76150.385242500022</v>
      </c>
      <c r="AV57" s="199">
        <f t="shared" si="0"/>
        <v>-9393.0712150000018</v>
      </c>
      <c r="AW57" s="142">
        <f>AJ57*Valores!$C$72</f>
        <v>-2305.5720255000006</v>
      </c>
      <c r="AX57" s="142">
        <f>AJ57*Valores!$C$73</f>
        <v>-256.17466950000005</v>
      </c>
      <c r="AY57" s="146">
        <f t="shared" si="9"/>
        <v>77802.638590000017</v>
      </c>
      <c r="AZ57" s="150"/>
      <c r="BA57" s="150">
        <v>25</v>
      </c>
      <c r="BB57" s="135" t="s">
        <v>4</v>
      </c>
    </row>
    <row r="58" spans="1:54" s="114" customFormat="1" ht="11.25" customHeight="1" x14ac:dyDescent="0.15">
      <c r="A58" s="152">
        <v>55</v>
      </c>
      <c r="B58" s="152" t="s">
        <v>139</v>
      </c>
      <c r="C58" s="135" t="s">
        <v>229</v>
      </c>
      <c r="D58" s="135"/>
      <c r="E58" s="135">
        <f t="shared" si="1"/>
        <v>25</v>
      </c>
      <c r="F58" s="136" t="s">
        <v>230</v>
      </c>
      <c r="G58" s="137">
        <v>93</v>
      </c>
      <c r="H58" s="138">
        <f>INT((G58*Valores!$C$2*100)+0.5)/100</f>
        <v>1244.58</v>
      </c>
      <c r="I58" s="139">
        <v>2547</v>
      </c>
      <c r="J58" s="140">
        <f>INT((I58*Valores!$C$2*100)+0.5)/100</f>
        <v>34085.480000000003</v>
      </c>
      <c r="K58" s="155">
        <v>0</v>
      </c>
      <c r="L58" s="140">
        <f>INT((K58*Valores!$C$2*100)+0.5)/100</f>
        <v>0</v>
      </c>
      <c r="M58" s="153">
        <v>0</v>
      </c>
      <c r="N58" s="140">
        <f>INT((M58*Valores!$C$2*100)+0.5)/100</f>
        <v>0</v>
      </c>
      <c r="O58" s="140">
        <f t="shared" si="2"/>
        <v>6594.5430000000006</v>
      </c>
      <c r="P58" s="140">
        <f t="shared" si="3"/>
        <v>0</v>
      </c>
      <c r="Q58" s="142">
        <f>Valores!$C$16</f>
        <v>14032.86</v>
      </c>
      <c r="R58" s="142">
        <f>Valores!$D$4</f>
        <v>6841.19</v>
      </c>
      <c r="S58" s="154">
        <f>Valores!$C$28</f>
        <v>6103.41</v>
      </c>
      <c r="T58" s="143">
        <f>IF($H$5="NO",Valores!$C$44,Valores!$C$44/2)</f>
        <v>2267.75</v>
      </c>
      <c r="U58" s="140">
        <f>Valores!$C$25</f>
        <v>6365.81</v>
      </c>
      <c r="V58" s="140">
        <f t="shared" si="13"/>
        <v>6365.81</v>
      </c>
      <c r="W58" s="140">
        <v>0</v>
      </c>
      <c r="X58" s="140">
        <v>0</v>
      </c>
      <c r="Y58" s="144">
        <v>0</v>
      </c>
      <c r="Z58" s="140">
        <f>Y58*Valores!$C$2</f>
        <v>0</v>
      </c>
      <c r="AA58" s="140">
        <v>0</v>
      </c>
      <c r="AB58" s="143">
        <f>Valores!$C$91</f>
        <v>3090.47</v>
      </c>
      <c r="AC58" s="145">
        <f>Valores!$C$31</f>
        <v>279.8</v>
      </c>
      <c r="AD58" s="140">
        <f t="shared" si="6"/>
        <v>0</v>
      </c>
      <c r="AE58" s="140">
        <f>Valores!$C$32</f>
        <v>279.8</v>
      </c>
      <c r="AF58" s="144">
        <v>0</v>
      </c>
      <c r="AG58" s="140">
        <f>INT(((AF58*Valores!$C$2)*100)+0.5)/100</f>
        <v>0</v>
      </c>
      <c r="AH58" s="140">
        <f>IF($H$5="NO",Valores!$C$60,Valores!$C$60/2)</f>
        <v>569.14</v>
      </c>
      <c r="AI58" s="140">
        <f>IF($H$5="NO",Valores!$C$62,Valores!$C$62/2)</f>
        <v>162.61000000000001</v>
      </c>
      <c r="AJ58" s="146">
        <f t="shared" si="7"/>
        <v>81917.443000000014</v>
      </c>
      <c r="AK58" s="142">
        <f>Valores!$C$37</f>
        <v>1465.56</v>
      </c>
      <c r="AL58" s="143">
        <f>Valores!$C$86</f>
        <v>2730</v>
      </c>
      <c r="AM58" s="143"/>
      <c r="AN58" s="145">
        <f>IF($H$4="NO",0,Valores!$C$53)</f>
        <v>170.34</v>
      </c>
      <c r="AO58" s="147">
        <f t="shared" si="5"/>
        <v>4365.8999999999996</v>
      </c>
      <c r="AP58" s="148">
        <f>AJ58*Valores!$C$69</f>
        <v>-9010.9187300000012</v>
      </c>
      <c r="AQ58" s="148">
        <f>AJ58*-Valores!$C$70</f>
        <v>0</v>
      </c>
      <c r="AR58" s="142">
        <f>AJ58*Valores!$C$71</f>
        <v>-3686.2849350000006</v>
      </c>
      <c r="AS58" s="142">
        <f>Valores!$C$95</f>
        <v>-193.38</v>
      </c>
      <c r="AT58" s="142">
        <f>IF($H$6=0,Valores!$C$96,(Valores!$C$96+$H$6*(Valores!$C$96)))</f>
        <v>-178</v>
      </c>
      <c r="AU58" s="146">
        <f t="shared" si="8"/>
        <v>73214.75933500001</v>
      </c>
      <c r="AV58" s="199">
        <f t="shared" si="0"/>
        <v>-9010.9187300000012</v>
      </c>
      <c r="AW58" s="142">
        <f>AJ58*Valores!$C$72</f>
        <v>-2211.7709610000002</v>
      </c>
      <c r="AX58" s="142">
        <f>AJ58*Valores!$C$73</f>
        <v>-245.75232900000006</v>
      </c>
      <c r="AY58" s="146">
        <f t="shared" si="9"/>
        <v>74814.900980000006</v>
      </c>
      <c r="AZ58" s="150"/>
      <c r="BA58" s="150">
        <v>30</v>
      </c>
      <c r="BB58" s="135" t="s">
        <v>4</v>
      </c>
    </row>
    <row r="59" spans="1:54" s="114" customFormat="1" ht="11.25" customHeight="1" x14ac:dyDescent="0.15">
      <c r="A59" s="134">
        <v>56</v>
      </c>
      <c r="B59" s="134"/>
      <c r="C59" s="135" t="s">
        <v>231</v>
      </c>
      <c r="D59" s="135"/>
      <c r="E59" s="135">
        <f t="shared" si="1"/>
        <v>28</v>
      </c>
      <c r="F59" s="136" t="s">
        <v>232</v>
      </c>
      <c r="G59" s="137">
        <v>89</v>
      </c>
      <c r="H59" s="138">
        <f>INT((G59*Valores!$C$2*100)+0.5)/100</f>
        <v>1191.05</v>
      </c>
      <c r="I59" s="139">
        <v>2551</v>
      </c>
      <c r="J59" s="140">
        <f>INT((I59*Valores!$C$2*100)+0.5)/100</f>
        <v>34139.01</v>
      </c>
      <c r="K59" s="155">
        <v>0</v>
      </c>
      <c r="L59" s="140">
        <f>INT((K59*Valores!$C$2*100)+0.5)/100</f>
        <v>0</v>
      </c>
      <c r="M59" s="153">
        <v>0</v>
      </c>
      <c r="N59" s="140">
        <f>INT((M59*Valores!$C$2*100)+0.5)/100</f>
        <v>0</v>
      </c>
      <c r="O59" s="140">
        <f t="shared" si="2"/>
        <v>6594.5430000000006</v>
      </c>
      <c r="P59" s="140">
        <f t="shared" si="3"/>
        <v>0</v>
      </c>
      <c r="Q59" s="142">
        <f>Valores!$C$16</f>
        <v>14032.86</v>
      </c>
      <c r="R59" s="142">
        <f>Valores!$D$4</f>
        <v>6841.19</v>
      </c>
      <c r="S59" s="154">
        <f>Valores!$C$28</f>
        <v>6103.41</v>
      </c>
      <c r="T59" s="143">
        <f>IF($H$5="NO",Valores!$C$44,Valores!$C$44/2)</f>
        <v>2267.75</v>
      </c>
      <c r="U59" s="140">
        <f>Valores!$C$25</f>
        <v>6365.81</v>
      </c>
      <c r="V59" s="140">
        <f t="shared" si="13"/>
        <v>6365.81</v>
      </c>
      <c r="W59" s="140">
        <v>0</v>
      </c>
      <c r="X59" s="140">
        <v>0</v>
      </c>
      <c r="Y59" s="144">
        <v>0</v>
      </c>
      <c r="Z59" s="140">
        <f>Y59*Valores!$C$2</f>
        <v>0</v>
      </c>
      <c r="AA59" s="140">
        <v>0</v>
      </c>
      <c r="AB59" s="143">
        <f>Valores!$C$91</f>
        <v>3090.47</v>
      </c>
      <c r="AC59" s="145">
        <f>Valores!$C$31</f>
        <v>279.8</v>
      </c>
      <c r="AD59" s="140">
        <f t="shared" si="6"/>
        <v>0</v>
      </c>
      <c r="AE59" s="140">
        <f>Valores!$C$32</f>
        <v>279.8</v>
      </c>
      <c r="AF59" s="144">
        <v>94</v>
      </c>
      <c r="AG59" s="140">
        <f>INT(((AF59*Valores!$C$2)*100)+0.5)/100</f>
        <v>1257.96</v>
      </c>
      <c r="AH59" s="140">
        <f>IF($H$5="NO",Valores!$C$60,Valores!$C$60/2)</f>
        <v>569.14</v>
      </c>
      <c r="AI59" s="140">
        <f>IF($H$5="NO",Valores!$C$62,Valores!$C$62/2)</f>
        <v>162.61000000000001</v>
      </c>
      <c r="AJ59" s="146">
        <f t="shared" si="7"/>
        <v>83175.40300000002</v>
      </c>
      <c r="AK59" s="142">
        <f>Valores!$C$37</f>
        <v>1465.56</v>
      </c>
      <c r="AL59" s="143">
        <f>Valores!$C$86</f>
        <v>2730</v>
      </c>
      <c r="AM59" s="143"/>
      <c r="AN59" s="145">
        <f>IF($H$4="NO",0,Valores!$C$53)</f>
        <v>170.34</v>
      </c>
      <c r="AO59" s="147">
        <f t="shared" si="5"/>
        <v>4365.8999999999996</v>
      </c>
      <c r="AP59" s="148">
        <f>AJ59*Valores!$C$69</f>
        <v>-9149.2943300000024</v>
      </c>
      <c r="AQ59" s="148">
        <f>AJ59*-Valores!$C$70</f>
        <v>0</v>
      </c>
      <c r="AR59" s="142">
        <f>AJ59*Valores!$C$71</f>
        <v>-3742.8931350000007</v>
      </c>
      <c r="AS59" s="142">
        <f>Valores!$C$95</f>
        <v>-193.38</v>
      </c>
      <c r="AT59" s="142">
        <f>IF($H$6=0,Valores!$C$96,(Valores!$C$96+$H$6*(Valores!$C$96)))</f>
        <v>-178</v>
      </c>
      <c r="AU59" s="146">
        <f t="shared" si="8"/>
        <v>74277.735535000014</v>
      </c>
      <c r="AV59" s="199">
        <f t="shared" si="0"/>
        <v>-9149.2943300000024</v>
      </c>
      <c r="AW59" s="142">
        <f>AJ59*Valores!$C$72</f>
        <v>-2245.7358810000005</v>
      </c>
      <c r="AX59" s="142">
        <f>AJ59*Valores!$C$73</f>
        <v>-249.52620900000008</v>
      </c>
      <c r="AY59" s="146">
        <f t="shared" si="9"/>
        <v>75896.746580000006</v>
      </c>
      <c r="AZ59" s="150"/>
      <c r="BA59" s="150">
        <v>25</v>
      </c>
      <c r="BB59" s="135" t="s">
        <v>4</v>
      </c>
    </row>
    <row r="60" spans="1:54" s="114" customFormat="1" ht="11.25" customHeight="1" x14ac:dyDescent="0.15">
      <c r="A60" s="134">
        <v>57</v>
      </c>
      <c r="B60" s="134"/>
      <c r="C60" s="135" t="s">
        <v>233</v>
      </c>
      <c r="D60" s="135"/>
      <c r="E60" s="135">
        <f t="shared" si="1"/>
        <v>25</v>
      </c>
      <c r="F60" s="136" t="s">
        <v>234</v>
      </c>
      <c r="G60" s="137">
        <v>89</v>
      </c>
      <c r="H60" s="138">
        <f>INT((G60*Valores!$C$2*100)+0.5)/100</f>
        <v>1191.05</v>
      </c>
      <c r="I60" s="139">
        <v>2251</v>
      </c>
      <c r="J60" s="140">
        <f>INT((I60*Valores!$C$2*100)+0.5)/100</f>
        <v>30124.23</v>
      </c>
      <c r="K60" s="155">
        <v>0</v>
      </c>
      <c r="L60" s="140">
        <f>INT((K60*Valores!$C$2*100)+0.5)/100</f>
        <v>0</v>
      </c>
      <c r="M60" s="153">
        <v>0</v>
      </c>
      <c r="N60" s="140">
        <f>INT((M60*Valores!$C$2*100)+0.5)/100</f>
        <v>0</v>
      </c>
      <c r="O60" s="140">
        <f t="shared" si="2"/>
        <v>5992.3259999999991</v>
      </c>
      <c r="P60" s="140">
        <f t="shared" si="3"/>
        <v>0</v>
      </c>
      <c r="Q60" s="142">
        <f>Valores!$C$16</f>
        <v>14032.86</v>
      </c>
      <c r="R60" s="142">
        <f>Valores!$D$4</f>
        <v>6841.19</v>
      </c>
      <c r="S60" s="154">
        <f>Valores!$C$28</f>
        <v>6103.41</v>
      </c>
      <c r="T60" s="143">
        <f>IF($H$5="NO",Valores!$C$44,Valores!$C$44/2)</f>
        <v>2267.75</v>
      </c>
      <c r="U60" s="140">
        <f>Valores!$C$25</f>
        <v>6365.81</v>
      </c>
      <c r="V60" s="140">
        <f t="shared" si="13"/>
        <v>6365.81</v>
      </c>
      <c r="W60" s="140">
        <v>0</v>
      </c>
      <c r="X60" s="140">
        <v>0</v>
      </c>
      <c r="Y60" s="144">
        <v>0</v>
      </c>
      <c r="Z60" s="140">
        <f>Y60*Valores!$C$2</f>
        <v>0</v>
      </c>
      <c r="AA60" s="140">
        <v>0</v>
      </c>
      <c r="AB60" s="143">
        <f>Valores!$C$91</f>
        <v>3090.47</v>
      </c>
      <c r="AC60" s="145">
        <f>Valores!$C$31</f>
        <v>279.8</v>
      </c>
      <c r="AD60" s="140">
        <f t="shared" si="6"/>
        <v>0</v>
      </c>
      <c r="AE60" s="140">
        <f>Valores!$C$32</f>
        <v>279.8</v>
      </c>
      <c r="AF60" s="144">
        <v>0</v>
      </c>
      <c r="AG60" s="140">
        <f>INT(((AF60*Valores!$C$2)*100)+0.5)/100</f>
        <v>0</v>
      </c>
      <c r="AH60" s="140">
        <f>IF($H$5="NO",Valores!$C$60,Valores!$C$60/2)</f>
        <v>569.14</v>
      </c>
      <c r="AI60" s="140">
        <f>IF($H$5="NO",Valores!$C$62,Valores!$C$62/2)</f>
        <v>162.61000000000001</v>
      </c>
      <c r="AJ60" s="146">
        <f t="shared" si="7"/>
        <v>77300.446000000011</v>
      </c>
      <c r="AK60" s="142">
        <f>Valores!$C$37</f>
        <v>1465.56</v>
      </c>
      <c r="AL60" s="143">
        <f>Valores!$C$86</f>
        <v>2730</v>
      </c>
      <c r="AM60" s="143"/>
      <c r="AN60" s="145">
        <f>IF($H$4="NO",0,Valores!$C$53)</f>
        <v>170.34</v>
      </c>
      <c r="AO60" s="147">
        <f t="shared" si="5"/>
        <v>4365.8999999999996</v>
      </c>
      <c r="AP60" s="148">
        <f>AJ60*Valores!$C$69</f>
        <v>-8503.0490600000012</v>
      </c>
      <c r="AQ60" s="148">
        <f>AJ60*-Valores!$C$70</f>
        <v>0</v>
      </c>
      <c r="AR60" s="142">
        <f>AJ60*Valores!$C$71</f>
        <v>-3478.5200700000005</v>
      </c>
      <c r="AS60" s="142">
        <f>Valores!$C$95</f>
        <v>-193.38</v>
      </c>
      <c r="AT60" s="142">
        <f>IF($H$6=0,Valores!$C$96,(Valores!$C$96+$H$6*(Valores!$C$96)))</f>
        <v>-178</v>
      </c>
      <c r="AU60" s="146">
        <f t="shared" si="8"/>
        <v>69313.396870000011</v>
      </c>
      <c r="AV60" s="199">
        <f t="shared" si="0"/>
        <v>-8503.0490600000012</v>
      </c>
      <c r="AW60" s="142">
        <f>AJ60*Valores!$C$72</f>
        <v>-2087.1120420000002</v>
      </c>
      <c r="AX60" s="142">
        <f>AJ60*Valores!$C$73</f>
        <v>-231.90133800000004</v>
      </c>
      <c r="AY60" s="146">
        <f t="shared" si="9"/>
        <v>70844.283560000011</v>
      </c>
      <c r="AZ60" s="150"/>
      <c r="BA60" s="150">
        <v>30</v>
      </c>
      <c r="BB60" s="135" t="s">
        <v>4</v>
      </c>
    </row>
    <row r="61" spans="1:54" s="114" customFormat="1" ht="11.25" customHeight="1" x14ac:dyDescent="0.15">
      <c r="A61" s="134">
        <v>58</v>
      </c>
      <c r="B61" s="134"/>
      <c r="C61" s="135" t="s">
        <v>235</v>
      </c>
      <c r="D61" s="135"/>
      <c r="E61" s="135">
        <f t="shared" si="1"/>
        <v>28</v>
      </c>
      <c r="F61" s="136" t="s">
        <v>236</v>
      </c>
      <c r="G61" s="137">
        <v>85</v>
      </c>
      <c r="H61" s="138">
        <f>INT((G61*Valores!$C$2*100)+0.5)/100</f>
        <v>1137.52</v>
      </c>
      <c r="I61" s="139">
        <v>2255</v>
      </c>
      <c r="J61" s="140">
        <f>INT((I61*Valores!$C$2*100)+0.5)/100</f>
        <v>30177.759999999998</v>
      </c>
      <c r="K61" s="155">
        <v>0</v>
      </c>
      <c r="L61" s="140">
        <f>INT((K61*Valores!$C$2*100)+0.5)/100</f>
        <v>0</v>
      </c>
      <c r="M61" s="153">
        <v>0</v>
      </c>
      <c r="N61" s="140">
        <f>INT((M61*Valores!$C$2*100)+0.5)/100</f>
        <v>0</v>
      </c>
      <c r="O61" s="140">
        <f t="shared" si="2"/>
        <v>5992.3259999999991</v>
      </c>
      <c r="P61" s="140">
        <f t="shared" si="3"/>
        <v>0</v>
      </c>
      <c r="Q61" s="142">
        <f>Valores!$C$16</f>
        <v>14032.86</v>
      </c>
      <c r="R61" s="142">
        <f>Valores!$D$4</f>
        <v>6841.19</v>
      </c>
      <c r="S61" s="140">
        <f>Valores!$C$28</f>
        <v>6103.41</v>
      </c>
      <c r="T61" s="143">
        <f>IF($H$5="NO",Valores!$C$44,Valores!$C$44/2)</f>
        <v>2267.75</v>
      </c>
      <c r="U61" s="140">
        <f>Valores!$C$25</f>
        <v>6365.81</v>
      </c>
      <c r="V61" s="140">
        <f t="shared" si="13"/>
        <v>6365.81</v>
      </c>
      <c r="W61" s="140">
        <v>0</v>
      </c>
      <c r="X61" s="140">
        <v>0</v>
      </c>
      <c r="Y61" s="144">
        <v>0</v>
      </c>
      <c r="Z61" s="140">
        <f>Y61*Valores!$C$2</f>
        <v>0</v>
      </c>
      <c r="AA61" s="140">
        <v>0</v>
      </c>
      <c r="AB61" s="143">
        <f>Valores!$C$91</f>
        <v>3090.47</v>
      </c>
      <c r="AC61" s="145">
        <f>Valores!$C$31</f>
        <v>279.8</v>
      </c>
      <c r="AD61" s="140">
        <f t="shared" si="6"/>
        <v>0</v>
      </c>
      <c r="AE61" s="140">
        <f>Valores!$C$32</f>
        <v>279.8</v>
      </c>
      <c r="AF61" s="144">
        <v>94</v>
      </c>
      <c r="AG61" s="140">
        <f>INT(((AF61*Valores!$C$2)*100)+0.5)/100</f>
        <v>1257.96</v>
      </c>
      <c r="AH61" s="140">
        <f>IF($H$5="NO",Valores!$C$60,Valores!$C$60/2)</f>
        <v>569.14</v>
      </c>
      <c r="AI61" s="140">
        <f>IF($H$5="NO",Valores!$C$62,Valores!$C$62/2)</f>
        <v>162.61000000000001</v>
      </c>
      <c r="AJ61" s="146">
        <f t="shared" si="7"/>
        <v>78558.406000000017</v>
      </c>
      <c r="AK61" s="142">
        <f>Valores!$C$37</f>
        <v>1465.56</v>
      </c>
      <c r="AL61" s="143">
        <f>Valores!$C$86</f>
        <v>2730</v>
      </c>
      <c r="AM61" s="143"/>
      <c r="AN61" s="145">
        <f>IF($H$4="NO",0,Valores!$C$53)</f>
        <v>170.34</v>
      </c>
      <c r="AO61" s="147">
        <f t="shared" si="5"/>
        <v>4365.8999999999996</v>
      </c>
      <c r="AP61" s="148">
        <f>AJ61*Valores!$C$69</f>
        <v>-8641.4246600000024</v>
      </c>
      <c r="AQ61" s="148">
        <f>AJ61*-Valores!$C$70</f>
        <v>0</v>
      </c>
      <c r="AR61" s="142">
        <f>AJ61*Valores!$C$71</f>
        <v>-3535.1282700000006</v>
      </c>
      <c r="AS61" s="142">
        <f>Valores!$C$95</f>
        <v>-193.38</v>
      </c>
      <c r="AT61" s="142">
        <f>IF($H$6=0,Valores!$C$96,(Valores!$C$96+$H$6*(Valores!$C$96)))</f>
        <v>-178</v>
      </c>
      <c r="AU61" s="146">
        <f t="shared" si="8"/>
        <v>70376.373070000016</v>
      </c>
      <c r="AV61" s="199">
        <f t="shared" si="0"/>
        <v>-8641.4246600000024</v>
      </c>
      <c r="AW61" s="142">
        <f>AJ61*Valores!$C$72</f>
        <v>-2121.0769620000005</v>
      </c>
      <c r="AX61" s="142">
        <f>AJ61*Valores!$C$73</f>
        <v>-235.67521800000006</v>
      </c>
      <c r="AY61" s="146">
        <f t="shared" si="9"/>
        <v>71926.129160000011</v>
      </c>
      <c r="AZ61" s="150"/>
      <c r="BA61" s="150">
        <v>25</v>
      </c>
      <c r="BB61" s="135" t="s">
        <v>4</v>
      </c>
    </row>
    <row r="62" spans="1:54" s="114" customFormat="1" ht="11.25" customHeight="1" x14ac:dyDescent="0.15">
      <c r="A62" s="134">
        <v>59</v>
      </c>
      <c r="B62" s="134"/>
      <c r="C62" s="135" t="s">
        <v>237</v>
      </c>
      <c r="D62" s="135"/>
      <c r="E62" s="135">
        <f t="shared" si="1"/>
        <v>33</v>
      </c>
      <c r="F62" s="136" t="s">
        <v>238</v>
      </c>
      <c r="G62" s="137">
        <v>100</v>
      </c>
      <c r="H62" s="138">
        <f>INT((G62*Valores!$C$2*100)+0.5)/100</f>
        <v>1338.26</v>
      </c>
      <c r="I62" s="139">
        <v>3180</v>
      </c>
      <c r="J62" s="140">
        <f>INT((I62*Valores!$C$2*100)+0.5)/100</f>
        <v>42556.67</v>
      </c>
      <c r="K62" s="155">
        <v>0</v>
      </c>
      <c r="L62" s="140">
        <f>INT((K62*Valores!$C$2*100)+0.5)/100</f>
        <v>0</v>
      </c>
      <c r="M62" s="153">
        <v>0</v>
      </c>
      <c r="N62" s="140">
        <f>INT((M62*Valores!$C$2*100)+0.5)/100</f>
        <v>0</v>
      </c>
      <c r="O62" s="140">
        <f t="shared" si="2"/>
        <v>8039.8964999999989</v>
      </c>
      <c r="P62" s="140">
        <f t="shared" si="3"/>
        <v>0</v>
      </c>
      <c r="Q62" s="142">
        <f>Valores!$C$16</f>
        <v>14032.86</v>
      </c>
      <c r="R62" s="142">
        <f>Valores!$D$4</f>
        <v>6841.19</v>
      </c>
      <c r="S62" s="154">
        <f>Valores!$C$28</f>
        <v>6103.41</v>
      </c>
      <c r="T62" s="143">
        <f>IF($H$5="NO",Valores!$C$45,Valores!$C$45/2)</f>
        <v>3338.57</v>
      </c>
      <c r="U62" s="140">
        <f>Valores!$C$25</f>
        <v>6365.81</v>
      </c>
      <c r="V62" s="140">
        <f t="shared" si="13"/>
        <v>6365.81</v>
      </c>
      <c r="W62" s="140">
        <v>0</v>
      </c>
      <c r="X62" s="140">
        <v>0</v>
      </c>
      <c r="Y62" s="144">
        <v>0</v>
      </c>
      <c r="Z62" s="140">
        <f>Y62*Valores!$C$2</f>
        <v>0</v>
      </c>
      <c r="AA62" s="140">
        <v>0</v>
      </c>
      <c r="AB62" s="143">
        <f>Valores!$C$91</f>
        <v>3090.47</v>
      </c>
      <c r="AC62" s="145">
        <f>Valores!$C$31</f>
        <v>279.8</v>
      </c>
      <c r="AD62" s="140">
        <f t="shared" si="6"/>
        <v>0</v>
      </c>
      <c r="AE62" s="140">
        <f>Valores!$C$32</f>
        <v>279.8</v>
      </c>
      <c r="AF62" s="144">
        <v>0</v>
      </c>
      <c r="AG62" s="140">
        <f>INT(((AF62*Valores!$C$2)*100)+0.5)/100</f>
        <v>0</v>
      </c>
      <c r="AH62" s="140">
        <f>IF($H$5="NO",Valores!$C$60,Valores!$C$60/2)</f>
        <v>569.14</v>
      </c>
      <c r="AI62" s="140">
        <f>IF($H$5="NO",Valores!$C$62,Valores!$C$62/2)</f>
        <v>162.61000000000001</v>
      </c>
      <c r="AJ62" s="146">
        <f t="shared" si="7"/>
        <v>92998.486500000014</v>
      </c>
      <c r="AK62" s="142">
        <f>Valores!$C$37</f>
        <v>1465.56</v>
      </c>
      <c r="AL62" s="143">
        <f>Valores!$C$86</f>
        <v>2730</v>
      </c>
      <c r="AM62" s="143"/>
      <c r="AN62" s="145">
        <f>IF($H$4="NO",0,Valores!$C$53)</f>
        <v>170.34</v>
      </c>
      <c r="AO62" s="147">
        <f t="shared" si="5"/>
        <v>4365.8999999999996</v>
      </c>
      <c r="AP62" s="148">
        <f>AJ62*Valores!$C$69</f>
        <v>-10229.833515000002</v>
      </c>
      <c r="AQ62" s="148">
        <f>AJ62*-Valores!$C$70</f>
        <v>0</v>
      </c>
      <c r="AR62" s="142">
        <f>AJ62*Valores!$C$71</f>
        <v>-4184.9318925000007</v>
      </c>
      <c r="AS62" s="142">
        <f>Valores!$C$95</f>
        <v>-193.38</v>
      </c>
      <c r="AT62" s="142">
        <f>IF($H$6=0,Valores!$C$96,(Valores!$C$96+$H$6*(Valores!$C$96)))</f>
        <v>-178</v>
      </c>
      <c r="AU62" s="146">
        <f t="shared" si="8"/>
        <v>82578.241092500015</v>
      </c>
      <c r="AV62" s="199">
        <f t="shared" si="0"/>
        <v>-10229.833515000002</v>
      </c>
      <c r="AW62" s="142">
        <f>AJ62*Valores!$C$72</f>
        <v>-2510.9591355000002</v>
      </c>
      <c r="AX62" s="142">
        <f>AJ62*Valores!$C$73</f>
        <v>-278.99545950000004</v>
      </c>
      <c r="AY62" s="146">
        <f t="shared" si="9"/>
        <v>84344.598389999999</v>
      </c>
      <c r="AZ62" s="150"/>
      <c r="BA62" s="150"/>
      <c r="BB62" s="135" t="s">
        <v>4</v>
      </c>
    </row>
    <row r="63" spans="1:54" s="114" customFormat="1" ht="11.25" customHeight="1" x14ac:dyDescent="0.15">
      <c r="A63" s="152">
        <v>60</v>
      </c>
      <c r="B63" s="152" t="s">
        <v>139</v>
      </c>
      <c r="C63" s="135" t="s">
        <v>239</v>
      </c>
      <c r="D63" s="135"/>
      <c r="E63" s="135">
        <f t="shared" si="1"/>
        <v>30</v>
      </c>
      <c r="F63" s="136" t="s">
        <v>240</v>
      </c>
      <c r="G63" s="137">
        <v>83</v>
      </c>
      <c r="H63" s="138">
        <f>INT((G63*Valores!$C$2*100)+0.5)/100</f>
        <v>1110.76</v>
      </c>
      <c r="I63" s="139">
        <v>2352</v>
      </c>
      <c r="J63" s="140">
        <f>INT((I63*Valores!$C$2*100)+0.5)/100</f>
        <v>31475.88</v>
      </c>
      <c r="K63" s="155">
        <v>0</v>
      </c>
      <c r="L63" s="140">
        <f>INT((K63*Valores!$C$2*100)+0.5)/100</f>
        <v>0</v>
      </c>
      <c r="M63" s="153">
        <v>0</v>
      </c>
      <c r="N63" s="140">
        <f>INT((M63*Valores!$C$2*100)+0.5)/100</f>
        <v>0</v>
      </c>
      <c r="O63" s="140">
        <f t="shared" si="2"/>
        <v>6183.03</v>
      </c>
      <c r="P63" s="140">
        <f t="shared" si="3"/>
        <v>0</v>
      </c>
      <c r="Q63" s="142">
        <f>Valores!$C$16</f>
        <v>14032.86</v>
      </c>
      <c r="R63" s="142">
        <f>Valores!$D$4</f>
        <v>6841.19</v>
      </c>
      <c r="S63" s="154">
        <f>Valores!$C$28</f>
        <v>6103.41</v>
      </c>
      <c r="T63" s="143">
        <f>IF($H$5="NO",Valores!$C$44,Valores!$C$44/2)</f>
        <v>2267.75</v>
      </c>
      <c r="U63" s="140">
        <f>Valores!$C$25</f>
        <v>6365.81</v>
      </c>
      <c r="V63" s="140">
        <f t="shared" si="13"/>
        <v>6365.81</v>
      </c>
      <c r="W63" s="140">
        <v>0</v>
      </c>
      <c r="X63" s="140">
        <v>0</v>
      </c>
      <c r="Y63" s="144">
        <v>0</v>
      </c>
      <c r="Z63" s="140">
        <f>Y63*Valores!$C$2</f>
        <v>0</v>
      </c>
      <c r="AA63" s="140">
        <v>0</v>
      </c>
      <c r="AB63" s="143">
        <f>Valores!$C$91</f>
        <v>3090.47</v>
      </c>
      <c r="AC63" s="145">
        <f>Valores!$C$31</f>
        <v>279.8</v>
      </c>
      <c r="AD63" s="140">
        <f t="shared" si="6"/>
        <v>0</v>
      </c>
      <c r="AE63" s="140">
        <f>Valores!$C$32</f>
        <v>279.8</v>
      </c>
      <c r="AF63" s="144">
        <v>0</v>
      </c>
      <c r="AG63" s="140">
        <f>INT(((AF63*Valores!$C$2)*100)+0.5)/100</f>
        <v>0</v>
      </c>
      <c r="AH63" s="140">
        <f>IF($H$5="NO",Valores!$C$60,Valores!$C$60/2)</f>
        <v>569.14</v>
      </c>
      <c r="AI63" s="140">
        <f>IF($H$5="NO",Valores!$C$62,Valores!$C$62/2)</f>
        <v>162.61000000000001</v>
      </c>
      <c r="AJ63" s="146">
        <f t="shared" si="7"/>
        <v>78762.510000000009</v>
      </c>
      <c r="AK63" s="142">
        <f>Valores!$C$37</f>
        <v>1465.56</v>
      </c>
      <c r="AL63" s="143">
        <f>Valores!$C$86</f>
        <v>2730</v>
      </c>
      <c r="AM63" s="143"/>
      <c r="AN63" s="145">
        <f>IF($H$4="NO",0,Valores!$C$53)</f>
        <v>170.34</v>
      </c>
      <c r="AO63" s="147">
        <f t="shared" si="5"/>
        <v>4365.8999999999996</v>
      </c>
      <c r="AP63" s="148">
        <f>AJ63*Valores!$C$69</f>
        <v>-8663.8761000000013</v>
      </c>
      <c r="AQ63" s="148">
        <f>AJ63*-Valores!$C$70</f>
        <v>0</v>
      </c>
      <c r="AR63" s="142">
        <f>AJ63*Valores!$C$71</f>
        <v>-3544.3129500000005</v>
      </c>
      <c r="AS63" s="142">
        <f>Valores!$C$95</f>
        <v>-193.38</v>
      </c>
      <c r="AT63" s="142">
        <f>IF($H$6=0,Valores!$C$96,(Valores!$C$96+$H$6*(Valores!$C$96)))</f>
        <v>-178</v>
      </c>
      <c r="AU63" s="146">
        <f t="shared" si="8"/>
        <v>70548.840950000013</v>
      </c>
      <c r="AV63" s="199">
        <f t="shared" si="0"/>
        <v>-8663.8761000000013</v>
      </c>
      <c r="AW63" s="142">
        <f>AJ63*Valores!$C$72</f>
        <v>-2126.5877700000001</v>
      </c>
      <c r="AX63" s="142">
        <f>AJ63*Valores!$C$73</f>
        <v>-236.28753000000003</v>
      </c>
      <c r="AY63" s="146">
        <f t="shared" si="9"/>
        <v>72101.658599999995</v>
      </c>
      <c r="AZ63" s="150"/>
      <c r="BA63" s="150">
        <v>30</v>
      </c>
      <c r="BB63" s="135" t="s">
        <v>4</v>
      </c>
    </row>
    <row r="64" spans="1:54" s="114" customFormat="1" ht="11.25" customHeight="1" x14ac:dyDescent="0.15">
      <c r="A64" s="134">
        <v>61</v>
      </c>
      <c r="B64" s="134"/>
      <c r="C64" s="135" t="s">
        <v>241</v>
      </c>
      <c r="D64" s="135"/>
      <c r="E64" s="135">
        <f t="shared" si="1"/>
        <v>33</v>
      </c>
      <c r="F64" s="136" t="s">
        <v>242</v>
      </c>
      <c r="G64" s="137">
        <v>81</v>
      </c>
      <c r="H64" s="138">
        <f>INT((G64*Valores!$C$2*100)+0.5)/100</f>
        <v>1083.99</v>
      </c>
      <c r="I64" s="139">
        <v>2354</v>
      </c>
      <c r="J64" s="140">
        <f>INT((I64*Valores!$C$2*100)+0.5)/100</f>
        <v>31502.639999999999</v>
      </c>
      <c r="K64" s="155">
        <v>0</v>
      </c>
      <c r="L64" s="140">
        <f>INT((K64*Valores!$C$2*100)+0.5)/100</f>
        <v>0</v>
      </c>
      <c r="M64" s="153">
        <v>0</v>
      </c>
      <c r="N64" s="140">
        <f>INT((M64*Valores!$C$2*100)+0.5)/100</f>
        <v>0</v>
      </c>
      <c r="O64" s="140">
        <f t="shared" si="2"/>
        <v>6183.0285000000003</v>
      </c>
      <c r="P64" s="140">
        <f t="shared" si="3"/>
        <v>0</v>
      </c>
      <c r="Q64" s="142">
        <f>Valores!$C$16</f>
        <v>14032.86</v>
      </c>
      <c r="R64" s="142">
        <f>Valores!$D$4</f>
        <v>6841.19</v>
      </c>
      <c r="S64" s="154">
        <f>Valores!$C$28</f>
        <v>6103.41</v>
      </c>
      <c r="T64" s="143">
        <f>IF($H$5="NO",Valores!$C$44,Valores!$C$44/2)</f>
        <v>2267.75</v>
      </c>
      <c r="U64" s="140">
        <f>Valores!$C$25</f>
        <v>6365.81</v>
      </c>
      <c r="V64" s="140">
        <f t="shared" si="13"/>
        <v>6365.81</v>
      </c>
      <c r="W64" s="140">
        <v>0</v>
      </c>
      <c r="X64" s="140">
        <v>0</v>
      </c>
      <c r="Y64" s="144">
        <v>0</v>
      </c>
      <c r="Z64" s="140">
        <f>Y64*Valores!$C$2</f>
        <v>0</v>
      </c>
      <c r="AA64" s="140">
        <v>0</v>
      </c>
      <c r="AB64" s="143">
        <f>Valores!$C$91</f>
        <v>3090.47</v>
      </c>
      <c r="AC64" s="145">
        <f>Valores!$C$31</f>
        <v>279.8</v>
      </c>
      <c r="AD64" s="140">
        <f t="shared" si="6"/>
        <v>0</v>
      </c>
      <c r="AE64" s="140">
        <f>Valores!$C$32</f>
        <v>279.8</v>
      </c>
      <c r="AF64" s="144">
        <v>94</v>
      </c>
      <c r="AG64" s="140">
        <f>INT(((AF64*Valores!$C$2)*100)+0.5)/100</f>
        <v>1257.96</v>
      </c>
      <c r="AH64" s="140">
        <f>IF($H$5="NO",Valores!$C$60,Valores!$C$60/2)</f>
        <v>569.14</v>
      </c>
      <c r="AI64" s="140">
        <f>IF($H$5="NO",Valores!$C$62,Valores!$C$62/2)</f>
        <v>162.61000000000001</v>
      </c>
      <c r="AJ64" s="146">
        <f t="shared" si="7"/>
        <v>80020.458500000022</v>
      </c>
      <c r="AK64" s="142">
        <f>Valores!$C$37</f>
        <v>1465.56</v>
      </c>
      <c r="AL64" s="143">
        <f>Valores!$C$86</f>
        <v>2730</v>
      </c>
      <c r="AM64" s="143"/>
      <c r="AN64" s="145">
        <f>IF($H$4="NO",0,Valores!$C$53)</f>
        <v>170.34</v>
      </c>
      <c r="AO64" s="147">
        <f t="shared" si="5"/>
        <v>4365.8999999999996</v>
      </c>
      <c r="AP64" s="148">
        <f>AJ64*Valores!$C$69</f>
        <v>-8802.2504350000017</v>
      </c>
      <c r="AQ64" s="148">
        <f>AJ64*-Valores!$C$70</f>
        <v>0</v>
      </c>
      <c r="AR64" s="142">
        <f>AJ64*Valores!$C$71</f>
        <v>-3600.9206325000009</v>
      </c>
      <c r="AS64" s="142">
        <f>Valores!$C$95</f>
        <v>-193.38</v>
      </c>
      <c r="AT64" s="142">
        <f>IF($H$6=0,Valores!$C$96,(Valores!$C$96+$H$6*(Valores!$C$96)))</f>
        <v>-178</v>
      </c>
      <c r="AU64" s="146">
        <f t="shared" si="8"/>
        <v>71611.80743250002</v>
      </c>
      <c r="AV64" s="199">
        <f t="shared" si="0"/>
        <v>-8802.2504350000017</v>
      </c>
      <c r="AW64" s="142">
        <f>AJ64*Valores!$C$72</f>
        <v>-2160.5523795000004</v>
      </c>
      <c r="AX64" s="142">
        <f>AJ64*Valores!$C$73</f>
        <v>-240.06137550000008</v>
      </c>
      <c r="AY64" s="146">
        <f t="shared" si="9"/>
        <v>73183.494310000009</v>
      </c>
      <c r="AZ64" s="150"/>
      <c r="BA64" s="150">
        <v>25</v>
      </c>
      <c r="BB64" s="135" t="s">
        <v>4</v>
      </c>
    </row>
    <row r="65" spans="1:54" s="114" customFormat="1" ht="11.25" customHeight="1" x14ac:dyDescent="0.15">
      <c r="A65" s="134">
        <v>62</v>
      </c>
      <c r="B65" s="134"/>
      <c r="C65" s="135" t="s">
        <v>243</v>
      </c>
      <c r="D65" s="135"/>
      <c r="E65" s="135">
        <f t="shared" si="1"/>
        <v>30</v>
      </c>
      <c r="F65" s="136" t="s">
        <v>244</v>
      </c>
      <c r="G65" s="137">
        <v>81</v>
      </c>
      <c r="H65" s="138">
        <f>INT((G65*Valores!$C$2*100)+0.5)/100</f>
        <v>1083.99</v>
      </c>
      <c r="I65" s="139">
        <v>2094</v>
      </c>
      <c r="J65" s="140">
        <f>INT((I65*Valores!$C$2*100)+0.5)/100</f>
        <v>28023.16</v>
      </c>
      <c r="K65" s="155">
        <v>0</v>
      </c>
      <c r="L65" s="140">
        <f>INT((K65*Valores!$C$2*100)+0.5)/100</f>
        <v>0</v>
      </c>
      <c r="M65" s="153">
        <v>0</v>
      </c>
      <c r="N65" s="140">
        <f>INT((M65*Valores!$C$2*100)+0.5)/100</f>
        <v>0</v>
      </c>
      <c r="O65" s="140">
        <f t="shared" si="2"/>
        <v>5661.1064999999999</v>
      </c>
      <c r="P65" s="140">
        <f t="shared" si="3"/>
        <v>0</v>
      </c>
      <c r="Q65" s="142">
        <f>Valores!$C$16</f>
        <v>14032.86</v>
      </c>
      <c r="R65" s="142">
        <f>Valores!$D$4</f>
        <v>6841.19</v>
      </c>
      <c r="S65" s="154">
        <f>Valores!$C$28</f>
        <v>6103.41</v>
      </c>
      <c r="T65" s="143">
        <f>IF($H$5="NO",Valores!$C$44,Valores!$C$44/2)</f>
        <v>2267.75</v>
      </c>
      <c r="U65" s="140">
        <f>Valores!$C$25</f>
        <v>6365.81</v>
      </c>
      <c r="V65" s="140">
        <f t="shared" si="13"/>
        <v>6365.81</v>
      </c>
      <c r="W65" s="140">
        <v>0</v>
      </c>
      <c r="X65" s="140">
        <v>0</v>
      </c>
      <c r="Y65" s="144">
        <v>0</v>
      </c>
      <c r="Z65" s="140">
        <f>Y65*Valores!$C$2</f>
        <v>0</v>
      </c>
      <c r="AA65" s="140">
        <v>0</v>
      </c>
      <c r="AB65" s="143">
        <f>Valores!$C$91</f>
        <v>3090.47</v>
      </c>
      <c r="AC65" s="145">
        <f>Valores!$C$31</f>
        <v>279.8</v>
      </c>
      <c r="AD65" s="140">
        <f t="shared" si="6"/>
        <v>0</v>
      </c>
      <c r="AE65" s="140">
        <f>Valores!$C$32</f>
        <v>279.8</v>
      </c>
      <c r="AF65" s="144">
        <v>0</v>
      </c>
      <c r="AG65" s="140">
        <f>INT(((AF65*Valores!$C$2)*100)+0.5)/100</f>
        <v>0</v>
      </c>
      <c r="AH65" s="140">
        <f>IF($H$5="NO",Valores!$C$60,Valores!$C$60/2)</f>
        <v>569.14</v>
      </c>
      <c r="AI65" s="140">
        <f>IF($H$5="NO",Valores!$C$62,Valores!$C$62/2)</f>
        <v>162.61000000000001</v>
      </c>
      <c r="AJ65" s="146">
        <f t="shared" si="7"/>
        <v>74761.096500000014</v>
      </c>
      <c r="AK65" s="142">
        <f>Valores!$C$37</f>
        <v>1465.56</v>
      </c>
      <c r="AL65" s="143">
        <f>Valores!$C$86</f>
        <v>2730</v>
      </c>
      <c r="AM65" s="143"/>
      <c r="AN65" s="145">
        <f>IF($H$4="NO",0,Valores!$C$53)</f>
        <v>170.34</v>
      </c>
      <c r="AO65" s="147">
        <f t="shared" si="5"/>
        <v>4365.8999999999996</v>
      </c>
      <c r="AP65" s="148">
        <f>AJ65*Valores!$C$69</f>
        <v>-8223.720615000002</v>
      </c>
      <c r="AQ65" s="148">
        <f>AJ65*-Valores!$C$70</f>
        <v>0</v>
      </c>
      <c r="AR65" s="142">
        <f>AJ65*Valores!$C$71</f>
        <v>-3364.2493425000007</v>
      </c>
      <c r="AS65" s="142">
        <f>Valores!$C$95</f>
        <v>-193.38</v>
      </c>
      <c r="AT65" s="142">
        <f>IF($H$6=0,Valores!$C$96,(Valores!$C$96+$H$6*(Valores!$C$96)))</f>
        <v>-178</v>
      </c>
      <c r="AU65" s="146">
        <f t="shared" si="8"/>
        <v>67167.646542500006</v>
      </c>
      <c r="AV65" s="199">
        <f t="shared" si="0"/>
        <v>-8223.720615000002</v>
      </c>
      <c r="AW65" s="142">
        <f>AJ65*Valores!$C$72</f>
        <v>-2018.5496055000003</v>
      </c>
      <c r="AX65" s="142">
        <f>AJ65*Valores!$C$73</f>
        <v>-224.28328950000005</v>
      </c>
      <c r="AY65" s="146">
        <f t="shared" si="9"/>
        <v>68660.44299000001</v>
      </c>
      <c r="AZ65" s="150"/>
      <c r="BA65" s="150">
        <v>30</v>
      </c>
      <c r="BB65" s="135" t="s">
        <v>4</v>
      </c>
    </row>
    <row r="66" spans="1:54" s="114" customFormat="1" ht="11.25" customHeight="1" x14ac:dyDescent="0.15">
      <c r="A66" s="134">
        <v>63</v>
      </c>
      <c r="B66" s="134"/>
      <c r="C66" s="135" t="s">
        <v>245</v>
      </c>
      <c r="D66" s="135"/>
      <c r="E66" s="135">
        <f t="shared" si="1"/>
        <v>33</v>
      </c>
      <c r="F66" s="136" t="s">
        <v>246</v>
      </c>
      <c r="G66" s="137">
        <v>80</v>
      </c>
      <c r="H66" s="138">
        <f>INT((G66*Valores!$C$2*100)+0.5)/100</f>
        <v>1070.6099999999999</v>
      </c>
      <c r="I66" s="139">
        <v>2095</v>
      </c>
      <c r="J66" s="140">
        <f>INT((I66*Valores!$C$2*100)+0.5)/100</f>
        <v>28036.55</v>
      </c>
      <c r="K66" s="155">
        <v>0</v>
      </c>
      <c r="L66" s="140">
        <f>INT((K66*Valores!$C$2*100)+0.5)/100</f>
        <v>0</v>
      </c>
      <c r="M66" s="153">
        <v>0</v>
      </c>
      <c r="N66" s="140">
        <f>INT((M66*Valores!$C$2*100)+0.5)/100</f>
        <v>0</v>
      </c>
      <c r="O66" s="140">
        <f t="shared" si="2"/>
        <v>5661.1080000000002</v>
      </c>
      <c r="P66" s="140">
        <f t="shared" si="3"/>
        <v>0</v>
      </c>
      <c r="Q66" s="142">
        <f>Valores!$C$16</f>
        <v>14032.86</v>
      </c>
      <c r="R66" s="142">
        <f>Valores!$D$4</f>
        <v>6841.19</v>
      </c>
      <c r="S66" s="140">
        <f>Valores!$C$28</f>
        <v>6103.41</v>
      </c>
      <c r="T66" s="143">
        <f>IF($H$5="NO",Valores!$C$44,Valores!$C$44/2)</f>
        <v>2267.75</v>
      </c>
      <c r="U66" s="140">
        <f>Valores!$C$25</f>
        <v>6365.81</v>
      </c>
      <c r="V66" s="140">
        <f t="shared" si="13"/>
        <v>6365.81</v>
      </c>
      <c r="W66" s="140">
        <v>0</v>
      </c>
      <c r="X66" s="140">
        <v>0</v>
      </c>
      <c r="Y66" s="144">
        <v>0</v>
      </c>
      <c r="Z66" s="140">
        <f>Y66*Valores!$C$2</f>
        <v>0</v>
      </c>
      <c r="AA66" s="140">
        <v>0</v>
      </c>
      <c r="AB66" s="143">
        <f>Valores!$C$91</f>
        <v>3090.47</v>
      </c>
      <c r="AC66" s="145">
        <f>Valores!$C$31</f>
        <v>279.8</v>
      </c>
      <c r="AD66" s="140">
        <f t="shared" si="6"/>
        <v>0</v>
      </c>
      <c r="AE66" s="140">
        <f>Valores!$C$32</f>
        <v>279.8</v>
      </c>
      <c r="AF66" s="144">
        <v>94</v>
      </c>
      <c r="AG66" s="140">
        <f>INT(((AF66*Valores!$C$2)*100)+0.5)/100</f>
        <v>1257.96</v>
      </c>
      <c r="AH66" s="140">
        <f>IF($H$5="NO",Valores!$C$60,Valores!$C$60/2)</f>
        <v>569.14</v>
      </c>
      <c r="AI66" s="140">
        <f>IF($H$5="NO",Valores!$C$62,Valores!$C$62/2)</f>
        <v>162.61000000000001</v>
      </c>
      <c r="AJ66" s="146">
        <f t="shared" si="7"/>
        <v>76019.068000000014</v>
      </c>
      <c r="AK66" s="142">
        <f>Valores!$C$37</f>
        <v>1465.56</v>
      </c>
      <c r="AL66" s="143">
        <f>Valores!$C$86</f>
        <v>2730</v>
      </c>
      <c r="AM66" s="143"/>
      <c r="AN66" s="145">
        <f>IF($H$4="NO",0,Valores!$C$53)</f>
        <v>170.34</v>
      </c>
      <c r="AO66" s="147">
        <f t="shared" si="5"/>
        <v>4365.8999999999996</v>
      </c>
      <c r="AP66" s="148">
        <f>AJ66*Valores!$C$69</f>
        <v>-8362.0974800000022</v>
      </c>
      <c r="AQ66" s="148">
        <f>AJ66*-Valores!$C$70</f>
        <v>0</v>
      </c>
      <c r="AR66" s="142">
        <f>AJ66*Valores!$C$71</f>
        <v>-3420.8580600000005</v>
      </c>
      <c r="AS66" s="142">
        <f>Valores!$C$95</f>
        <v>-193.38</v>
      </c>
      <c r="AT66" s="142">
        <f>IF($H$6=0,Valores!$C$96,(Valores!$C$96+$H$6*(Valores!$C$96)))</f>
        <v>-178</v>
      </c>
      <c r="AU66" s="146">
        <f t="shared" si="8"/>
        <v>68230.632460000008</v>
      </c>
      <c r="AV66" s="199">
        <f t="shared" si="0"/>
        <v>-8362.0974800000022</v>
      </c>
      <c r="AW66" s="142">
        <f>AJ66*Valores!$C$72</f>
        <v>-2052.5148360000003</v>
      </c>
      <c r="AX66" s="142">
        <f>AJ66*Valores!$C$73</f>
        <v>-228.05720400000004</v>
      </c>
      <c r="AY66" s="146">
        <f t="shared" si="9"/>
        <v>69742.298479999998</v>
      </c>
      <c r="AZ66" s="150"/>
      <c r="BA66" s="150">
        <v>25</v>
      </c>
      <c r="BB66" s="135" t="s">
        <v>4</v>
      </c>
    </row>
    <row r="67" spans="1:54" s="114" customFormat="1" ht="11.25" customHeight="1" x14ac:dyDescent="0.15">
      <c r="A67" s="134">
        <v>64</v>
      </c>
      <c r="B67" s="134"/>
      <c r="C67" s="135" t="s">
        <v>247</v>
      </c>
      <c r="D67" s="135"/>
      <c r="E67" s="135">
        <f t="shared" si="1"/>
        <v>30</v>
      </c>
      <c r="F67" s="136" t="s">
        <v>248</v>
      </c>
      <c r="G67" s="137">
        <v>79</v>
      </c>
      <c r="H67" s="138">
        <f>INT((G67*Valores!$C$2*100)+0.5)/100</f>
        <v>1057.23</v>
      </c>
      <c r="I67" s="139">
        <v>1944</v>
      </c>
      <c r="J67" s="140">
        <f>INT((I67*Valores!$C$2*100)+0.5)/100</f>
        <v>26015.77</v>
      </c>
      <c r="K67" s="155">
        <v>0</v>
      </c>
      <c r="L67" s="140">
        <f>INT((K67*Valores!$C$2*100)+0.5)/100</f>
        <v>0</v>
      </c>
      <c r="M67" s="153">
        <v>0</v>
      </c>
      <c r="N67" s="140">
        <f>INT((M67*Valores!$C$2*100)+0.5)/100</f>
        <v>0</v>
      </c>
      <c r="O67" s="140">
        <f t="shared" si="2"/>
        <v>5355.9839999999995</v>
      </c>
      <c r="P67" s="140">
        <f t="shared" si="3"/>
        <v>0</v>
      </c>
      <c r="Q67" s="142">
        <f>Valores!$C$16</f>
        <v>14032.86</v>
      </c>
      <c r="R67" s="142">
        <f>Valores!$D$4</f>
        <v>6841.19</v>
      </c>
      <c r="S67" s="154">
        <f>Valores!$C$28</f>
        <v>6103.41</v>
      </c>
      <c r="T67" s="143">
        <f>IF($H$5="NO",Valores!$C$44,Valores!$C$44/2)</f>
        <v>2267.75</v>
      </c>
      <c r="U67" s="140">
        <f>Valores!$C$25</f>
        <v>6365.81</v>
      </c>
      <c r="V67" s="140">
        <f t="shared" si="13"/>
        <v>6365.81</v>
      </c>
      <c r="W67" s="140">
        <v>0</v>
      </c>
      <c r="X67" s="140">
        <v>0</v>
      </c>
      <c r="Y67" s="144">
        <v>0</v>
      </c>
      <c r="Z67" s="140">
        <f>Y67*Valores!$C$2</f>
        <v>0</v>
      </c>
      <c r="AA67" s="140">
        <v>0</v>
      </c>
      <c r="AB67" s="143">
        <f>Valores!$C$91</f>
        <v>3090.47</v>
      </c>
      <c r="AC67" s="145">
        <f>Valores!$C$31</f>
        <v>279.8</v>
      </c>
      <c r="AD67" s="140">
        <f t="shared" si="6"/>
        <v>0</v>
      </c>
      <c r="AE67" s="140">
        <f>Valores!$C$32</f>
        <v>279.8</v>
      </c>
      <c r="AF67" s="144">
        <v>0</v>
      </c>
      <c r="AG67" s="140">
        <f>INT(((AF67*Valores!$C$2)*100)+0.5)/100</f>
        <v>0</v>
      </c>
      <c r="AH67" s="140">
        <f>IF($H$5="NO",Valores!$C$60,Valores!$C$60/2)</f>
        <v>569.14</v>
      </c>
      <c r="AI67" s="140">
        <f>IF($H$5="NO",Valores!$C$62,Valores!$C$62/2)</f>
        <v>162.61000000000001</v>
      </c>
      <c r="AJ67" s="146">
        <f t="shared" si="7"/>
        <v>72421.824000000008</v>
      </c>
      <c r="AK67" s="142">
        <f>Valores!$C$37</f>
        <v>1465.56</v>
      </c>
      <c r="AL67" s="143">
        <f>Valores!$C$86</f>
        <v>2730</v>
      </c>
      <c r="AM67" s="143"/>
      <c r="AN67" s="145">
        <f>IF($H$4="NO",0,Valores!$C$53)</f>
        <v>170.34</v>
      </c>
      <c r="AO67" s="147">
        <f t="shared" si="5"/>
        <v>4365.8999999999996</v>
      </c>
      <c r="AP67" s="148">
        <f>AJ67*Valores!$C$69</f>
        <v>-7966.4006400000007</v>
      </c>
      <c r="AQ67" s="148">
        <f>AJ67*-Valores!$C$70</f>
        <v>0</v>
      </c>
      <c r="AR67" s="142">
        <f>AJ67*Valores!$C$71</f>
        <v>-3258.9820800000002</v>
      </c>
      <c r="AS67" s="142">
        <f>Valores!$C$95</f>
        <v>-193.38</v>
      </c>
      <c r="AT67" s="142">
        <f>IF($H$6=0,Valores!$C$96,(Valores!$C$96+$H$6*(Valores!$C$96)))</f>
        <v>-178</v>
      </c>
      <c r="AU67" s="146">
        <f t="shared" si="8"/>
        <v>65190.961280000003</v>
      </c>
      <c r="AV67" s="199">
        <f t="shared" si="0"/>
        <v>-7966.4006400000007</v>
      </c>
      <c r="AW67" s="142">
        <f>AJ67*Valores!$C$72</f>
        <v>-1955.3892480000002</v>
      </c>
      <c r="AX67" s="142">
        <f>AJ67*Valores!$C$73</f>
        <v>-217.26547200000002</v>
      </c>
      <c r="AY67" s="146">
        <f t="shared" si="9"/>
        <v>66648.668640000004</v>
      </c>
      <c r="AZ67" s="150"/>
      <c r="BA67" s="150">
        <v>30</v>
      </c>
      <c r="BB67" s="135" t="s">
        <v>4</v>
      </c>
    </row>
    <row r="68" spans="1:54" s="114" customFormat="1" ht="11.25" customHeight="1" x14ac:dyDescent="0.15">
      <c r="A68" s="152">
        <v>65</v>
      </c>
      <c r="B68" s="152" t="s">
        <v>139</v>
      </c>
      <c r="C68" s="135" t="s">
        <v>249</v>
      </c>
      <c r="D68" s="135"/>
      <c r="E68" s="135">
        <f t="shared" si="1"/>
        <v>33</v>
      </c>
      <c r="F68" s="136" t="s">
        <v>250</v>
      </c>
      <c r="G68" s="137">
        <v>79</v>
      </c>
      <c r="H68" s="138">
        <f>INT((G68*Valores!$C$2*100)+0.5)/100</f>
        <v>1057.23</v>
      </c>
      <c r="I68" s="139">
        <v>1944</v>
      </c>
      <c r="J68" s="140">
        <f>INT((I68*Valores!$C$2*100)+0.5)/100</f>
        <v>26015.77</v>
      </c>
      <c r="K68" s="155">
        <v>0</v>
      </c>
      <c r="L68" s="140">
        <f>INT((K68*Valores!$C$2*100)+0.5)/100</f>
        <v>0</v>
      </c>
      <c r="M68" s="153">
        <v>0</v>
      </c>
      <c r="N68" s="140">
        <f>INT((M68*Valores!$C$2*100)+0.5)/100</f>
        <v>0</v>
      </c>
      <c r="O68" s="140">
        <f t="shared" si="2"/>
        <v>5355.9839999999995</v>
      </c>
      <c r="P68" s="140">
        <f t="shared" si="3"/>
        <v>0</v>
      </c>
      <c r="Q68" s="142">
        <f>Valores!$C$16</f>
        <v>14032.86</v>
      </c>
      <c r="R68" s="142">
        <f>Valores!$D$4</f>
        <v>6841.19</v>
      </c>
      <c r="S68" s="154">
        <f>Valores!$C$28</f>
        <v>6103.41</v>
      </c>
      <c r="T68" s="143">
        <f>IF($H$5="NO",Valores!$C$44,Valores!$C$44/2)</f>
        <v>2267.75</v>
      </c>
      <c r="U68" s="140">
        <f>Valores!$C$25</f>
        <v>6365.81</v>
      </c>
      <c r="V68" s="140">
        <f t="shared" si="13"/>
        <v>6365.81</v>
      </c>
      <c r="W68" s="140">
        <v>0</v>
      </c>
      <c r="X68" s="140">
        <v>0</v>
      </c>
      <c r="Y68" s="144">
        <v>0</v>
      </c>
      <c r="Z68" s="140">
        <f>Y68*Valores!$C$2</f>
        <v>0</v>
      </c>
      <c r="AA68" s="140">
        <v>0</v>
      </c>
      <c r="AB68" s="143">
        <f>Valores!$C$91</f>
        <v>3090.47</v>
      </c>
      <c r="AC68" s="145">
        <f>Valores!$C$31</f>
        <v>279.8</v>
      </c>
      <c r="AD68" s="140">
        <f t="shared" si="6"/>
        <v>0</v>
      </c>
      <c r="AE68" s="140">
        <f>Valores!$C$32</f>
        <v>279.8</v>
      </c>
      <c r="AF68" s="144">
        <v>94</v>
      </c>
      <c r="AG68" s="140">
        <f>INT(((AF68*Valores!$C$2)*100)+0.5)/100</f>
        <v>1257.96</v>
      </c>
      <c r="AH68" s="140">
        <f>IF($H$5="NO",Valores!$C$60,Valores!$C$60/2)</f>
        <v>569.14</v>
      </c>
      <c r="AI68" s="140">
        <f>IF($H$5="NO",Valores!$C$62,Valores!$C$62/2)</f>
        <v>162.61000000000001</v>
      </c>
      <c r="AJ68" s="146">
        <f t="shared" si="7"/>
        <v>73679.784000000014</v>
      </c>
      <c r="AK68" s="142">
        <f>Valores!$C$37</f>
        <v>1465.56</v>
      </c>
      <c r="AL68" s="143">
        <f>Valores!$C$86</f>
        <v>2730</v>
      </c>
      <c r="AM68" s="143"/>
      <c r="AN68" s="145">
        <f>IF($H$4="NO",0,Valores!$C$53)</f>
        <v>170.34</v>
      </c>
      <c r="AO68" s="147">
        <f t="shared" si="5"/>
        <v>4365.8999999999996</v>
      </c>
      <c r="AP68" s="148">
        <f>AJ68*Valores!$C$69</f>
        <v>-8104.776240000002</v>
      </c>
      <c r="AQ68" s="148">
        <f>AJ68*-Valores!$C$70</f>
        <v>0</v>
      </c>
      <c r="AR68" s="142">
        <f>AJ68*Valores!$C$71</f>
        <v>-3315.5902800000003</v>
      </c>
      <c r="AS68" s="142">
        <f>Valores!$C$95</f>
        <v>-193.38</v>
      </c>
      <c r="AT68" s="142">
        <f>IF($H$6=0,Valores!$C$96,(Valores!$C$96+$H$6*(Valores!$C$96)))</f>
        <v>-178</v>
      </c>
      <c r="AU68" s="146">
        <f t="shared" si="8"/>
        <v>66253.937480000008</v>
      </c>
      <c r="AV68" s="199">
        <f t="shared" si="0"/>
        <v>-8104.776240000002</v>
      </c>
      <c r="AW68" s="142">
        <f>AJ68*Valores!$C$72</f>
        <v>-1989.3541680000003</v>
      </c>
      <c r="AX68" s="142">
        <f>AJ68*Valores!$C$73</f>
        <v>-221.03935200000004</v>
      </c>
      <c r="AY68" s="146">
        <f t="shared" si="9"/>
        <v>67730.514240000004</v>
      </c>
      <c r="AZ68" s="150"/>
      <c r="BA68" s="150">
        <v>25</v>
      </c>
      <c r="BB68" s="135" t="s">
        <v>8</v>
      </c>
    </row>
    <row r="69" spans="1:54" s="114" customFormat="1" ht="11.25" customHeight="1" x14ac:dyDescent="0.15">
      <c r="A69" s="134">
        <v>66</v>
      </c>
      <c r="B69" s="134"/>
      <c r="C69" s="135" t="s">
        <v>251</v>
      </c>
      <c r="D69" s="135"/>
      <c r="E69" s="135">
        <f t="shared" si="1"/>
        <v>29</v>
      </c>
      <c r="F69" s="136" t="s">
        <v>252</v>
      </c>
      <c r="G69" s="137">
        <v>100</v>
      </c>
      <c r="H69" s="138">
        <f>INT((G69*Valores!$C$2*100)+0.5)/100</f>
        <v>1338.26</v>
      </c>
      <c r="I69" s="139">
        <v>2864</v>
      </c>
      <c r="J69" s="140">
        <f>INT((I69*Valores!$C$2*100)+0.5)/100</f>
        <v>38327.769999999997</v>
      </c>
      <c r="K69" s="155">
        <v>0</v>
      </c>
      <c r="L69" s="140">
        <f>INT((K69*Valores!$C$2*100)+0.5)/100</f>
        <v>0</v>
      </c>
      <c r="M69" s="153">
        <v>0</v>
      </c>
      <c r="N69" s="140">
        <f>INT((M69*Valores!$C$2*100)+0.5)/100</f>
        <v>0</v>
      </c>
      <c r="O69" s="140">
        <f t="shared" si="2"/>
        <v>7244.9384999999993</v>
      </c>
      <c r="P69" s="140">
        <f t="shared" si="3"/>
        <v>0</v>
      </c>
      <c r="Q69" s="142">
        <f>Valores!$C$16</f>
        <v>14032.86</v>
      </c>
      <c r="R69" s="142">
        <f>Valores!$D$4</f>
        <v>6841.19</v>
      </c>
      <c r="S69" s="140">
        <v>0</v>
      </c>
      <c r="T69" s="143">
        <f>IF($H$5="NO",Valores!$C$44,Valores!$C$44/2)</f>
        <v>2267.75</v>
      </c>
      <c r="U69" s="140">
        <f>Valores!$C$25</f>
        <v>6365.81</v>
      </c>
      <c r="V69" s="140">
        <f t="shared" si="13"/>
        <v>6365.81</v>
      </c>
      <c r="W69" s="140">
        <v>0</v>
      </c>
      <c r="X69" s="140">
        <v>0</v>
      </c>
      <c r="Y69" s="144">
        <v>0</v>
      </c>
      <c r="Z69" s="140">
        <f>Y69*Valores!$C$2</f>
        <v>0</v>
      </c>
      <c r="AA69" s="140">
        <v>0</v>
      </c>
      <c r="AB69" s="143">
        <f>Valores!$C$90</f>
        <v>2575.39</v>
      </c>
      <c r="AC69" s="145">
        <f>Valores!$C$31</f>
        <v>279.8</v>
      </c>
      <c r="AD69" s="140">
        <f t="shared" si="6"/>
        <v>0</v>
      </c>
      <c r="AE69" s="140">
        <f>Valores!$C$32</f>
        <v>279.8</v>
      </c>
      <c r="AF69" s="144">
        <v>0</v>
      </c>
      <c r="AG69" s="140">
        <f>INT(((AF69*Valores!$C$2)*100)+0.5)/100</f>
        <v>0</v>
      </c>
      <c r="AH69" s="140">
        <f>IF($H$5="NO",Valores!$C$60,Valores!$C$60/2)</f>
        <v>569.14</v>
      </c>
      <c r="AI69" s="140">
        <f>IF($H$5="NO",Valores!$C$62,Valores!$C$62/2)</f>
        <v>162.61000000000001</v>
      </c>
      <c r="AJ69" s="146">
        <f t="shared" si="7"/>
        <v>80285.318499999994</v>
      </c>
      <c r="AK69" s="142">
        <f>Valores!$C$37</f>
        <v>1465.56</v>
      </c>
      <c r="AL69" s="143">
        <f>Valores!$C$85</f>
        <v>2275</v>
      </c>
      <c r="AM69" s="143"/>
      <c r="AN69" s="145">
        <f>IF($H$4="NO",0,Valores!$C$52)</f>
        <v>327.60000000000002</v>
      </c>
      <c r="AO69" s="147">
        <f t="shared" si="5"/>
        <v>4068.16</v>
      </c>
      <c r="AP69" s="148">
        <f>AJ69*Valores!$C$69</f>
        <v>-8831.3850349999993</v>
      </c>
      <c r="AQ69" s="148">
        <f>AJ69*-Valores!$C$70</f>
        <v>0</v>
      </c>
      <c r="AR69" s="142">
        <f>AJ69*Valores!$C$71</f>
        <v>-3612.8393324999997</v>
      </c>
      <c r="AS69" s="142">
        <f>Valores!$C$95</f>
        <v>-193.38</v>
      </c>
      <c r="AT69" s="142">
        <f>IF($H$6=0,Valores!$C$96,(Valores!$C$96+$H$6*(Valores!$C$96)))</f>
        <v>-178</v>
      </c>
      <c r="AU69" s="146">
        <f t="shared" si="8"/>
        <v>71537.874132500001</v>
      </c>
      <c r="AV69" s="199">
        <f t="shared" si="0"/>
        <v>-8831.3850349999993</v>
      </c>
      <c r="AW69" s="142">
        <f>AJ69*Valores!$C$72</f>
        <v>-2167.7035994999997</v>
      </c>
      <c r="AX69" s="142">
        <f>AJ69*Valores!$C$73</f>
        <v>-240.85595549999999</v>
      </c>
      <c r="AY69" s="146">
        <f t="shared" si="9"/>
        <v>73113.533909999998</v>
      </c>
      <c r="AZ69" s="150"/>
      <c r="BA69" s="150"/>
      <c r="BB69" s="135" t="s">
        <v>4</v>
      </c>
    </row>
    <row r="70" spans="1:54" s="114" customFormat="1" ht="11.25" customHeight="1" x14ac:dyDescent="0.15">
      <c r="A70" s="134">
        <v>67</v>
      </c>
      <c r="B70" s="134"/>
      <c r="C70" s="135" t="s">
        <v>253</v>
      </c>
      <c r="D70" s="135"/>
      <c r="E70" s="135">
        <f t="shared" si="1"/>
        <v>24</v>
      </c>
      <c r="F70" s="136" t="s">
        <v>254</v>
      </c>
      <c r="G70" s="137">
        <v>79</v>
      </c>
      <c r="H70" s="138">
        <f>INT((G70*Valores!$C$2*100)+0.5)/100</f>
        <v>1057.23</v>
      </c>
      <c r="I70" s="139">
        <v>2161</v>
      </c>
      <c r="J70" s="140">
        <f>INT((I70*Valores!$C$2*100)+0.5)/100</f>
        <v>28919.8</v>
      </c>
      <c r="K70" s="155">
        <v>0</v>
      </c>
      <c r="L70" s="140">
        <f>INT((K70*Valores!$C$2*100)+0.5)/100</f>
        <v>0</v>
      </c>
      <c r="M70" s="153">
        <v>0</v>
      </c>
      <c r="N70" s="140">
        <f>INT((M70*Valores!$C$2*100)+0.5)/100</f>
        <v>0</v>
      </c>
      <c r="O70" s="140">
        <f t="shared" si="2"/>
        <v>5791.5884999999989</v>
      </c>
      <c r="P70" s="140">
        <f t="shared" si="3"/>
        <v>0</v>
      </c>
      <c r="Q70" s="142">
        <f>Valores!$C$16</f>
        <v>14032.86</v>
      </c>
      <c r="R70" s="142">
        <f>Valores!$D$4</f>
        <v>6841.19</v>
      </c>
      <c r="S70" s="154">
        <f>Valores!$C$28</f>
        <v>6103.41</v>
      </c>
      <c r="T70" s="143">
        <f>IF($H$5="NO",Valores!$C$44,Valores!$C$44/2)</f>
        <v>2267.75</v>
      </c>
      <c r="U70" s="140">
        <f>Valores!$C$25</f>
        <v>6365.81</v>
      </c>
      <c r="V70" s="140">
        <f t="shared" si="13"/>
        <v>6365.81</v>
      </c>
      <c r="W70" s="140">
        <v>0</v>
      </c>
      <c r="X70" s="140">
        <v>0</v>
      </c>
      <c r="Y70" s="144">
        <v>0</v>
      </c>
      <c r="Z70" s="140">
        <f>Y70*Valores!$C$2</f>
        <v>0</v>
      </c>
      <c r="AA70" s="140">
        <v>0</v>
      </c>
      <c r="AB70" s="143">
        <f>Valores!$C$91</f>
        <v>3090.47</v>
      </c>
      <c r="AC70" s="145">
        <f>Valores!$C$31</f>
        <v>279.8</v>
      </c>
      <c r="AD70" s="140">
        <f t="shared" si="6"/>
        <v>0</v>
      </c>
      <c r="AE70" s="140">
        <f>Valores!$C$32</f>
        <v>279.8</v>
      </c>
      <c r="AF70" s="144">
        <v>0</v>
      </c>
      <c r="AG70" s="140">
        <f>INT(((AF70*Valores!$C$2)*100)+0.5)/100</f>
        <v>0</v>
      </c>
      <c r="AH70" s="140">
        <f>IF($H$5="NO",Valores!$C$60,Valores!$C$60/2)</f>
        <v>569.14</v>
      </c>
      <c r="AI70" s="140">
        <f>IF($H$5="NO",Valores!$C$62,Valores!$C$62/2)</f>
        <v>162.61000000000001</v>
      </c>
      <c r="AJ70" s="146">
        <f t="shared" si="7"/>
        <v>75761.458500000008</v>
      </c>
      <c r="AK70" s="142">
        <f>Valores!$C$37</f>
        <v>1465.56</v>
      </c>
      <c r="AL70" s="143">
        <f>Valores!$C$86</f>
        <v>2730</v>
      </c>
      <c r="AM70" s="143"/>
      <c r="AN70" s="145">
        <f>IF($H$4="NO",0,Valores!$C$53)</f>
        <v>170.34</v>
      </c>
      <c r="AO70" s="147">
        <f t="shared" si="5"/>
        <v>4365.8999999999996</v>
      </c>
      <c r="AP70" s="148">
        <f>AJ70*Valores!$C$69</f>
        <v>-8333.7604350000001</v>
      </c>
      <c r="AQ70" s="148">
        <f>AJ70*-Valores!$C$70</f>
        <v>0</v>
      </c>
      <c r="AR70" s="142">
        <f>AJ70*Valores!$C$71</f>
        <v>-3409.2656325000003</v>
      </c>
      <c r="AS70" s="142">
        <f>Valores!$C$95</f>
        <v>-193.38</v>
      </c>
      <c r="AT70" s="142">
        <f>IF($H$6=0,Valores!$C$96,(Valores!$C$96+$H$6*(Valores!$C$96)))</f>
        <v>-178</v>
      </c>
      <c r="AU70" s="146">
        <f t="shared" si="8"/>
        <v>68012.952432500009</v>
      </c>
      <c r="AV70" s="199">
        <f t="shared" si="0"/>
        <v>-8333.7604350000001</v>
      </c>
      <c r="AW70" s="142">
        <f>AJ70*Valores!$C$72</f>
        <v>-2045.5593795000002</v>
      </c>
      <c r="AX70" s="142">
        <f>AJ70*Valores!$C$73</f>
        <v>-227.28437550000004</v>
      </c>
      <c r="AY70" s="146">
        <f t="shared" si="9"/>
        <v>69520.754310000004</v>
      </c>
      <c r="AZ70" s="150"/>
      <c r="BA70" s="150">
        <v>30</v>
      </c>
      <c r="BB70" s="135" t="s">
        <v>4</v>
      </c>
    </row>
    <row r="71" spans="1:54" s="114" customFormat="1" ht="11.25" customHeight="1" x14ac:dyDescent="0.15">
      <c r="A71" s="134">
        <v>68</v>
      </c>
      <c r="B71" s="134"/>
      <c r="C71" s="135" t="s">
        <v>255</v>
      </c>
      <c r="D71" s="135"/>
      <c r="E71" s="135">
        <f t="shared" si="1"/>
        <v>32</v>
      </c>
      <c r="F71" s="136" t="s">
        <v>256</v>
      </c>
      <c r="G71" s="137">
        <v>90</v>
      </c>
      <c r="H71" s="138">
        <f>INT((G71*Valores!$C$2*100)+0.5)/100</f>
        <v>1204.43</v>
      </c>
      <c r="I71" s="139">
        <v>3010</v>
      </c>
      <c r="J71" s="140">
        <f>INT((I71*Valores!$C$2*100)+0.5)/100</f>
        <v>40281.629999999997</v>
      </c>
      <c r="K71" s="155">
        <v>0</v>
      </c>
      <c r="L71" s="140">
        <f>INT((K71*Valores!$C$2*100)+0.5)/100</f>
        <v>0</v>
      </c>
      <c r="M71" s="153">
        <v>0</v>
      </c>
      <c r="N71" s="140">
        <f>INT((M71*Valores!$C$2*100)+0.5)/100</f>
        <v>0</v>
      </c>
      <c r="O71" s="140">
        <f t="shared" si="2"/>
        <v>7678.5659999999989</v>
      </c>
      <c r="P71" s="140">
        <f t="shared" si="3"/>
        <v>0</v>
      </c>
      <c r="Q71" s="142">
        <f>Valores!$C$16</f>
        <v>14032.86</v>
      </c>
      <c r="R71" s="142">
        <f>Valores!$D$4</f>
        <v>6841.19</v>
      </c>
      <c r="S71" s="140">
        <f>Valores!$C$28</f>
        <v>6103.41</v>
      </c>
      <c r="T71" s="143">
        <f>IF($H$5="NO",Valores!$C$45,Valores!$C$45/2)</f>
        <v>3338.57</v>
      </c>
      <c r="U71" s="140">
        <f>Valores!$C$25</f>
        <v>6365.81</v>
      </c>
      <c r="V71" s="140">
        <f t="shared" si="13"/>
        <v>6365.81</v>
      </c>
      <c r="W71" s="140">
        <v>0</v>
      </c>
      <c r="X71" s="140">
        <v>0</v>
      </c>
      <c r="Y71" s="144">
        <v>0</v>
      </c>
      <c r="Z71" s="140">
        <f>Y71*Valores!$C$2</f>
        <v>0</v>
      </c>
      <c r="AA71" s="140">
        <v>0</v>
      </c>
      <c r="AB71" s="143">
        <f>Valores!$C$91</f>
        <v>3090.47</v>
      </c>
      <c r="AC71" s="145">
        <f>Valores!$C$31</f>
        <v>279.8</v>
      </c>
      <c r="AD71" s="140">
        <f t="shared" si="6"/>
        <v>0</v>
      </c>
      <c r="AE71" s="140">
        <f>Valores!$C$32</f>
        <v>279.8</v>
      </c>
      <c r="AF71" s="144">
        <v>0</v>
      </c>
      <c r="AG71" s="140">
        <f>INT(((AF71*Valores!$C$2)*100)+0.5)/100</f>
        <v>0</v>
      </c>
      <c r="AH71" s="140">
        <f>IF($H$5="NO",Valores!$C$60,Valores!$C$60/2)</f>
        <v>569.14</v>
      </c>
      <c r="AI71" s="140">
        <f>IF($H$5="NO",Valores!$C$62,Valores!$C$62/2)</f>
        <v>162.61000000000001</v>
      </c>
      <c r="AJ71" s="146">
        <f t="shared" si="7"/>
        <v>90228.286000000007</v>
      </c>
      <c r="AK71" s="142">
        <f>Valores!$C$37</f>
        <v>1465.56</v>
      </c>
      <c r="AL71" s="143">
        <f>Valores!$C$86</f>
        <v>2730</v>
      </c>
      <c r="AM71" s="143"/>
      <c r="AN71" s="145">
        <f>IF($H$4="NO",0,Valores!$C$53)</f>
        <v>170.34</v>
      </c>
      <c r="AO71" s="147">
        <f t="shared" si="5"/>
        <v>4365.8999999999996</v>
      </c>
      <c r="AP71" s="148">
        <f>AJ71*Valores!$C$69</f>
        <v>-9925.1114600000001</v>
      </c>
      <c r="AQ71" s="148">
        <f>AJ71*-Valores!$C$70</f>
        <v>0</v>
      </c>
      <c r="AR71" s="142">
        <f>AJ71*Valores!$C$71</f>
        <v>-4060.2728700000002</v>
      </c>
      <c r="AS71" s="142">
        <f>Valores!$C$95</f>
        <v>-193.38</v>
      </c>
      <c r="AT71" s="142">
        <f>IF($H$6=0,Valores!$C$96,(Valores!$C$96+$H$6*(Valores!$C$96)))</f>
        <v>-178</v>
      </c>
      <c r="AU71" s="146">
        <f t="shared" si="8"/>
        <v>80237.421670000011</v>
      </c>
      <c r="AV71" s="199">
        <f t="shared" si="0"/>
        <v>-9925.1114600000001</v>
      </c>
      <c r="AW71" s="142">
        <f>AJ71*Valores!$C$72</f>
        <v>-2436.1637220000002</v>
      </c>
      <c r="AX71" s="142">
        <f>AJ71*Valores!$C$73</f>
        <v>-270.68485800000002</v>
      </c>
      <c r="AY71" s="146">
        <f t="shared" si="9"/>
        <v>81962.225959999996</v>
      </c>
      <c r="AZ71" s="150"/>
      <c r="BA71" s="150"/>
      <c r="BB71" s="135" t="s">
        <v>4</v>
      </c>
    </row>
    <row r="72" spans="1:54" s="114" customFormat="1" ht="11.25" customHeight="1" x14ac:dyDescent="0.15">
      <c r="A72" s="134">
        <v>69</v>
      </c>
      <c r="B72" s="134"/>
      <c r="C72" s="135" t="s">
        <v>257</v>
      </c>
      <c r="D72" s="135"/>
      <c r="E72" s="135">
        <f t="shared" si="1"/>
        <v>27</v>
      </c>
      <c r="F72" s="136" t="s">
        <v>258</v>
      </c>
      <c r="G72" s="137">
        <v>78</v>
      </c>
      <c r="H72" s="138">
        <f>INT((G72*Valores!$C$2*100)+0.5)/100</f>
        <v>1043.8399999999999</v>
      </c>
      <c r="I72" s="139">
        <v>2162</v>
      </c>
      <c r="J72" s="140">
        <f>INT((I72*Valores!$C$2*100)+0.5)/100</f>
        <v>28933.18</v>
      </c>
      <c r="K72" s="155">
        <v>0</v>
      </c>
      <c r="L72" s="140">
        <f>INT((K72*Valores!$C$2*100)+0.5)/100</f>
        <v>0</v>
      </c>
      <c r="M72" s="153">
        <v>0</v>
      </c>
      <c r="N72" s="140">
        <f>INT((M72*Valores!$C$2*100)+0.5)/100</f>
        <v>0</v>
      </c>
      <c r="O72" s="140">
        <f t="shared" si="2"/>
        <v>5791.5870000000004</v>
      </c>
      <c r="P72" s="140">
        <f t="shared" si="3"/>
        <v>0</v>
      </c>
      <c r="Q72" s="142">
        <f>Valores!$C$16</f>
        <v>14032.86</v>
      </c>
      <c r="R72" s="142">
        <f>Valores!$D$4</f>
        <v>6841.19</v>
      </c>
      <c r="S72" s="154">
        <f>Valores!$C$28</f>
        <v>6103.41</v>
      </c>
      <c r="T72" s="143">
        <f>IF($H$5="NO",Valores!$C$44,Valores!$C$44/2)</f>
        <v>2267.75</v>
      </c>
      <c r="U72" s="140">
        <f>Valores!$C$25</f>
        <v>6365.81</v>
      </c>
      <c r="V72" s="140">
        <f t="shared" si="13"/>
        <v>6365.81</v>
      </c>
      <c r="W72" s="140">
        <v>0</v>
      </c>
      <c r="X72" s="140">
        <v>0</v>
      </c>
      <c r="Y72" s="144">
        <v>0</v>
      </c>
      <c r="Z72" s="140">
        <f>Y72*Valores!$C$2</f>
        <v>0</v>
      </c>
      <c r="AA72" s="140">
        <v>0</v>
      </c>
      <c r="AB72" s="143">
        <f>Valores!$C$91</f>
        <v>3090.47</v>
      </c>
      <c r="AC72" s="145">
        <f>Valores!$C$31</f>
        <v>279.8</v>
      </c>
      <c r="AD72" s="140">
        <f t="shared" si="6"/>
        <v>0</v>
      </c>
      <c r="AE72" s="140">
        <f>Valores!$C$32</f>
        <v>279.8</v>
      </c>
      <c r="AF72" s="144">
        <v>0</v>
      </c>
      <c r="AG72" s="140">
        <f>INT(((AF72*Valores!$C$2)*100)+0.5)/100</f>
        <v>0</v>
      </c>
      <c r="AH72" s="140">
        <f>IF($H$5="NO",Valores!$C$60,Valores!$C$60/2)</f>
        <v>569.14</v>
      </c>
      <c r="AI72" s="140">
        <f>IF($H$5="NO",Valores!$C$62,Valores!$C$62/2)</f>
        <v>162.61000000000001</v>
      </c>
      <c r="AJ72" s="146">
        <f t="shared" si="7"/>
        <v>75761.447000000015</v>
      </c>
      <c r="AK72" s="142">
        <f>Valores!$C$37</f>
        <v>1465.56</v>
      </c>
      <c r="AL72" s="143">
        <f>Valores!$C$86</f>
        <v>2730</v>
      </c>
      <c r="AM72" s="143"/>
      <c r="AN72" s="145">
        <f>IF($H$4="NO",0,Valores!$C$53)</f>
        <v>170.34</v>
      </c>
      <c r="AO72" s="147">
        <f t="shared" si="5"/>
        <v>4365.8999999999996</v>
      </c>
      <c r="AP72" s="148">
        <f>AJ72*Valores!$C$69</f>
        <v>-8333.7591700000012</v>
      </c>
      <c r="AQ72" s="148">
        <f>AJ72*-Valores!$C$70</f>
        <v>0</v>
      </c>
      <c r="AR72" s="142">
        <f>AJ72*Valores!$C$71</f>
        <v>-3409.2651150000006</v>
      </c>
      <c r="AS72" s="142">
        <f>Valores!$C$95</f>
        <v>-193.38</v>
      </c>
      <c r="AT72" s="142">
        <f>IF($H$6=0,Valores!$C$96,(Valores!$C$96+$H$6*(Valores!$C$96)))</f>
        <v>-178</v>
      </c>
      <c r="AU72" s="146">
        <f t="shared" si="8"/>
        <v>68012.942715000012</v>
      </c>
      <c r="AV72" s="199">
        <f t="shared" ref="AV72:AV135" si="14">AP72</f>
        <v>-8333.7591700000012</v>
      </c>
      <c r="AW72" s="142">
        <f>AJ72*Valores!$C$72</f>
        <v>-2045.5590690000004</v>
      </c>
      <c r="AX72" s="142">
        <f>AJ72*Valores!$C$73</f>
        <v>-227.28434100000004</v>
      </c>
      <c r="AY72" s="146">
        <f t="shared" si="9"/>
        <v>69520.744420000003</v>
      </c>
      <c r="AZ72" s="150"/>
      <c r="BA72" s="150">
        <v>25</v>
      </c>
      <c r="BB72" s="135" t="s">
        <v>4</v>
      </c>
    </row>
    <row r="73" spans="1:54" s="114" customFormat="1" ht="11.25" customHeight="1" x14ac:dyDescent="0.15">
      <c r="A73" s="152">
        <v>70</v>
      </c>
      <c r="B73" s="152" t="s">
        <v>139</v>
      </c>
      <c r="C73" s="135" t="s">
        <v>259</v>
      </c>
      <c r="D73" s="135"/>
      <c r="E73" s="135">
        <f t="shared" ref="E73:E136" si="15">LEN(F73)</f>
        <v>32</v>
      </c>
      <c r="F73" s="136" t="s">
        <v>260</v>
      </c>
      <c r="G73" s="137">
        <v>90</v>
      </c>
      <c r="H73" s="138">
        <f>INT((G73*Valores!$C$2*100)+0.5)/100</f>
        <v>1204.43</v>
      </c>
      <c r="I73" s="139">
        <v>2800</v>
      </c>
      <c r="J73" s="140">
        <f>INT((I73*Valores!$C$2*100)+0.5)/100</f>
        <v>37471.279999999999</v>
      </c>
      <c r="K73" s="155">
        <v>0</v>
      </c>
      <c r="L73" s="140">
        <f>INT((K73*Valores!$C$2*100)+0.5)/100</f>
        <v>0</v>
      </c>
      <c r="M73" s="153">
        <v>0</v>
      </c>
      <c r="N73" s="140">
        <f>INT((M73*Valores!$C$2*100)+0.5)/100</f>
        <v>0</v>
      </c>
      <c r="O73" s="140">
        <f t="shared" ref="O73:O136" si="16">IF($J$2=0,IF(C73&lt;&gt;"13-930",(SUM(H73,J73,L73,N73,Z73,U73,T73)*$O$2),0),0)</f>
        <v>7257.0134999999991</v>
      </c>
      <c r="P73" s="140">
        <f t="shared" ref="P73:P136" si="17">SUM(H73,J73,L73,N73,Z73,T73)*$J$2</f>
        <v>0</v>
      </c>
      <c r="Q73" s="142">
        <f>Valores!$C$16</f>
        <v>14032.86</v>
      </c>
      <c r="R73" s="142">
        <f>Valores!$D$4</f>
        <v>6841.19</v>
      </c>
      <c r="S73" s="140">
        <v>0</v>
      </c>
      <c r="T73" s="143">
        <f>IF($H$5="NO",Valores!$C$45,Valores!$C$45/2)</f>
        <v>3338.57</v>
      </c>
      <c r="U73" s="140">
        <f>Valores!$C$25</f>
        <v>6365.81</v>
      </c>
      <c r="V73" s="140">
        <f t="shared" si="13"/>
        <v>6365.81</v>
      </c>
      <c r="W73" s="140">
        <v>0</v>
      </c>
      <c r="X73" s="140">
        <v>0</v>
      </c>
      <c r="Y73" s="144">
        <v>0</v>
      </c>
      <c r="Z73" s="140">
        <f>Y73*Valores!$C$2</f>
        <v>0</v>
      </c>
      <c r="AA73" s="140">
        <v>0</v>
      </c>
      <c r="AB73" s="143">
        <f>Valores!$C$91</f>
        <v>3090.47</v>
      </c>
      <c r="AC73" s="145">
        <f>Valores!$C$31</f>
        <v>279.8</v>
      </c>
      <c r="AD73" s="140">
        <f t="shared" si="6"/>
        <v>0</v>
      </c>
      <c r="AE73" s="140">
        <f>Valores!$C$32</f>
        <v>279.8</v>
      </c>
      <c r="AF73" s="144">
        <v>0</v>
      </c>
      <c r="AG73" s="140">
        <f>INT(((AF73*Valores!$C$2)*100)+0.5)/100</f>
        <v>0</v>
      </c>
      <c r="AH73" s="140">
        <f>IF($H$5="NO",Valores!$C$60,Valores!$C$60/2)</f>
        <v>569.14</v>
      </c>
      <c r="AI73" s="140">
        <f>IF($H$5="NO",Valores!$C$62,Valores!$C$62/2)</f>
        <v>162.61000000000001</v>
      </c>
      <c r="AJ73" s="146">
        <f t="shared" si="7"/>
        <v>80892.973500000007</v>
      </c>
      <c r="AK73" s="142">
        <f>Valores!$C$37</f>
        <v>1465.56</v>
      </c>
      <c r="AL73" s="143">
        <f>Valores!$C$86</f>
        <v>2730</v>
      </c>
      <c r="AM73" s="143"/>
      <c r="AN73" s="145">
        <f>IF($H$4="NO",0,Valores!$C$53)</f>
        <v>170.34</v>
      </c>
      <c r="AO73" s="147">
        <f t="shared" ref="AO73:AO136" si="18">IF($H$4="SI",SUM(AK73:AN73),SUM(AK73:AL73))</f>
        <v>4365.8999999999996</v>
      </c>
      <c r="AP73" s="148">
        <f>AJ73*Valores!$C$69</f>
        <v>-8898.2270850000004</v>
      </c>
      <c r="AQ73" s="148">
        <f>AJ73*-Valores!$C$70</f>
        <v>0</v>
      </c>
      <c r="AR73" s="142">
        <f>AJ73*Valores!$C$71</f>
        <v>-3640.1838075000001</v>
      </c>
      <c r="AS73" s="142">
        <f>Valores!$C$95</f>
        <v>-193.38</v>
      </c>
      <c r="AT73" s="142">
        <f>IF($H$6=0,Valores!$C$96,(Valores!$C$96+$H$6*(Valores!$C$96)))</f>
        <v>-178</v>
      </c>
      <c r="AU73" s="146">
        <f t="shared" si="8"/>
        <v>72349.082607500008</v>
      </c>
      <c r="AV73" s="199">
        <f t="shared" si="14"/>
        <v>-8898.2270850000004</v>
      </c>
      <c r="AW73" s="142">
        <f>AJ73*Valores!$C$72</f>
        <v>-2184.1102845</v>
      </c>
      <c r="AX73" s="142">
        <f>AJ73*Valores!$C$73</f>
        <v>-242.67892050000003</v>
      </c>
      <c r="AY73" s="146">
        <f t="shared" si="9"/>
        <v>73933.857210000002</v>
      </c>
      <c r="AZ73" s="150"/>
      <c r="BA73" s="150"/>
      <c r="BB73" s="135" t="s">
        <v>8</v>
      </c>
    </row>
    <row r="74" spans="1:54" s="114" customFormat="1" ht="11.25" customHeight="1" x14ac:dyDescent="0.15">
      <c r="A74" s="134">
        <v>71</v>
      </c>
      <c r="B74" s="134"/>
      <c r="C74" s="135" t="s">
        <v>261</v>
      </c>
      <c r="D74" s="135"/>
      <c r="E74" s="135">
        <f t="shared" si="15"/>
        <v>27</v>
      </c>
      <c r="F74" s="136" t="s">
        <v>262</v>
      </c>
      <c r="G74" s="137">
        <v>79</v>
      </c>
      <c r="H74" s="138">
        <f>INT((G74*Valores!$C$2*100)+0.5)/100</f>
        <v>1057.23</v>
      </c>
      <c r="I74" s="139">
        <v>2161</v>
      </c>
      <c r="J74" s="140">
        <f>INT((I74*Valores!$C$2*100)+0.5)/100</f>
        <v>28919.8</v>
      </c>
      <c r="K74" s="155">
        <v>0</v>
      </c>
      <c r="L74" s="140">
        <f>INT((K74*Valores!$C$2*100)+0.5)/100</f>
        <v>0</v>
      </c>
      <c r="M74" s="153">
        <v>0</v>
      </c>
      <c r="N74" s="140">
        <f>INT((M74*Valores!$C$2*100)+0.5)/100</f>
        <v>0</v>
      </c>
      <c r="O74" s="140">
        <f t="shared" si="16"/>
        <v>5791.5884999999989</v>
      </c>
      <c r="P74" s="140">
        <f t="shared" si="17"/>
        <v>0</v>
      </c>
      <c r="Q74" s="142">
        <f>Valores!$C$16</f>
        <v>14032.86</v>
      </c>
      <c r="R74" s="142">
        <f>Valores!$D$4</f>
        <v>6841.19</v>
      </c>
      <c r="S74" s="154">
        <f>Valores!$C$28</f>
        <v>6103.41</v>
      </c>
      <c r="T74" s="143">
        <f>IF($H$5="NO",Valores!$C$44,Valores!$C$44/2)</f>
        <v>2267.75</v>
      </c>
      <c r="U74" s="140">
        <f>Valores!$C$25</f>
        <v>6365.81</v>
      </c>
      <c r="V74" s="140">
        <f t="shared" si="13"/>
        <v>6365.81</v>
      </c>
      <c r="W74" s="140">
        <v>0</v>
      </c>
      <c r="X74" s="140">
        <v>0</v>
      </c>
      <c r="Y74" s="144">
        <v>0</v>
      </c>
      <c r="Z74" s="140">
        <f>Y74*Valores!$C$2</f>
        <v>0</v>
      </c>
      <c r="AA74" s="140">
        <v>0</v>
      </c>
      <c r="AB74" s="143">
        <f>Valores!$C$91</f>
        <v>3090.47</v>
      </c>
      <c r="AC74" s="145">
        <f>Valores!$C$31</f>
        <v>279.8</v>
      </c>
      <c r="AD74" s="140">
        <f t="shared" ref="AD74:AD137" si="19">SUM(H74,J74,L74,Z74,T74)*$H$3/100</f>
        <v>0</v>
      </c>
      <c r="AE74" s="140">
        <f>Valores!$C$32</f>
        <v>279.8</v>
      </c>
      <c r="AF74" s="144">
        <v>0</v>
      </c>
      <c r="AG74" s="140">
        <f>INT(((AF74*Valores!$C$2)*100)+0.5)/100</f>
        <v>0</v>
      </c>
      <c r="AH74" s="140">
        <f>IF($H$5="NO",Valores!$C$60,Valores!$C$60/2)</f>
        <v>569.14</v>
      </c>
      <c r="AI74" s="140">
        <f>IF($H$5="NO",Valores!$C$62,Valores!$C$62/2)</f>
        <v>162.61000000000001</v>
      </c>
      <c r="AJ74" s="146">
        <f t="shared" ref="AJ74:AJ137" si="20">SUM(H74,J74,L74,N74,O74,P74,Q74,R74,S74,V74,W74,X74,Z74,AA74,AC74,AD74,AE74,AG74,T74,AH74,AI74,AB74)</f>
        <v>75761.458500000008</v>
      </c>
      <c r="AK74" s="142">
        <f>Valores!$C$37</f>
        <v>1465.56</v>
      </c>
      <c r="AL74" s="143">
        <f>Valores!$C$86</f>
        <v>2730</v>
      </c>
      <c r="AM74" s="143"/>
      <c r="AN74" s="145">
        <f>IF($H$4="NO",0,Valores!$C$53)</f>
        <v>170.34</v>
      </c>
      <c r="AO74" s="147">
        <f t="shared" si="18"/>
        <v>4365.8999999999996</v>
      </c>
      <c r="AP74" s="148">
        <f>AJ74*Valores!$C$69</f>
        <v>-8333.7604350000001</v>
      </c>
      <c r="AQ74" s="148">
        <f>AJ74*-Valores!$C$70</f>
        <v>0</v>
      </c>
      <c r="AR74" s="142">
        <f>AJ74*Valores!$C$71</f>
        <v>-3409.2656325000003</v>
      </c>
      <c r="AS74" s="142">
        <f>Valores!$C$95</f>
        <v>-193.38</v>
      </c>
      <c r="AT74" s="142">
        <f>IF($H$6=0,Valores!$C$96,(Valores!$C$96+$H$6*(Valores!$C$96)))</f>
        <v>-178</v>
      </c>
      <c r="AU74" s="146">
        <f t="shared" ref="AU74:AU137" si="21">AJ74+SUM(AO74:AT74)</f>
        <v>68012.952432500009</v>
      </c>
      <c r="AV74" s="199">
        <f t="shared" si="14"/>
        <v>-8333.7604350000001</v>
      </c>
      <c r="AW74" s="142">
        <f>AJ74*Valores!$C$72</f>
        <v>-2045.5593795000002</v>
      </c>
      <c r="AX74" s="142">
        <f>AJ74*Valores!$C$73</f>
        <v>-227.28437550000004</v>
      </c>
      <c r="AY74" s="146">
        <f t="shared" ref="AY74:AY137" si="22">AJ74+AO74+SUM(AV74:AX74)</f>
        <v>69520.754310000004</v>
      </c>
      <c r="AZ74" s="150"/>
      <c r="BA74" s="150">
        <v>30</v>
      </c>
      <c r="BB74" s="135" t="s">
        <v>4</v>
      </c>
    </row>
    <row r="75" spans="1:54" s="114" customFormat="1" ht="11.25" customHeight="1" x14ac:dyDescent="0.15">
      <c r="A75" s="134">
        <v>72</v>
      </c>
      <c r="B75" s="134"/>
      <c r="C75" s="135" t="s">
        <v>263</v>
      </c>
      <c r="D75" s="135"/>
      <c r="E75" s="135">
        <f t="shared" si="15"/>
        <v>32</v>
      </c>
      <c r="F75" s="136" t="s">
        <v>264</v>
      </c>
      <c r="G75" s="137">
        <v>90</v>
      </c>
      <c r="H75" s="138">
        <f>INT((G75*Valores!$C$2*100)+0.5)/100</f>
        <v>1204.43</v>
      </c>
      <c r="I75" s="139">
        <v>2720</v>
      </c>
      <c r="J75" s="140">
        <f>INT((I75*Valores!$C$2*100)+0.5)/100</f>
        <v>36400.67</v>
      </c>
      <c r="K75" s="155">
        <v>0</v>
      </c>
      <c r="L75" s="140">
        <f>INT((K75*Valores!$C$2*100)+0.5)/100</f>
        <v>0</v>
      </c>
      <c r="M75" s="153">
        <v>0</v>
      </c>
      <c r="N75" s="140">
        <f>INT((M75*Valores!$C$2*100)+0.5)/100</f>
        <v>0</v>
      </c>
      <c r="O75" s="140">
        <f t="shared" si="16"/>
        <v>7096.4219999999996</v>
      </c>
      <c r="P75" s="140">
        <f t="shared" si="17"/>
        <v>0</v>
      </c>
      <c r="Q75" s="142">
        <f>Valores!$C$16</f>
        <v>14032.86</v>
      </c>
      <c r="R75" s="142">
        <f>Valores!$D$4</f>
        <v>6841.19</v>
      </c>
      <c r="S75" s="140">
        <v>0</v>
      </c>
      <c r="T75" s="143">
        <f>IF($H$5="NO",Valores!$C$45,Valores!$C$45/2)</f>
        <v>3338.57</v>
      </c>
      <c r="U75" s="140">
        <f>Valores!$C$25</f>
        <v>6365.81</v>
      </c>
      <c r="V75" s="140">
        <f t="shared" si="13"/>
        <v>6365.81</v>
      </c>
      <c r="W75" s="140">
        <v>0</v>
      </c>
      <c r="X75" s="140">
        <v>0</v>
      </c>
      <c r="Y75" s="144">
        <v>0</v>
      </c>
      <c r="Z75" s="140">
        <f>Y75*Valores!$C$2</f>
        <v>0</v>
      </c>
      <c r="AA75" s="140">
        <v>0</v>
      </c>
      <c r="AB75" s="143">
        <f>Valores!$C$91</f>
        <v>3090.47</v>
      </c>
      <c r="AC75" s="145">
        <f>Valores!$C$31</f>
        <v>279.8</v>
      </c>
      <c r="AD75" s="140">
        <f t="shared" si="19"/>
        <v>0</v>
      </c>
      <c r="AE75" s="140">
        <f>Valores!$C$32</f>
        <v>279.8</v>
      </c>
      <c r="AF75" s="144">
        <v>0</v>
      </c>
      <c r="AG75" s="140">
        <f>INT(((AF75*Valores!$C$2)*100)+0.5)/100</f>
        <v>0</v>
      </c>
      <c r="AH75" s="140">
        <f>IF($H$5="NO",Valores!$C$60,Valores!$C$60/2)</f>
        <v>569.14</v>
      </c>
      <c r="AI75" s="140">
        <f>IF($H$5="NO",Valores!$C$62,Valores!$C$62/2)</f>
        <v>162.61000000000001</v>
      </c>
      <c r="AJ75" s="146">
        <f t="shared" si="20"/>
        <v>79661.772000000012</v>
      </c>
      <c r="AK75" s="142">
        <f>Valores!$C$37</f>
        <v>1465.56</v>
      </c>
      <c r="AL75" s="143">
        <f>Valores!$C$86</f>
        <v>2730</v>
      </c>
      <c r="AM75" s="143"/>
      <c r="AN75" s="145">
        <f>IF($H$4="NO",0,Valores!$C$53)</f>
        <v>170.34</v>
      </c>
      <c r="AO75" s="147">
        <f t="shared" si="18"/>
        <v>4365.8999999999996</v>
      </c>
      <c r="AP75" s="148">
        <f>AJ75*Valores!$C$69</f>
        <v>-8762.7949200000021</v>
      </c>
      <c r="AQ75" s="148">
        <f>AJ75*-Valores!$C$70</f>
        <v>0</v>
      </c>
      <c r="AR75" s="142">
        <f>AJ75*Valores!$C$71</f>
        <v>-3584.7797400000004</v>
      </c>
      <c r="AS75" s="142">
        <f>Valores!$C$95</f>
        <v>-193.38</v>
      </c>
      <c r="AT75" s="142">
        <f>IF($H$6=0,Valores!$C$96,(Valores!$C$96+$H$6*(Valores!$C$96)))</f>
        <v>-178</v>
      </c>
      <c r="AU75" s="146">
        <f t="shared" si="21"/>
        <v>71308.717340000003</v>
      </c>
      <c r="AV75" s="199">
        <f t="shared" si="14"/>
        <v>-8762.7949200000021</v>
      </c>
      <c r="AW75" s="142">
        <f>AJ75*Valores!$C$72</f>
        <v>-2150.8678440000003</v>
      </c>
      <c r="AX75" s="142">
        <f>AJ75*Valores!$C$73</f>
        <v>-238.98531600000004</v>
      </c>
      <c r="AY75" s="146">
        <f t="shared" si="22"/>
        <v>72875.023920000007</v>
      </c>
      <c r="AZ75" s="150"/>
      <c r="BA75" s="150"/>
      <c r="BB75" s="135" t="s">
        <v>8</v>
      </c>
    </row>
    <row r="76" spans="1:54" s="114" customFormat="1" ht="11.25" customHeight="1" x14ac:dyDescent="0.15">
      <c r="A76" s="134">
        <v>73</v>
      </c>
      <c r="B76" s="134"/>
      <c r="C76" s="135" t="s">
        <v>265</v>
      </c>
      <c r="D76" s="135"/>
      <c r="E76" s="135">
        <f t="shared" si="15"/>
        <v>16</v>
      </c>
      <c r="F76" s="136" t="s">
        <v>266</v>
      </c>
      <c r="G76" s="137">
        <v>78</v>
      </c>
      <c r="H76" s="138">
        <f>INT((G76*Valores!$C$2*100)+0.5)/100</f>
        <v>1043.8399999999999</v>
      </c>
      <c r="I76" s="139">
        <v>1284</v>
      </c>
      <c r="J76" s="140">
        <f>INT((I76*Valores!$C$2*100)+0.5)/100</f>
        <v>17183.259999999998</v>
      </c>
      <c r="K76" s="155">
        <v>0</v>
      </c>
      <c r="L76" s="140">
        <f>INT((K76*Valores!$C$2*100)+0.5)/100</f>
        <v>0</v>
      </c>
      <c r="M76" s="153">
        <v>0</v>
      </c>
      <c r="N76" s="140">
        <f>INT((M76*Valores!$C$2*100)+0.5)/100</f>
        <v>0</v>
      </c>
      <c r="O76" s="140">
        <f t="shared" si="16"/>
        <v>4019.3369999999995</v>
      </c>
      <c r="P76" s="140">
        <f t="shared" si="17"/>
        <v>0</v>
      </c>
      <c r="Q76" s="142">
        <f>Valores!$C$15</f>
        <v>13989.51</v>
      </c>
      <c r="R76" s="142">
        <f>Valores!$D$4</f>
        <v>6841.19</v>
      </c>
      <c r="S76" s="140">
        <f>Valores!$C$28</f>
        <v>6103.41</v>
      </c>
      <c r="T76" s="143">
        <f>IF($H$5="NO",Valores!$C$44,Valores!$C$44/2)</f>
        <v>2267.75</v>
      </c>
      <c r="U76" s="154">
        <f>Valores!$C$26</f>
        <v>6300.73</v>
      </c>
      <c r="V76" s="140">
        <f t="shared" si="13"/>
        <v>6300.73</v>
      </c>
      <c r="W76" s="140">
        <v>0</v>
      </c>
      <c r="X76" s="140">
        <v>0</v>
      </c>
      <c r="Y76" s="144">
        <v>0</v>
      </c>
      <c r="Z76" s="140">
        <f>Y76*Valores!$C$2</f>
        <v>0</v>
      </c>
      <c r="AA76" s="140">
        <v>0</v>
      </c>
      <c r="AB76" s="143">
        <f>Valores!$C$90</f>
        <v>2575.39</v>
      </c>
      <c r="AC76" s="145">
        <f>Valores!$C$31</f>
        <v>279.8</v>
      </c>
      <c r="AD76" s="140">
        <f t="shared" si="19"/>
        <v>0</v>
      </c>
      <c r="AE76" s="140">
        <f>Valores!$C$32</f>
        <v>279.8</v>
      </c>
      <c r="AF76" s="144">
        <v>0</v>
      </c>
      <c r="AG76" s="140">
        <f>INT(((AF76*Valores!$C$2)*100)+0.5)/100</f>
        <v>0</v>
      </c>
      <c r="AH76" s="140">
        <f>IF($H$5="NO",Valores!$C$60,Valores!$C$60/2)</f>
        <v>569.14</v>
      </c>
      <c r="AI76" s="140">
        <f>IF($H$5="NO",Valores!$C$62,Valores!$C$62/2)</f>
        <v>162.61000000000001</v>
      </c>
      <c r="AJ76" s="146">
        <f t="shared" si="20"/>
        <v>61615.767000000007</v>
      </c>
      <c r="AK76" s="142">
        <f>Valores!$C$37</f>
        <v>1465.56</v>
      </c>
      <c r="AL76" s="143">
        <f>Valores!$C$85</f>
        <v>2275</v>
      </c>
      <c r="AM76" s="143"/>
      <c r="AN76" s="145">
        <f>IF($H$4="NO",0,Valores!$C$53)</f>
        <v>170.34</v>
      </c>
      <c r="AO76" s="147">
        <f t="shared" si="18"/>
        <v>3910.9</v>
      </c>
      <c r="AP76" s="148">
        <f>AJ76*Valores!$C$69</f>
        <v>-6777.734370000001</v>
      </c>
      <c r="AQ76" s="148">
        <f>AJ76*-Valores!$C$70</f>
        <v>0</v>
      </c>
      <c r="AR76" s="142">
        <f>AJ76*Valores!$C$71</f>
        <v>-2772.709515</v>
      </c>
      <c r="AS76" s="142">
        <f>Valores!$C$95</f>
        <v>-193.38</v>
      </c>
      <c r="AT76" s="142">
        <f>IF($H$6=0,Valores!$C$96,(Valores!$C$96+$H$6*(Valores!$C$96)))</f>
        <v>-178</v>
      </c>
      <c r="AU76" s="146">
        <f t="shared" si="21"/>
        <v>55604.843115000003</v>
      </c>
      <c r="AV76" s="199">
        <f t="shared" si="14"/>
        <v>-6777.734370000001</v>
      </c>
      <c r="AW76" s="142">
        <f>AJ76*Valores!$C$72</f>
        <v>-1663.6257090000001</v>
      </c>
      <c r="AX76" s="142">
        <f>AJ76*Valores!$C$73</f>
        <v>-184.84730100000002</v>
      </c>
      <c r="AY76" s="146">
        <f t="shared" si="22"/>
        <v>56900.459620000009</v>
      </c>
      <c r="AZ76" s="150"/>
      <c r="BA76" s="150">
        <v>30</v>
      </c>
      <c r="BB76" s="135" t="s">
        <v>4</v>
      </c>
    </row>
    <row r="77" spans="1:54" s="114" customFormat="1" ht="11.25" customHeight="1" x14ac:dyDescent="0.15">
      <c r="A77" s="134">
        <v>74</v>
      </c>
      <c r="B77" s="134"/>
      <c r="C77" s="135" t="s">
        <v>267</v>
      </c>
      <c r="D77" s="135"/>
      <c r="E77" s="135">
        <f t="shared" si="15"/>
        <v>33</v>
      </c>
      <c r="F77" s="136" t="s">
        <v>268</v>
      </c>
      <c r="G77" s="137">
        <v>78</v>
      </c>
      <c r="H77" s="138">
        <f>INT((G77*Valores!$C$2*100)+0.5)/100</f>
        <v>1043.8399999999999</v>
      </c>
      <c r="I77" s="139">
        <v>1284</v>
      </c>
      <c r="J77" s="140">
        <f>INT((I77*Valores!$C$2*100)+0.5)/100</f>
        <v>17183.259999999998</v>
      </c>
      <c r="K77" s="155">
        <v>0</v>
      </c>
      <c r="L77" s="140">
        <f>INT((K77*Valores!$C$2*100)+0.5)/100</f>
        <v>0</v>
      </c>
      <c r="M77" s="153">
        <v>0</v>
      </c>
      <c r="N77" s="140">
        <f>INT((M77*Valores!$C$2*100)+0.5)/100</f>
        <v>0</v>
      </c>
      <c r="O77" s="140">
        <f t="shared" si="16"/>
        <v>4019.3369999999995</v>
      </c>
      <c r="P77" s="140">
        <f t="shared" si="17"/>
        <v>0</v>
      </c>
      <c r="Q77" s="142">
        <f>Valores!$C$15</f>
        <v>13989.51</v>
      </c>
      <c r="R77" s="142">
        <f>Valores!$D$4</f>
        <v>6841.19</v>
      </c>
      <c r="S77" s="154">
        <f>Valores!$C$28</f>
        <v>6103.41</v>
      </c>
      <c r="T77" s="143">
        <f>IF($H$5="NO",Valores!$C$44,Valores!$C$44/2)</f>
        <v>2267.75</v>
      </c>
      <c r="U77" s="154">
        <f>Valores!$C$26</f>
        <v>6300.73</v>
      </c>
      <c r="V77" s="140">
        <f t="shared" si="13"/>
        <v>6300.73</v>
      </c>
      <c r="W77" s="140">
        <v>0</v>
      </c>
      <c r="X77" s="140">
        <v>0</v>
      </c>
      <c r="Y77" s="144">
        <v>0</v>
      </c>
      <c r="Z77" s="140">
        <f>Y77*Valores!$C$2</f>
        <v>0</v>
      </c>
      <c r="AA77" s="140">
        <v>0</v>
      </c>
      <c r="AB77" s="143">
        <f>Valores!$C$90</f>
        <v>2575.39</v>
      </c>
      <c r="AC77" s="145">
        <f>Valores!$C$31</f>
        <v>279.8</v>
      </c>
      <c r="AD77" s="140">
        <f t="shared" si="19"/>
        <v>0</v>
      </c>
      <c r="AE77" s="140">
        <f>Valores!$C$32</f>
        <v>279.8</v>
      </c>
      <c r="AF77" s="144">
        <v>0</v>
      </c>
      <c r="AG77" s="140">
        <f>INT(((AF77*Valores!$C$2)*100)+0.5)/100</f>
        <v>0</v>
      </c>
      <c r="AH77" s="140">
        <f>IF($H$5="NO",Valores!$C$60,Valores!$C$60/2)</f>
        <v>569.14</v>
      </c>
      <c r="AI77" s="140">
        <f>IF($H$5="NO",Valores!$C$62,Valores!$C$62/2)</f>
        <v>162.61000000000001</v>
      </c>
      <c r="AJ77" s="146">
        <f t="shared" si="20"/>
        <v>61615.767000000007</v>
      </c>
      <c r="AK77" s="142">
        <f>Valores!$C$37</f>
        <v>1465.56</v>
      </c>
      <c r="AL77" s="143">
        <f>Valores!$C$85</f>
        <v>2275</v>
      </c>
      <c r="AM77" s="143"/>
      <c r="AN77" s="145">
        <v>0</v>
      </c>
      <c r="AO77" s="147">
        <f t="shared" si="18"/>
        <v>3740.56</v>
      </c>
      <c r="AP77" s="148">
        <f>AJ77*Valores!$C$69</f>
        <v>-6777.734370000001</v>
      </c>
      <c r="AQ77" s="148">
        <f>AJ77*-Valores!$C$70</f>
        <v>0</v>
      </c>
      <c r="AR77" s="142">
        <f>AJ77*Valores!$C$71</f>
        <v>-2772.709515</v>
      </c>
      <c r="AS77" s="142">
        <f>Valores!$C$95</f>
        <v>-193.38</v>
      </c>
      <c r="AT77" s="142">
        <f>IF($H$6=0,Valores!$C$96,(Valores!$C$96+$H$6*(Valores!$C$96)))</f>
        <v>-178</v>
      </c>
      <c r="AU77" s="146">
        <f t="shared" si="21"/>
        <v>55434.503115000007</v>
      </c>
      <c r="AV77" s="199">
        <f t="shared" si="14"/>
        <v>-6777.734370000001</v>
      </c>
      <c r="AW77" s="142">
        <f>AJ77*Valores!$C$72</f>
        <v>-1663.6257090000001</v>
      </c>
      <c r="AX77" s="142">
        <f>AJ77*Valores!$C$73</f>
        <v>-184.84730100000002</v>
      </c>
      <c r="AY77" s="146">
        <f t="shared" si="22"/>
        <v>56730.119620000005</v>
      </c>
      <c r="AZ77" s="150"/>
      <c r="BA77" s="150"/>
      <c r="BB77" s="135" t="s">
        <v>8</v>
      </c>
    </row>
    <row r="78" spans="1:54" s="114" customFormat="1" ht="11.25" customHeight="1" x14ac:dyDescent="0.15">
      <c r="A78" s="152">
        <v>75</v>
      </c>
      <c r="B78" s="152" t="s">
        <v>139</v>
      </c>
      <c r="C78" s="135" t="s">
        <v>269</v>
      </c>
      <c r="D78" s="135"/>
      <c r="E78" s="135">
        <f t="shared" si="15"/>
        <v>33</v>
      </c>
      <c r="F78" s="136" t="s">
        <v>270</v>
      </c>
      <c r="G78" s="137">
        <v>78</v>
      </c>
      <c r="H78" s="138">
        <f>INT((G78*Valores!$C$2*100)+0.5)/100</f>
        <v>1043.8399999999999</v>
      </c>
      <c r="I78" s="139">
        <v>1284</v>
      </c>
      <c r="J78" s="140">
        <f>INT((I78*Valores!$C$2*100)+0.5)/100</f>
        <v>17183.259999999998</v>
      </c>
      <c r="K78" s="155">
        <v>0</v>
      </c>
      <c r="L78" s="140">
        <f>INT((K78*Valores!$C$2*100)+0.5)/100</f>
        <v>0</v>
      </c>
      <c r="M78" s="153">
        <v>0</v>
      </c>
      <c r="N78" s="140">
        <f>INT((M78*Valores!$C$2*100)+0.5)/100</f>
        <v>0</v>
      </c>
      <c r="O78" s="140">
        <f t="shared" si="16"/>
        <v>3074.2274999999995</v>
      </c>
      <c r="P78" s="140">
        <f t="shared" si="17"/>
        <v>0</v>
      </c>
      <c r="Q78" s="142">
        <f>Valores!$C$21</f>
        <v>11564.28</v>
      </c>
      <c r="R78" s="142">
        <f>Valores!$D$4</f>
        <v>6841.19</v>
      </c>
      <c r="S78" s="154">
        <f>Valores!$C$28</f>
        <v>6103.41</v>
      </c>
      <c r="T78" s="143">
        <f>IF($H$5="NO",Valores!$C$44,Valores!$C$44/2)</f>
        <v>2267.75</v>
      </c>
      <c r="U78" s="154">
        <v>0</v>
      </c>
      <c r="V78" s="140">
        <f t="shared" si="13"/>
        <v>0</v>
      </c>
      <c r="W78" s="140">
        <v>0</v>
      </c>
      <c r="X78" s="140">
        <v>0</v>
      </c>
      <c r="Y78" s="144">
        <v>0</v>
      </c>
      <c r="Z78" s="140">
        <f>Y78*Valores!$C$2</f>
        <v>0</v>
      </c>
      <c r="AA78" s="140">
        <v>0</v>
      </c>
      <c r="AB78" s="143">
        <f>Valores!$C$90</f>
        <v>2575.39</v>
      </c>
      <c r="AC78" s="145">
        <f>Valores!$C$31</f>
        <v>279.8</v>
      </c>
      <c r="AD78" s="140">
        <f t="shared" si="19"/>
        <v>0</v>
      </c>
      <c r="AE78" s="140">
        <f>Valores!$C$32</f>
        <v>279.8</v>
      </c>
      <c r="AF78" s="144">
        <v>0</v>
      </c>
      <c r="AG78" s="140">
        <f>INT(((AF78*Valores!$C$2)*100)+0.5)/100</f>
        <v>0</v>
      </c>
      <c r="AH78" s="140">
        <f>IF($H$5="NO",Valores!$C$60,Valores!$C$60/2)</f>
        <v>569.14</v>
      </c>
      <c r="AI78" s="140">
        <f>IF($H$5="NO",Valores!$C$62,Valores!$C$62/2)</f>
        <v>162.61000000000001</v>
      </c>
      <c r="AJ78" s="146">
        <f t="shared" si="20"/>
        <v>51944.697500000009</v>
      </c>
      <c r="AK78" s="142">
        <f>Valores!$C$37</f>
        <v>1465.56</v>
      </c>
      <c r="AL78" s="143">
        <f>Valores!$C$85</f>
        <v>2275</v>
      </c>
      <c r="AM78" s="143"/>
      <c r="AN78" s="145">
        <v>0</v>
      </c>
      <c r="AO78" s="147">
        <f t="shared" si="18"/>
        <v>3740.56</v>
      </c>
      <c r="AP78" s="148">
        <f>AJ78*Valores!$C$69</f>
        <v>-5713.916725000001</v>
      </c>
      <c r="AQ78" s="148">
        <f>AJ78*-Valores!$C$70</f>
        <v>0</v>
      </c>
      <c r="AR78" s="142">
        <f>AJ78*Valores!$C$71</f>
        <v>-2337.5113875000002</v>
      </c>
      <c r="AS78" s="142">
        <f>Valores!$C$95</f>
        <v>-193.38</v>
      </c>
      <c r="AT78" s="142">
        <f>IF($H$6=0,Valores!$C$96,(Valores!$C$96+$H$6*(Valores!$C$96)))</f>
        <v>-178</v>
      </c>
      <c r="AU78" s="146">
        <f t="shared" si="21"/>
        <v>47262.449387500004</v>
      </c>
      <c r="AV78" s="199">
        <f t="shared" si="14"/>
        <v>-5713.916725000001</v>
      </c>
      <c r="AW78" s="142">
        <f>AJ78*Valores!$C$72</f>
        <v>-1402.5068325000002</v>
      </c>
      <c r="AX78" s="142">
        <f>AJ78*Valores!$C$73</f>
        <v>-155.83409250000003</v>
      </c>
      <c r="AY78" s="146">
        <f t="shared" si="22"/>
        <v>48412.999850000007</v>
      </c>
      <c r="AZ78" s="150"/>
      <c r="BA78" s="150"/>
      <c r="BB78" s="135" t="s">
        <v>8</v>
      </c>
    </row>
    <row r="79" spans="1:54" s="114" customFormat="1" ht="11.25" customHeight="1" x14ac:dyDescent="0.15">
      <c r="A79" s="134">
        <v>76</v>
      </c>
      <c r="B79" s="134"/>
      <c r="C79" s="135" t="s">
        <v>271</v>
      </c>
      <c r="D79" s="135"/>
      <c r="E79" s="135">
        <f t="shared" si="15"/>
        <v>29</v>
      </c>
      <c r="F79" s="136" t="s">
        <v>272</v>
      </c>
      <c r="G79" s="137">
        <v>82</v>
      </c>
      <c r="H79" s="138">
        <f>INT((G79*Valores!$C$2*100)+0.5)/100</f>
        <v>1097.3699999999999</v>
      </c>
      <c r="I79" s="139">
        <v>2038</v>
      </c>
      <c r="J79" s="140">
        <f>INT((I79*Valores!$C$2*100)+0.5)/100</f>
        <v>27273.74</v>
      </c>
      <c r="K79" s="155">
        <v>0</v>
      </c>
      <c r="L79" s="140">
        <f>INT((K79*Valores!$C$2*100)+0.5)/100</f>
        <v>0</v>
      </c>
      <c r="M79" s="153">
        <v>0</v>
      </c>
      <c r="N79" s="140">
        <f>INT((M79*Valores!$C$2*100)+0.5)/100</f>
        <v>0</v>
      </c>
      <c r="O79" s="140">
        <f t="shared" si="16"/>
        <v>5550.7004999999999</v>
      </c>
      <c r="P79" s="140">
        <f t="shared" si="17"/>
        <v>0</v>
      </c>
      <c r="Q79" s="158">
        <f>Valores!$C$16</f>
        <v>14032.86</v>
      </c>
      <c r="R79" s="158">
        <f>Valores!$D$4</f>
        <v>6841.19</v>
      </c>
      <c r="S79" s="157">
        <f>Valores!$C$28</f>
        <v>6103.41</v>
      </c>
      <c r="T79" s="143">
        <f>IF($H$5="NO",Valores!$C$44,Valores!$C$44/2)</f>
        <v>2267.75</v>
      </c>
      <c r="U79" s="143">
        <f>Valores!$C$25</f>
        <v>6365.81</v>
      </c>
      <c r="V79" s="140">
        <f t="shared" si="13"/>
        <v>6365.81</v>
      </c>
      <c r="W79" s="140">
        <v>0</v>
      </c>
      <c r="X79" s="140">
        <v>0</v>
      </c>
      <c r="Y79" s="144">
        <v>0</v>
      </c>
      <c r="Z79" s="140">
        <f>Y79*Valores!$C$2</f>
        <v>0</v>
      </c>
      <c r="AA79" s="140">
        <v>0</v>
      </c>
      <c r="AB79" s="143">
        <f>Valores!$C$90</f>
        <v>2575.39</v>
      </c>
      <c r="AC79" s="145">
        <f>Valores!$C$31</f>
        <v>279.8</v>
      </c>
      <c r="AD79" s="140">
        <f t="shared" si="19"/>
        <v>0</v>
      </c>
      <c r="AE79" s="140">
        <f>Valores!$C$32</f>
        <v>279.8</v>
      </c>
      <c r="AF79" s="144">
        <v>0</v>
      </c>
      <c r="AG79" s="140">
        <f>INT(((AF79*Valores!$C$2)*100)+0.5)/100</f>
        <v>0</v>
      </c>
      <c r="AH79" s="140">
        <f>IF($H$5="NO",Valores!$C$60,Valores!$C$60/2)</f>
        <v>569.14</v>
      </c>
      <c r="AI79" s="140">
        <f>IF($H$5="NO",Valores!$C$62,Valores!$C$62/2)</f>
        <v>162.61000000000001</v>
      </c>
      <c r="AJ79" s="146">
        <f t="shared" si="20"/>
        <v>73399.570500000002</v>
      </c>
      <c r="AK79" s="142">
        <f>Valores!$C$37</f>
        <v>1465.56</v>
      </c>
      <c r="AL79" s="143">
        <f>Valores!$C$85</f>
        <v>2275</v>
      </c>
      <c r="AM79" s="143"/>
      <c r="AN79" s="145">
        <f>IF($H$4="NO",0,Valores!$C$53)</f>
        <v>170.34</v>
      </c>
      <c r="AO79" s="147">
        <f t="shared" si="18"/>
        <v>3910.9</v>
      </c>
      <c r="AP79" s="148">
        <f>AJ79*Valores!$C$69</f>
        <v>-8073.9527550000003</v>
      </c>
      <c r="AQ79" s="148">
        <f>AJ79*-Valores!$C$70</f>
        <v>0</v>
      </c>
      <c r="AR79" s="142">
        <f>AJ79*Valores!$C$71</f>
        <v>-3302.9806724999999</v>
      </c>
      <c r="AS79" s="142">
        <f>Valores!$C$95</f>
        <v>-193.38</v>
      </c>
      <c r="AT79" s="142">
        <f>IF($H$6=0,Valores!$C$96,(Valores!$C$96+$H$6*(Valores!$C$96)))</f>
        <v>-178</v>
      </c>
      <c r="AU79" s="146">
        <f t="shared" si="21"/>
        <v>65562.157072500006</v>
      </c>
      <c r="AV79" s="199">
        <f t="shared" si="14"/>
        <v>-8073.9527550000003</v>
      </c>
      <c r="AW79" s="142">
        <f>AJ79*Valores!$C$72</f>
        <v>-1981.7884035</v>
      </c>
      <c r="AX79" s="142">
        <f>AJ79*Valores!$C$73</f>
        <v>-220.1987115</v>
      </c>
      <c r="AY79" s="146">
        <f t="shared" si="22"/>
        <v>67034.530629999994</v>
      </c>
      <c r="AZ79" s="150"/>
      <c r="BA79" s="150">
        <v>25</v>
      </c>
      <c r="BB79" s="135" t="s">
        <v>4</v>
      </c>
    </row>
    <row r="80" spans="1:54" s="114" customFormat="1" ht="11.25" customHeight="1" x14ac:dyDescent="0.15">
      <c r="A80" s="134">
        <v>77</v>
      </c>
      <c r="B80" s="134"/>
      <c r="C80" s="135" t="s">
        <v>273</v>
      </c>
      <c r="D80" s="135"/>
      <c r="E80" s="135">
        <f t="shared" si="15"/>
        <v>24</v>
      </c>
      <c r="F80" s="136" t="s">
        <v>274</v>
      </c>
      <c r="G80" s="137">
        <v>78</v>
      </c>
      <c r="H80" s="138">
        <f>INT((G80*Valores!$C$2*100)+0.5)/100</f>
        <v>1043.8399999999999</v>
      </c>
      <c r="I80" s="139">
        <v>2072</v>
      </c>
      <c r="J80" s="140">
        <f>INT((I80*Valores!$C$2*100)+0.5)/100</f>
        <v>27728.75</v>
      </c>
      <c r="K80" s="155">
        <v>0</v>
      </c>
      <c r="L80" s="140">
        <f>INT((K80*Valores!$C$2*100)+0.5)/100</f>
        <v>0</v>
      </c>
      <c r="M80" s="153">
        <v>0</v>
      </c>
      <c r="N80" s="140">
        <f>INT((M80*Valores!$C$2*100)+0.5)/100</f>
        <v>0</v>
      </c>
      <c r="O80" s="140">
        <f t="shared" si="16"/>
        <v>5610.9224999999997</v>
      </c>
      <c r="P80" s="140">
        <f t="shared" si="17"/>
        <v>0</v>
      </c>
      <c r="Q80" s="158">
        <f>Valores!$C$16</f>
        <v>14032.86</v>
      </c>
      <c r="R80" s="158">
        <f>Valores!$D$4</f>
        <v>6841.19</v>
      </c>
      <c r="S80" s="157">
        <f>Valores!$C$28</f>
        <v>6103.41</v>
      </c>
      <c r="T80" s="143">
        <f>IF($H$5="NO",Valores!$C$44,Valores!$C$44/2)</f>
        <v>2267.75</v>
      </c>
      <c r="U80" s="143">
        <f>Valores!$C$25</f>
        <v>6365.81</v>
      </c>
      <c r="V80" s="140">
        <f t="shared" si="13"/>
        <v>6365.81</v>
      </c>
      <c r="W80" s="140">
        <v>0</v>
      </c>
      <c r="X80" s="140">
        <v>0</v>
      </c>
      <c r="Y80" s="144">
        <v>0</v>
      </c>
      <c r="Z80" s="140">
        <f>Y80*Valores!$C$2</f>
        <v>0</v>
      </c>
      <c r="AA80" s="140">
        <v>0</v>
      </c>
      <c r="AB80" s="143">
        <f>Valores!$C$91</f>
        <v>3090.47</v>
      </c>
      <c r="AC80" s="145">
        <f>Valores!$C$31</f>
        <v>279.8</v>
      </c>
      <c r="AD80" s="140">
        <f t="shared" si="19"/>
        <v>0</v>
      </c>
      <c r="AE80" s="140">
        <f>Valores!$C$32</f>
        <v>279.8</v>
      </c>
      <c r="AF80" s="144">
        <v>0</v>
      </c>
      <c r="AG80" s="140">
        <f>INT(((AF80*Valores!$C$2)*100)+0.5)/100</f>
        <v>0</v>
      </c>
      <c r="AH80" s="140">
        <f>IF($H$5="NO",Valores!$C$60,Valores!$C$60/2)</f>
        <v>569.14</v>
      </c>
      <c r="AI80" s="140">
        <f>IF($H$5="NO",Valores!$C$62,Valores!$C$62/2)</f>
        <v>162.61000000000001</v>
      </c>
      <c r="AJ80" s="146">
        <f t="shared" si="20"/>
        <v>74376.352500000008</v>
      </c>
      <c r="AK80" s="142">
        <f>Valores!$C$37</f>
        <v>1465.56</v>
      </c>
      <c r="AL80" s="143">
        <f>Valores!$C$86</f>
        <v>2730</v>
      </c>
      <c r="AM80" s="143"/>
      <c r="AN80" s="145">
        <f>IF($H$4="NO",0,Valores!$C$53)</f>
        <v>170.34</v>
      </c>
      <c r="AO80" s="147">
        <f t="shared" si="18"/>
        <v>4365.8999999999996</v>
      </c>
      <c r="AP80" s="148">
        <f>AJ80*Valores!$C$69</f>
        <v>-8181.3987750000006</v>
      </c>
      <c r="AQ80" s="148">
        <f>AJ80*-Valores!$C$70</f>
        <v>0</v>
      </c>
      <c r="AR80" s="142">
        <f>AJ80*Valores!$C$71</f>
        <v>-3346.9358625000004</v>
      </c>
      <c r="AS80" s="142">
        <f>Valores!$C$95</f>
        <v>-193.38</v>
      </c>
      <c r="AT80" s="142">
        <f>IF($H$6=0,Valores!$C$96,(Valores!$C$96+$H$6*(Valores!$C$96)))</f>
        <v>-178</v>
      </c>
      <c r="AU80" s="146">
        <f t="shared" si="21"/>
        <v>66842.537862500001</v>
      </c>
      <c r="AV80" s="199">
        <f t="shared" si="14"/>
        <v>-8181.3987750000006</v>
      </c>
      <c r="AW80" s="142">
        <f>AJ80*Valores!$C$72</f>
        <v>-2008.1615175000002</v>
      </c>
      <c r="AX80" s="142">
        <f>AJ80*Valores!$C$73</f>
        <v>-223.12905750000002</v>
      </c>
      <c r="AY80" s="146">
        <f t="shared" si="22"/>
        <v>68329.563150000002</v>
      </c>
      <c r="AZ80" s="150"/>
      <c r="BA80" s="150">
        <v>30</v>
      </c>
      <c r="BB80" s="135" t="s">
        <v>4</v>
      </c>
    </row>
    <row r="81" spans="1:54" s="114" customFormat="1" ht="11.25" customHeight="1" x14ac:dyDescent="0.15">
      <c r="A81" s="134">
        <v>78</v>
      </c>
      <c r="B81" s="134"/>
      <c r="C81" s="135" t="s">
        <v>275</v>
      </c>
      <c r="D81" s="135"/>
      <c r="E81" s="135">
        <f t="shared" si="15"/>
        <v>24</v>
      </c>
      <c r="F81" s="136" t="s">
        <v>276</v>
      </c>
      <c r="G81" s="137">
        <v>78</v>
      </c>
      <c r="H81" s="138">
        <f>INT((G81*Valores!$C$2*100)+0.5)/100</f>
        <v>1043.8399999999999</v>
      </c>
      <c r="I81" s="139">
        <v>1770</v>
      </c>
      <c r="J81" s="140">
        <f>INT((I81*Valores!$C$2*100)+0.5)/100</f>
        <v>23687.200000000001</v>
      </c>
      <c r="K81" s="155">
        <v>0</v>
      </c>
      <c r="L81" s="140">
        <f>INT((K81*Valores!$C$2*100)+0.5)/100</f>
        <v>0</v>
      </c>
      <c r="M81" s="153">
        <v>0</v>
      </c>
      <c r="N81" s="140">
        <f>INT((M81*Valores!$C$2*100)+0.5)/100</f>
        <v>0</v>
      </c>
      <c r="O81" s="140">
        <f t="shared" si="16"/>
        <v>5004.6900000000005</v>
      </c>
      <c r="P81" s="140">
        <f t="shared" si="17"/>
        <v>0</v>
      </c>
      <c r="Q81" s="158">
        <f>Valores!$C$16</f>
        <v>14032.86</v>
      </c>
      <c r="R81" s="158">
        <f>Valores!$D$4</f>
        <v>6841.19</v>
      </c>
      <c r="S81" s="143">
        <f>Valores!$C$28</f>
        <v>6103.41</v>
      </c>
      <c r="T81" s="143">
        <f>IF($H$5="NO",Valores!$C$44,Valores!$C$44/2)</f>
        <v>2267.75</v>
      </c>
      <c r="U81" s="143">
        <f>Valores!$C$25</f>
        <v>6365.81</v>
      </c>
      <c r="V81" s="140">
        <f t="shared" si="13"/>
        <v>6365.81</v>
      </c>
      <c r="W81" s="140">
        <v>0</v>
      </c>
      <c r="X81" s="140">
        <v>0</v>
      </c>
      <c r="Y81" s="144">
        <v>0</v>
      </c>
      <c r="Z81" s="140">
        <f>Y81*Valores!$C$2</f>
        <v>0</v>
      </c>
      <c r="AA81" s="140">
        <v>0</v>
      </c>
      <c r="AB81" s="143">
        <f>Valores!$C$91</f>
        <v>3090.47</v>
      </c>
      <c r="AC81" s="145">
        <f>Valores!$C$31</f>
        <v>279.8</v>
      </c>
      <c r="AD81" s="140">
        <f t="shared" si="19"/>
        <v>0</v>
      </c>
      <c r="AE81" s="140">
        <f>Valores!$C$32</f>
        <v>279.8</v>
      </c>
      <c r="AF81" s="144">
        <v>0</v>
      </c>
      <c r="AG81" s="140">
        <f>INT(((AF81*Valores!$C$2)*100)+0.5)/100</f>
        <v>0</v>
      </c>
      <c r="AH81" s="140">
        <f>IF($H$5="NO",Valores!$C$60,Valores!$C$60/2)</f>
        <v>569.14</v>
      </c>
      <c r="AI81" s="140">
        <f>IF($H$5="NO",Valores!$C$62,Valores!$C$62/2)</f>
        <v>162.61000000000001</v>
      </c>
      <c r="AJ81" s="146">
        <f t="shared" si="20"/>
        <v>69728.570000000007</v>
      </c>
      <c r="AK81" s="142">
        <f>Valores!$C$37</f>
        <v>1465.56</v>
      </c>
      <c r="AL81" s="143">
        <f>Valores!$C$86</f>
        <v>2730</v>
      </c>
      <c r="AM81" s="143"/>
      <c r="AN81" s="145">
        <f>IF($H$4="NO",0,Valores!$C$53)</f>
        <v>170.34</v>
      </c>
      <c r="AO81" s="147">
        <f t="shared" si="18"/>
        <v>4365.8999999999996</v>
      </c>
      <c r="AP81" s="148">
        <f>AJ81*Valores!$C$69</f>
        <v>-7670.1427000000012</v>
      </c>
      <c r="AQ81" s="148">
        <f>AJ81*-Valores!$C$70</f>
        <v>0</v>
      </c>
      <c r="AR81" s="142">
        <f>AJ81*Valores!$C$71</f>
        <v>-3137.7856500000003</v>
      </c>
      <c r="AS81" s="142">
        <f>Valores!$C$95</f>
        <v>-193.38</v>
      </c>
      <c r="AT81" s="142">
        <f>IF($H$6=0,Valores!$C$96,(Valores!$C$96+$H$6*(Valores!$C$96)))</f>
        <v>-178</v>
      </c>
      <c r="AU81" s="146">
        <f t="shared" si="21"/>
        <v>62915.161650000002</v>
      </c>
      <c r="AV81" s="199">
        <f t="shared" si="14"/>
        <v>-7670.1427000000012</v>
      </c>
      <c r="AW81" s="142">
        <f>AJ81*Valores!$C$72</f>
        <v>-1882.6713900000002</v>
      </c>
      <c r="AX81" s="142">
        <f>AJ81*Valores!$C$73</f>
        <v>-209.18571000000003</v>
      </c>
      <c r="AY81" s="146">
        <f t="shared" si="22"/>
        <v>64332.470199999996</v>
      </c>
      <c r="AZ81" s="150"/>
      <c r="BA81" s="150"/>
      <c r="BB81" s="135" t="s">
        <v>4</v>
      </c>
    </row>
    <row r="82" spans="1:54" s="114" customFormat="1" ht="11.25" customHeight="1" x14ac:dyDescent="0.15">
      <c r="A82" s="134">
        <v>79</v>
      </c>
      <c r="B82" s="134"/>
      <c r="C82" s="135" t="s">
        <v>277</v>
      </c>
      <c r="D82" s="135"/>
      <c r="E82" s="135">
        <f t="shared" si="15"/>
        <v>27</v>
      </c>
      <c r="F82" s="136" t="s">
        <v>278</v>
      </c>
      <c r="G82" s="137">
        <v>77</v>
      </c>
      <c r="H82" s="138">
        <f>INT((G82*Valores!$C$2*100)+0.5)/100</f>
        <v>1030.46</v>
      </c>
      <c r="I82" s="139">
        <v>2073</v>
      </c>
      <c r="J82" s="140">
        <f>INT((I82*Valores!$C$2*100)+0.5)/100</f>
        <v>27742.13</v>
      </c>
      <c r="K82" s="155">
        <v>0</v>
      </c>
      <c r="L82" s="140">
        <f>INT((K82*Valores!$C$2*100)+0.5)/100</f>
        <v>0</v>
      </c>
      <c r="M82" s="153">
        <v>0</v>
      </c>
      <c r="N82" s="140">
        <f>INT((M82*Valores!$C$2*100)+0.5)/100</f>
        <v>0</v>
      </c>
      <c r="O82" s="140">
        <f t="shared" si="16"/>
        <v>5610.9224999999997</v>
      </c>
      <c r="P82" s="140">
        <f t="shared" si="17"/>
        <v>0</v>
      </c>
      <c r="Q82" s="158">
        <f>Valores!$C$16</f>
        <v>14032.86</v>
      </c>
      <c r="R82" s="158">
        <f>Valores!$D$4</f>
        <v>6841.19</v>
      </c>
      <c r="S82" s="157">
        <f>Valores!$C$28</f>
        <v>6103.41</v>
      </c>
      <c r="T82" s="143">
        <f>IF($H$5="NO",Valores!$C$44,Valores!$C$44/2)</f>
        <v>2267.75</v>
      </c>
      <c r="U82" s="143">
        <f>Valores!$C$25</f>
        <v>6365.81</v>
      </c>
      <c r="V82" s="140">
        <f t="shared" si="13"/>
        <v>6365.81</v>
      </c>
      <c r="W82" s="140">
        <v>0</v>
      </c>
      <c r="X82" s="140">
        <v>0</v>
      </c>
      <c r="Y82" s="144">
        <v>0</v>
      </c>
      <c r="Z82" s="140">
        <f>Y82*Valores!$C$2</f>
        <v>0</v>
      </c>
      <c r="AA82" s="140">
        <v>0</v>
      </c>
      <c r="AB82" s="143">
        <f>Valores!$C$91</f>
        <v>3090.47</v>
      </c>
      <c r="AC82" s="145">
        <f>Valores!$C$31</f>
        <v>279.8</v>
      </c>
      <c r="AD82" s="140">
        <f t="shared" si="19"/>
        <v>0</v>
      </c>
      <c r="AE82" s="140">
        <f>Valores!$C$32</f>
        <v>279.8</v>
      </c>
      <c r="AF82" s="144">
        <v>0</v>
      </c>
      <c r="AG82" s="140">
        <f>INT(((AF82*Valores!$C$2)*100)+0.5)/100</f>
        <v>0</v>
      </c>
      <c r="AH82" s="140">
        <f>IF($H$5="NO",Valores!$C$60,Valores!$C$60/2)</f>
        <v>569.14</v>
      </c>
      <c r="AI82" s="140">
        <f>IF($H$5="NO",Valores!$C$62,Valores!$C$62/2)</f>
        <v>162.61000000000001</v>
      </c>
      <c r="AJ82" s="146">
        <f t="shared" si="20"/>
        <v>74376.352500000008</v>
      </c>
      <c r="AK82" s="142">
        <f>Valores!$C$37</f>
        <v>1465.56</v>
      </c>
      <c r="AL82" s="143">
        <f>Valores!$C$86</f>
        <v>2730</v>
      </c>
      <c r="AM82" s="143"/>
      <c r="AN82" s="145">
        <f>IF($H$4="NO",0,Valores!$C$53)</f>
        <v>170.34</v>
      </c>
      <c r="AO82" s="147">
        <f t="shared" si="18"/>
        <v>4365.8999999999996</v>
      </c>
      <c r="AP82" s="148">
        <f>AJ82*Valores!$C$69</f>
        <v>-8181.3987750000006</v>
      </c>
      <c r="AQ82" s="148">
        <f>AJ82*-Valores!$C$70</f>
        <v>0</v>
      </c>
      <c r="AR82" s="142">
        <f>AJ82*Valores!$C$71</f>
        <v>-3346.9358625000004</v>
      </c>
      <c r="AS82" s="142">
        <f>Valores!$C$95</f>
        <v>-193.38</v>
      </c>
      <c r="AT82" s="142">
        <f>IF($H$6=0,Valores!$C$96,(Valores!$C$96+$H$6*(Valores!$C$96)))</f>
        <v>-178</v>
      </c>
      <c r="AU82" s="146">
        <f t="shared" si="21"/>
        <v>66842.537862500001</v>
      </c>
      <c r="AV82" s="199">
        <f t="shared" si="14"/>
        <v>-8181.3987750000006</v>
      </c>
      <c r="AW82" s="142">
        <f>AJ82*Valores!$C$72</f>
        <v>-2008.1615175000002</v>
      </c>
      <c r="AX82" s="142">
        <f>AJ82*Valores!$C$73</f>
        <v>-223.12905750000002</v>
      </c>
      <c r="AY82" s="146">
        <f t="shared" si="22"/>
        <v>68329.563150000002</v>
      </c>
      <c r="AZ82" s="150"/>
      <c r="BA82" s="150">
        <v>25</v>
      </c>
      <c r="BB82" s="135" t="s">
        <v>8</v>
      </c>
    </row>
    <row r="83" spans="1:54" s="114" customFormat="1" ht="11.25" customHeight="1" x14ac:dyDescent="0.15">
      <c r="A83" s="152">
        <v>80</v>
      </c>
      <c r="B83" s="152" t="s">
        <v>139</v>
      </c>
      <c r="C83" s="135" t="s">
        <v>279</v>
      </c>
      <c r="D83" s="135"/>
      <c r="E83" s="135">
        <f t="shared" si="15"/>
        <v>27</v>
      </c>
      <c r="F83" s="136" t="s">
        <v>280</v>
      </c>
      <c r="G83" s="137">
        <v>76</v>
      </c>
      <c r="H83" s="138">
        <f>INT((G83*Valores!$C$2*100)+0.5)/100</f>
        <v>1017.08</v>
      </c>
      <c r="I83" s="139">
        <v>1872</v>
      </c>
      <c r="J83" s="140">
        <f>INT((I83*Valores!$C$2*100)+0.5)/100</f>
        <v>25052.23</v>
      </c>
      <c r="K83" s="155">
        <v>0</v>
      </c>
      <c r="L83" s="140">
        <f>INT((K83*Valores!$C$2*100)+0.5)/100</f>
        <v>0</v>
      </c>
      <c r="M83" s="153">
        <v>0</v>
      </c>
      <c r="N83" s="140">
        <f>INT((M83*Valores!$C$2*100)+0.5)/100</f>
        <v>0</v>
      </c>
      <c r="O83" s="140">
        <f t="shared" si="16"/>
        <v>5205.4305000000004</v>
      </c>
      <c r="P83" s="140">
        <f t="shared" si="17"/>
        <v>0</v>
      </c>
      <c r="Q83" s="158">
        <f>Valores!$C$16</f>
        <v>14032.86</v>
      </c>
      <c r="R83" s="158">
        <f>Valores!$D$4</f>
        <v>6841.19</v>
      </c>
      <c r="S83" s="143">
        <v>0</v>
      </c>
      <c r="T83" s="143">
        <f>IF($H$5="NO",Valores!$C$44,Valores!$C$44/2)</f>
        <v>2267.75</v>
      </c>
      <c r="U83" s="143">
        <f>Valores!$C$25</f>
        <v>6365.81</v>
      </c>
      <c r="V83" s="140">
        <f t="shared" si="13"/>
        <v>6365.81</v>
      </c>
      <c r="W83" s="140">
        <v>0</v>
      </c>
      <c r="X83" s="140">
        <v>0</v>
      </c>
      <c r="Y83" s="144">
        <v>0</v>
      </c>
      <c r="Z83" s="140">
        <f>Y83*Valores!$C$2</f>
        <v>0</v>
      </c>
      <c r="AA83" s="140">
        <v>0</v>
      </c>
      <c r="AB83" s="143">
        <f>Valores!$C$91</f>
        <v>3090.47</v>
      </c>
      <c r="AC83" s="145">
        <f>Valores!$C$31</f>
        <v>279.8</v>
      </c>
      <c r="AD83" s="140">
        <f t="shared" si="19"/>
        <v>0</v>
      </c>
      <c r="AE83" s="140">
        <f>Valores!$C$32</f>
        <v>279.8</v>
      </c>
      <c r="AF83" s="144">
        <v>0</v>
      </c>
      <c r="AG83" s="140">
        <f>INT(((AF83*Valores!$C$2)*100)+0.5)/100</f>
        <v>0</v>
      </c>
      <c r="AH83" s="140">
        <f>IF($H$5="NO",Valores!$C$60,Valores!$C$60/2)</f>
        <v>569.14</v>
      </c>
      <c r="AI83" s="140">
        <f>IF($H$5="NO",Valores!$C$62,Valores!$C$62/2)</f>
        <v>162.61000000000001</v>
      </c>
      <c r="AJ83" s="146">
        <f t="shared" si="20"/>
        <v>65164.170500000007</v>
      </c>
      <c r="AK83" s="142">
        <f>Valores!$C$37</f>
        <v>1465.56</v>
      </c>
      <c r="AL83" s="143">
        <f>Valores!$C$86</f>
        <v>2730</v>
      </c>
      <c r="AM83" s="143"/>
      <c r="AN83" s="145">
        <f>IF($H$4="NO",0,Valores!$C$53)</f>
        <v>170.34</v>
      </c>
      <c r="AO83" s="147">
        <f t="shared" si="18"/>
        <v>4365.8999999999996</v>
      </c>
      <c r="AP83" s="148">
        <f>AJ83*Valores!$C$69</f>
        <v>-7168.0587550000009</v>
      </c>
      <c r="AQ83" s="148">
        <f>AJ83*-Valores!$C$70</f>
        <v>0</v>
      </c>
      <c r="AR83" s="142">
        <f>AJ83*Valores!$C$71</f>
        <v>-2932.3876725</v>
      </c>
      <c r="AS83" s="142">
        <f>Valores!$C$95</f>
        <v>-193.38</v>
      </c>
      <c r="AT83" s="142">
        <f>IF($H$6=0,Valores!$C$96,(Valores!$C$96+$H$6*(Valores!$C$96)))</f>
        <v>-178</v>
      </c>
      <c r="AU83" s="146">
        <f t="shared" si="21"/>
        <v>59058.244072500005</v>
      </c>
      <c r="AV83" s="199">
        <f t="shared" si="14"/>
        <v>-7168.0587550000009</v>
      </c>
      <c r="AW83" s="142">
        <f>AJ83*Valores!$C$72</f>
        <v>-1759.4326035000001</v>
      </c>
      <c r="AX83" s="142">
        <f>AJ83*Valores!$C$73</f>
        <v>-195.49251150000003</v>
      </c>
      <c r="AY83" s="146">
        <f t="shared" si="22"/>
        <v>60407.086629999998</v>
      </c>
      <c r="AZ83" s="150"/>
      <c r="BA83" s="150">
        <v>30</v>
      </c>
      <c r="BB83" s="135" t="s">
        <v>8</v>
      </c>
    </row>
    <row r="84" spans="1:54" s="114" customFormat="1" ht="11.25" customHeight="1" x14ac:dyDescent="0.15">
      <c r="A84" s="134">
        <v>81</v>
      </c>
      <c r="B84" s="134"/>
      <c r="C84" s="135" t="s">
        <v>281</v>
      </c>
      <c r="D84" s="135"/>
      <c r="E84" s="135">
        <f t="shared" si="15"/>
        <v>30</v>
      </c>
      <c r="F84" s="136" t="s">
        <v>282</v>
      </c>
      <c r="G84" s="137">
        <v>75</v>
      </c>
      <c r="H84" s="138">
        <f>INT((G84*Valores!$C$2*100)+0.5)/100</f>
        <v>1003.7</v>
      </c>
      <c r="I84" s="139">
        <v>1873</v>
      </c>
      <c r="J84" s="140">
        <f>INT((I84*Valores!$C$2*100)+0.5)/100</f>
        <v>25065.61</v>
      </c>
      <c r="K84" s="155">
        <v>0</v>
      </c>
      <c r="L84" s="140">
        <f>INT((K84*Valores!$C$2*100)+0.5)/100</f>
        <v>0</v>
      </c>
      <c r="M84" s="153">
        <v>0</v>
      </c>
      <c r="N84" s="140">
        <f>INT((M84*Valores!$C$2*100)+0.5)/100</f>
        <v>0</v>
      </c>
      <c r="O84" s="140">
        <f t="shared" si="16"/>
        <v>5205.4305000000004</v>
      </c>
      <c r="P84" s="140">
        <f t="shared" si="17"/>
        <v>0</v>
      </c>
      <c r="Q84" s="158">
        <f>Valores!$C$16</f>
        <v>14032.86</v>
      </c>
      <c r="R84" s="158">
        <f>Valores!$D$4</f>
        <v>6841.19</v>
      </c>
      <c r="S84" s="157">
        <f>Valores!$C$28</f>
        <v>6103.41</v>
      </c>
      <c r="T84" s="143">
        <f>IF($H$5="NO",Valores!$C$44,Valores!$C$44/2)</f>
        <v>2267.75</v>
      </c>
      <c r="U84" s="143">
        <f>Valores!$C$25</f>
        <v>6365.81</v>
      </c>
      <c r="V84" s="140">
        <f t="shared" si="13"/>
        <v>6365.81</v>
      </c>
      <c r="W84" s="140">
        <v>0</v>
      </c>
      <c r="X84" s="140">
        <v>0</v>
      </c>
      <c r="Y84" s="144">
        <v>0</v>
      </c>
      <c r="Z84" s="140">
        <f>Y84*Valores!$C$2</f>
        <v>0</v>
      </c>
      <c r="AA84" s="140">
        <v>0</v>
      </c>
      <c r="AB84" s="143">
        <f>Valores!$C$91</f>
        <v>3090.47</v>
      </c>
      <c r="AC84" s="145">
        <f>Valores!$C$31</f>
        <v>279.8</v>
      </c>
      <c r="AD84" s="140">
        <f t="shared" si="19"/>
        <v>0</v>
      </c>
      <c r="AE84" s="140">
        <f>Valores!$C$32</f>
        <v>279.8</v>
      </c>
      <c r="AF84" s="144">
        <v>0</v>
      </c>
      <c r="AG84" s="140">
        <f>INT(((AF84*Valores!$C$2)*100)+0.5)/100</f>
        <v>0</v>
      </c>
      <c r="AH84" s="140">
        <f>IF($H$5="NO",Valores!$C$60,Valores!$C$60/2)</f>
        <v>569.14</v>
      </c>
      <c r="AI84" s="140">
        <f>IF($H$5="NO",Valores!$C$62,Valores!$C$62/2)</f>
        <v>162.61000000000001</v>
      </c>
      <c r="AJ84" s="146">
        <f t="shared" si="20"/>
        <v>71267.580500000011</v>
      </c>
      <c r="AK84" s="142">
        <f>Valores!$C$37</f>
        <v>1465.56</v>
      </c>
      <c r="AL84" s="143">
        <f>Valores!$C$86</f>
        <v>2730</v>
      </c>
      <c r="AM84" s="143"/>
      <c r="AN84" s="145">
        <f>IF($H$4="NO",0,Valores!$C$53)</f>
        <v>170.34</v>
      </c>
      <c r="AO84" s="147">
        <f t="shared" si="18"/>
        <v>4365.8999999999996</v>
      </c>
      <c r="AP84" s="148">
        <f>AJ84*Valores!$C$69</f>
        <v>-7839.4338550000011</v>
      </c>
      <c r="AQ84" s="148">
        <f>AJ84*-Valores!$C$70</f>
        <v>0</v>
      </c>
      <c r="AR84" s="142">
        <f>AJ84*Valores!$C$71</f>
        <v>-3207.0411225000003</v>
      </c>
      <c r="AS84" s="142">
        <f>Valores!$C$95</f>
        <v>-193.38</v>
      </c>
      <c r="AT84" s="142">
        <f>IF($H$6=0,Valores!$C$96,(Valores!$C$96+$H$6*(Valores!$C$96)))</f>
        <v>-178</v>
      </c>
      <c r="AU84" s="146">
        <f t="shared" si="21"/>
        <v>64215.625522500006</v>
      </c>
      <c r="AV84" s="199">
        <f t="shared" si="14"/>
        <v>-7839.4338550000011</v>
      </c>
      <c r="AW84" s="142">
        <f>AJ84*Valores!$C$72</f>
        <v>-1924.2246735000003</v>
      </c>
      <c r="AX84" s="142">
        <f>AJ84*Valores!$C$73</f>
        <v>-213.80274150000002</v>
      </c>
      <c r="AY84" s="146">
        <f t="shared" si="22"/>
        <v>65656.019230000005</v>
      </c>
      <c r="AZ84" s="150"/>
      <c r="BA84" s="150">
        <v>25</v>
      </c>
      <c r="BB84" s="135" t="s">
        <v>4</v>
      </c>
    </row>
    <row r="85" spans="1:54" s="114" customFormat="1" ht="11.25" customHeight="1" x14ac:dyDescent="0.15">
      <c r="A85" s="134">
        <v>82</v>
      </c>
      <c r="B85" s="134"/>
      <c r="C85" s="135" t="s">
        <v>283</v>
      </c>
      <c r="D85" s="135"/>
      <c r="E85" s="135">
        <f t="shared" si="15"/>
        <v>27</v>
      </c>
      <c r="F85" s="136" t="s">
        <v>284</v>
      </c>
      <c r="G85" s="137">
        <v>76</v>
      </c>
      <c r="H85" s="138">
        <f>INT((G85*Valores!$C$2*100)+0.5)/100</f>
        <v>1017.08</v>
      </c>
      <c r="I85" s="139">
        <v>1752</v>
      </c>
      <c r="J85" s="140">
        <f>INT((I85*Valores!$C$2*100)+0.5)/100</f>
        <v>23446.32</v>
      </c>
      <c r="K85" s="155">
        <v>0</v>
      </c>
      <c r="L85" s="140">
        <f>INT((K85*Valores!$C$2*100)+0.5)/100</f>
        <v>0</v>
      </c>
      <c r="M85" s="153">
        <v>0</v>
      </c>
      <c r="N85" s="140">
        <f>INT((M85*Valores!$C$2*100)+0.5)/100</f>
        <v>0</v>
      </c>
      <c r="O85" s="140">
        <f t="shared" si="16"/>
        <v>4964.5440000000008</v>
      </c>
      <c r="P85" s="140">
        <f t="shared" si="17"/>
        <v>0</v>
      </c>
      <c r="Q85" s="158">
        <f>Valores!$C$15</f>
        <v>13989.51</v>
      </c>
      <c r="R85" s="158">
        <f>Valores!$D$4</f>
        <v>6841.19</v>
      </c>
      <c r="S85" s="157">
        <f>Valores!$C$28</f>
        <v>6103.41</v>
      </c>
      <c r="T85" s="143">
        <f>IF($H$5="NO",Valores!$C$44,Valores!$C$44/2)</f>
        <v>2267.75</v>
      </c>
      <c r="U85" s="143">
        <f>Valores!$C$25</f>
        <v>6365.81</v>
      </c>
      <c r="V85" s="140">
        <f t="shared" si="13"/>
        <v>6365.81</v>
      </c>
      <c r="W85" s="140">
        <v>0</v>
      </c>
      <c r="X85" s="140">
        <v>0</v>
      </c>
      <c r="Y85" s="144">
        <v>0</v>
      </c>
      <c r="Z85" s="140">
        <f>Y85*Valores!$C$2</f>
        <v>0</v>
      </c>
      <c r="AA85" s="140">
        <v>0</v>
      </c>
      <c r="AB85" s="143">
        <f>Valores!$C$90</f>
        <v>2575.39</v>
      </c>
      <c r="AC85" s="145">
        <f>Valores!$C$31</f>
        <v>279.8</v>
      </c>
      <c r="AD85" s="140">
        <f t="shared" si="19"/>
        <v>0</v>
      </c>
      <c r="AE85" s="140">
        <f>Valores!$C$32</f>
        <v>279.8</v>
      </c>
      <c r="AF85" s="144">
        <v>0</v>
      </c>
      <c r="AG85" s="140">
        <f>INT(((AF85*Valores!$C$2)*100)+0.5)/100</f>
        <v>0</v>
      </c>
      <c r="AH85" s="140">
        <f>IF($H$5="NO",Valores!$C$60,Valores!$C$60/2)</f>
        <v>569.14</v>
      </c>
      <c r="AI85" s="140">
        <f>IF($H$5="NO",Valores!$C$62,Valores!$C$62/2)</f>
        <v>162.61000000000001</v>
      </c>
      <c r="AJ85" s="146">
        <f t="shared" si="20"/>
        <v>68862.354000000007</v>
      </c>
      <c r="AK85" s="142">
        <f>Valores!$C$37</f>
        <v>1465.56</v>
      </c>
      <c r="AL85" s="143">
        <f>Valores!$C$85</f>
        <v>2275</v>
      </c>
      <c r="AM85" s="143"/>
      <c r="AN85" s="145">
        <f>IF($H$4="NO",0,Valores!$C$53)</f>
        <v>170.34</v>
      </c>
      <c r="AO85" s="147">
        <f t="shared" si="18"/>
        <v>3910.9</v>
      </c>
      <c r="AP85" s="148">
        <f>AJ85*Valores!$C$69</f>
        <v>-7574.858940000001</v>
      </c>
      <c r="AQ85" s="148">
        <f>AJ85*-Valores!$C$70</f>
        <v>0</v>
      </c>
      <c r="AR85" s="142">
        <f>AJ85*Valores!$C$71</f>
        <v>-3098.80593</v>
      </c>
      <c r="AS85" s="142">
        <f>Valores!$C$95</f>
        <v>-193.38</v>
      </c>
      <c r="AT85" s="142">
        <f>IF($H$6=0,Valores!$C$96,(Valores!$C$96+$H$6*(Valores!$C$96)))</f>
        <v>-178</v>
      </c>
      <c r="AU85" s="146">
        <f t="shared" si="21"/>
        <v>61728.209130000003</v>
      </c>
      <c r="AV85" s="199">
        <f t="shared" si="14"/>
        <v>-7574.858940000001</v>
      </c>
      <c r="AW85" s="142">
        <f>AJ85*Valores!$C$72</f>
        <v>-1859.2835580000001</v>
      </c>
      <c r="AX85" s="142">
        <f>AJ85*Valores!$C$73</f>
        <v>-206.58706200000003</v>
      </c>
      <c r="AY85" s="146">
        <f t="shared" si="22"/>
        <v>63132.524440000001</v>
      </c>
      <c r="AZ85" s="150"/>
      <c r="BA85" s="150">
        <v>25</v>
      </c>
      <c r="BB85" s="135" t="s">
        <v>8</v>
      </c>
    </row>
    <row r="86" spans="1:54" s="114" customFormat="1" ht="11.25" customHeight="1" x14ac:dyDescent="0.15">
      <c r="A86" s="134">
        <v>83</v>
      </c>
      <c r="B86" s="134"/>
      <c r="C86" s="135" t="s">
        <v>285</v>
      </c>
      <c r="D86" s="135"/>
      <c r="E86" s="135">
        <f t="shared" si="15"/>
        <v>31</v>
      </c>
      <c r="F86" s="136" t="s">
        <v>286</v>
      </c>
      <c r="G86" s="137">
        <v>78</v>
      </c>
      <c r="H86" s="138">
        <f>INT((G86*Valores!$C$2*100)+0.5)/100</f>
        <v>1043.8399999999999</v>
      </c>
      <c r="I86" s="139">
        <v>1770</v>
      </c>
      <c r="J86" s="140">
        <f>INT((I86*Valores!$C$2*100)+0.5)/100</f>
        <v>23687.200000000001</v>
      </c>
      <c r="K86" s="155">
        <v>0</v>
      </c>
      <c r="L86" s="140">
        <f>INT((K86*Valores!$C$2*100)+0.5)/100</f>
        <v>0</v>
      </c>
      <c r="M86" s="153">
        <v>0</v>
      </c>
      <c r="N86" s="140">
        <f>INT((M86*Valores!$C$2*100)+0.5)/100</f>
        <v>0</v>
      </c>
      <c r="O86" s="140">
        <f t="shared" si="16"/>
        <v>4964.5245000000004</v>
      </c>
      <c r="P86" s="140">
        <f t="shared" si="17"/>
        <v>0</v>
      </c>
      <c r="Q86" s="158">
        <f>Valores!$C$17</f>
        <v>11932.86</v>
      </c>
      <c r="R86" s="158">
        <f>Valores!$D$4</f>
        <v>6841.19</v>
      </c>
      <c r="S86" s="143">
        <f>Valores!$C$28</f>
        <v>6103.41</v>
      </c>
      <c r="T86" s="143">
        <f>IF($H$5="NO",Valores!$C$43,Valores!$C$43/2)</f>
        <v>1999.98</v>
      </c>
      <c r="U86" s="157">
        <f>Valores!$C$25</f>
        <v>6365.81</v>
      </c>
      <c r="V86" s="140">
        <f t="shared" si="13"/>
        <v>6365.81</v>
      </c>
      <c r="W86" s="140">
        <v>0</v>
      </c>
      <c r="X86" s="140">
        <v>0</v>
      </c>
      <c r="Y86" s="144">
        <v>0</v>
      </c>
      <c r="Z86" s="140">
        <f>Y86*Valores!$C$2</f>
        <v>0</v>
      </c>
      <c r="AA86" s="140">
        <v>0</v>
      </c>
      <c r="AB86" s="143">
        <f>Valores!$C$90</f>
        <v>2575.39</v>
      </c>
      <c r="AC86" s="145">
        <f>Valores!$C$31</f>
        <v>279.8</v>
      </c>
      <c r="AD86" s="140">
        <f t="shared" si="19"/>
        <v>0</v>
      </c>
      <c r="AE86" s="140">
        <f>Valores!$C$32</f>
        <v>279.8</v>
      </c>
      <c r="AF86" s="144">
        <v>0</v>
      </c>
      <c r="AG86" s="140">
        <f>INT(((AF86*Valores!$C$2)*100)+0.5)/100</f>
        <v>0</v>
      </c>
      <c r="AH86" s="140">
        <f>IF($H$5="NO",Valores!$C$60,Valores!$C$60/2)</f>
        <v>569.14</v>
      </c>
      <c r="AI86" s="140">
        <f>IF($H$5="NO",Valores!$C$62,Valores!$C$62/2)</f>
        <v>162.61000000000001</v>
      </c>
      <c r="AJ86" s="146">
        <f t="shared" si="20"/>
        <v>66805.554500000013</v>
      </c>
      <c r="AK86" s="142">
        <f>Valores!$C$37</f>
        <v>1465.56</v>
      </c>
      <c r="AL86" s="143">
        <f>Valores!$C$85</f>
        <v>2275</v>
      </c>
      <c r="AM86" s="143"/>
      <c r="AN86" s="145">
        <f>IF($H$4="NO",0,Valores!$C$53)</f>
        <v>170.34</v>
      </c>
      <c r="AO86" s="147">
        <f t="shared" si="18"/>
        <v>3910.9</v>
      </c>
      <c r="AP86" s="148">
        <f>AJ86*Valores!$C$69</f>
        <v>-7348.6109950000018</v>
      </c>
      <c r="AQ86" s="148">
        <f>AJ86*-Valores!$C$70</f>
        <v>0</v>
      </c>
      <c r="AR86" s="142">
        <f>AJ86*Valores!$C$71</f>
        <v>-3006.2499525000003</v>
      </c>
      <c r="AS86" s="142">
        <f>Valores!$C$95</f>
        <v>-193.38</v>
      </c>
      <c r="AT86" s="142">
        <f>IF($H$6=0,Valores!$C$96,(Valores!$C$96+$H$6*(Valores!$C$96)))</f>
        <v>-178</v>
      </c>
      <c r="AU86" s="146">
        <f t="shared" si="21"/>
        <v>59990.213552500012</v>
      </c>
      <c r="AV86" s="199">
        <f t="shared" si="14"/>
        <v>-7348.6109950000018</v>
      </c>
      <c r="AW86" s="142">
        <f>AJ86*Valores!$C$72</f>
        <v>-1803.7499715000004</v>
      </c>
      <c r="AX86" s="142">
        <f>AJ86*Valores!$C$73</f>
        <v>-200.41666350000006</v>
      </c>
      <c r="AY86" s="146">
        <f t="shared" si="22"/>
        <v>61363.676870000003</v>
      </c>
      <c r="AZ86" s="150"/>
      <c r="BA86" s="150">
        <v>27</v>
      </c>
      <c r="BB86" s="135" t="s">
        <v>4</v>
      </c>
    </row>
    <row r="87" spans="1:54" s="114" customFormat="1" ht="11.25" customHeight="1" x14ac:dyDescent="0.15">
      <c r="A87" s="134">
        <v>84</v>
      </c>
      <c r="B87" s="134"/>
      <c r="C87" s="135" t="s">
        <v>287</v>
      </c>
      <c r="D87" s="135"/>
      <c r="E87" s="135">
        <f t="shared" si="15"/>
        <v>28</v>
      </c>
      <c r="F87" s="136" t="s">
        <v>288</v>
      </c>
      <c r="G87" s="137">
        <v>76</v>
      </c>
      <c r="H87" s="138">
        <f>INT((G87*Valores!$C$2*100)+0.5)/100</f>
        <v>1017.08</v>
      </c>
      <c r="I87" s="139">
        <v>1872</v>
      </c>
      <c r="J87" s="140">
        <f>INT((I87*Valores!$C$2*100)+0.5)/100</f>
        <v>25052.23</v>
      </c>
      <c r="K87" s="155">
        <v>0</v>
      </c>
      <c r="L87" s="140">
        <f>INT((K87*Valores!$C$2*100)+0.5)/100</f>
        <v>0</v>
      </c>
      <c r="M87" s="153">
        <v>0</v>
      </c>
      <c r="N87" s="140">
        <f>INT((M87*Valores!$C$2*100)+0.5)/100</f>
        <v>0</v>
      </c>
      <c r="O87" s="140">
        <f t="shared" si="16"/>
        <v>5165.2650000000003</v>
      </c>
      <c r="P87" s="140">
        <f t="shared" si="17"/>
        <v>0</v>
      </c>
      <c r="Q87" s="158">
        <f>Valores!$C$17</f>
        <v>11932.86</v>
      </c>
      <c r="R87" s="158">
        <f>Valores!$D$4</f>
        <v>6841.19</v>
      </c>
      <c r="S87" s="143">
        <v>0</v>
      </c>
      <c r="T87" s="143">
        <f>IF($H$5="NO",Valores!$C$43,Valores!$C$43/2)</f>
        <v>1999.98</v>
      </c>
      <c r="U87" s="157">
        <f>Valores!$C$25</f>
        <v>6365.81</v>
      </c>
      <c r="V87" s="140">
        <f t="shared" si="13"/>
        <v>6365.81</v>
      </c>
      <c r="W87" s="140">
        <v>0</v>
      </c>
      <c r="X87" s="140">
        <v>0</v>
      </c>
      <c r="Y87" s="144">
        <v>0</v>
      </c>
      <c r="Z87" s="140">
        <f>Y87*Valores!$C$2</f>
        <v>0</v>
      </c>
      <c r="AA87" s="140">
        <v>0</v>
      </c>
      <c r="AB87" s="143">
        <f>Valores!$C$90</f>
        <v>2575.39</v>
      </c>
      <c r="AC87" s="145">
        <f>Valores!$C$31</f>
        <v>279.8</v>
      </c>
      <c r="AD87" s="140">
        <f t="shared" si="19"/>
        <v>0</v>
      </c>
      <c r="AE87" s="140">
        <f>Valores!$C$32</f>
        <v>279.8</v>
      </c>
      <c r="AF87" s="144">
        <v>0</v>
      </c>
      <c r="AG87" s="140">
        <f>INT(((AF87*Valores!$C$2)*100)+0.5)/100</f>
        <v>0</v>
      </c>
      <c r="AH87" s="140">
        <f>IF($H$5="NO",Valores!$C$60,Valores!$C$60/2)</f>
        <v>569.14</v>
      </c>
      <c r="AI87" s="140">
        <f>IF($H$5="NO",Valores!$C$62,Valores!$C$62/2)</f>
        <v>162.61000000000001</v>
      </c>
      <c r="AJ87" s="146">
        <f t="shared" si="20"/>
        <v>62241.155000000006</v>
      </c>
      <c r="AK87" s="142">
        <f>Valores!$C$37</f>
        <v>1465.56</v>
      </c>
      <c r="AL87" s="143">
        <f>Valores!$C$85</f>
        <v>2275</v>
      </c>
      <c r="AM87" s="143"/>
      <c r="AN87" s="145">
        <f>IF($H$4="NO",0,Valores!$C$53)</f>
        <v>170.34</v>
      </c>
      <c r="AO87" s="147">
        <f t="shared" si="18"/>
        <v>3910.9</v>
      </c>
      <c r="AP87" s="148">
        <f>AJ87*Valores!$C$69</f>
        <v>-6846.5270500000006</v>
      </c>
      <c r="AQ87" s="148">
        <f>AJ87*-Valores!$C$70</f>
        <v>0</v>
      </c>
      <c r="AR87" s="142">
        <f>AJ87*Valores!$C$71</f>
        <v>-2800.851975</v>
      </c>
      <c r="AS87" s="142">
        <f>Valores!$C$95</f>
        <v>-193.38</v>
      </c>
      <c r="AT87" s="142">
        <f>IF($H$6=0,Valores!$C$96,(Valores!$C$96+$H$6*(Valores!$C$96)))</f>
        <v>-178</v>
      </c>
      <c r="AU87" s="146">
        <f t="shared" si="21"/>
        <v>56133.295975000008</v>
      </c>
      <c r="AV87" s="199">
        <f t="shared" si="14"/>
        <v>-6846.5270500000006</v>
      </c>
      <c r="AW87" s="142">
        <f>AJ87*Valores!$C$72</f>
        <v>-1680.5111850000001</v>
      </c>
      <c r="AX87" s="142">
        <f>AJ87*Valores!$C$73</f>
        <v>-186.72346500000003</v>
      </c>
      <c r="AY87" s="146">
        <f t="shared" si="22"/>
        <v>57438.293300000005</v>
      </c>
      <c r="AZ87" s="150"/>
      <c r="BA87" s="150">
        <v>27</v>
      </c>
      <c r="BB87" s="135" t="s">
        <v>4</v>
      </c>
    </row>
    <row r="88" spans="1:54" s="114" customFormat="1" ht="11.25" customHeight="1" x14ac:dyDescent="0.15">
      <c r="A88" s="152">
        <v>85</v>
      </c>
      <c r="B88" s="152" t="s">
        <v>139</v>
      </c>
      <c r="C88" s="135" t="s">
        <v>289</v>
      </c>
      <c r="D88" s="135"/>
      <c r="E88" s="135">
        <f t="shared" si="15"/>
        <v>21</v>
      </c>
      <c r="F88" s="136" t="s">
        <v>290</v>
      </c>
      <c r="G88" s="137">
        <v>169</v>
      </c>
      <c r="H88" s="138">
        <f>INT((G88*Valores!$C$2*100)+0.5)/100</f>
        <v>2261.66</v>
      </c>
      <c r="I88" s="139">
        <f>1997</f>
        <v>1997</v>
      </c>
      <c r="J88" s="140">
        <f>INT((I88*Valores!$C$2*100)+0.5)/100</f>
        <v>26725.05</v>
      </c>
      <c r="K88" s="155">
        <v>0</v>
      </c>
      <c r="L88" s="140">
        <f>INT((K88*Valores!$C$2*100)+0.5)/100</f>
        <v>0</v>
      </c>
      <c r="M88" s="153">
        <v>0</v>
      </c>
      <c r="N88" s="140">
        <f>INT((M88*Valores!$C$2*100)+0.5)/100</f>
        <v>0</v>
      </c>
      <c r="O88" s="140">
        <f t="shared" si="16"/>
        <v>5643.0404999999992</v>
      </c>
      <c r="P88" s="140">
        <f t="shared" si="17"/>
        <v>0</v>
      </c>
      <c r="Q88" s="142">
        <f>Valores!$C$16</f>
        <v>14032.86</v>
      </c>
      <c r="R88" s="142">
        <f>Valores!$D$4</f>
        <v>6841.19</v>
      </c>
      <c r="S88" s="154">
        <f>Valores!$C$28</f>
        <v>6103.41</v>
      </c>
      <c r="T88" s="143">
        <f>IF($H$5="NO",Valores!$C$44,Valores!$C$44/2)</f>
        <v>2267.75</v>
      </c>
      <c r="U88" s="140">
        <f>Valores!$C$25</f>
        <v>6365.81</v>
      </c>
      <c r="V88" s="140">
        <f t="shared" si="13"/>
        <v>6365.81</v>
      </c>
      <c r="W88" s="140">
        <v>0</v>
      </c>
      <c r="X88" s="140">
        <v>0</v>
      </c>
      <c r="Y88" s="144">
        <v>0</v>
      </c>
      <c r="Z88" s="140">
        <f>Y88*Valores!$C$2</f>
        <v>0</v>
      </c>
      <c r="AA88" s="140">
        <v>0</v>
      </c>
      <c r="AB88" s="143">
        <f>Valores!$C$90</f>
        <v>2575.39</v>
      </c>
      <c r="AC88" s="145">
        <f>Valores!$C$31</f>
        <v>279.8</v>
      </c>
      <c r="AD88" s="140">
        <f t="shared" si="19"/>
        <v>0</v>
      </c>
      <c r="AE88" s="140">
        <f>Valores!$C$32</f>
        <v>279.8</v>
      </c>
      <c r="AF88" s="144">
        <v>0</v>
      </c>
      <c r="AG88" s="140">
        <f>INT(((AF88*Valores!$C$2)*100)+0.5)/100</f>
        <v>0</v>
      </c>
      <c r="AH88" s="140">
        <f>IF($H$5="NO",Valores!$C$60,Valores!$C$60/2)</f>
        <v>569.14</v>
      </c>
      <c r="AI88" s="140">
        <f>IF($H$5="NO",Valores!$C$62,Valores!$C$62/2)</f>
        <v>162.61000000000001</v>
      </c>
      <c r="AJ88" s="146">
        <f t="shared" si="20"/>
        <v>74107.510500000004</v>
      </c>
      <c r="AK88" s="142">
        <f>Valores!$C$37</f>
        <v>1465.56</v>
      </c>
      <c r="AL88" s="143">
        <f>Valores!$C$85</f>
        <v>2275</v>
      </c>
      <c r="AM88" s="143"/>
      <c r="AN88" s="145">
        <f>IF($H$4="NO",0,Valores!$C$53)</f>
        <v>170.34</v>
      </c>
      <c r="AO88" s="147">
        <f t="shared" si="18"/>
        <v>3910.9</v>
      </c>
      <c r="AP88" s="148">
        <f>AJ88*Valores!$C$69</f>
        <v>-8151.8261550000007</v>
      </c>
      <c r="AQ88" s="148">
        <f>AJ88*-Valores!$C$70</f>
        <v>0</v>
      </c>
      <c r="AR88" s="142">
        <f>AJ88*Valores!$C$71</f>
        <v>-3334.8379725</v>
      </c>
      <c r="AS88" s="142">
        <f>Valores!$C$95</f>
        <v>-193.38</v>
      </c>
      <c r="AT88" s="142">
        <f>IF($H$6=0,Valores!$C$96,(Valores!$C$96+$H$6*(Valores!$C$96)))</f>
        <v>-178</v>
      </c>
      <c r="AU88" s="146">
        <f t="shared" si="21"/>
        <v>66160.366372500008</v>
      </c>
      <c r="AV88" s="199">
        <f t="shared" si="14"/>
        <v>-8151.8261550000007</v>
      </c>
      <c r="AW88" s="142">
        <f>AJ88*Valores!$C$72</f>
        <v>-2000.9027835000002</v>
      </c>
      <c r="AX88" s="142">
        <f>AJ88*Valores!$C$73</f>
        <v>-222.32253150000003</v>
      </c>
      <c r="AY88" s="146">
        <f t="shared" si="22"/>
        <v>67643.359029999992</v>
      </c>
      <c r="AZ88" s="150"/>
      <c r="BA88" s="150">
        <v>25</v>
      </c>
      <c r="BB88" s="135" t="s">
        <v>8</v>
      </c>
    </row>
    <row r="89" spans="1:54" s="114" customFormat="1" ht="11.25" customHeight="1" x14ac:dyDescent="0.15">
      <c r="A89" s="134">
        <v>86</v>
      </c>
      <c r="B89" s="134"/>
      <c r="C89" s="135" t="s">
        <v>291</v>
      </c>
      <c r="D89" s="135"/>
      <c r="E89" s="135">
        <f t="shared" si="15"/>
        <v>28</v>
      </c>
      <c r="F89" s="136" t="s">
        <v>292</v>
      </c>
      <c r="G89" s="137">
        <v>218</v>
      </c>
      <c r="H89" s="138">
        <f>INT((G89*Valores!$C$2*100)+0.5)/100</f>
        <v>2917.41</v>
      </c>
      <c r="I89" s="139">
        <f>1997</f>
        <v>1997</v>
      </c>
      <c r="J89" s="140">
        <f>INT((I89*Valores!$C$2*100)+0.5)/100</f>
        <v>26725.05</v>
      </c>
      <c r="K89" s="155">
        <v>0</v>
      </c>
      <c r="L89" s="140">
        <f>INT((K89*Valores!$C$2*100)+0.5)/100</f>
        <v>0</v>
      </c>
      <c r="M89" s="153">
        <v>0</v>
      </c>
      <c r="N89" s="140">
        <f>INT((M89*Valores!$C$2*100)+0.5)/100</f>
        <v>0</v>
      </c>
      <c r="O89" s="140">
        <f t="shared" si="16"/>
        <v>5741.4029999999993</v>
      </c>
      <c r="P89" s="140">
        <f t="shared" si="17"/>
        <v>0</v>
      </c>
      <c r="Q89" s="142">
        <f>Valores!$C$22</f>
        <v>16552.86</v>
      </c>
      <c r="R89" s="142">
        <f>Valores!$D$4</f>
        <v>6841.19</v>
      </c>
      <c r="S89" s="154">
        <f>Valores!$C$28</f>
        <v>6103.41</v>
      </c>
      <c r="T89" s="143">
        <f>IF($H$5="NO",Valores!$C$44,Valores!$C$44/2)</f>
        <v>2267.75</v>
      </c>
      <c r="U89" s="140">
        <f>Valores!$C$25</f>
        <v>6365.81</v>
      </c>
      <c r="V89" s="140">
        <f t="shared" si="13"/>
        <v>6365.81</v>
      </c>
      <c r="W89" s="140">
        <v>0</v>
      </c>
      <c r="X89" s="140">
        <v>0</v>
      </c>
      <c r="Y89" s="144">
        <v>0</v>
      </c>
      <c r="Z89" s="140">
        <f>Y89*Valores!$C$2</f>
        <v>0</v>
      </c>
      <c r="AA89" s="140">
        <v>0</v>
      </c>
      <c r="AB89" s="143">
        <f>Valores!$C$90</f>
        <v>2575.39</v>
      </c>
      <c r="AC89" s="145">
        <f>Valores!$C$31</f>
        <v>279.8</v>
      </c>
      <c r="AD89" s="140">
        <f t="shared" si="19"/>
        <v>0</v>
      </c>
      <c r="AE89" s="140">
        <f>Valores!$C$32</f>
        <v>279.8</v>
      </c>
      <c r="AF89" s="144">
        <v>0</v>
      </c>
      <c r="AG89" s="140">
        <f>INT(((AF89*Valores!$C$2)*100)+0.5)/100</f>
        <v>0</v>
      </c>
      <c r="AH89" s="140">
        <f>IF($H$5="NO",Valores!$C$60,Valores!$C$60/2)</f>
        <v>569.14</v>
      </c>
      <c r="AI89" s="140">
        <f>IF($H$5="NO",Valores!$C$62,Valores!$C$62/2)</f>
        <v>162.61000000000001</v>
      </c>
      <c r="AJ89" s="146">
        <f t="shared" si="20"/>
        <v>77381.623000000007</v>
      </c>
      <c r="AK89" s="142">
        <f>Valores!$C$37</f>
        <v>1465.56</v>
      </c>
      <c r="AL89" s="143">
        <f>Valores!$C$85</f>
        <v>2275</v>
      </c>
      <c r="AM89" s="143"/>
      <c r="AN89" s="145">
        <f>IF($H$4="NO",0,Valores!$C$53)</f>
        <v>170.34</v>
      </c>
      <c r="AO89" s="147">
        <f t="shared" si="18"/>
        <v>3910.9</v>
      </c>
      <c r="AP89" s="148">
        <f>AJ89*Valores!$C$69</f>
        <v>-8511.9785300000003</v>
      </c>
      <c r="AQ89" s="148">
        <f>AJ89*-Valores!$C$70</f>
        <v>0</v>
      </c>
      <c r="AR89" s="142">
        <f>AJ89*Valores!$C$71</f>
        <v>-3482.1730350000003</v>
      </c>
      <c r="AS89" s="142">
        <f>Valores!$C$95</f>
        <v>-193.38</v>
      </c>
      <c r="AT89" s="142">
        <f>IF($H$6=0,Valores!$C$96,(Valores!$C$96+$H$6*(Valores!$C$96)))</f>
        <v>-178</v>
      </c>
      <c r="AU89" s="146">
        <f t="shared" si="21"/>
        <v>68926.991435000004</v>
      </c>
      <c r="AV89" s="199">
        <f t="shared" si="14"/>
        <v>-8511.9785300000003</v>
      </c>
      <c r="AW89" s="142">
        <f>AJ89*Valores!$C$72</f>
        <v>-2089.303821</v>
      </c>
      <c r="AX89" s="142">
        <f>AJ89*Valores!$C$73</f>
        <v>-232.14486900000003</v>
      </c>
      <c r="AY89" s="146">
        <f t="shared" si="22"/>
        <v>70459.095780000003</v>
      </c>
      <c r="AZ89" s="150"/>
      <c r="BA89" s="150">
        <v>25</v>
      </c>
      <c r="BB89" s="135" t="s">
        <v>4</v>
      </c>
    </row>
    <row r="90" spans="1:54" s="114" customFormat="1" ht="11.25" customHeight="1" x14ac:dyDescent="0.15">
      <c r="A90" s="134">
        <v>87</v>
      </c>
      <c r="B90" s="134"/>
      <c r="C90" s="135" t="s">
        <v>291</v>
      </c>
      <c r="D90" s="135"/>
      <c r="E90" s="135">
        <f t="shared" si="15"/>
        <v>41</v>
      </c>
      <c r="F90" s="136" t="s">
        <v>293</v>
      </c>
      <c r="G90" s="137">
        <v>218</v>
      </c>
      <c r="H90" s="138">
        <f>INT((G90*Valores!$C$2*100)+0.5)/100</f>
        <v>2917.41</v>
      </c>
      <c r="I90" s="139">
        <f>1997</f>
        <v>1997</v>
      </c>
      <c r="J90" s="140">
        <f>INT((I90*Valores!$C$2*100)+0.5)/100</f>
        <v>26725.05</v>
      </c>
      <c r="K90" s="155">
        <v>0</v>
      </c>
      <c r="L90" s="140">
        <f>INT((K90*Valores!$C$2*100)+0.5)/100</f>
        <v>0</v>
      </c>
      <c r="M90" s="153">
        <v>0</v>
      </c>
      <c r="N90" s="140">
        <f>INT((M90*Valores!$C$2*100)+0.5)/100</f>
        <v>0</v>
      </c>
      <c r="O90" s="140">
        <f t="shared" si="16"/>
        <v>5741.4029999999993</v>
      </c>
      <c r="P90" s="140">
        <f t="shared" si="17"/>
        <v>0</v>
      </c>
      <c r="Q90" s="142">
        <f>Valores!$C$22</f>
        <v>16552.86</v>
      </c>
      <c r="R90" s="142">
        <f>Valores!$D$4</f>
        <v>6841.19</v>
      </c>
      <c r="S90" s="154">
        <f>Valores!$C$28</f>
        <v>6103.41</v>
      </c>
      <c r="T90" s="143">
        <f>IF($H$5="NO",Valores!$C$44,Valores!$C$44/2)</f>
        <v>2267.75</v>
      </c>
      <c r="U90" s="140">
        <f>Valores!$C$25</f>
        <v>6365.81</v>
      </c>
      <c r="V90" s="140">
        <f t="shared" si="13"/>
        <v>6365.81</v>
      </c>
      <c r="W90" s="140">
        <v>0</v>
      </c>
      <c r="X90" s="140">
        <v>0</v>
      </c>
      <c r="Y90" s="144">
        <v>0</v>
      </c>
      <c r="Z90" s="140">
        <f>Y90*Valores!$C$2</f>
        <v>0</v>
      </c>
      <c r="AA90" s="140">
        <v>0</v>
      </c>
      <c r="AB90" s="143">
        <f>Valores!$C$90</f>
        <v>2575.39</v>
      </c>
      <c r="AC90" s="145">
        <f>Valores!$C$31</f>
        <v>279.8</v>
      </c>
      <c r="AD90" s="140">
        <f t="shared" si="19"/>
        <v>0</v>
      </c>
      <c r="AE90" s="140">
        <f>Valores!$C$32</f>
        <v>279.8</v>
      </c>
      <c r="AF90" s="144">
        <v>19</v>
      </c>
      <c r="AG90" s="140">
        <f>INT(((AF90*Valores!$C$2)*100)+0.5)/100</f>
        <v>254.27</v>
      </c>
      <c r="AH90" s="140">
        <f>IF($H$5="NO",Valores!$C$60,Valores!$C$60/2)</f>
        <v>569.14</v>
      </c>
      <c r="AI90" s="140">
        <f>IF($H$5="NO",Valores!$C$62,Valores!$C$62/2)</f>
        <v>162.61000000000001</v>
      </c>
      <c r="AJ90" s="146">
        <f t="shared" si="20"/>
        <v>77635.893000000011</v>
      </c>
      <c r="AK90" s="142">
        <f>Valores!$C$37</f>
        <v>1465.56</v>
      </c>
      <c r="AL90" s="143">
        <f>Valores!$C$85</f>
        <v>2275</v>
      </c>
      <c r="AM90" s="143"/>
      <c r="AN90" s="145">
        <f>IF($H$4="NO",0,Valores!$C$53)</f>
        <v>170.34</v>
      </c>
      <c r="AO90" s="147">
        <f t="shared" si="18"/>
        <v>3910.9</v>
      </c>
      <c r="AP90" s="148">
        <f>AJ90*Valores!$C$69</f>
        <v>-8539.9482300000018</v>
      </c>
      <c r="AQ90" s="148">
        <f>AJ90*-Valores!$C$70</f>
        <v>0</v>
      </c>
      <c r="AR90" s="142">
        <f>AJ90*Valores!$C$71</f>
        <v>-3493.6151850000006</v>
      </c>
      <c r="AS90" s="142">
        <f>Valores!$C$95</f>
        <v>-193.38</v>
      </c>
      <c r="AT90" s="142">
        <f>IF($H$6=0,Valores!$C$96,(Valores!$C$96+$H$6*(Valores!$C$96)))</f>
        <v>-178</v>
      </c>
      <c r="AU90" s="146">
        <f t="shared" si="21"/>
        <v>69141.849585000004</v>
      </c>
      <c r="AV90" s="199">
        <f t="shared" si="14"/>
        <v>-8539.9482300000018</v>
      </c>
      <c r="AW90" s="142">
        <f>AJ90*Valores!$C$72</f>
        <v>-2096.1691110000002</v>
      </c>
      <c r="AX90" s="142">
        <f>AJ90*Valores!$C$73</f>
        <v>-232.90767900000003</v>
      </c>
      <c r="AY90" s="146">
        <f t="shared" si="22"/>
        <v>70677.767980000004</v>
      </c>
      <c r="AZ90" s="150"/>
      <c r="BA90" s="150">
        <v>25</v>
      </c>
      <c r="BB90" s="135" t="s">
        <v>4</v>
      </c>
    </row>
    <row r="91" spans="1:54" s="114" customFormat="1" ht="11.25" customHeight="1" x14ac:dyDescent="0.15">
      <c r="A91" s="134">
        <v>88</v>
      </c>
      <c r="B91" s="134"/>
      <c r="C91" s="135" t="s">
        <v>294</v>
      </c>
      <c r="D91" s="135"/>
      <c r="E91" s="135">
        <f t="shared" si="15"/>
        <v>33</v>
      </c>
      <c r="F91" s="136" t="s">
        <v>295</v>
      </c>
      <c r="G91" s="137">
        <f>75+143</f>
        <v>218</v>
      </c>
      <c r="H91" s="138">
        <f>INT((G91*Valores!$C$2*100)+0.5)/100</f>
        <v>2917.41</v>
      </c>
      <c r="I91" s="139">
        <v>1997</v>
      </c>
      <c r="J91" s="140">
        <f>INT((I91*Valores!$C$2*100)+0.5)/100</f>
        <v>26725.05</v>
      </c>
      <c r="K91" s="155">
        <v>0</v>
      </c>
      <c r="L91" s="140">
        <f>INT((K91*Valores!$C$2*100)+0.5)/100</f>
        <v>0</v>
      </c>
      <c r="M91" s="153">
        <v>0</v>
      </c>
      <c r="N91" s="140">
        <f>INT((M91*Valores!$C$2*100)+0.5)/100</f>
        <v>0</v>
      </c>
      <c r="O91" s="140">
        <f t="shared" si="16"/>
        <v>5571.3217499999992</v>
      </c>
      <c r="P91" s="140">
        <f t="shared" si="17"/>
        <v>0</v>
      </c>
      <c r="Q91" s="142">
        <f>Valores!$C$16</f>
        <v>14032.86</v>
      </c>
      <c r="R91" s="142">
        <f>Valores!$D$4</f>
        <v>6841.19</v>
      </c>
      <c r="S91" s="140">
        <f>Valores!$C$28</f>
        <v>6103.41</v>
      </c>
      <c r="T91" s="143">
        <f>Valores!$C$44/2</f>
        <v>1133.875</v>
      </c>
      <c r="U91" s="140">
        <f>Valores!$C$25</f>
        <v>6365.81</v>
      </c>
      <c r="V91" s="140">
        <f t="shared" si="13"/>
        <v>6365.81</v>
      </c>
      <c r="W91" s="140">
        <v>0</v>
      </c>
      <c r="X91" s="140">
        <v>0</v>
      </c>
      <c r="Y91" s="144">
        <v>0</v>
      </c>
      <c r="Z91" s="140">
        <f>Y91*Valores!$C$2</f>
        <v>0</v>
      </c>
      <c r="AA91" s="140">
        <v>0</v>
      </c>
      <c r="AB91" s="143">
        <f>Valores!$C$90</f>
        <v>2575.39</v>
      </c>
      <c r="AC91" s="145">
        <f>Valores!$C$31</f>
        <v>279.8</v>
      </c>
      <c r="AD91" s="140">
        <f t="shared" si="19"/>
        <v>0</v>
      </c>
      <c r="AE91" s="140">
        <f>Valores!$C$32</f>
        <v>279.8</v>
      </c>
      <c r="AF91" s="144">
        <v>0</v>
      </c>
      <c r="AG91" s="140">
        <f>INT(((AF91*Valores!$C$2)*100)+0.5)/100</f>
        <v>0</v>
      </c>
      <c r="AH91" s="140">
        <f>Valores!$C$60/2</f>
        <v>284.57</v>
      </c>
      <c r="AI91" s="140">
        <f>Valores!$C$62/2</f>
        <v>81.305000000000007</v>
      </c>
      <c r="AJ91" s="146">
        <f t="shared" si="20"/>
        <v>73191.791750000004</v>
      </c>
      <c r="AK91" s="142">
        <f>Valores!$C$37</f>
        <v>1465.56</v>
      </c>
      <c r="AL91" s="143">
        <f>Valores!$C$85</f>
        <v>2275</v>
      </c>
      <c r="AM91" s="143"/>
      <c r="AN91" s="145">
        <f>IF($H$4="NO",0,Valores!$C$53)</f>
        <v>170.34</v>
      </c>
      <c r="AO91" s="147">
        <f t="shared" si="18"/>
        <v>3910.9</v>
      </c>
      <c r="AP91" s="148">
        <f>AJ91*Valores!$C$69</f>
        <v>-8051.0970925000001</v>
      </c>
      <c r="AQ91" s="148">
        <f>AJ91*-Valores!$C$70</f>
        <v>0</v>
      </c>
      <c r="AR91" s="142">
        <f>AJ91*Valores!$C$71</f>
        <v>-3293.6306287500001</v>
      </c>
      <c r="AS91" s="142">
        <f>Valores!$C$95</f>
        <v>-193.38</v>
      </c>
      <c r="AT91" s="142">
        <f>IF($H$6=0,Valores!$C$96,(Valores!$C$96+$H$6*(Valores!$C$96)))</f>
        <v>-178</v>
      </c>
      <c r="AU91" s="146">
        <f t="shared" si="21"/>
        <v>65386.584028750003</v>
      </c>
      <c r="AV91" s="199">
        <f t="shared" si="14"/>
        <v>-8051.0970925000001</v>
      </c>
      <c r="AW91" s="142">
        <f>AJ91*Valores!$C$72</f>
        <v>-1976.17837725</v>
      </c>
      <c r="AX91" s="142">
        <f>AJ91*Valores!$C$73</f>
        <v>-219.57537525000001</v>
      </c>
      <c r="AY91" s="146">
        <f t="shared" si="22"/>
        <v>66855.84090499999</v>
      </c>
      <c r="AZ91" s="150"/>
      <c r="BA91" s="150">
        <v>25</v>
      </c>
      <c r="BB91" s="135" t="s">
        <v>8</v>
      </c>
    </row>
    <row r="92" spans="1:54" s="114" customFormat="1" ht="11.25" customHeight="1" x14ac:dyDescent="0.15">
      <c r="A92" s="134">
        <v>89</v>
      </c>
      <c r="B92" s="134"/>
      <c r="C92" s="135" t="s">
        <v>296</v>
      </c>
      <c r="D92" s="135"/>
      <c r="E92" s="135">
        <f t="shared" si="15"/>
        <v>28</v>
      </c>
      <c r="F92" s="136" t="s">
        <v>297</v>
      </c>
      <c r="G92" s="137">
        <v>187</v>
      </c>
      <c r="H92" s="138">
        <f>INT((G92*Valores!$C$2*100)+0.5)/100</f>
        <v>2502.5500000000002</v>
      </c>
      <c r="I92" s="139">
        <v>1704</v>
      </c>
      <c r="J92" s="140">
        <f>INT((I92*Valores!$C$2*100)+0.5)/100</f>
        <v>22803.95</v>
      </c>
      <c r="K92" s="155">
        <v>0</v>
      </c>
      <c r="L92" s="140">
        <f>INT((K92*Valores!$C$2*100)+0.5)/100</f>
        <v>0</v>
      </c>
      <c r="M92" s="153">
        <v>0</v>
      </c>
      <c r="N92" s="140">
        <f>INT((M92*Valores!$C$2*100)+0.5)/100</f>
        <v>0</v>
      </c>
      <c r="O92" s="140">
        <f t="shared" si="16"/>
        <v>5091.0089999999991</v>
      </c>
      <c r="P92" s="140">
        <f t="shared" si="17"/>
        <v>0</v>
      </c>
      <c r="Q92" s="142">
        <f>Valores!$C$16</f>
        <v>14032.86</v>
      </c>
      <c r="R92" s="142">
        <f>Valores!$D$4</f>
        <v>6841.19</v>
      </c>
      <c r="S92" s="140">
        <f>Valores!$C$28</f>
        <v>6103.41</v>
      </c>
      <c r="T92" s="143">
        <f>IF($H$5="NO",Valores!$C$44,Valores!$C$44/2)</f>
        <v>2267.75</v>
      </c>
      <c r="U92" s="140">
        <f>Valores!$C$25</f>
        <v>6365.81</v>
      </c>
      <c r="V92" s="140">
        <f t="shared" si="13"/>
        <v>6365.81</v>
      </c>
      <c r="W92" s="140">
        <v>0</v>
      </c>
      <c r="X92" s="140">
        <v>0</v>
      </c>
      <c r="Y92" s="144">
        <v>0</v>
      </c>
      <c r="Z92" s="140">
        <f>Y92*Valores!$C$2</f>
        <v>0</v>
      </c>
      <c r="AA92" s="140">
        <v>0</v>
      </c>
      <c r="AB92" s="143">
        <f>Valores!$C$90</f>
        <v>2575.39</v>
      </c>
      <c r="AC92" s="145">
        <f>Valores!$C$31</f>
        <v>279.8</v>
      </c>
      <c r="AD92" s="140">
        <f t="shared" si="19"/>
        <v>0</v>
      </c>
      <c r="AE92" s="140">
        <f>Valores!$C$32</f>
        <v>279.8</v>
      </c>
      <c r="AF92" s="144">
        <v>0</v>
      </c>
      <c r="AG92" s="140">
        <f>INT(((AF92*Valores!$C$2)*100)+0.5)/100</f>
        <v>0</v>
      </c>
      <c r="AH92" s="140">
        <f>IF($H$5="NO",Valores!$C$60,Valores!$C$60/2)</f>
        <v>569.14</v>
      </c>
      <c r="AI92" s="140">
        <f>IF($H$5="NO",Valores!$C$62,Valores!$C$62/2)</f>
        <v>162.61000000000001</v>
      </c>
      <c r="AJ92" s="146">
        <f t="shared" si="20"/>
        <v>69875.269</v>
      </c>
      <c r="AK92" s="142">
        <f>Valores!$C$37</f>
        <v>1465.56</v>
      </c>
      <c r="AL92" s="143">
        <f>Valores!$C$85</f>
        <v>2275</v>
      </c>
      <c r="AM92" s="143"/>
      <c r="AN92" s="145">
        <f>IF($H$4="NO",0,Valores!$C$53)</f>
        <v>170.34</v>
      </c>
      <c r="AO92" s="147">
        <f t="shared" si="18"/>
        <v>3910.9</v>
      </c>
      <c r="AP92" s="148">
        <f>AJ92*Valores!$C$69</f>
        <v>-7686.2795900000001</v>
      </c>
      <c r="AQ92" s="148">
        <f>AJ92*-Valores!$C$70</f>
        <v>0</v>
      </c>
      <c r="AR92" s="142">
        <f>AJ92*Valores!$C$71</f>
        <v>-3144.3871049999998</v>
      </c>
      <c r="AS92" s="142">
        <f>Valores!$C$95</f>
        <v>-193.38</v>
      </c>
      <c r="AT92" s="142">
        <f>IF($H$6=0,Valores!$C$96,(Valores!$C$96+$H$6*(Valores!$C$96)))</f>
        <v>-178</v>
      </c>
      <c r="AU92" s="146">
        <f t="shared" si="21"/>
        <v>62584.122304999997</v>
      </c>
      <c r="AV92" s="199">
        <f t="shared" si="14"/>
        <v>-7686.2795900000001</v>
      </c>
      <c r="AW92" s="142">
        <f>AJ92*Valores!$C$72</f>
        <v>-1886.632263</v>
      </c>
      <c r="AX92" s="142">
        <f>AJ92*Valores!$C$73</f>
        <v>-209.62580700000001</v>
      </c>
      <c r="AY92" s="146">
        <f t="shared" si="22"/>
        <v>64003.631339999993</v>
      </c>
      <c r="AZ92" s="150"/>
      <c r="BA92" s="150">
        <v>25</v>
      </c>
      <c r="BB92" s="135" t="s">
        <v>4</v>
      </c>
    </row>
    <row r="93" spans="1:54" s="114" customFormat="1" ht="11.25" customHeight="1" x14ac:dyDescent="0.15">
      <c r="A93" s="152">
        <v>90</v>
      </c>
      <c r="B93" s="152" t="s">
        <v>139</v>
      </c>
      <c r="C93" s="135" t="s">
        <v>296</v>
      </c>
      <c r="D93" s="135"/>
      <c r="E93" s="135">
        <f t="shared" si="15"/>
        <v>41</v>
      </c>
      <c r="F93" s="136" t="s">
        <v>298</v>
      </c>
      <c r="G93" s="137">
        <v>187</v>
      </c>
      <c r="H93" s="138">
        <f>INT((G93*Valores!$C$2*100)+0.5)/100</f>
        <v>2502.5500000000002</v>
      </c>
      <c r="I93" s="139">
        <v>1704</v>
      </c>
      <c r="J93" s="140">
        <f>INT((I93*Valores!$C$2*100)+0.5)/100</f>
        <v>22803.95</v>
      </c>
      <c r="K93" s="155">
        <v>0</v>
      </c>
      <c r="L93" s="140">
        <f>INT((K93*Valores!$C$2*100)+0.5)/100</f>
        <v>0</v>
      </c>
      <c r="M93" s="153">
        <v>0</v>
      </c>
      <c r="N93" s="140">
        <f>INT((M93*Valores!$C$2*100)+0.5)/100</f>
        <v>0</v>
      </c>
      <c r="O93" s="140">
        <f t="shared" si="16"/>
        <v>5091.0089999999991</v>
      </c>
      <c r="P93" s="140">
        <f t="shared" si="17"/>
        <v>0</v>
      </c>
      <c r="Q93" s="142">
        <f>Valores!$C$16</f>
        <v>14032.86</v>
      </c>
      <c r="R93" s="142">
        <f>Valores!$D$4</f>
        <v>6841.19</v>
      </c>
      <c r="S93" s="140">
        <f>Valores!$C$28</f>
        <v>6103.41</v>
      </c>
      <c r="T93" s="143">
        <f>IF($H$5="NO",Valores!$C$44,Valores!$C$44/2)</f>
        <v>2267.75</v>
      </c>
      <c r="U93" s="140">
        <f>Valores!$C$25</f>
        <v>6365.81</v>
      </c>
      <c r="V93" s="140">
        <f t="shared" si="13"/>
        <v>6365.81</v>
      </c>
      <c r="W93" s="140">
        <v>0</v>
      </c>
      <c r="X93" s="140">
        <v>0</v>
      </c>
      <c r="Y93" s="144">
        <v>0</v>
      </c>
      <c r="Z93" s="140">
        <f>Y93*Valores!$C$2</f>
        <v>0</v>
      </c>
      <c r="AA93" s="140">
        <v>0</v>
      </c>
      <c r="AB93" s="143">
        <f>Valores!$C$90</f>
        <v>2575.39</v>
      </c>
      <c r="AC93" s="145">
        <f>Valores!$C$31</f>
        <v>279.8</v>
      </c>
      <c r="AD93" s="140">
        <f t="shared" si="19"/>
        <v>0</v>
      </c>
      <c r="AE93" s="140">
        <f>Valores!$C$32</f>
        <v>279.8</v>
      </c>
      <c r="AF93" s="144">
        <v>19</v>
      </c>
      <c r="AG93" s="140">
        <f>INT(((AF93*Valores!$C$2)*100)+0.5)/100</f>
        <v>254.27</v>
      </c>
      <c r="AH93" s="140">
        <f>IF($H$5="NO",Valores!$C$60,Valores!$C$60/2)</f>
        <v>569.14</v>
      </c>
      <c r="AI93" s="140">
        <f>IF($H$5="NO",Valores!$C$62,Valores!$C$62/2)</f>
        <v>162.61000000000001</v>
      </c>
      <c r="AJ93" s="146">
        <f t="shared" si="20"/>
        <v>70129.539000000004</v>
      </c>
      <c r="AK93" s="142">
        <f>Valores!$C$37</f>
        <v>1465.56</v>
      </c>
      <c r="AL93" s="143">
        <f>Valores!$C$85</f>
        <v>2275</v>
      </c>
      <c r="AM93" s="143"/>
      <c r="AN93" s="145">
        <f>IF($H$4="NO",0,Valores!$C$53)</f>
        <v>170.34</v>
      </c>
      <c r="AO93" s="147">
        <f t="shared" si="18"/>
        <v>3910.9</v>
      </c>
      <c r="AP93" s="148">
        <f>AJ93*Valores!$C$69</f>
        <v>-7714.2492900000007</v>
      </c>
      <c r="AQ93" s="148">
        <f>AJ93*-Valores!$C$70</f>
        <v>0</v>
      </c>
      <c r="AR93" s="142">
        <f>AJ93*Valores!$C$71</f>
        <v>-3155.8292550000001</v>
      </c>
      <c r="AS93" s="142">
        <f>Valores!$C$95</f>
        <v>-193.38</v>
      </c>
      <c r="AT93" s="142">
        <f>IF($H$6=0,Valores!$C$96,(Valores!$C$96+$H$6*(Valores!$C$96)))</f>
        <v>-178</v>
      </c>
      <c r="AU93" s="146">
        <f t="shared" si="21"/>
        <v>62798.980455000004</v>
      </c>
      <c r="AV93" s="199">
        <f t="shared" si="14"/>
        <v>-7714.2492900000007</v>
      </c>
      <c r="AW93" s="142">
        <f>AJ93*Valores!$C$72</f>
        <v>-1893.4975530000002</v>
      </c>
      <c r="AX93" s="142">
        <f>AJ93*Valores!$C$73</f>
        <v>-210.38861700000001</v>
      </c>
      <c r="AY93" s="146">
        <f t="shared" si="22"/>
        <v>64222.303539999994</v>
      </c>
      <c r="AZ93" s="150"/>
      <c r="BA93" s="150">
        <v>25</v>
      </c>
      <c r="BB93" s="135" t="s">
        <v>4</v>
      </c>
    </row>
    <row r="94" spans="1:54" s="114" customFormat="1" ht="11.25" customHeight="1" x14ac:dyDescent="0.15">
      <c r="A94" s="134">
        <v>91</v>
      </c>
      <c r="B94" s="134"/>
      <c r="C94" s="135" t="s">
        <v>299</v>
      </c>
      <c r="D94" s="135"/>
      <c r="E94" s="135">
        <f t="shared" si="15"/>
        <v>28</v>
      </c>
      <c r="F94" s="136" t="s">
        <v>300</v>
      </c>
      <c r="G94" s="137">
        <v>161</v>
      </c>
      <c r="H94" s="138">
        <f>INT((G94*Valores!$C$2*100)+0.5)/100</f>
        <v>2154.6</v>
      </c>
      <c r="I94" s="139">
        <f>1480</f>
        <v>1480</v>
      </c>
      <c r="J94" s="140">
        <f>INT((I94*Valores!$C$2*100)+0.5)/100</f>
        <v>19806.25</v>
      </c>
      <c r="K94" s="155">
        <v>0</v>
      </c>
      <c r="L94" s="140">
        <f>INT((K94*Valores!$C$2*100)+0.5)/100</f>
        <v>0</v>
      </c>
      <c r="M94" s="153">
        <v>0</v>
      </c>
      <c r="N94" s="140">
        <f>INT((M94*Valores!$C$2*100)+0.5)/100</f>
        <v>0</v>
      </c>
      <c r="O94" s="140">
        <f t="shared" si="16"/>
        <v>4589.1615000000002</v>
      </c>
      <c r="P94" s="140">
        <f t="shared" si="17"/>
        <v>0</v>
      </c>
      <c r="Q94" s="142">
        <f>Valores!$C$16</f>
        <v>14032.86</v>
      </c>
      <c r="R94" s="142">
        <f>Valores!$D$4</f>
        <v>6841.19</v>
      </c>
      <c r="S94" s="154">
        <f>Valores!$C$28</f>
        <v>6103.41</v>
      </c>
      <c r="T94" s="143">
        <f>IF($H$5="NO",Valores!$C$44,Valores!$C$44/2)</f>
        <v>2267.75</v>
      </c>
      <c r="U94" s="140">
        <f>Valores!$C$25</f>
        <v>6365.81</v>
      </c>
      <c r="V94" s="140">
        <f t="shared" si="13"/>
        <v>6365.81</v>
      </c>
      <c r="W94" s="140">
        <v>0</v>
      </c>
      <c r="X94" s="140">
        <v>0</v>
      </c>
      <c r="Y94" s="144">
        <v>0</v>
      </c>
      <c r="Z94" s="140">
        <f>Y94*Valores!$C$2</f>
        <v>0</v>
      </c>
      <c r="AA94" s="140">
        <v>0</v>
      </c>
      <c r="AB94" s="143">
        <f>Valores!$C$90</f>
        <v>2575.39</v>
      </c>
      <c r="AC94" s="145">
        <f>Valores!$C$31</f>
        <v>279.8</v>
      </c>
      <c r="AD94" s="140">
        <f t="shared" si="19"/>
        <v>0</v>
      </c>
      <c r="AE94" s="140">
        <f>Valores!$C$32</f>
        <v>279.8</v>
      </c>
      <c r="AF94" s="144">
        <v>0</v>
      </c>
      <c r="AG94" s="140">
        <f>INT(((AF94*Valores!$C$2)*100)+0.5)/100</f>
        <v>0</v>
      </c>
      <c r="AH94" s="140">
        <f>IF($H$5="NO",Valores!$C$60,Valores!$C$60/2)</f>
        <v>569.14</v>
      </c>
      <c r="AI94" s="140">
        <f>IF($H$5="NO",Valores!$C$62,Valores!$C$62/2)</f>
        <v>162.61000000000001</v>
      </c>
      <c r="AJ94" s="146">
        <f t="shared" si="20"/>
        <v>66027.771500000003</v>
      </c>
      <c r="AK94" s="142">
        <f>Valores!$C$37</f>
        <v>1465.56</v>
      </c>
      <c r="AL94" s="143">
        <f>Valores!$C$85</f>
        <v>2275</v>
      </c>
      <c r="AM94" s="143"/>
      <c r="AN94" s="145">
        <f>IF($H$4="NO",0,Valores!$C$53)</f>
        <v>170.34</v>
      </c>
      <c r="AO94" s="147">
        <f t="shared" si="18"/>
        <v>3910.9</v>
      </c>
      <c r="AP94" s="148">
        <f>AJ94*Valores!$C$69</f>
        <v>-7263.0548650000001</v>
      </c>
      <c r="AQ94" s="148">
        <f>AJ94*-Valores!$C$70</f>
        <v>0</v>
      </c>
      <c r="AR94" s="142">
        <f>AJ94*Valores!$C$71</f>
        <v>-2971.2497174999999</v>
      </c>
      <c r="AS94" s="142">
        <f>Valores!$C$95</f>
        <v>-193.38</v>
      </c>
      <c r="AT94" s="142">
        <f>IF($H$6=0,Valores!$C$96,(Valores!$C$96+$H$6*(Valores!$C$96)))</f>
        <v>-178</v>
      </c>
      <c r="AU94" s="146">
        <f t="shared" si="21"/>
        <v>59332.986917500006</v>
      </c>
      <c r="AV94" s="199">
        <f t="shared" si="14"/>
        <v>-7263.0548650000001</v>
      </c>
      <c r="AW94" s="142">
        <f>AJ94*Valores!$C$72</f>
        <v>-1782.7498305000001</v>
      </c>
      <c r="AX94" s="142">
        <f>AJ94*Valores!$C$73</f>
        <v>-198.0833145</v>
      </c>
      <c r="AY94" s="146">
        <f t="shared" si="22"/>
        <v>60694.783489999994</v>
      </c>
      <c r="AZ94" s="150"/>
      <c r="BA94" s="150">
        <v>25</v>
      </c>
      <c r="BB94" s="135" t="s">
        <v>4</v>
      </c>
    </row>
    <row r="95" spans="1:54" s="114" customFormat="1" ht="11.25" customHeight="1" x14ac:dyDescent="0.15">
      <c r="A95" s="134">
        <v>92</v>
      </c>
      <c r="B95" s="134"/>
      <c r="C95" s="135" t="s">
        <v>299</v>
      </c>
      <c r="D95" s="135"/>
      <c r="E95" s="135">
        <f t="shared" si="15"/>
        <v>41</v>
      </c>
      <c r="F95" s="136" t="s">
        <v>301</v>
      </c>
      <c r="G95" s="137">
        <v>161</v>
      </c>
      <c r="H95" s="138">
        <f>INT((G95*Valores!$C$2*100)+0.5)/100</f>
        <v>2154.6</v>
      </c>
      <c r="I95" s="139">
        <f>1480</f>
        <v>1480</v>
      </c>
      <c r="J95" s="140">
        <f>INT((I95*Valores!$C$2*100)+0.5)/100</f>
        <v>19806.25</v>
      </c>
      <c r="K95" s="155">
        <v>0</v>
      </c>
      <c r="L95" s="140">
        <f>INT((K95*Valores!$C$2*100)+0.5)/100</f>
        <v>0</v>
      </c>
      <c r="M95" s="153">
        <v>0</v>
      </c>
      <c r="N95" s="140">
        <f>INT((M95*Valores!$C$2*100)+0.5)/100</f>
        <v>0</v>
      </c>
      <c r="O95" s="140">
        <f t="shared" si="16"/>
        <v>4589.1615000000002</v>
      </c>
      <c r="P95" s="140">
        <f t="shared" si="17"/>
        <v>0</v>
      </c>
      <c r="Q95" s="142">
        <f>Valores!$C$16</f>
        <v>14032.86</v>
      </c>
      <c r="R95" s="142">
        <f>Valores!$D$4</f>
        <v>6841.19</v>
      </c>
      <c r="S95" s="154">
        <f>Valores!$C$28</f>
        <v>6103.41</v>
      </c>
      <c r="T95" s="143">
        <f>IF($H$5="NO",Valores!$C$44,Valores!$C$44/2)</f>
        <v>2267.75</v>
      </c>
      <c r="U95" s="140">
        <f>Valores!$C$25</f>
        <v>6365.81</v>
      </c>
      <c r="V95" s="140">
        <f t="shared" si="13"/>
        <v>6365.81</v>
      </c>
      <c r="W95" s="140">
        <v>0</v>
      </c>
      <c r="X95" s="140">
        <v>0</v>
      </c>
      <c r="Y95" s="144">
        <v>0</v>
      </c>
      <c r="Z95" s="140">
        <f>Y95*Valores!$C$2</f>
        <v>0</v>
      </c>
      <c r="AA95" s="140">
        <v>0</v>
      </c>
      <c r="AB95" s="143">
        <f>Valores!$C$90</f>
        <v>2575.39</v>
      </c>
      <c r="AC95" s="145">
        <f>Valores!$C$31</f>
        <v>279.8</v>
      </c>
      <c r="AD95" s="140">
        <f t="shared" si="19"/>
        <v>0</v>
      </c>
      <c r="AE95" s="140">
        <f>Valores!$C$32</f>
        <v>279.8</v>
      </c>
      <c r="AF95" s="144">
        <v>19</v>
      </c>
      <c r="AG95" s="140">
        <f>INT(((AF95*Valores!$C$2)*100)+0.5)/100</f>
        <v>254.27</v>
      </c>
      <c r="AH95" s="140">
        <f>IF($H$5="NO",Valores!$C$60,Valores!$C$60/2)</f>
        <v>569.14</v>
      </c>
      <c r="AI95" s="140">
        <f>IF($H$5="NO",Valores!$C$62,Valores!$C$62/2)</f>
        <v>162.61000000000001</v>
      </c>
      <c r="AJ95" s="146">
        <f t="shared" si="20"/>
        <v>66282.041500000007</v>
      </c>
      <c r="AK95" s="142">
        <f>Valores!$C$37</f>
        <v>1465.56</v>
      </c>
      <c r="AL95" s="143">
        <f>Valores!$C$85</f>
        <v>2275</v>
      </c>
      <c r="AM95" s="143"/>
      <c r="AN95" s="145">
        <f>IF($H$4="NO",0,Valores!$C$53)</f>
        <v>170.34</v>
      </c>
      <c r="AO95" s="147">
        <f t="shared" si="18"/>
        <v>3910.9</v>
      </c>
      <c r="AP95" s="148">
        <f>AJ95*Valores!$C$69</f>
        <v>-7291.0245650000006</v>
      </c>
      <c r="AQ95" s="148">
        <f>AJ95*-Valores!$C$70</f>
        <v>0</v>
      </c>
      <c r="AR95" s="142">
        <f>AJ95*Valores!$C$71</f>
        <v>-2982.6918675000002</v>
      </c>
      <c r="AS95" s="142">
        <f>Valores!$C$95</f>
        <v>-193.38</v>
      </c>
      <c r="AT95" s="142">
        <f>IF($H$6=0,Valores!$C$96,(Valores!$C$96+$H$6*(Valores!$C$96)))</f>
        <v>-178</v>
      </c>
      <c r="AU95" s="146">
        <f t="shared" si="21"/>
        <v>59547.845067500006</v>
      </c>
      <c r="AV95" s="199">
        <f t="shared" si="14"/>
        <v>-7291.0245650000006</v>
      </c>
      <c r="AW95" s="142">
        <f>AJ95*Valores!$C$72</f>
        <v>-1789.6151205000001</v>
      </c>
      <c r="AX95" s="142">
        <f>AJ95*Valores!$C$73</f>
        <v>-198.84612450000003</v>
      </c>
      <c r="AY95" s="146">
        <f t="shared" si="22"/>
        <v>60913.455690000003</v>
      </c>
      <c r="AZ95" s="150"/>
      <c r="BA95" s="150">
        <v>25</v>
      </c>
      <c r="BB95" s="135" t="s">
        <v>4</v>
      </c>
    </row>
    <row r="96" spans="1:54" s="114" customFormat="1" ht="11.25" customHeight="1" x14ac:dyDescent="0.15">
      <c r="A96" s="134">
        <v>93</v>
      </c>
      <c r="B96" s="134"/>
      <c r="C96" s="135" t="s">
        <v>302</v>
      </c>
      <c r="D96" s="135"/>
      <c r="E96" s="135">
        <f t="shared" si="15"/>
        <v>26</v>
      </c>
      <c r="F96" s="136" t="s">
        <v>303</v>
      </c>
      <c r="G96" s="137">
        <v>179</v>
      </c>
      <c r="H96" s="138">
        <f>INT((G96*Valores!$C$2*100)+0.5)/100</f>
        <v>2395.4899999999998</v>
      </c>
      <c r="I96" s="139">
        <v>1712</v>
      </c>
      <c r="J96" s="140">
        <f>INT((I96*Valores!$C$2*100)+0.5)/100</f>
        <v>22911.01</v>
      </c>
      <c r="K96" s="155">
        <v>0</v>
      </c>
      <c r="L96" s="140">
        <f>INT((K96*Valores!$C$2*100)+0.5)/100</f>
        <v>0</v>
      </c>
      <c r="M96" s="153">
        <v>0</v>
      </c>
      <c r="N96" s="140">
        <f>INT((M96*Valores!$C$2*100)+0.5)/100</f>
        <v>0</v>
      </c>
      <c r="O96" s="140">
        <f t="shared" si="16"/>
        <v>5091.0089999999991</v>
      </c>
      <c r="P96" s="140">
        <f t="shared" si="17"/>
        <v>0</v>
      </c>
      <c r="Q96" s="142">
        <f>Valores!$C$16</f>
        <v>14032.86</v>
      </c>
      <c r="R96" s="142">
        <f>Valores!$D$4</f>
        <v>6841.19</v>
      </c>
      <c r="S96" s="154">
        <f>Valores!$C$28</f>
        <v>6103.41</v>
      </c>
      <c r="T96" s="143">
        <f>IF($H$5="NO",Valores!$C$44,Valores!$C$44/2)</f>
        <v>2267.75</v>
      </c>
      <c r="U96" s="140">
        <f>Valores!$C$25</f>
        <v>6365.81</v>
      </c>
      <c r="V96" s="140">
        <f t="shared" si="13"/>
        <v>6365.81</v>
      </c>
      <c r="W96" s="140">
        <v>0</v>
      </c>
      <c r="X96" s="140">
        <v>0</v>
      </c>
      <c r="Y96" s="144">
        <v>0</v>
      </c>
      <c r="Z96" s="140">
        <f>Y96*Valores!$C$2</f>
        <v>0</v>
      </c>
      <c r="AA96" s="140">
        <v>0</v>
      </c>
      <c r="AB96" s="143">
        <f>Valores!$C$90</f>
        <v>2575.39</v>
      </c>
      <c r="AC96" s="145">
        <f>Valores!$C$31</f>
        <v>279.8</v>
      </c>
      <c r="AD96" s="140">
        <f t="shared" si="19"/>
        <v>0</v>
      </c>
      <c r="AE96" s="140">
        <f>Valores!$C$32</f>
        <v>279.8</v>
      </c>
      <c r="AF96" s="144">
        <v>0</v>
      </c>
      <c r="AG96" s="140">
        <f>INT(((AF96*Valores!$C$2)*100)+0.5)/100</f>
        <v>0</v>
      </c>
      <c r="AH96" s="140">
        <f>IF($H$5="NO",Valores!$C$60,Valores!$C$60/2)</f>
        <v>569.14</v>
      </c>
      <c r="AI96" s="140">
        <f>IF($H$5="NO",Valores!$C$62,Valores!$C$62/2)</f>
        <v>162.61000000000001</v>
      </c>
      <c r="AJ96" s="146">
        <f t="shared" si="20"/>
        <v>69875.269</v>
      </c>
      <c r="AK96" s="142">
        <f>Valores!$C$37</f>
        <v>1465.56</v>
      </c>
      <c r="AL96" s="143">
        <f>Valores!$C$85</f>
        <v>2275</v>
      </c>
      <c r="AM96" s="143"/>
      <c r="AN96" s="145">
        <f>IF($H$4="NO",0,Valores!$C$53)</f>
        <v>170.34</v>
      </c>
      <c r="AO96" s="147">
        <f t="shared" si="18"/>
        <v>3910.9</v>
      </c>
      <c r="AP96" s="148">
        <f>AJ96*Valores!$C$69</f>
        <v>-7686.2795900000001</v>
      </c>
      <c r="AQ96" s="148">
        <f>AJ96*-Valores!$C$70</f>
        <v>0</v>
      </c>
      <c r="AR96" s="142">
        <f>AJ96*Valores!$C$71</f>
        <v>-3144.3871049999998</v>
      </c>
      <c r="AS96" s="142">
        <f>Valores!$C$95</f>
        <v>-193.38</v>
      </c>
      <c r="AT96" s="142">
        <f>IF($H$6=0,Valores!$C$96,(Valores!$C$96+$H$6*(Valores!$C$96)))</f>
        <v>-178</v>
      </c>
      <c r="AU96" s="146">
        <f t="shared" si="21"/>
        <v>62584.122304999997</v>
      </c>
      <c r="AV96" s="199">
        <f t="shared" si="14"/>
        <v>-7686.2795900000001</v>
      </c>
      <c r="AW96" s="142">
        <f>AJ96*Valores!$C$72</f>
        <v>-1886.632263</v>
      </c>
      <c r="AX96" s="142">
        <f>AJ96*Valores!$C$73</f>
        <v>-209.62580700000001</v>
      </c>
      <c r="AY96" s="146">
        <f t="shared" si="22"/>
        <v>64003.631339999993</v>
      </c>
      <c r="AZ96" s="150"/>
      <c r="BA96" s="150">
        <v>25</v>
      </c>
      <c r="BB96" s="135" t="s">
        <v>4</v>
      </c>
    </row>
    <row r="97" spans="1:54" s="114" customFormat="1" ht="11.25" customHeight="1" x14ac:dyDescent="0.15">
      <c r="A97" s="134">
        <v>94</v>
      </c>
      <c r="B97" s="134"/>
      <c r="C97" s="135" t="s">
        <v>304</v>
      </c>
      <c r="D97" s="135"/>
      <c r="E97" s="135">
        <f t="shared" si="15"/>
        <v>30</v>
      </c>
      <c r="F97" s="136" t="s">
        <v>305</v>
      </c>
      <c r="G97" s="137">
        <v>64</v>
      </c>
      <c r="H97" s="138">
        <f>INT((G97*Valores!$C$2*100)+0.5)/100</f>
        <v>856.49</v>
      </c>
      <c r="I97" s="139">
        <v>2086</v>
      </c>
      <c r="J97" s="140">
        <f>INT((I97*Valores!$C$2*100)+0.5)/100</f>
        <v>27916.1</v>
      </c>
      <c r="K97" s="155">
        <v>0</v>
      </c>
      <c r="L97" s="140">
        <f>INT((K97*Valores!$C$2*100)+0.5)/100</f>
        <v>0</v>
      </c>
      <c r="M97" s="153">
        <v>0</v>
      </c>
      <c r="N97" s="140">
        <f>INT((M97*Valores!$C$2*100)+0.5)/100</f>
        <v>0</v>
      </c>
      <c r="O97" s="140">
        <f t="shared" si="16"/>
        <v>5610.9224999999997</v>
      </c>
      <c r="P97" s="140">
        <f t="shared" si="17"/>
        <v>0</v>
      </c>
      <c r="Q97" s="142">
        <f>Valores!$C$16</f>
        <v>14032.86</v>
      </c>
      <c r="R97" s="142">
        <f>Valores!$D$4</f>
        <v>6841.19</v>
      </c>
      <c r="S97" s="154">
        <f>Valores!$C$28</f>
        <v>6103.41</v>
      </c>
      <c r="T97" s="143">
        <f>IF($H$5="NO",Valores!$C$44,Valores!$C$44/2)</f>
        <v>2267.75</v>
      </c>
      <c r="U97" s="140">
        <f>Valores!$C$25</f>
        <v>6365.81</v>
      </c>
      <c r="V97" s="140">
        <f t="shared" si="13"/>
        <v>6365.81</v>
      </c>
      <c r="W97" s="140">
        <v>0</v>
      </c>
      <c r="X97" s="140">
        <v>0</v>
      </c>
      <c r="Y97" s="144">
        <v>0</v>
      </c>
      <c r="Z97" s="140">
        <f>Y97*Valores!$C$2</f>
        <v>0</v>
      </c>
      <c r="AA97" s="140">
        <v>0</v>
      </c>
      <c r="AB97" s="143">
        <f>Valores!$C$91</f>
        <v>3090.47</v>
      </c>
      <c r="AC97" s="145">
        <f>Valores!$C$31</f>
        <v>279.8</v>
      </c>
      <c r="AD97" s="140">
        <f t="shared" si="19"/>
        <v>0</v>
      </c>
      <c r="AE97" s="140">
        <f>Valores!$C$32</f>
        <v>279.8</v>
      </c>
      <c r="AF97" s="144">
        <v>0</v>
      </c>
      <c r="AG97" s="140">
        <f>INT(((AF97*Valores!$C$2)*100)+0.5)/100</f>
        <v>0</v>
      </c>
      <c r="AH97" s="140">
        <f>IF($H$5="NO",Valores!$C$60,Valores!$C$60/2)</f>
        <v>569.14</v>
      </c>
      <c r="AI97" s="140">
        <f>IF($H$5="NO",Valores!$C$62,Valores!$C$62/2)</f>
        <v>162.61000000000001</v>
      </c>
      <c r="AJ97" s="146">
        <f t="shared" si="20"/>
        <v>74376.352500000008</v>
      </c>
      <c r="AK97" s="142">
        <f>Valores!$C$37</f>
        <v>1465.56</v>
      </c>
      <c r="AL97" s="143">
        <f>Valores!$C$86</f>
        <v>2730</v>
      </c>
      <c r="AM97" s="143"/>
      <c r="AN97" s="145">
        <f>IF($H$4="NO",0,Valores!$C$53)</f>
        <v>170.34</v>
      </c>
      <c r="AO97" s="147">
        <f t="shared" si="18"/>
        <v>4365.8999999999996</v>
      </c>
      <c r="AP97" s="148">
        <f>AJ97*Valores!$C$69</f>
        <v>-8181.3987750000006</v>
      </c>
      <c r="AQ97" s="148">
        <f>AJ97*-Valores!$C$70</f>
        <v>0</v>
      </c>
      <c r="AR97" s="142">
        <f>AJ97*Valores!$C$71</f>
        <v>-3346.9358625000004</v>
      </c>
      <c r="AS97" s="142">
        <f>Valores!$C$95</f>
        <v>-193.38</v>
      </c>
      <c r="AT97" s="142">
        <f>IF($H$6=0,Valores!$C$96,(Valores!$C$96+$H$6*(Valores!$C$96)))</f>
        <v>-178</v>
      </c>
      <c r="AU97" s="146">
        <f t="shared" si="21"/>
        <v>66842.537862500001</v>
      </c>
      <c r="AV97" s="199">
        <f t="shared" si="14"/>
        <v>-8181.3987750000006</v>
      </c>
      <c r="AW97" s="142">
        <f>AJ97*Valores!$C$72</f>
        <v>-2008.1615175000002</v>
      </c>
      <c r="AX97" s="142">
        <f>AJ97*Valores!$C$73</f>
        <v>-223.12905750000002</v>
      </c>
      <c r="AY97" s="146">
        <f t="shared" si="22"/>
        <v>68329.563150000002</v>
      </c>
      <c r="AZ97" s="150"/>
      <c r="BA97" s="150">
        <v>25</v>
      </c>
      <c r="BB97" s="135" t="s">
        <v>4</v>
      </c>
    </row>
    <row r="98" spans="1:54" s="114" customFormat="1" ht="11.25" customHeight="1" x14ac:dyDescent="0.15">
      <c r="A98" s="152">
        <v>95</v>
      </c>
      <c r="B98" s="152" t="s">
        <v>139</v>
      </c>
      <c r="C98" s="135" t="s">
        <v>306</v>
      </c>
      <c r="D98" s="135"/>
      <c r="E98" s="135">
        <f t="shared" si="15"/>
        <v>31</v>
      </c>
      <c r="F98" s="136" t="s">
        <v>307</v>
      </c>
      <c r="G98" s="137">
        <v>89</v>
      </c>
      <c r="H98" s="138">
        <f>INT((G98*Valores!$C$2*100)+0.5)/100</f>
        <v>1191.05</v>
      </c>
      <c r="I98" s="139">
        <v>2481</v>
      </c>
      <c r="J98" s="140">
        <f>INT((I98*Valores!$C$2*100)+0.5)/100</f>
        <v>33202.230000000003</v>
      </c>
      <c r="K98" s="155">
        <v>0</v>
      </c>
      <c r="L98" s="140">
        <f>INT((K98*Valores!$C$2*100)+0.5)/100</f>
        <v>0</v>
      </c>
      <c r="M98" s="153">
        <v>0</v>
      </c>
      <c r="N98" s="140">
        <f>INT((M98*Valores!$C$2*100)+0.5)/100</f>
        <v>0</v>
      </c>
      <c r="O98" s="140">
        <f t="shared" si="16"/>
        <v>6454.0260000000007</v>
      </c>
      <c r="P98" s="140">
        <f t="shared" si="17"/>
        <v>0</v>
      </c>
      <c r="Q98" s="142">
        <f>Valores!$C$15</f>
        <v>13989.51</v>
      </c>
      <c r="R98" s="142">
        <f>Valores!$D$4</f>
        <v>6841.19</v>
      </c>
      <c r="S98" s="140">
        <v>0</v>
      </c>
      <c r="T98" s="143">
        <f>IF($H$5="NO",Valores!$C$44,Valores!$C$44/2)</f>
        <v>2267.75</v>
      </c>
      <c r="U98" s="140">
        <f>Valores!$C$25</f>
        <v>6365.81</v>
      </c>
      <c r="V98" s="140">
        <f t="shared" si="13"/>
        <v>6365.81</v>
      </c>
      <c r="W98" s="140">
        <v>0</v>
      </c>
      <c r="X98" s="140">
        <v>0</v>
      </c>
      <c r="Y98" s="144">
        <v>0</v>
      </c>
      <c r="Z98" s="140">
        <f>Y98*Valores!$C$2</f>
        <v>0</v>
      </c>
      <c r="AA98" s="140">
        <v>0</v>
      </c>
      <c r="AB98" s="143">
        <f>Valores!$C$90</f>
        <v>2575.39</v>
      </c>
      <c r="AC98" s="145">
        <f>Valores!$C$31</f>
        <v>279.8</v>
      </c>
      <c r="AD98" s="140">
        <f t="shared" si="19"/>
        <v>0</v>
      </c>
      <c r="AE98" s="140">
        <f>Valores!$C$32</f>
        <v>279.8</v>
      </c>
      <c r="AF98" s="144">
        <v>0</v>
      </c>
      <c r="AG98" s="140">
        <f>INT(((AF98*Valores!$C$2)*100)+0.5)/100</f>
        <v>0</v>
      </c>
      <c r="AH98" s="140">
        <f>IF($H$5="NO",Valores!$C$60,Valores!$C$60/2)</f>
        <v>569.14</v>
      </c>
      <c r="AI98" s="140">
        <f>IF($H$5="NO",Valores!$C$62,Valores!$C$62/2)</f>
        <v>162.61000000000001</v>
      </c>
      <c r="AJ98" s="146">
        <f t="shared" si="20"/>
        <v>74178.306000000011</v>
      </c>
      <c r="AK98" s="142">
        <f>Valores!$C$37</f>
        <v>1465.56</v>
      </c>
      <c r="AL98" s="143">
        <f>Valores!$C$85</f>
        <v>2275</v>
      </c>
      <c r="AM98" s="143"/>
      <c r="AN98" s="145">
        <f>IF($H$4="NO",0,Valores!$C$53)</f>
        <v>170.34</v>
      </c>
      <c r="AO98" s="147">
        <f t="shared" si="18"/>
        <v>3910.9</v>
      </c>
      <c r="AP98" s="148">
        <f>AJ98*Valores!$C$69</f>
        <v>-8159.6136600000009</v>
      </c>
      <c r="AQ98" s="148">
        <f>AJ98*-Valores!$C$70</f>
        <v>0</v>
      </c>
      <c r="AR98" s="142">
        <f>AJ98*Valores!$C$71</f>
        <v>-3338.0237700000002</v>
      </c>
      <c r="AS98" s="142">
        <f>Valores!$C$95</f>
        <v>-193.38</v>
      </c>
      <c r="AT98" s="142">
        <f>IF($H$6=0,Valores!$C$96,(Valores!$C$96+$H$6*(Valores!$C$96)))</f>
        <v>-178</v>
      </c>
      <c r="AU98" s="146">
        <f t="shared" si="21"/>
        <v>66220.188570000013</v>
      </c>
      <c r="AV98" s="199">
        <f t="shared" si="14"/>
        <v>-8159.6136600000009</v>
      </c>
      <c r="AW98" s="142">
        <f>AJ98*Valores!$C$72</f>
        <v>-2002.8142620000003</v>
      </c>
      <c r="AX98" s="142">
        <f>AJ98*Valores!$C$73</f>
        <v>-222.53491800000003</v>
      </c>
      <c r="AY98" s="146">
        <f t="shared" si="22"/>
        <v>67704.243160000013</v>
      </c>
      <c r="AZ98" s="150"/>
      <c r="BA98" s="150">
        <v>25</v>
      </c>
      <c r="BB98" s="135" t="s">
        <v>8</v>
      </c>
    </row>
    <row r="99" spans="1:54" s="114" customFormat="1" ht="11.25" customHeight="1" x14ac:dyDescent="0.15">
      <c r="A99" s="134">
        <v>96</v>
      </c>
      <c r="B99" s="134"/>
      <c r="C99" s="135" t="s">
        <v>308</v>
      </c>
      <c r="D99" s="135"/>
      <c r="E99" s="135">
        <f t="shared" si="15"/>
        <v>31</v>
      </c>
      <c r="F99" s="136" t="s">
        <v>309</v>
      </c>
      <c r="G99" s="137">
        <v>89</v>
      </c>
      <c r="H99" s="138">
        <f>INT((G99*Valores!$C$2*100)+0.5)/100</f>
        <v>1191.05</v>
      </c>
      <c r="I99" s="139">
        <v>2381</v>
      </c>
      <c r="J99" s="140">
        <f>INT((I99*Valores!$C$2*100)+0.5)/100</f>
        <v>31863.97</v>
      </c>
      <c r="K99" s="155">
        <v>0</v>
      </c>
      <c r="L99" s="140">
        <f>INT((K99*Valores!$C$2*100)+0.5)/100</f>
        <v>0</v>
      </c>
      <c r="M99" s="153">
        <v>0</v>
      </c>
      <c r="N99" s="140">
        <f>INT((M99*Valores!$C$2*100)+0.5)/100</f>
        <v>0</v>
      </c>
      <c r="O99" s="140">
        <f t="shared" si="16"/>
        <v>6253.2870000000003</v>
      </c>
      <c r="P99" s="140">
        <f t="shared" si="17"/>
        <v>0</v>
      </c>
      <c r="Q99" s="142">
        <f>Valores!$C$21</f>
        <v>11564.28</v>
      </c>
      <c r="R99" s="142">
        <f>Valores!$D$4</f>
        <v>6841.19</v>
      </c>
      <c r="S99" s="140">
        <f>Valores!$C$28</f>
        <v>6103.41</v>
      </c>
      <c r="T99" s="143">
        <f>IF($H$5="NO",Valores!$C$44,Valores!$C$44/2)</f>
        <v>2267.75</v>
      </c>
      <c r="U99" s="140">
        <f>Valores!$C$25</f>
        <v>6365.81</v>
      </c>
      <c r="V99" s="140">
        <f t="shared" si="13"/>
        <v>6365.81</v>
      </c>
      <c r="W99" s="140">
        <v>0</v>
      </c>
      <c r="X99" s="140">
        <v>0</v>
      </c>
      <c r="Y99" s="144">
        <v>0</v>
      </c>
      <c r="Z99" s="140">
        <f>Y99*Valores!$C$2</f>
        <v>0</v>
      </c>
      <c r="AA99" s="140">
        <v>0</v>
      </c>
      <c r="AB99" s="143">
        <f>Valores!$C$90</f>
        <v>2575.39</v>
      </c>
      <c r="AC99" s="145">
        <f>Valores!$C$31</f>
        <v>279.8</v>
      </c>
      <c r="AD99" s="140">
        <f t="shared" si="19"/>
        <v>0</v>
      </c>
      <c r="AE99" s="140">
        <f>Valores!$C$32</f>
        <v>279.8</v>
      </c>
      <c r="AF99" s="144">
        <v>0</v>
      </c>
      <c r="AG99" s="140">
        <f>INT(((AF99*Valores!$C$2)*100)+0.5)/100</f>
        <v>0</v>
      </c>
      <c r="AH99" s="140">
        <f>IF($H$5="NO",Valores!$C$60,Valores!$C$60/2)</f>
        <v>569.14</v>
      </c>
      <c r="AI99" s="140">
        <f>IF($H$5="NO",Valores!$C$62,Valores!$C$62/2)</f>
        <v>162.61000000000001</v>
      </c>
      <c r="AJ99" s="146">
        <f t="shared" si="20"/>
        <v>76317.487000000008</v>
      </c>
      <c r="AK99" s="142">
        <f>Valores!$C$37</f>
        <v>1465.56</v>
      </c>
      <c r="AL99" s="143">
        <f>Valores!$C$85</f>
        <v>2275</v>
      </c>
      <c r="AM99" s="143"/>
      <c r="AN99" s="145">
        <f>IF($H$4="NO",0,Valores!$C$53)</f>
        <v>170.34</v>
      </c>
      <c r="AO99" s="147">
        <f t="shared" si="18"/>
        <v>3910.9</v>
      </c>
      <c r="AP99" s="148">
        <f>AJ99*Valores!$C$69</f>
        <v>-8394.9235700000008</v>
      </c>
      <c r="AQ99" s="148">
        <f>AJ99*-Valores!$C$70</f>
        <v>0</v>
      </c>
      <c r="AR99" s="142">
        <f>AJ99*Valores!$C$71</f>
        <v>-3434.2869150000001</v>
      </c>
      <c r="AS99" s="142">
        <f>Valores!$C$95</f>
        <v>-193.38</v>
      </c>
      <c r="AT99" s="142">
        <f>IF($H$6=0,Valores!$C$96,(Valores!$C$96+$H$6*(Valores!$C$96)))</f>
        <v>-178</v>
      </c>
      <c r="AU99" s="146">
        <f t="shared" si="21"/>
        <v>68027.796515000009</v>
      </c>
      <c r="AV99" s="199">
        <f t="shared" si="14"/>
        <v>-8394.9235700000008</v>
      </c>
      <c r="AW99" s="142">
        <f>AJ99*Valores!$C$72</f>
        <v>-2060.5721490000001</v>
      </c>
      <c r="AX99" s="142">
        <f>AJ99*Valores!$C$73</f>
        <v>-228.95246100000003</v>
      </c>
      <c r="AY99" s="146">
        <f t="shared" si="22"/>
        <v>69543.938819999996</v>
      </c>
      <c r="AZ99" s="150"/>
      <c r="BA99" s="150">
        <v>25</v>
      </c>
      <c r="BB99" s="135" t="s">
        <v>4</v>
      </c>
    </row>
    <row r="100" spans="1:54" s="114" customFormat="1" ht="11.25" customHeight="1" x14ac:dyDescent="0.15">
      <c r="A100" s="134">
        <v>97</v>
      </c>
      <c r="B100" s="134"/>
      <c r="C100" s="135" t="s">
        <v>310</v>
      </c>
      <c r="D100" s="135"/>
      <c r="E100" s="135">
        <f t="shared" si="15"/>
        <v>31</v>
      </c>
      <c r="F100" s="136" t="s">
        <v>311</v>
      </c>
      <c r="G100" s="137">
        <v>89</v>
      </c>
      <c r="H100" s="138">
        <f>INT((G100*Valores!$C$2*100)+0.5)/100</f>
        <v>1191.05</v>
      </c>
      <c r="I100" s="139">
        <v>1768</v>
      </c>
      <c r="J100" s="140">
        <f>INT((I100*Valores!$C$2*100)+0.5)/100</f>
        <v>23660.44</v>
      </c>
      <c r="K100" s="155">
        <v>0</v>
      </c>
      <c r="L100" s="140">
        <f>INT((K100*Valores!$C$2*100)+0.5)/100</f>
        <v>0</v>
      </c>
      <c r="M100" s="153">
        <v>0</v>
      </c>
      <c r="N100" s="140">
        <f>INT((M100*Valores!$C$2*100)+0.5)/100</f>
        <v>0</v>
      </c>
      <c r="O100" s="140">
        <f t="shared" si="16"/>
        <v>5022.7575000000006</v>
      </c>
      <c r="P100" s="140">
        <f t="shared" si="17"/>
        <v>0</v>
      </c>
      <c r="Q100" s="142">
        <f>Valores!$C$21</f>
        <v>11564.28</v>
      </c>
      <c r="R100" s="142">
        <f>Valores!$D$4</f>
        <v>6841.19</v>
      </c>
      <c r="S100" s="154">
        <f>Valores!$C$28</f>
        <v>6103.41</v>
      </c>
      <c r="T100" s="143">
        <f>IF($H$5="NO",Valores!$C$44,Valores!$C$44/2)</f>
        <v>2267.75</v>
      </c>
      <c r="U100" s="140">
        <f>Valores!$C$25</f>
        <v>6365.81</v>
      </c>
      <c r="V100" s="140">
        <f t="shared" si="13"/>
        <v>6365.81</v>
      </c>
      <c r="W100" s="140">
        <v>0</v>
      </c>
      <c r="X100" s="140">
        <v>0</v>
      </c>
      <c r="Y100" s="144">
        <v>0</v>
      </c>
      <c r="Z100" s="140">
        <f>Y100*Valores!$C$2</f>
        <v>0</v>
      </c>
      <c r="AA100" s="140">
        <v>0</v>
      </c>
      <c r="AB100" s="143">
        <f>Valores!$C$90</f>
        <v>2575.39</v>
      </c>
      <c r="AC100" s="145">
        <f>Valores!$C$31</f>
        <v>279.8</v>
      </c>
      <c r="AD100" s="140">
        <f t="shared" si="19"/>
        <v>0</v>
      </c>
      <c r="AE100" s="140">
        <f>Valores!$C$32</f>
        <v>279.8</v>
      </c>
      <c r="AF100" s="144">
        <v>0</v>
      </c>
      <c r="AG100" s="140">
        <f>INT(((AF100*Valores!$C$2)*100)+0.5)/100</f>
        <v>0</v>
      </c>
      <c r="AH100" s="140">
        <f>IF($H$5="NO",Valores!$C$60,Valores!$C$60/2)</f>
        <v>569.14</v>
      </c>
      <c r="AI100" s="140">
        <f>IF($H$5="NO",Valores!$C$62,Valores!$C$62/2)</f>
        <v>162.61000000000001</v>
      </c>
      <c r="AJ100" s="146">
        <f t="shared" si="20"/>
        <v>66883.427500000005</v>
      </c>
      <c r="AK100" s="142">
        <f>Valores!$C$37</f>
        <v>1465.56</v>
      </c>
      <c r="AL100" s="143">
        <f>Valores!$C$85</f>
        <v>2275</v>
      </c>
      <c r="AM100" s="143"/>
      <c r="AN100" s="145">
        <f>IF($H$4="NO",0,Valores!$C$53)</f>
        <v>170.34</v>
      </c>
      <c r="AO100" s="147">
        <f t="shared" si="18"/>
        <v>3910.9</v>
      </c>
      <c r="AP100" s="148">
        <f>AJ100*Valores!$C$69</f>
        <v>-7357.1770250000009</v>
      </c>
      <c r="AQ100" s="148">
        <f>AJ100*-Valores!$C$70</f>
        <v>0</v>
      </c>
      <c r="AR100" s="142">
        <f>AJ100*Valores!$C$71</f>
        <v>-3009.7542375000003</v>
      </c>
      <c r="AS100" s="142">
        <f>Valores!$C$95</f>
        <v>-193.38</v>
      </c>
      <c r="AT100" s="142">
        <f>IF($H$6=0,Valores!$C$96,(Valores!$C$96+$H$6*(Valores!$C$96)))</f>
        <v>-178</v>
      </c>
      <c r="AU100" s="146">
        <f t="shared" si="21"/>
        <v>60056.016237500007</v>
      </c>
      <c r="AV100" s="199">
        <f t="shared" si="14"/>
        <v>-7357.1770250000009</v>
      </c>
      <c r="AW100" s="142">
        <f>AJ100*Valores!$C$72</f>
        <v>-1805.8525425</v>
      </c>
      <c r="AX100" s="142">
        <f>AJ100*Valores!$C$73</f>
        <v>-200.65028250000003</v>
      </c>
      <c r="AY100" s="146">
        <f t="shared" si="22"/>
        <v>61430.647649999999</v>
      </c>
      <c r="AZ100" s="150"/>
      <c r="BA100" s="150">
        <v>25</v>
      </c>
      <c r="BB100" s="135" t="s">
        <v>4</v>
      </c>
    </row>
    <row r="101" spans="1:54" s="114" customFormat="1" ht="11.25" customHeight="1" x14ac:dyDescent="0.15">
      <c r="A101" s="134">
        <v>98</v>
      </c>
      <c r="B101" s="134"/>
      <c r="C101" s="135" t="s">
        <v>312</v>
      </c>
      <c r="D101" s="135"/>
      <c r="E101" s="135">
        <f t="shared" si="15"/>
        <v>29</v>
      </c>
      <c r="F101" s="136" t="s">
        <v>313</v>
      </c>
      <c r="G101" s="137">
        <v>89</v>
      </c>
      <c r="H101" s="138">
        <f>INT((G101*Valores!$C$2*100)+0.5)/100</f>
        <v>1191.05</v>
      </c>
      <c r="I101" s="139">
        <v>1768</v>
      </c>
      <c r="J101" s="140">
        <f>INT((I101*Valores!$C$2*100)+0.5)/100</f>
        <v>23660.44</v>
      </c>
      <c r="K101" s="155">
        <v>0</v>
      </c>
      <c r="L101" s="140">
        <f>INT((K101*Valores!$C$2*100)+0.5)/100</f>
        <v>0</v>
      </c>
      <c r="M101" s="153">
        <v>0</v>
      </c>
      <c r="N101" s="140">
        <f>INT((M101*Valores!$C$2*100)+0.5)/100</f>
        <v>0</v>
      </c>
      <c r="O101" s="140">
        <f t="shared" si="16"/>
        <v>5022.7575000000006</v>
      </c>
      <c r="P101" s="140">
        <f t="shared" si="17"/>
        <v>0</v>
      </c>
      <c r="Q101" s="142">
        <f>Valores!$C$15</f>
        <v>13989.51</v>
      </c>
      <c r="R101" s="142">
        <f>Valores!$D$4</f>
        <v>6841.19</v>
      </c>
      <c r="S101" s="154">
        <f>Valores!$C$28</f>
        <v>6103.41</v>
      </c>
      <c r="T101" s="143">
        <f>IF($H$5="NO",Valores!$C$44,Valores!$C$44/2)</f>
        <v>2267.75</v>
      </c>
      <c r="U101" s="140">
        <f>Valores!$C$25</f>
        <v>6365.81</v>
      </c>
      <c r="V101" s="140">
        <f t="shared" si="13"/>
        <v>6365.81</v>
      </c>
      <c r="W101" s="140">
        <v>0</v>
      </c>
      <c r="X101" s="140">
        <v>0</v>
      </c>
      <c r="Y101" s="144">
        <v>0</v>
      </c>
      <c r="Z101" s="140">
        <f>Y101*Valores!$C$2</f>
        <v>0</v>
      </c>
      <c r="AA101" s="140">
        <v>0</v>
      </c>
      <c r="AB101" s="143">
        <f>Valores!$C$90</f>
        <v>2575.39</v>
      </c>
      <c r="AC101" s="145">
        <f>Valores!$C$31</f>
        <v>279.8</v>
      </c>
      <c r="AD101" s="140">
        <f t="shared" si="19"/>
        <v>0</v>
      </c>
      <c r="AE101" s="140">
        <f>Valores!$C$32</f>
        <v>279.8</v>
      </c>
      <c r="AF101" s="144">
        <v>0</v>
      </c>
      <c r="AG101" s="140">
        <f>INT(((AF101*Valores!$C$2)*100)+0.5)/100</f>
        <v>0</v>
      </c>
      <c r="AH101" s="140">
        <f>IF($H$5="NO",Valores!$C$60,Valores!$C$60/2)</f>
        <v>569.14</v>
      </c>
      <c r="AI101" s="140">
        <f>IF($H$5="NO",Valores!$C$62,Valores!$C$62/2)</f>
        <v>162.61000000000001</v>
      </c>
      <c r="AJ101" s="146">
        <f t="shared" si="20"/>
        <v>69308.657500000001</v>
      </c>
      <c r="AK101" s="142">
        <f>Valores!$C$37</f>
        <v>1465.56</v>
      </c>
      <c r="AL101" s="143">
        <f>Valores!$C$85</f>
        <v>2275</v>
      </c>
      <c r="AM101" s="143"/>
      <c r="AN101" s="145">
        <f>IF($H$4="NO",0,Valores!$C$53)</f>
        <v>170.34</v>
      </c>
      <c r="AO101" s="147">
        <f t="shared" si="18"/>
        <v>3910.9</v>
      </c>
      <c r="AP101" s="148">
        <f>AJ101*Valores!$C$69</f>
        <v>-7623.9523250000002</v>
      </c>
      <c r="AQ101" s="148">
        <f>AJ101*-Valores!$C$70</f>
        <v>0</v>
      </c>
      <c r="AR101" s="142">
        <f>AJ101*Valores!$C$71</f>
        <v>-3118.8895874999998</v>
      </c>
      <c r="AS101" s="142">
        <f>Valores!$C$95</f>
        <v>-193.38</v>
      </c>
      <c r="AT101" s="142">
        <f>IF($H$6=0,Valores!$C$96,(Valores!$C$96+$H$6*(Valores!$C$96)))</f>
        <v>-178</v>
      </c>
      <c r="AU101" s="146">
        <f t="shared" si="21"/>
        <v>62105.335587499998</v>
      </c>
      <c r="AV101" s="199">
        <f t="shared" si="14"/>
        <v>-7623.9523250000002</v>
      </c>
      <c r="AW101" s="142">
        <f>AJ101*Valores!$C$72</f>
        <v>-1871.3337524999999</v>
      </c>
      <c r="AX101" s="142">
        <f>AJ101*Valores!$C$73</f>
        <v>-207.9259725</v>
      </c>
      <c r="AY101" s="146">
        <f t="shared" si="22"/>
        <v>63516.345449999993</v>
      </c>
      <c r="AZ101" s="150"/>
      <c r="BA101" s="150"/>
      <c r="BB101" s="135" t="s">
        <v>4</v>
      </c>
    </row>
    <row r="102" spans="1:54" s="114" customFormat="1" ht="11.25" customHeight="1" x14ac:dyDescent="0.15">
      <c r="A102" s="134">
        <v>99</v>
      </c>
      <c r="B102" s="134"/>
      <c r="C102" s="135" t="s">
        <v>314</v>
      </c>
      <c r="D102" s="135"/>
      <c r="E102" s="135">
        <f t="shared" si="15"/>
        <v>31</v>
      </c>
      <c r="F102" s="136" t="s">
        <v>315</v>
      </c>
      <c r="G102" s="137">
        <v>89</v>
      </c>
      <c r="H102" s="138">
        <f>INT((G102*Valores!$C$2*100)+0.5)/100</f>
        <v>1191.05</v>
      </c>
      <c r="I102" s="139">
        <v>2211</v>
      </c>
      <c r="J102" s="140">
        <f>INT((I102*Valores!$C$2*100)+0.5)/100</f>
        <v>29588.93</v>
      </c>
      <c r="K102" s="155">
        <v>0</v>
      </c>
      <c r="L102" s="140">
        <f>INT((K102*Valores!$C$2*100)+0.5)/100</f>
        <v>0</v>
      </c>
      <c r="M102" s="153">
        <v>0</v>
      </c>
      <c r="N102" s="140">
        <f>INT((M102*Valores!$C$2*100)+0.5)/100</f>
        <v>0</v>
      </c>
      <c r="O102" s="140">
        <f t="shared" si="16"/>
        <v>5912.0309999999999</v>
      </c>
      <c r="P102" s="140">
        <f t="shared" si="17"/>
        <v>0</v>
      </c>
      <c r="Q102" s="142">
        <f>Valores!$C$15</f>
        <v>13989.51</v>
      </c>
      <c r="R102" s="142">
        <f>Valores!$D$4</f>
        <v>6841.19</v>
      </c>
      <c r="S102" s="154">
        <f>Valores!$C$28</f>
        <v>6103.41</v>
      </c>
      <c r="T102" s="143">
        <f>IF($H$5="NO",Valores!$C$44,Valores!$C$44/2)</f>
        <v>2267.75</v>
      </c>
      <c r="U102" s="140">
        <f>Valores!$C$25</f>
        <v>6365.81</v>
      </c>
      <c r="V102" s="140">
        <f t="shared" si="13"/>
        <v>6365.81</v>
      </c>
      <c r="W102" s="140">
        <v>0</v>
      </c>
      <c r="X102" s="140">
        <v>0</v>
      </c>
      <c r="Y102" s="144">
        <v>0</v>
      </c>
      <c r="Z102" s="140">
        <f>Y102*Valores!$C$2</f>
        <v>0</v>
      </c>
      <c r="AA102" s="140">
        <v>0</v>
      </c>
      <c r="AB102" s="143">
        <f>Valores!$C$90</f>
        <v>2575.39</v>
      </c>
      <c r="AC102" s="145">
        <f>Valores!$C$31</f>
        <v>279.8</v>
      </c>
      <c r="AD102" s="140">
        <f t="shared" si="19"/>
        <v>0</v>
      </c>
      <c r="AE102" s="140">
        <f>Valores!$C$32</f>
        <v>279.8</v>
      </c>
      <c r="AF102" s="144">
        <v>0</v>
      </c>
      <c r="AG102" s="140">
        <f>INT(((AF102*Valores!$C$2)*100)+0.5)/100</f>
        <v>0</v>
      </c>
      <c r="AH102" s="140">
        <f>IF($H$5="NO",Valores!$C$60,Valores!$C$60/2)</f>
        <v>569.14</v>
      </c>
      <c r="AI102" s="140">
        <f>IF($H$5="NO",Valores!$C$62,Valores!$C$62/2)</f>
        <v>162.61000000000001</v>
      </c>
      <c r="AJ102" s="146">
        <f t="shared" si="20"/>
        <v>76126.421000000002</v>
      </c>
      <c r="AK102" s="142">
        <f>Valores!$C$37</f>
        <v>1465.56</v>
      </c>
      <c r="AL102" s="143">
        <f>Valores!$C$85</f>
        <v>2275</v>
      </c>
      <c r="AM102" s="143"/>
      <c r="AN102" s="145">
        <f>IF($H$4="NO",0,Valores!$C$53)</f>
        <v>170.34</v>
      </c>
      <c r="AO102" s="147">
        <f t="shared" si="18"/>
        <v>3910.9</v>
      </c>
      <c r="AP102" s="148">
        <f>AJ102*Valores!$C$69</f>
        <v>-8373.9063100000003</v>
      </c>
      <c r="AQ102" s="148">
        <f>AJ102*-Valores!$C$70</f>
        <v>0</v>
      </c>
      <c r="AR102" s="142">
        <f>AJ102*Valores!$C$71</f>
        <v>-3425.6889449999999</v>
      </c>
      <c r="AS102" s="142">
        <f>Valores!$C$95</f>
        <v>-193.38</v>
      </c>
      <c r="AT102" s="142">
        <f>IF($H$6=0,Valores!$C$96,(Valores!$C$96+$H$6*(Valores!$C$96)))</f>
        <v>-178</v>
      </c>
      <c r="AU102" s="146">
        <f t="shared" si="21"/>
        <v>67866.345744999999</v>
      </c>
      <c r="AV102" s="199">
        <f t="shared" si="14"/>
        <v>-8373.9063100000003</v>
      </c>
      <c r="AW102" s="142">
        <f>AJ102*Valores!$C$72</f>
        <v>-2055.4133670000001</v>
      </c>
      <c r="AX102" s="142">
        <f>AJ102*Valores!$C$73</f>
        <v>-228.37926300000001</v>
      </c>
      <c r="AY102" s="146">
        <f t="shared" si="22"/>
        <v>69379.622059999994</v>
      </c>
      <c r="AZ102" s="150"/>
      <c r="BA102" s="150"/>
      <c r="BB102" s="135" t="s">
        <v>4</v>
      </c>
    </row>
    <row r="103" spans="1:54" s="114" customFormat="1" ht="11.25" customHeight="1" x14ac:dyDescent="0.15">
      <c r="A103" s="152">
        <v>100</v>
      </c>
      <c r="B103" s="152" t="s">
        <v>139</v>
      </c>
      <c r="C103" s="135" t="s">
        <v>316</v>
      </c>
      <c r="D103" s="135"/>
      <c r="E103" s="135">
        <f t="shared" si="15"/>
        <v>31</v>
      </c>
      <c r="F103" s="136" t="s">
        <v>317</v>
      </c>
      <c r="G103" s="137">
        <v>89</v>
      </c>
      <c r="H103" s="138">
        <f>INT((G103*Valores!$C$2*100)+0.5)/100</f>
        <v>1191.05</v>
      </c>
      <c r="I103" s="139">
        <v>1956</v>
      </c>
      <c r="J103" s="140">
        <f>INT((I103*Valores!$C$2*100)+0.5)/100</f>
        <v>26176.37</v>
      </c>
      <c r="K103" s="155">
        <v>0</v>
      </c>
      <c r="L103" s="140">
        <f>INT((K103*Valores!$C$2*100)+0.5)/100</f>
        <v>0</v>
      </c>
      <c r="M103" s="153">
        <v>0</v>
      </c>
      <c r="N103" s="140">
        <f>INT((M103*Valores!$C$2*100)+0.5)/100</f>
        <v>0</v>
      </c>
      <c r="O103" s="140">
        <f t="shared" si="16"/>
        <v>5400.146999999999</v>
      </c>
      <c r="P103" s="140">
        <f t="shared" si="17"/>
        <v>0</v>
      </c>
      <c r="Q103" s="142">
        <f>Valores!$C$21</f>
        <v>11564.28</v>
      </c>
      <c r="R103" s="142">
        <f>Valores!$D$4</f>
        <v>6841.19</v>
      </c>
      <c r="S103" s="140">
        <v>0</v>
      </c>
      <c r="T103" s="143">
        <f>IF($H$5="NO",Valores!$C$44,Valores!$C$44/2)</f>
        <v>2267.75</v>
      </c>
      <c r="U103" s="140">
        <f>Valores!$C$25</f>
        <v>6365.81</v>
      </c>
      <c r="V103" s="140">
        <f t="shared" si="13"/>
        <v>6365.81</v>
      </c>
      <c r="W103" s="140">
        <v>0</v>
      </c>
      <c r="X103" s="140">
        <v>0</v>
      </c>
      <c r="Y103" s="144">
        <v>0</v>
      </c>
      <c r="Z103" s="140">
        <f>Y103*Valores!$C$2</f>
        <v>0</v>
      </c>
      <c r="AA103" s="140">
        <v>0</v>
      </c>
      <c r="AB103" s="143">
        <f>Valores!$C$90</f>
        <v>2575.39</v>
      </c>
      <c r="AC103" s="145">
        <f>Valores!$C$31</f>
        <v>279.8</v>
      </c>
      <c r="AD103" s="140">
        <f t="shared" si="19"/>
        <v>0</v>
      </c>
      <c r="AE103" s="140">
        <f>Valores!$C$32</f>
        <v>279.8</v>
      </c>
      <c r="AF103" s="144">
        <v>0</v>
      </c>
      <c r="AG103" s="140">
        <f>INT(((AF103*Valores!$C$2)*100)+0.5)/100</f>
        <v>0</v>
      </c>
      <c r="AH103" s="140">
        <f>IF($H$5="NO",Valores!$C$60,Valores!$C$60/2)</f>
        <v>569.14</v>
      </c>
      <c r="AI103" s="140">
        <f>IF($H$5="NO",Valores!$C$62,Valores!$C$62/2)</f>
        <v>162.61000000000001</v>
      </c>
      <c r="AJ103" s="146">
        <f t="shared" si="20"/>
        <v>63673.337</v>
      </c>
      <c r="AK103" s="142">
        <f>Valores!$C$37</f>
        <v>1465.56</v>
      </c>
      <c r="AL103" s="143">
        <f>Valores!$C$85</f>
        <v>2275</v>
      </c>
      <c r="AM103" s="143"/>
      <c r="AN103" s="145">
        <f>IF($H$4="NO",0,Valores!$C$53)</f>
        <v>170.34</v>
      </c>
      <c r="AO103" s="147">
        <f t="shared" si="18"/>
        <v>3910.9</v>
      </c>
      <c r="AP103" s="148">
        <f>AJ103*Valores!$C$69</f>
        <v>-7004.0670700000001</v>
      </c>
      <c r="AQ103" s="148">
        <f>AJ103*-Valores!$C$70</f>
        <v>0</v>
      </c>
      <c r="AR103" s="142">
        <f>AJ103*Valores!$C$71</f>
        <v>-2865.3001649999997</v>
      </c>
      <c r="AS103" s="142">
        <f>Valores!$C$95</f>
        <v>-193.38</v>
      </c>
      <c r="AT103" s="142">
        <f>IF($H$6=0,Valores!$C$96,(Valores!$C$96+$H$6*(Valores!$C$96)))</f>
        <v>-178</v>
      </c>
      <c r="AU103" s="146">
        <f t="shared" si="21"/>
        <v>57343.489764999998</v>
      </c>
      <c r="AV103" s="199">
        <f t="shared" si="14"/>
        <v>-7004.0670700000001</v>
      </c>
      <c r="AW103" s="142">
        <f>AJ103*Valores!$C$72</f>
        <v>-1719.1800989999999</v>
      </c>
      <c r="AX103" s="142">
        <f>AJ103*Valores!$C$73</f>
        <v>-191.02001100000001</v>
      </c>
      <c r="AY103" s="146">
        <f t="shared" si="22"/>
        <v>58669.969819999991</v>
      </c>
      <c r="AZ103" s="150"/>
      <c r="BA103" s="150"/>
      <c r="BB103" s="135" t="s">
        <v>8</v>
      </c>
    </row>
    <row r="104" spans="1:54" s="114" customFormat="1" ht="11.25" customHeight="1" x14ac:dyDescent="0.15">
      <c r="A104" s="134">
        <v>101</v>
      </c>
      <c r="B104" s="134"/>
      <c r="C104" s="135" t="s">
        <v>318</v>
      </c>
      <c r="D104" s="135"/>
      <c r="E104" s="135">
        <f t="shared" si="15"/>
        <v>31</v>
      </c>
      <c r="F104" s="136" t="s">
        <v>319</v>
      </c>
      <c r="G104" s="137">
        <v>89</v>
      </c>
      <c r="H104" s="138">
        <f>INT((G104*Valores!$C$2*100)+0.5)/100</f>
        <v>1191.05</v>
      </c>
      <c r="I104" s="139">
        <v>1267</v>
      </c>
      <c r="J104" s="140">
        <f>INT((I104*Valores!$C$2*100)+0.5)/100</f>
        <v>16955.75</v>
      </c>
      <c r="K104" s="155">
        <v>0</v>
      </c>
      <c r="L104" s="140">
        <f>INT((K104*Valores!$C$2*100)+0.5)/100</f>
        <v>0</v>
      </c>
      <c r="M104" s="153">
        <v>0</v>
      </c>
      <c r="N104" s="140">
        <f>INT((M104*Valores!$C$2*100)+0.5)/100</f>
        <v>0</v>
      </c>
      <c r="O104" s="140">
        <f t="shared" si="16"/>
        <v>4017.0540000000001</v>
      </c>
      <c r="P104" s="140">
        <f t="shared" si="17"/>
        <v>0</v>
      </c>
      <c r="Q104" s="142">
        <f>Valores!$C$21</f>
        <v>11564.28</v>
      </c>
      <c r="R104" s="142">
        <f>Valores!$D$4</f>
        <v>6841.19</v>
      </c>
      <c r="S104" s="140">
        <v>0</v>
      </c>
      <c r="T104" s="143">
        <f>IF($H$5="NO",Valores!$C$44,Valores!$C$44/2)</f>
        <v>2267.75</v>
      </c>
      <c r="U104" s="140">
        <f>Valores!$C$25</f>
        <v>6365.81</v>
      </c>
      <c r="V104" s="140">
        <f t="shared" si="13"/>
        <v>6365.81</v>
      </c>
      <c r="W104" s="140">
        <v>0</v>
      </c>
      <c r="X104" s="140">
        <v>0</v>
      </c>
      <c r="Y104" s="144">
        <v>0</v>
      </c>
      <c r="Z104" s="140">
        <f>Y104*Valores!$C$2</f>
        <v>0</v>
      </c>
      <c r="AA104" s="140">
        <v>0</v>
      </c>
      <c r="AB104" s="143">
        <f>Valores!$C$90</f>
        <v>2575.39</v>
      </c>
      <c r="AC104" s="145">
        <f>Valores!$C$31</f>
        <v>279.8</v>
      </c>
      <c r="AD104" s="140">
        <f t="shared" si="19"/>
        <v>0</v>
      </c>
      <c r="AE104" s="140">
        <f>Valores!$C$32</f>
        <v>279.8</v>
      </c>
      <c r="AF104" s="144">
        <v>0</v>
      </c>
      <c r="AG104" s="140">
        <f>INT(((AF104*Valores!$C$2)*100)+0.5)/100</f>
        <v>0</v>
      </c>
      <c r="AH104" s="140">
        <f>IF($H$5="NO",Valores!$C$60,Valores!$C$60/2)</f>
        <v>569.14</v>
      </c>
      <c r="AI104" s="140">
        <f>IF($H$5="NO",Valores!$C$62,Valores!$C$62/2)</f>
        <v>162.61000000000001</v>
      </c>
      <c r="AJ104" s="146">
        <f t="shared" si="20"/>
        <v>53069.624000000003</v>
      </c>
      <c r="AK104" s="142">
        <f>Valores!$C$37</f>
        <v>1465.56</v>
      </c>
      <c r="AL104" s="143">
        <f>Valores!$C$85</f>
        <v>2275</v>
      </c>
      <c r="AM104" s="143"/>
      <c r="AN104" s="145">
        <f>IF($H$4="NO",0,Valores!$C$53)</f>
        <v>170.34</v>
      </c>
      <c r="AO104" s="147">
        <f t="shared" si="18"/>
        <v>3910.9</v>
      </c>
      <c r="AP104" s="148">
        <f>AJ104*Valores!$C$69</f>
        <v>-5837.6586400000006</v>
      </c>
      <c r="AQ104" s="148">
        <f>AJ104*-Valores!$C$70</f>
        <v>0</v>
      </c>
      <c r="AR104" s="142">
        <f>AJ104*Valores!$C$71</f>
        <v>-2388.1330800000001</v>
      </c>
      <c r="AS104" s="142">
        <f>Valores!$C$95</f>
        <v>-193.38</v>
      </c>
      <c r="AT104" s="142">
        <f>IF($H$6=0,Valores!$C$96,(Valores!$C$96+$H$6*(Valores!$C$96)))</f>
        <v>-178</v>
      </c>
      <c r="AU104" s="146">
        <f t="shared" si="21"/>
        <v>48383.352280000006</v>
      </c>
      <c r="AV104" s="199">
        <f t="shared" si="14"/>
        <v>-5837.6586400000006</v>
      </c>
      <c r="AW104" s="142">
        <f>AJ104*Valores!$C$72</f>
        <v>-1432.879848</v>
      </c>
      <c r="AX104" s="142">
        <f>AJ104*Valores!$C$73</f>
        <v>-159.20887200000001</v>
      </c>
      <c r="AY104" s="146">
        <f t="shared" si="22"/>
        <v>49550.776640000004</v>
      </c>
      <c r="AZ104" s="150"/>
      <c r="BA104" s="150"/>
      <c r="BB104" s="135" t="s">
        <v>8</v>
      </c>
    </row>
    <row r="105" spans="1:54" s="114" customFormat="1" ht="11.25" customHeight="1" x14ac:dyDescent="0.15">
      <c r="A105" s="134">
        <v>102</v>
      </c>
      <c r="B105" s="134"/>
      <c r="C105" s="135" t="s">
        <v>320</v>
      </c>
      <c r="D105" s="135"/>
      <c r="E105" s="135">
        <f t="shared" si="15"/>
        <v>31</v>
      </c>
      <c r="F105" s="136" t="s">
        <v>321</v>
      </c>
      <c r="G105" s="137">
        <v>67</v>
      </c>
      <c r="H105" s="138">
        <f>INT((G105*Valores!$C$2*100)+0.5)/100</f>
        <v>896.63</v>
      </c>
      <c r="I105" s="139">
        <v>2108</v>
      </c>
      <c r="J105" s="140">
        <f>INT((I105*Valores!$C$2*100)+0.5)/100</f>
        <v>28210.52</v>
      </c>
      <c r="K105" s="155">
        <v>0</v>
      </c>
      <c r="L105" s="140">
        <f>INT((K105*Valores!$C$2*100)+0.5)/100</f>
        <v>0</v>
      </c>
      <c r="M105" s="153">
        <v>0</v>
      </c>
      <c r="N105" s="140">
        <f>INT((M105*Valores!$C$2*100)+0.5)/100</f>
        <v>0</v>
      </c>
      <c r="O105" s="140">
        <f t="shared" si="16"/>
        <v>5571.0210000000006</v>
      </c>
      <c r="P105" s="140">
        <f t="shared" si="17"/>
        <v>0</v>
      </c>
      <c r="Q105" s="142">
        <f>Valores!$C$21</f>
        <v>11564.28</v>
      </c>
      <c r="R105" s="142">
        <f>Valores!$D$4</f>
        <v>6841.19</v>
      </c>
      <c r="S105" s="140">
        <v>0</v>
      </c>
      <c r="T105" s="143">
        <f>IF($H$5="NO",Valores!$C$42,Valores!$C$42/2)</f>
        <v>1732.26</v>
      </c>
      <c r="U105" s="154">
        <f>Valores!$C$26</f>
        <v>6300.73</v>
      </c>
      <c r="V105" s="140">
        <f t="shared" si="13"/>
        <v>6300.73</v>
      </c>
      <c r="W105" s="140">
        <v>0</v>
      </c>
      <c r="X105" s="140">
        <v>0</v>
      </c>
      <c r="Y105" s="144">
        <v>0</v>
      </c>
      <c r="Z105" s="140">
        <f>Y105*Valores!$C$2</f>
        <v>0</v>
      </c>
      <c r="AA105" s="140">
        <v>0</v>
      </c>
      <c r="AB105" s="143">
        <f>Valores!$C$90</f>
        <v>2575.39</v>
      </c>
      <c r="AC105" s="145">
        <f>Valores!$C$31</f>
        <v>279.8</v>
      </c>
      <c r="AD105" s="140">
        <f t="shared" si="19"/>
        <v>0</v>
      </c>
      <c r="AE105" s="140">
        <f>Valores!$C$32</f>
        <v>279.8</v>
      </c>
      <c r="AF105" s="144">
        <v>0</v>
      </c>
      <c r="AG105" s="140">
        <f>INT(((AF105*Valores!$C$2)*100)+0.5)/100</f>
        <v>0</v>
      </c>
      <c r="AH105" s="140">
        <f>IF($H$5="NO",Valores!$C$60,Valores!$C$60/2)</f>
        <v>569.14</v>
      </c>
      <c r="AI105" s="140">
        <f>IF($H$5="NO",Valores!$C$62,Valores!$C$62/2)</f>
        <v>162.61000000000001</v>
      </c>
      <c r="AJ105" s="146">
        <f t="shared" si="20"/>
        <v>64983.371000000006</v>
      </c>
      <c r="AK105" s="142">
        <f>Valores!$C$37</f>
        <v>1465.56</v>
      </c>
      <c r="AL105" s="143">
        <f>Valores!$C$85</f>
        <v>2275</v>
      </c>
      <c r="AM105" s="143"/>
      <c r="AN105" s="145">
        <f>IF($H$4="NO",0,Valores!$C$53)</f>
        <v>170.34</v>
      </c>
      <c r="AO105" s="147">
        <f t="shared" si="18"/>
        <v>3910.9</v>
      </c>
      <c r="AP105" s="148">
        <f>AJ105*Valores!$C$69</f>
        <v>-7148.1708100000005</v>
      </c>
      <c r="AQ105" s="148">
        <f>AJ105*-Valores!$C$70</f>
        <v>0</v>
      </c>
      <c r="AR105" s="142">
        <f>AJ105*Valores!$C$71</f>
        <v>-2924.2516950000004</v>
      </c>
      <c r="AS105" s="142">
        <f>Valores!$C$95</f>
        <v>-193.38</v>
      </c>
      <c r="AT105" s="142">
        <f>IF($H$6=0,Valores!$C$96,(Valores!$C$96+$H$6*(Valores!$C$96)))</f>
        <v>-178</v>
      </c>
      <c r="AU105" s="146">
        <f t="shared" si="21"/>
        <v>58450.468495000008</v>
      </c>
      <c r="AV105" s="199">
        <f t="shared" si="14"/>
        <v>-7148.1708100000005</v>
      </c>
      <c r="AW105" s="142">
        <f>AJ105*Valores!$C$72</f>
        <v>-1754.5510170000002</v>
      </c>
      <c r="AX105" s="142">
        <f>AJ105*Valores!$C$73</f>
        <v>-194.95011300000002</v>
      </c>
      <c r="AY105" s="146">
        <f t="shared" si="22"/>
        <v>59796.599060000008</v>
      </c>
      <c r="AZ105" s="150"/>
      <c r="BA105" s="150">
        <v>30</v>
      </c>
      <c r="BB105" s="135" t="s">
        <v>4</v>
      </c>
    </row>
    <row r="106" spans="1:54" s="114" customFormat="1" ht="11.25" customHeight="1" x14ac:dyDescent="0.15">
      <c r="A106" s="134">
        <v>103</v>
      </c>
      <c r="B106" s="134"/>
      <c r="C106" s="135" t="s">
        <v>322</v>
      </c>
      <c r="D106" s="135"/>
      <c r="E106" s="135">
        <f t="shared" si="15"/>
        <v>30</v>
      </c>
      <c r="F106" s="136" t="s">
        <v>323</v>
      </c>
      <c r="G106" s="137">
        <v>45</v>
      </c>
      <c r="H106" s="138">
        <f>INT((G106*Valores!$C$2*100)+0.5)/100</f>
        <v>602.22</v>
      </c>
      <c r="I106" s="139">
        <v>1502</v>
      </c>
      <c r="J106" s="140">
        <f>INT((I106*Valores!$C$2*100)+0.5)/100</f>
        <v>20100.669999999998</v>
      </c>
      <c r="K106" s="155">
        <v>0</v>
      </c>
      <c r="L106" s="140">
        <f>INT((K106*Valores!$C$2*100)+0.5)/100</f>
        <v>0</v>
      </c>
      <c r="M106" s="153">
        <v>0</v>
      </c>
      <c r="N106" s="140">
        <f>INT((M106*Valores!$C$2*100)+0.5)/100</f>
        <v>0</v>
      </c>
      <c r="O106" s="140">
        <f t="shared" si="16"/>
        <v>4310.3819999999996</v>
      </c>
      <c r="P106" s="140">
        <f t="shared" si="17"/>
        <v>0</v>
      </c>
      <c r="Q106" s="142">
        <f>Valores!$C$21</f>
        <v>11564.28</v>
      </c>
      <c r="R106" s="142">
        <f>Valores!$D$4</f>
        <v>6841.19</v>
      </c>
      <c r="S106" s="140">
        <v>0</v>
      </c>
      <c r="T106" s="143">
        <f>IF($H$5="NO",Valores!$C$42,Valores!$C$42/2)</f>
        <v>1732.26</v>
      </c>
      <c r="U106" s="154">
        <f>Valores!$C$26</f>
        <v>6300.73</v>
      </c>
      <c r="V106" s="140">
        <f t="shared" si="13"/>
        <v>6300.73</v>
      </c>
      <c r="W106" s="140">
        <v>0</v>
      </c>
      <c r="X106" s="140">
        <v>0</v>
      </c>
      <c r="Y106" s="144">
        <v>0</v>
      </c>
      <c r="Z106" s="140">
        <f>Y106*Valores!$C$2</f>
        <v>0</v>
      </c>
      <c r="AA106" s="140">
        <v>0</v>
      </c>
      <c r="AB106" s="143">
        <f>Valores!$C$90</f>
        <v>2575.39</v>
      </c>
      <c r="AC106" s="145">
        <f>Valores!$C$31</f>
        <v>279.8</v>
      </c>
      <c r="AD106" s="140">
        <f t="shared" si="19"/>
        <v>0</v>
      </c>
      <c r="AE106" s="140">
        <f>Valores!$C$32</f>
        <v>279.8</v>
      </c>
      <c r="AF106" s="144">
        <v>0</v>
      </c>
      <c r="AG106" s="140">
        <f>INT(((AF106*Valores!$C$2)*100)+0.5)/100</f>
        <v>0</v>
      </c>
      <c r="AH106" s="140">
        <f>IF($H$5="NO",Valores!$C$60,Valores!$C$60/2)</f>
        <v>569.14</v>
      </c>
      <c r="AI106" s="140">
        <f>IF($H$5="NO",Valores!$C$62,Valores!$C$62/2)</f>
        <v>162.61000000000001</v>
      </c>
      <c r="AJ106" s="146">
        <f t="shared" si="20"/>
        <v>55318.472000000002</v>
      </c>
      <c r="AK106" s="142">
        <f>Valores!$C$37</f>
        <v>1465.56</v>
      </c>
      <c r="AL106" s="143">
        <f>Valores!$C$85</f>
        <v>2275</v>
      </c>
      <c r="AM106" s="143"/>
      <c r="AN106" s="145">
        <f>IF($H$4="NO",0,Valores!$C$53)</f>
        <v>170.34</v>
      </c>
      <c r="AO106" s="147">
        <f t="shared" si="18"/>
        <v>3910.9</v>
      </c>
      <c r="AP106" s="148">
        <f>AJ106*Valores!$C$69</f>
        <v>-6085.0319200000004</v>
      </c>
      <c r="AQ106" s="148">
        <f>AJ106*-Valores!$C$70</f>
        <v>0</v>
      </c>
      <c r="AR106" s="142">
        <f>AJ106*Valores!$C$71</f>
        <v>-2489.33124</v>
      </c>
      <c r="AS106" s="142">
        <f>Valores!$C$95</f>
        <v>-193.38</v>
      </c>
      <c r="AT106" s="142">
        <f>IF($H$6=0,Valores!$C$96,(Valores!$C$96+$H$6*(Valores!$C$96)))</f>
        <v>-178</v>
      </c>
      <c r="AU106" s="146">
        <f t="shared" si="21"/>
        <v>50283.628840000005</v>
      </c>
      <c r="AV106" s="199">
        <f t="shared" si="14"/>
        <v>-6085.0319200000004</v>
      </c>
      <c r="AW106" s="142">
        <f>AJ106*Valores!$C$72</f>
        <v>-1493.5987440000001</v>
      </c>
      <c r="AX106" s="142">
        <f>AJ106*Valores!$C$73</f>
        <v>-165.95541600000001</v>
      </c>
      <c r="AY106" s="146">
        <f t="shared" si="22"/>
        <v>51484.785920000002</v>
      </c>
      <c r="AZ106" s="150"/>
      <c r="BA106" s="150"/>
      <c r="BB106" s="135" t="s">
        <v>4</v>
      </c>
    </row>
    <row r="107" spans="1:54" s="114" customFormat="1" ht="11.25" customHeight="1" x14ac:dyDescent="0.15">
      <c r="A107" s="134">
        <v>104</v>
      </c>
      <c r="B107" s="134"/>
      <c r="C107" s="135" t="s">
        <v>324</v>
      </c>
      <c r="D107" s="135"/>
      <c r="E107" s="135">
        <f t="shared" si="15"/>
        <v>32</v>
      </c>
      <c r="F107" s="136" t="s">
        <v>325</v>
      </c>
      <c r="G107" s="137">
        <v>61</v>
      </c>
      <c r="H107" s="138">
        <f>INT((G107*Valores!$C$2*100)+0.5)/100</f>
        <v>816.34</v>
      </c>
      <c r="I107" s="139">
        <v>2114</v>
      </c>
      <c r="J107" s="140">
        <f>INT((I107*Valores!$C$2*100)+0.5)/100</f>
        <v>28290.82</v>
      </c>
      <c r="K107" s="155">
        <v>0</v>
      </c>
      <c r="L107" s="140">
        <f>INT((K107*Valores!$C$2*100)+0.5)/100</f>
        <v>0</v>
      </c>
      <c r="M107" s="153">
        <v>0</v>
      </c>
      <c r="N107" s="140">
        <f>INT((M107*Valores!$C$2*100)+0.5)/100</f>
        <v>0</v>
      </c>
      <c r="O107" s="140">
        <f t="shared" si="16"/>
        <v>5571.0225</v>
      </c>
      <c r="P107" s="140">
        <f t="shared" si="17"/>
        <v>0</v>
      </c>
      <c r="Q107" s="142">
        <f>Valores!$C$21</f>
        <v>11564.28</v>
      </c>
      <c r="R107" s="142">
        <f>Valores!$D$4</f>
        <v>6841.19</v>
      </c>
      <c r="S107" s="140">
        <v>0</v>
      </c>
      <c r="T107" s="143">
        <f>IF($H$5="NO",Valores!$C$42,Valores!$C$42/2)</f>
        <v>1732.26</v>
      </c>
      <c r="U107" s="154">
        <f>Valores!$C$26</f>
        <v>6300.73</v>
      </c>
      <c r="V107" s="140">
        <f t="shared" si="13"/>
        <v>6300.73</v>
      </c>
      <c r="W107" s="140">
        <v>0</v>
      </c>
      <c r="X107" s="140">
        <v>0</v>
      </c>
      <c r="Y107" s="144">
        <v>0</v>
      </c>
      <c r="Z107" s="140">
        <f>Y107*Valores!$C$2</f>
        <v>0</v>
      </c>
      <c r="AA107" s="140">
        <v>0</v>
      </c>
      <c r="AB107" s="143">
        <f>Valores!$C$90</f>
        <v>2575.39</v>
      </c>
      <c r="AC107" s="145">
        <f>Valores!$C$31</f>
        <v>279.8</v>
      </c>
      <c r="AD107" s="140">
        <f t="shared" si="19"/>
        <v>0</v>
      </c>
      <c r="AE107" s="140">
        <f>Valores!$C$32</f>
        <v>279.8</v>
      </c>
      <c r="AF107" s="144">
        <v>0</v>
      </c>
      <c r="AG107" s="140">
        <f>INT(((AF107*Valores!$C$2)*100)+0.5)/100</f>
        <v>0</v>
      </c>
      <c r="AH107" s="140">
        <f>IF($H$5="NO",Valores!$C$60,Valores!$C$60/2)</f>
        <v>569.14</v>
      </c>
      <c r="AI107" s="140">
        <f>IF($H$5="NO",Valores!$C$62,Valores!$C$62/2)</f>
        <v>162.61000000000001</v>
      </c>
      <c r="AJ107" s="146">
        <f t="shared" si="20"/>
        <v>64983.382500000014</v>
      </c>
      <c r="AK107" s="142">
        <f>Valores!$C$37</f>
        <v>1465.56</v>
      </c>
      <c r="AL107" s="143">
        <f>Valores!$C$85</f>
        <v>2275</v>
      </c>
      <c r="AM107" s="143"/>
      <c r="AN107" s="145">
        <f>IF($H$4="NO",0,Valores!$C$53)</f>
        <v>170.34</v>
      </c>
      <c r="AO107" s="147">
        <f t="shared" si="18"/>
        <v>3910.9</v>
      </c>
      <c r="AP107" s="148">
        <f>AJ107*Valores!$C$69</f>
        <v>-7148.1720750000013</v>
      </c>
      <c r="AQ107" s="148">
        <f>AJ107*-Valores!$C$70</f>
        <v>0</v>
      </c>
      <c r="AR107" s="142">
        <f>AJ107*Valores!$C$71</f>
        <v>-2924.2522125000005</v>
      </c>
      <c r="AS107" s="142">
        <f>Valores!$C$95</f>
        <v>-193.38</v>
      </c>
      <c r="AT107" s="142">
        <f>IF($H$6=0,Valores!$C$96,(Valores!$C$96+$H$6*(Valores!$C$96)))</f>
        <v>-178</v>
      </c>
      <c r="AU107" s="146">
        <f t="shared" si="21"/>
        <v>58450.478212500013</v>
      </c>
      <c r="AV107" s="199">
        <f t="shared" si="14"/>
        <v>-7148.1720750000013</v>
      </c>
      <c r="AW107" s="142">
        <f>AJ107*Valores!$C$72</f>
        <v>-1754.5513275000003</v>
      </c>
      <c r="AX107" s="142">
        <f>AJ107*Valores!$C$73</f>
        <v>-194.95014750000004</v>
      </c>
      <c r="AY107" s="146">
        <f t="shared" si="22"/>
        <v>59796.608950000016</v>
      </c>
      <c r="AZ107" s="150"/>
      <c r="BA107" s="150">
        <v>30</v>
      </c>
      <c r="BB107" s="135" t="s">
        <v>4</v>
      </c>
    </row>
    <row r="108" spans="1:54" s="114" customFormat="1" ht="11.25" customHeight="1" x14ac:dyDescent="0.15">
      <c r="A108" s="152">
        <v>105</v>
      </c>
      <c r="B108" s="152" t="s">
        <v>139</v>
      </c>
      <c r="C108" s="135" t="s">
        <v>326</v>
      </c>
      <c r="D108" s="135"/>
      <c r="E108" s="135">
        <f t="shared" si="15"/>
        <v>32</v>
      </c>
      <c r="F108" s="136" t="s">
        <v>327</v>
      </c>
      <c r="G108" s="137">
        <v>59</v>
      </c>
      <c r="H108" s="138">
        <f>INT((G108*Valores!$C$2*100)+0.5)/100</f>
        <v>789.57</v>
      </c>
      <c r="I108" s="139">
        <v>2013</v>
      </c>
      <c r="J108" s="140">
        <f>INT((I108*Valores!$C$2*100)+0.5)/100</f>
        <v>26939.17</v>
      </c>
      <c r="K108" s="155">
        <v>0</v>
      </c>
      <c r="L108" s="140">
        <f>INT((K108*Valores!$C$2*100)+0.5)/100</f>
        <v>0</v>
      </c>
      <c r="M108" s="153">
        <v>0</v>
      </c>
      <c r="N108" s="140">
        <f>INT((M108*Valores!$C$2*100)+0.5)/100</f>
        <v>0</v>
      </c>
      <c r="O108" s="140">
        <f t="shared" si="16"/>
        <v>5364.2595000000001</v>
      </c>
      <c r="P108" s="140">
        <f t="shared" si="17"/>
        <v>0</v>
      </c>
      <c r="Q108" s="142">
        <f>Valores!$C$21</f>
        <v>11564.28</v>
      </c>
      <c r="R108" s="142">
        <f>Valores!$D$4</f>
        <v>6841.19</v>
      </c>
      <c r="S108" s="140">
        <v>0</v>
      </c>
      <c r="T108" s="143">
        <f>IF($H$5="NO",Valores!$C$42,Valores!$C$42/2)</f>
        <v>1732.26</v>
      </c>
      <c r="U108" s="154">
        <f>Valores!$C$26</f>
        <v>6300.73</v>
      </c>
      <c r="V108" s="140">
        <f t="shared" si="13"/>
        <v>6300.73</v>
      </c>
      <c r="W108" s="140">
        <v>0</v>
      </c>
      <c r="X108" s="140">
        <v>0</v>
      </c>
      <c r="Y108" s="144">
        <v>0</v>
      </c>
      <c r="Z108" s="140">
        <f>Y108*Valores!$C$2</f>
        <v>0</v>
      </c>
      <c r="AA108" s="140">
        <v>0</v>
      </c>
      <c r="AB108" s="143">
        <f>Valores!$C$90</f>
        <v>2575.39</v>
      </c>
      <c r="AC108" s="145">
        <f>Valores!$C$31</f>
        <v>279.8</v>
      </c>
      <c r="AD108" s="140">
        <f t="shared" si="19"/>
        <v>0</v>
      </c>
      <c r="AE108" s="140">
        <f>Valores!$C$32</f>
        <v>279.8</v>
      </c>
      <c r="AF108" s="144">
        <v>0</v>
      </c>
      <c r="AG108" s="140">
        <f>INT(((AF108*Valores!$C$2)*100)+0.5)/100</f>
        <v>0</v>
      </c>
      <c r="AH108" s="140">
        <f>IF($H$5="NO",Valores!$C$60,Valores!$C$60/2)</f>
        <v>569.14</v>
      </c>
      <c r="AI108" s="140">
        <f>IF($H$5="NO",Valores!$C$62,Valores!$C$62/2)</f>
        <v>162.61000000000001</v>
      </c>
      <c r="AJ108" s="146">
        <f t="shared" si="20"/>
        <v>63398.19950000001</v>
      </c>
      <c r="AK108" s="142">
        <f>Valores!$C$37</f>
        <v>1465.56</v>
      </c>
      <c r="AL108" s="143">
        <f>Valores!$C$85</f>
        <v>2275</v>
      </c>
      <c r="AM108" s="143"/>
      <c r="AN108" s="145">
        <f>IF($H$4="NO",0,Valores!$C$53)</f>
        <v>170.34</v>
      </c>
      <c r="AO108" s="147">
        <f t="shared" si="18"/>
        <v>3910.9</v>
      </c>
      <c r="AP108" s="148">
        <f>AJ108*Valores!$C$69</f>
        <v>-6973.8019450000011</v>
      </c>
      <c r="AQ108" s="148">
        <f>AJ108*-Valores!$C$70</f>
        <v>0</v>
      </c>
      <c r="AR108" s="142">
        <f>AJ108*Valores!$C$71</f>
        <v>-2852.9189775000004</v>
      </c>
      <c r="AS108" s="142">
        <f>Valores!$C$95</f>
        <v>-193.38</v>
      </c>
      <c r="AT108" s="142">
        <f>IF($H$6=0,Valores!$C$96,(Valores!$C$96+$H$6*(Valores!$C$96)))</f>
        <v>-178</v>
      </c>
      <c r="AU108" s="146">
        <f t="shared" si="21"/>
        <v>57110.99857750001</v>
      </c>
      <c r="AV108" s="199">
        <f t="shared" si="14"/>
        <v>-6973.8019450000011</v>
      </c>
      <c r="AW108" s="142">
        <f>AJ108*Valores!$C$72</f>
        <v>-1711.7513865000003</v>
      </c>
      <c r="AX108" s="142">
        <f>AJ108*Valores!$C$73</f>
        <v>-190.19459850000004</v>
      </c>
      <c r="AY108" s="146">
        <f t="shared" si="22"/>
        <v>58433.351570000013</v>
      </c>
      <c r="AZ108" s="150"/>
      <c r="BA108" s="150">
        <v>30</v>
      </c>
      <c r="BB108" s="135" t="s">
        <v>4</v>
      </c>
    </row>
    <row r="109" spans="1:54" s="114" customFormat="1" ht="11.25" customHeight="1" x14ac:dyDescent="0.15">
      <c r="A109" s="134">
        <v>106</v>
      </c>
      <c r="B109" s="134"/>
      <c r="C109" s="135" t="s">
        <v>328</v>
      </c>
      <c r="D109" s="135"/>
      <c r="E109" s="135">
        <f t="shared" si="15"/>
        <v>32</v>
      </c>
      <c r="F109" s="136" t="s">
        <v>329</v>
      </c>
      <c r="G109" s="137">
        <v>56</v>
      </c>
      <c r="H109" s="138">
        <f>INT((G109*Valores!$C$2*100)+0.5)/100</f>
        <v>749.43</v>
      </c>
      <c r="I109" s="139">
        <v>1720</v>
      </c>
      <c r="J109" s="140">
        <f>INT((I109*Valores!$C$2*100)+0.5)/100</f>
        <v>23018.07</v>
      </c>
      <c r="K109" s="155">
        <v>0</v>
      </c>
      <c r="L109" s="140">
        <f>INT((K109*Valores!$C$2*100)+0.5)/100</f>
        <v>0</v>
      </c>
      <c r="M109" s="153">
        <v>0</v>
      </c>
      <c r="N109" s="140">
        <f>INT((M109*Valores!$C$2*100)+0.5)/100</f>
        <v>0</v>
      </c>
      <c r="O109" s="140">
        <f t="shared" si="16"/>
        <v>4770.0734999999995</v>
      </c>
      <c r="P109" s="140">
        <f t="shared" si="17"/>
        <v>0</v>
      </c>
      <c r="Q109" s="142">
        <f>Valores!$C$21</f>
        <v>11564.28</v>
      </c>
      <c r="R109" s="142">
        <f>Valores!$D$4</f>
        <v>6841.19</v>
      </c>
      <c r="S109" s="140">
        <v>0</v>
      </c>
      <c r="T109" s="143">
        <f>IF($H$5="NO",Valores!$C$42,Valores!$C$42/2)</f>
        <v>1732.26</v>
      </c>
      <c r="U109" s="154">
        <f>Valores!$C$26</f>
        <v>6300.73</v>
      </c>
      <c r="V109" s="140">
        <f t="shared" si="13"/>
        <v>6300.73</v>
      </c>
      <c r="W109" s="140">
        <v>0</v>
      </c>
      <c r="X109" s="140">
        <v>0</v>
      </c>
      <c r="Y109" s="144">
        <v>0</v>
      </c>
      <c r="Z109" s="140">
        <f>Y109*Valores!$C$2</f>
        <v>0</v>
      </c>
      <c r="AA109" s="140">
        <v>0</v>
      </c>
      <c r="AB109" s="143">
        <f>Valores!$C$90</f>
        <v>2575.39</v>
      </c>
      <c r="AC109" s="145">
        <f>Valores!$C$31</f>
        <v>279.8</v>
      </c>
      <c r="AD109" s="140">
        <f t="shared" si="19"/>
        <v>0</v>
      </c>
      <c r="AE109" s="140">
        <f>Valores!$C$32</f>
        <v>279.8</v>
      </c>
      <c r="AF109" s="144">
        <v>0</v>
      </c>
      <c r="AG109" s="140">
        <f>INT(((AF109*Valores!$C$2)*100)+0.5)/100</f>
        <v>0</v>
      </c>
      <c r="AH109" s="140">
        <f>IF($H$5="NO",Valores!$C$60,Valores!$C$60/2)</f>
        <v>569.14</v>
      </c>
      <c r="AI109" s="140">
        <f>IF($H$5="NO",Valores!$C$62,Valores!$C$62/2)</f>
        <v>162.61000000000001</v>
      </c>
      <c r="AJ109" s="146">
        <f t="shared" si="20"/>
        <v>58842.773500000003</v>
      </c>
      <c r="AK109" s="142">
        <f>Valores!$C$37</f>
        <v>1465.56</v>
      </c>
      <c r="AL109" s="143">
        <f>Valores!$C$85</f>
        <v>2275</v>
      </c>
      <c r="AM109" s="143"/>
      <c r="AN109" s="145">
        <f>IF($H$4="NO",0,Valores!$C$53)</f>
        <v>170.34</v>
      </c>
      <c r="AO109" s="147">
        <f t="shared" si="18"/>
        <v>3910.9</v>
      </c>
      <c r="AP109" s="148">
        <f>AJ109*Valores!$C$69</f>
        <v>-6472.7050850000005</v>
      </c>
      <c r="AQ109" s="148">
        <f>AJ109*-Valores!$C$70</f>
        <v>0</v>
      </c>
      <c r="AR109" s="142">
        <f>AJ109*Valores!$C$71</f>
        <v>-2647.9248075</v>
      </c>
      <c r="AS109" s="142">
        <f>Valores!$C$95</f>
        <v>-193.38</v>
      </c>
      <c r="AT109" s="142">
        <f>IF($H$6=0,Valores!$C$96,(Valores!$C$96+$H$6*(Valores!$C$96)))</f>
        <v>-178</v>
      </c>
      <c r="AU109" s="146">
        <f t="shared" si="21"/>
        <v>53261.663607499999</v>
      </c>
      <c r="AV109" s="199">
        <f t="shared" si="14"/>
        <v>-6472.7050850000005</v>
      </c>
      <c r="AW109" s="142">
        <f>AJ109*Valores!$C$72</f>
        <v>-1588.7548845000001</v>
      </c>
      <c r="AX109" s="142">
        <f>AJ109*Valores!$C$73</f>
        <v>-176.52832050000001</v>
      </c>
      <c r="AY109" s="146">
        <f t="shared" si="22"/>
        <v>54515.685210000003</v>
      </c>
      <c r="AZ109" s="150"/>
      <c r="BA109" s="150">
        <v>30</v>
      </c>
      <c r="BB109" s="135" t="s">
        <v>4</v>
      </c>
    </row>
    <row r="110" spans="1:54" s="114" customFormat="1" ht="11.25" customHeight="1" x14ac:dyDescent="0.15">
      <c r="A110" s="134">
        <v>107</v>
      </c>
      <c r="B110" s="134"/>
      <c r="C110" s="135" t="s">
        <v>330</v>
      </c>
      <c r="D110" s="135"/>
      <c r="E110" s="135">
        <f t="shared" si="15"/>
        <v>30</v>
      </c>
      <c r="F110" s="136" t="s">
        <v>331</v>
      </c>
      <c r="G110" s="137">
        <v>45</v>
      </c>
      <c r="H110" s="138">
        <f>INT((G110*Valores!$C$2*100)+0.5)/100</f>
        <v>602.22</v>
      </c>
      <c r="I110" s="139">
        <v>1502</v>
      </c>
      <c r="J110" s="140">
        <f>INT((I110*Valores!$C$2*100)+0.5)/100</f>
        <v>20100.669999999998</v>
      </c>
      <c r="K110" s="155">
        <v>0</v>
      </c>
      <c r="L110" s="140">
        <f>INT((K110*Valores!$C$2*100)+0.5)/100</f>
        <v>0</v>
      </c>
      <c r="M110" s="153">
        <v>0</v>
      </c>
      <c r="N110" s="140">
        <f>INT((M110*Valores!$C$2*100)+0.5)/100</f>
        <v>0</v>
      </c>
      <c r="O110" s="140">
        <f t="shared" si="16"/>
        <v>4310.3819999999996</v>
      </c>
      <c r="P110" s="140">
        <f t="shared" si="17"/>
        <v>0</v>
      </c>
      <c r="Q110" s="142">
        <f>Valores!$C$21</f>
        <v>11564.28</v>
      </c>
      <c r="R110" s="142">
        <f>Valores!$D$4</f>
        <v>6841.19</v>
      </c>
      <c r="S110" s="140">
        <v>0</v>
      </c>
      <c r="T110" s="143">
        <f>IF($H$5="NO",Valores!$C$42,Valores!$C$42/2)</f>
        <v>1732.26</v>
      </c>
      <c r="U110" s="154">
        <f>Valores!$C$26</f>
        <v>6300.73</v>
      </c>
      <c r="V110" s="140">
        <f t="shared" si="13"/>
        <v>6300.73</v>
      </c>
      <c r="W110" s="140">
        <v>0</v>
      </c>
      <c r="X110" s="140">
        <v>0</v>
      </c>
      <c r="Y110" s="144">
        <v>0</v>
      </c>
      <c r="Z110" s="140">
        <f>Y110*Valores!$C$2</f>
        <v>0</v>
      </c>
      <c r="AA110" s="140">
        <v>0</v>
      </c>
      <c r="AB110" s="143">
        <f>Valores!$C$90</f>
        <v>2575.39</v>
      </c>
      <c r="AC110" s="145">
        <f>Valores!$C$31</f>
        <v>279.8</v>
      </c>
      <c r="AD110" s="140">
        <f t="shared" si="19"/>
        <v>0</v>
      </c>
      <c r="AE110" s="140">
        <f>Valores!$C$32</f>
        <v>279.8</v>
      </c>
      <c r="AF110" s="144">
        <v>0</v>
      </c>
      <c r="AG110" s="140">
        <f>INT(((AF110*Valores!$C$2)*100)+0.5)/100</f>
        <v>0</v>
      </c>
      <c r="AH110" s="140">
        <f>IF($H$5="NO",Valores!$C$60,Valores!$C$60/2)</f>
        <v>569.14</v>
      </c>
      <c r="AI110" s="140">
        <f>IF($H$5="NO",Valores!$C$62,Valores!$C$62/2)</f>
        <v>162.61000000000001</v>
      </c>
      <c r="AJ110" s="146">
        <f t="shared" si="20"/>
        <v>55318.472000000002</v>
      </c>
      <c r="AK110" s="142">
        <f>Valores!$C$37</f>
        <v>1465.56</v>
      </c>
      <c r="AL110" s="143">
        <f>Valores!$C$85</f>
        <v>2275</v>
      </c>
      <c r="AM110" s="143"/>
      <c r="AN110" s="145">
        <f>IF($H$4="NO",0,Valores!$C$53)</f>
        <v>170.34</v>
      </c>
      <c r="AO110" s="147">
        <f t="shared" si="18"/>
        <v>3910.9</v>
      </c>
      <c r="AP110" s="148">
        <f>AJ110*Valores!$C$69</f>
        <v>-6085.0319200000004</v>
      </c>
      <c r="AQ110" s="148">
        <f>AJ110*-Valores!$C$70</f>
        <v>0</v>
      </c>
      <c r="AR110" s="142">
        <f>AJ110*Valores!$C$71</f>
        <v>-2489.33124</v>
      </c>
      <c r="AS110" s="142">
        <f>Valores!$C$95</f>
        <v>-193.38</v>
      </c>
      <c r="AT110" s="142">
        <f>IF($H$6=0,Valores!$C$96,(Valores!$C$96+$H$6*(Valores!$C$96)))</f>
        <v>-178</v>
      </c>
      <c r="AU110" s="146">
        <f t="shared" si="21"/>
        <v>50283.628840000005</v>
      </c>
      <c r="AV110" s="199">
        <f t="shared" si="14"/>
        <v>-6085.0319200000004</v>
      </c>
      <c r="AW110" s="142">
        <f>AJ110*Valores!$C$72</f>
        <v>-1493.5987440000001</v>
      </c>
      <c r="AX110" s="142">
        <f>AJ110*Valores!$C$73</f>
        <v>-165.95541600000001</v>
      </c>
      <c r="AY110" s="146">
        <f t="shared" si="22"/>
        <v>51484.785920000002</v>
      </c>
      <c r="AZ110" s="150"/>
      <c r="BA110" s="150">
        <v>30</v>
      </c>
      <c r="BB110" s="135" t="s">
        <v>4</v>
      </c>
    </row>
    <row r="111" spans="1:54" s="114" customFormat="1" ht="11.25" customHeight="1" x14ac:dyDescent="0.15">
      <c r="A111" s="134">
        <v>108</v>
      </c>
      <c r="B111" s="134"/>
      <c r="C111" s="135" t="s">
        <v>332</v>
      </c>
      <c r="D111" s="135"/>
      <c r="E111" s="135">
        <f t="shared" si="15"/>
        <v>30</v>
      </c>
      <c r="F111" s="136" t="s">
        <v>333</v>
      </c>
      <c r="G111" s="137">
        <v>45</v>
      </c>
      <c r="H111" s="138">
        <f>INT((G111*Valores!$C$2*100)+0.5)/100</f>
        <v>602.22</v>
      </c>
      <c r="I111" s="139">
        <v>1139</v>
      </c>
      <c r="J111" s="140">
        <f>INT((I111*Valores!$C$2*100)+0.5)/100</f>
        <v>15242.78</v>
      </c>
      <c r="K111" s="155">
        <v>0</v>
      </c>
      <c r="L111" s="140">
        <f>INT((K111*Valores!$C$2*100)+0.5)/100</f>
        <v>0</v>
      </c>
      <c r="M111" s="153">
        <v>0</v>
      </c>
      <c r="N111" s="140">
        <f>INT((M111*Valores!$C$2*100)+0.5)/100</f>
        <v>0</v>
      </c>
      <c r="O111" s="140">
        <f t="shared" si="16"/>
        <v>3581.6984999999995</v>
      </c>
      <c r="P111" s="140">
        <f t="shared" si="17"/>
        <v>0</v>
      </c>
      <c r="Q111" s="142">
        <f>Valores!$C$21</f>
        <v>11564.28</v>
      </c>
      <c r="R111" s="142">
        <f>Valores!$D$4</f>
        <v>6841.19</v>
      </c>
      <c r="S111" s="140">
        <v>0</v>
      </c>
      <c r="T111" s="143">
        <f>IF($H$5="NO",Valores!$C$42,Valores!$C$42/2)</f>
        <v>1732.26</v>
      </c>
      <c r="U111" s="154">
        <f>Valores!$C$26</f>
        <v>6300.73</v>
      </c>
      <c r="V111" s="140">
        <f t="shared" si="13"/>
        <v>6300.73</v>
      </c>
      <c r="W111" s="140">
        <v>0</v>
      </c>
      <c r="X111" s="140">
        <v>0</v>
      </c>
      <c r="Y111" s="144">
        <v>0</v>
      </c>
      <c r="Z111" s="140">
        <f>Y111*Valores!$C$2</f>
        <v>0</v>
      </c>
      <c r="AA111" s="140">
        <v>0</v>
      </c>
      <c r="AB111" s="143">
        <f>Valores!$C$90</f>
        <v>2575.39</v>
      </c>
      <c r="AC111" s="145">
        <f>Valores!$C$31</f>
        <v>279.8</v>
      </c>
      <c r="AD111" s="140">
        <f t="shared" si="19"/>
        <v>0</v>
      </c>
      <c r="AE111" s="140">
        <f>Valores!$C$32</f>
        <v>279.8</v>
      </c>
      <c r="AF111" s="144">
        <v>0</v>
      </c>
      <c r="AG111" s="140">
        <f>INT(((AF111*Valores!$C$2)*100)+0.5)/100</f>
        <v>0</v>
      </c>
      <c r="AH111" s="140">
        <f>IF($H$5="NO",Valores!$C$60,Valores!$C$60/2)</f>
        <v>569.14</v>
      </c>
      <c r="AI111" s="140">
        <f>IF($H$5="NO",Valores!$C$62,Valores!$C$62/2)</f>
        <v>162.61000000000001</v>
      </c>
      <c r="AJ111" s="146">
        <f t="shared" si="20"/>
        <v>49731.898500000003</v>
      </c>
      <c r="AK111" s="142">
        <f>Valores!$C$37</f>
        <v>1465.56</v>
      </c>
      <c r="AL111" s="143">
        <f>Valores!$C$85</f>
        <v>2275</v>
      </c>
      <c r="AM111" s="143"/>
      <c r="AN111" s="145">
        <f>IF($H$4="NO",0,Valores!$C$53)</f>
        <v>170.34</v>
      </c>
      <c r="AO111" s="147">
        <f t="shared" si="18"/>
        <v>3910.9</v>
      </c>
      <c r="AP111" s="148">
        <f>AJ111*Valores!$C$69</f>
        <v>-5470.5088350000005</v>
      </c>
      <c r="AQ111" s="148">
        <f>AJ111*-Valores!$C$70</f>
        <v>0</v>
      </c>
      <c r="AR111" s="142">
        <f>AJ111*Valores!$C$71</f>
        <v>-2237.9354324999999</v>
      </c>
      <c r="AS111" s="142">
        <f>Valores!$C$95</f>
        <v>-193.38</v>
      </c>
      <c r="AT111" s="142">
        <f>IF($H$6=0,Valores!$C$96,(Valores!$C$96+$H$6*(Valores!$C$96)))</f>
        <v>-178</v>
      </c>
      <c r="AU111" s="146">
        <f t="shared" si="21"/>
        <v>45562.974232500004</v>
      </c>
      <c r="AV111" s="199">
        <f t="shared" si="14"/>
        <v>-5470.5088350000005</v>
      </c>
      <c r="AW111" s="142">
        <f>AJ111*Valores!$C$72</f>
        <v>-1342.7612595000001</v>
      </c>
      <c r="AX111" s="142">
        <f>AJ111*Valores!$C$73</f>
        <v>-149.1956955</v>
      </c>
      <c r="AY111" s="146">
        <f t="shared" si="22"/>
        <v>46680.332710000002</v>
      </c>
      <c r="AZ111" s="150"/>
      <c r="BA111" s="150">
        <v>30</v>
      </c>
      <c r="BB111" s="135" t="s">
        <v>4</v>
      </c>
    </row>
    <row r="112" spans="1:54" s="114" customFormat="1" ht="11.25" customHeight="1" x14ac:dyDescent="0.15">
      <c r="A112" s="134">
        <v>109</v>
      </c>
      <c r="B112" s="134"/>
      <c r="C112" s="135" t="s">
        <v>334</v>
      </c>
      <c r="D112" s="135"/>
      <c r="E112" s="135">
        <f t="shared" si="15"/>
        <v>30</v>
      </c>
      <c r="F112" s="136" t="s">
        <v>335</v>
      </c>
      <c r="G112" s="137">
        <v>46</v>
      </c>
      <c r="H112" s="138">
        <f>INT((G112*Valores!$C$2*100)+0.5)/100</f>
        <v>615.6</v>
      </c>
      <c r="I112" s="139">
        <v>1102</v>
      </c>
      <c r="J112" s="140">
        <f>INT((I112*Valores!$C$2*100)+0.5)/100</f>
        <v>14747.63</v>
      </c>
      <c r="K112" s="155">
        <v>0</v>
      </c>
      <c r="L112" s="140">
        <f>INT((K112*Valores!$C$2*100)+0.5)/100</f>
        <v>0</v>
      </c>
      <c r="M112" s="153">
        <v>0</v>
      </c>
      <c r="N112" s="140">
        <f>INT((M112*Valores!$C$2*100)+0.5)/100</f>
        <v>0</v>
      </c>
      <c r="O112" s="140">
        <f t="shared" si="16"/>
        <v>3509.4329999999995</v>
      </c>
      <c r="P112" s="140">
        <f t="shared" si="17"/>
        <v>0</v>
      </c>
      <c r="Q112" s="142">
        <f>Valores!$C$21</f>
        <v>11564.28</v>
      </c>
      <c r="R112" s="142">
        <f>Valores!$D$4</f>
        <v>6841.19</v>
      </c>
      <c r="S112" s="140">
        <v>0</v>
      </c>
      <c r="T112" s="143">
        <f>IF($H$5="NO",Valores!$C$42,Valores!$C$42/2)</f>
        <v>1732.26</v>
      </c>
      <c r="U112" s="154">
        <f>Valores!$C$26</f>
        <v>6300.73</v>
      </c>
      <c r="V112" s="140">
        <f t="shared" ref="V112:V174" si="23">U112*(1+$J$2)</f>
        <v>6300.73</v>
      </c>
      <c r="W112" s="140">
        <v>0</v>
      </c>
      <c r="X112" s="140">
        <v>0</v>
      </c>
      <c r="Y112" s="144">
        <v>0</v>
      </c>
      <c r="Z112" s="140">
        <f>Y112*Valores!$C$2</f>
        <v>0</v>
      </c>
      <c r="AA112" s="140">
        <v>0</v>
      </c>
      <c r="AB112" s="143">
        <f>Valores!$C$90</f>
        <v>2575.39</v>
      </c>
      <c r="AC112" s="145">
        <f>Valores!$C$31</f>
        <v>279.8</v>
      </c>
      <c r="AD112" s="140">
        <f t="shared" si="19"/>
        <v>0</v>
      </c>
      <c r="AE112" s="140">
        <f>Valores!$C$32</f>
        <v>279.8</v>
      </c>
      <c r="AF112" s="144">
        <v>0</v>
      </c>
      <c r="AG112" s="140">
        <f>INT(((AF112*Valores!$C$2)*100)+0.5)/100</f>
        <v>0</v>
      </c>
      <c r="AH112" s="140">
        <f>IF($H$5="NO",Valores!$C$60,Valores!$C$60/2)</f>
        <v>569.14</v>
      </c>
      <c r="AI112" s="140">
        <f>IF($H$5="NO",Valores!$C$62,Valores!$C$62/2)</f>
        <v>162.61000000000001</v>
      </c>
      <c r="AJ112" s="146">
        <f t="shared" si="20"/>
        <v>49177.863000000005</v>
      </c>
      <c r="AK112" s="142">
        <f>Valores!$C$37</f>
        <v>1465.56</v>
      </c>
      <c r="AL112" s="143">
        <f>Valores!$C$85</f>
        <v>2275</v>
      </c>
      <c r="AM112" s="143"/>
      <c r="AN112" s="145">
        <f>IF($H$4="NO",0,Valores!$C$53)</f>
        <v>170.34</v>
      </c>
      <c r="AO112" s="147">
        <f t="shared" si="18"/>
        <v>3910.9</v>
      </c>
      <c r="AP112" s="148">
        <f>AJ112*Valores!$C$69</f>
        <v>-5409.5649300000005</v>
      </c>
      <c r="AQ112" s="148">
        <f>AJ112*-Valores!$C$70</f>
        <v>0</v>
      </c>
      <c r="AR112" s="142">
        <f>AJ112*Valores!$C$71</f>
        <v>-2213.003835</v>
      </c>
      <c r="AS112" s="142">
        <f>Valores!$C$95</f>
        <v>-193.38</v>
      </c>
      <c r="AT112" s="142">
        <f>IF($H$6=0,Valores!$C$96,(Valores!$C$96+$H$6*(Valores!$C$96)))</f>
        <v>-178</v>
      </c>
      <c r="AU112" s="146">
        <f t="shared" si="21"/>
        <v>45094.814235000005</v>
      </c>
      <c r="AV112" s="199">
        <f t="shared" si="14"/>
        <v>-5409.5649300000005</v>
      </c>
      <c r="AW112" s="142">
        <f>AJ112*Valores!$C$72</f>
        <v>-1327.8023010000002</v>
      </c>
      <c r="AX112" s="142">
        <f>AJ112*Valores!$C$73</f>
        <v>-147.53358900000001</v>
      </c>
      <c r="AY112" s="146">
        <f t="shared" si="22"/>
        <v>46203.862180000004</v>
      </c>
      <c r="AZ112" s="150"/>
      <c r="BA112" s="150">
        <v>30</v>
      </c>
      <c r="BB112" s="135" t="s">
        <v>4</v>
      </c>
    </row>
    <row r="113" spans="1:54" s="114" customFormat="1" ht="11.25" customHeight="1" x14ac:dyDescent="0.15">
      <c r="A113" s="152">
        <v>110</v>
      </c>
      <c r="B113" s="152" t="s">
        <v>139</v>
      </c>
      <c r="C113" s="135" t="s">
        <v>336</v>
      </c>
      <c r="D113" s="135"/>
      <c r="E113" s="135">
        <f t="shared" si="15"/>
        <v>32</v>
      </c>
      <c r="F113" s="136" t="s">
        <v>337</v>
      </c>
      <c r="G113" s="137">
        <v>66</v>
      </c>
      <c r="H113" s="138">
        <f>INT((G113*Valores!$C$2*100)+0.5)/100</f>
        <v>883.25</v>
      </c>
      <c r="I113" s="139">
        <v>1911</v>
      </c>
      <c r="J113" s="140">
        <f>INT((I113*Valores!$C$2*100)+0.5)/100</f>
        <v>25574.15</v>
      </c>
      <c r="K113" s="155">
        <v>0</v>
      </c>
      <c r="L113" s="140">
        <f>INT((K113*Valores!$C$2*100)+0.5)/100</f>
        <v>0</v>
      </c>
      <c r="M113" s="153">
        <v>0</v>
      </c>
      <c r="N113" s="140">
        <f>INT((M113*Valores!$C$2*100)+0.5)/100</f>
        <v>0</v>
      </c>
      <c r="O113" s="140">
        <f t="shared" si="16"/>
        <v>5173.5585000000001</v>
      </c>
      <c r="P113" s="140">
        <f t="shared" si="17"/>
        <v>0</v>
      </c>
      <c r="Q113" s="142">
        <f>Valores!$C$21</f>
        <v>11564.28</v>
      </c>
      <c r="R113" s="142">
        <f>Valores!$D$4</f>
        <v>6841.19</v>
      </c>
      <c r="S113" s="154">
        <f>Valores!$C$28</f>
        <v>6103.41</v>
      </c>
      <c r="T113" s="143">
        <f>IF($H$5="NO",Valores!$C$42,Valores!$C$42/2)</f>
        <v>1732.26</v>
      </c>
      <c r="U113" s="154">
        <f>Valores!$C$26</f>
        <v>6300.73</v>
      </c>
      <c r="V113" s="140">
        <f t="shared" si="23"/>
        <v>6300.73</v>
      </c>
      <c r="W113" s="140">
        <v>0</v>
      </c>
      <c r="X113" s="140">
        <v>0</v>
      </c>
      <c r="Y113" s="144">
        <v>0</v>
      </c>
      <c r="Z113" s="140">
        <f>Y113*Valores!$C$2</f>
        <v>0</v>
      </c>
      <c r="AA113" s="140">
        <v>0</v>
      </c>
      <c r="AB113" s="143">
        <f>Valores!$C$90</f>
        <v>2575.39</v>
      </c>
      <c r="AC113" s="145">
        <f>Valores!$C$31</f>
        <v>279.8</v>
      </c>
      <c r="AD113" s="140">
        <f t="shared" si="19"/>
        <v>0</v>
      </c>
      <c r="AE113" s="140">
        <f>Valores!$C$32</f>
        <v>279.8</v>
      </c>
      <c r="AF113" s="144">
        <v>94</v>
      </c>
      <c r="AG113" s="140">
        <f>INT(((AF113*Valores!$C$2)*100)+0.5)/100</f>
        <v>1257.96</v>
      </c>
      <c r="AH113" s="140">
        <f>IF($H$5="NO",Valores!$C$60,Valores!$C$60/2)</f>
        <v>569.14</v>
      </c>
      <c r="AI113" s="140">
        <f>IF($H$5="NO",Valores!$C$62,Valores!$C$62/2)</f>
        <v>162.61000000000001</v>
      </c>
      <c r="AJ113" s="146">
        <f t="shared" si="20"/>
        <v>69297.5285</v>
      </c>
      <c r="AK113" s="142">
        <f>Valores!$C$37</f>
        <v>1465.56</v>
      </c>
      <c r="AL113" s="143">
        <f>Valores!$C$85</f>
        <v>2275</v>
      </c>
      <c r="AM113" s="143"/>
      <c r="AN113" s="145">
        <f>IF($H$4="NO",0,Valores!$C$53)</f>
        <v>170.34</v>
      </c>
      <c r="AO113" s="147">
        <f t="shared" si="18"/>
        <v>3910.9</v>
      </c>
      <c r="AP113" s="148">
        <f>AJ113*Valores!$C$69</f>
        <v>-7622.7281350000003</v>
      </c>
      <c r="AQ113" s="148">
        <f>AJ113*-Valores!$C$70</f>
        <v>0</v>
      </c>
      <c r="AR113" s="142">
        <f>AJ113*Valores!$C$71</f>
        <v>-3118.3887824999997</v>
      </c>
      <c r="AS113" s="142">
        <f>Valores!$C$95</f>
        <v>-193.38</v>
      </c>
      <c r="AT113" s="142">
        <f>IF($H$6=0,Valores!$C$96,(Valores!$C$96+$H$6*(Valores!$C$96)))</f>
        <v>-178</v>
      </c>
      <c r="AU113" s="146">
        <f t="shared" si="21"/>
        <v>62095.931582500001</v>
      </c>
      <c r="AV113" s="199">
        <f t="shared" si="14"/>
        <v>-7622.7281350000003</v>
      </c>
      <c r="AW113" s="142">
        <f>AJ113*Valores!$C$72</f>
        <v>-1871.0332695</v>
      </c>
      <c r="AX113" s="142">
        <f>AJ113*Valores!$C$73</f>
        <v>-207.8925855</v>
      </c>
      <c r="AY113" s="146">
        <f t="shared" si="22"/>
        <v>63506.774509999996</v>
      </c>
      <c r="AZ113" s="150"/>
      <c r="BA113" s="150">
        <v>25</v>
      </c>
      <c r="BB113" s="135" t="s">
        <v>4</v>
      </c>
    </row>
    <row r="114" spans="1:54" s="114" customFormat="1" ht="11.25" customHeight="1" x14ac:dyDescent="0.15">
      <c r="A114" s="134">
        <v>111</v>
      </c>
      <c r="B114" s="134"/>
      <c r="C114" s="135" t="s">
        <v>338</v>
      </c>
      <c r="D114" s="135"/>
      <c r="E114" s="135">
        <f t="shared" si="15"/>
        <v>30</v>
      </c>
      <c r="F114" s="136" t="s">
        <v>339</v>
      </c>
      <c r="G114" s="137">
        <v>61</v>
      </c>
      <c r="H114" s="138">
        <f>INT((G114*Valores!$C$2*100)+0.5)/100</f>
        <v>816.34</v>
      </c>
      <c r="I114" s="139">
        <v>1545</v>
      </c>
      <c r="J114" s="140">
        <f>INT((I114*Valores!$C$2*100)+0.5)/100</f>
        <v>20676.12</v>
      </c>
      <c r="K114" s="155">
        <v>0</v>
      </c>
      <c r="L114" s="140">
        <f>INT((K114*Valores!$C$2*100)+0.5)/100</f>
        <v>0</v>
      </c>
      <c r="M114" s="153">
        <v>0</v>
      </c>
      <c r="N114" s="140">
        <f>INT((M114*Valores!$C$2*100)+0.5)/100</f>
        <v>0</v>
      </c>
      <c r="O114" s="140">
        <f t="shared" si="16"/>
        <v>4428.8174999999992</v>
      </c>
      <c r="P114" s="140">
        <f t="shared" si="17"/>
        <v>0</v>
      </c>
      <c r="Q114" s="142">
        <f>Valores!$C$21</f>
        <v>11564.28</v>
      </c>
      <c r="R114" s="142">
        <f>Valores!$D$4</f>
        <v>6841.19</v>
      </c>
      <c r="S114" s="140">
        <f>Valores!$C$28</f>
        <v>6103.41</v>
      </c>
      <c r="T114" s="143">
        <f>IF($H$5="NO",Valores!$C$42,Valores!$C$42/2)</f>
        <v>1732.26</v>
      </c>
      <c r="U114" s="154">
        <f>Valores!$C$26</f>
        <v>6300.73</v>
      </c>
      <c r="V114" s="140">
        <f t="shared" si="23"/>
        <v>6300.73</v>
      </c>
      <c r="W114" s="140">
        <v>0</v>
      </c>
      <c r="X114" s="140">
        <v>0</v>
      </c>
      <c r="Y114" s="144">
        <v>0</v>
      </c>
      <c r="Z114" s="140">
        <f>Y114*Valores!$C$2</f>
        <v>0</v>
      </c>
      <c r="AA114" s="140">
        <v>0</v>
      </c>
      <c r="AB114" s="143">
        <f>Valores!$C$90</f>
        <v>2575.39</v>
      </c>
      <c r="AC114" s="145">
        <f>Valores!$C$31</f>
        <v>279.8</v>
      </c>
      <c r="AD114" s="140">
        <f t="shared" si="19"/>
        <v>0</v>
      </c>
      <c r="AE114" s="140">
        <f>Valores!$C$32</f>
        <v>279.8</v>
      </c>
      <c r="AF114" s="144">
        <v>94</v>
      </c>
      <c r="AG114" s="140">
        <f>INT(((AF114*Valores!$C$2)*100)+0.5)/100</f>
        <v>1257.96</v>
      </c>
      <c r="AH114" s="140">
        <f>IF($H$5="NO",Valores!$C$60,Valores!$C$60/2)</f>
        <v>569.14</v>
      </c>
      <c r="AI114" s="140">
        <f>IF($H$5="NO",Valores!$C$62,Valores!$C$62/2)</f>
        <v>162.61000000000001</v>
      </c>
      <c r="AJ114" s="146">
        <f t="shared" si="20"/>
        <v>63587.847500000003</v>
      </c>
      <c r="AK114" s="142">
        <f>Valores!$C$37</f>
        <v>1465.56</v>
      </c>
      <c r="AL114" s="143">
        <f>Valores!$C$85</f>
        <v>2275</v>
      </c>
      <c r="AM114" s="143"/>
      <c r="AN114" s="145">
        <f>IF($H$4="NO",0,Valores!$C$53)</f>
        <v>170.34</v>
      </c>
      <c r="AO114" s="147">
        <f t="shared" si="18"/>
        <v>3910.9</v>
      </c>
      <c r="AP114" s="148">
        <f>AJ114*Valores!$C$69</f>
        <v>-6994.6632250000002</v>
      </c>
      <c r="AQ114" s="148">
        <f>AJ114*-Valores!$C$70</f>
        <v>0</v>
      </c>
      <c r="AR114" s="142">
        <f>AJ114*Valores!$C$71</f>
        <v>-2861.4531375000001</v>
      </c>
      <c r="AS114" s="142">
        <f>Valores!$C$95</f>
        <v>-193.38</v>
      </c>
      <c r="AT114" s="142">
        <f>IF($H$6=0,Valores!$C$96,(Valores!$C$96+$H$6*(Valores!$C$96)))</f>
        <v>-178</v>
      </c>
      <c r="AU114" s="146">
        <f t="shared" si="21"/>
        <v>57271.251137500003</v>
      </c>
      <c r="AV114" s="199">
        <f t="shared" si="14"/>
        <v>-6994.6632250000002</v>
      </c>
      <c r="AW114" s="142">
        <f>AJ114*Valores!$C$72</f>
        <v>-1716.8718825000001</v>
      </c>
      <c r="AX114" s="142">
        <f>AJ114*Valores!$C$73</f>
        <v>-190.76354250000003</v>
      </c>
      <c r="AY114" s="146">
        <f t="shared" si="22"/>
        <v>58596.448850000001</v>
      </c>
      <c r="AZ114" s="150"/>
      <c r="BA114" s="150">
        <v>25</v>
      </c>
      <c r="BB114" s="135" t="s">
        <v>8</v>
      </c>
    </row>
    <row r="115" spans="1:54" s="114" customFormat="1" ht="11.25" customHeight="1" x14ac:dyDescent="0.15">
      <c r="A115" s="134">
        <v>112</v>
      </c>
      <c r="B115" s="134"/>
      <c r="C115" s="135" t="s">
        <v>340</v>
      </c>
      <c r="D115" s="135"/>
      <c r="E115" s="135">
        <f t="shared" si="15"/>
        <v>30</v>
      </c>
      <c r="F115" s="136" t="s">
        <v>341</v>
      </c>
      <c r="G115" s="137">
        <f>75+143</f>
        <v>218</v>
      </c>
      <c r="H115" s="138">
        <f>INT((G115*Valores!$C$2*100)+0.5)/100</f>
        <v>2917.41</v>
      </c>
      <c r="I115" s="139">
        <v>2100</v>
      </c>
      <c r="J115" s="140">
        <f>INT((I115*Valores!$C$2*100)+0.5)/100</f>
        <v>28103.46</v>
      </c>
      <c r="K115" s="155">
        <v>0</v>
      </c>
      <c r="L115" s="140">
        <f>INT((K115*Valores!$C$2*100)+0.5)/100</f>
        <v>0</v>
      </c>
      <c r="M115" s="153">
        <v>0</v>
      </c>
      <c r="N115" s="140">
        <f>INT((M115*Valores!$C$2*100)+0.5)/100</f>
        <v>0</v>
      </c>
      <c r="O115" s="140">
        <f t="shared" si="16"/>
        <v>5858.0789999999997</v>
      </c>
      <c r="P115" s="140">
        <f t="shared" si="17"/>
        <v>0</v>
      </c>
      <c r="Q115" s="142">
        <f>Valores!$C$21</f>
        <v>11564.28</v>
      </c>
      <c r="R115" s="142">
        <f>Valores!$D$4</f>
        <v>6841.19</v>
      </c>
      <c r="S115" s="154">
        <f>Valores!$C$28</f>
        <v>6103.41</v>
      </c>
      <c r="T115" s="143">
        <f>IF($H$5="NO",Valores!$C$42,Valores!$C$42/2)</f>
        <v>1732.26</v>
      </c>
      <c r="U115" s="154">
        <f>Valores!$C$26</f>
        <v>6300.73</v>
      </c>
      <c r="V115" s="140">
        <f t="shared" si="23"/>
        <v>6300.73</v>
      </c>
      <c r="W115" s="140">
        <v>0</v>
      </c>
      <c r="X115" s="140">
        <v>0</v>
      </c>
      <c r="Y115" s="144">
        <v>0</v>
      </c>
      <c r="Z115" s="140">
        <f>Y115*Valores!$C$2</f>
        <v>0</v>
      </c>
      <c r="AA115" s="140">
        <v>0</v>
      </c>
      <c r="AB115" s="143">
        <f>Valores!$C$90</f>
        <v>2575.39</v>
      </c>
      <c r="AC115" s="145">
        <f>Valores!$C$31</f>
        <v>279.8</v>
      </c>
      <c r="AD115" s="140">
        <f t="shared" si="19"/>
        <v>0</v>
      </c>
      <c r="AE115" s="140">
        <f>Valores!$C$32</f>
        <v>279.8</v>
      </c>
      <c r="AF115" s="144">
        <v>0</v>
      </c>
      <c r="AG115" s="140">
        <f>INT(((AF115*Valores!$C$2)*100)+0.5)/100</f>
        <v>0</v>
      </c>
      <c r="AH115" s="140">
        <f>IF($H$5="NO",Valores!$C$60,Valores!$C$60/2)</f>
        <v>569.14</v>
      </c>
      <c r="AI115" s="140">
        <f>IF($H$5="NO",Valores!$C$62,Valores!$C$62/2)</f>
        <v>162.61000000000001</v>
      </c>
      <c r="AJ115" s="146">
        <f t="shared" si="20"/>
        <v>73287.558999999994</v>
      </c>
      <c r="AK115" s="142">
        <f>Valores!$C$37</f>
        <v>1465.56</v>
      </c>
      <c r="AL115" s="143">
        <f>Valores!$C$85</f>
        <v>2275</v>
      </c>
      <c r="AM115" s="143"/>
      <c r="AN115" s="145">
        <f>IF($H$4="NO",0,Valores!$C$53)</f>
        <v>170.34</v>
      </c>
      <c r="AO115" s="147">
        <f t="shared" si="18"/>
        <v>3910.9</v>
      </c>
      <c r="AP115" s="148">
        <f>AJ115*Valores!$C$69</f>
        <v>-8061.6314899999998</v>
      </c>
      <c r="AQ115" s="148">
        <f>AJ115*-Valores!$C$70</f>
        <v>0</v>
      </c>
      <c r="AR115" s="142">
        <f>AJ115*Valores!$C$71</f>
        <v>-3297.9401549999998</v>
      </c>
      <c r="AS115" s="142">
        <f>Valores!$C$95</f>
        <v>-193.38</v>
      </c>
      <c r="AT115" s="142">
        <f>IF($H$6=0,Valores!$C$96,(Valores!$C$96+$H$6*(Valores!$C$96)))</f>
        <v>-178</v>
      </c>
      <c r="AU115" s="146">
        <f t="shared" si="21"/>
        <v>65467.507354999994</v>
      </c>
      <c r="AV115" s="199">
        <f t="shared" si="14"/>
        <v>-8061.6314899999998</v>
      </c>
      <c r="AW115" s="142">
        <f>AJ115*Valores!$C$72</f>
        <v>-1978.7640929999998</v>
      </c>
      <c r="AX115" s="142">
        <f>AJ115*Valores!$C$73</f>
        <v>-219.86267699999999</v>
      </c>
      <c r="AY115" s="146">
        <f t="shared" si="22"/>
        <v>66938.200739999986</v>
      </c>
      <c r="AZ115" s="150"/>
      <c r="BA115" s="150">
        <v>30</v>
      </c>
      <c r="BB115" s="135" t="s">
        <v>4</v>
      </c>
    </row>
    <row r="116" spans="1:54" s="114" customFormat="1" ht="11.25" customHeight="1" x14ac:dyDescent="0.15">
      <c r="A116" s="134">
        <v>113</v>
      </c>
      <c r="B116" s="134"/>
      <c r="C116" s="135" t="s">
        <v>342</v>
      </c>
      <c r="D116" s="135"/>
      <c r="E116" s="135">
        <f t="shared" si="15"/>
        <v>30</v>
      </c>
      <c r="F116" s="136" t="s">
        <v>343</v>
      </c>
      <c r="G116" s="137">
        <f>77+143</f>
        <v>220</v>
      </c>
      <c r="H116" s="138">
        <f>INT((G116*Valores!$C$2*100)+0.5)/100</f>
        <v>2944.17</v>
      </c>
      <c r="I116" s="139">
        <v>1995</v>
      </c>
      <c r="J116" s="140">
        <f>INT((I116*Valores!$C$2*100)+0.5)/100</f>
        <v>26698.29</v>
      </c>
      <c r="K116" s="155">
        <v>0</v>
      </c>
      <c r="L116" s="140">
        <f>INT((K116*Valores!$C$2*100)+0.5)/100</f>
        <v>0</v>
      </c>
      <c r="M116" s="153">
        <v>0</v>
      </c>
      <c r="N116" s="140">
        <f>INT((M116*Valores!$C$2*100)+0.5)/100</f>
        <v>0</v>
      </c>
      <c r="O116" s="140">
        <f t="shared" si="16"/>
        <v>5651.3175000000001</v>
      </c>
      <c r="P116" s="140">
        <f t="shared" si="17"/>
        <v>0</v>
      </c>
      <c r="Q116" s="142">
        <f>Valores!$C$21</f>
        <v>11564.28</v>
      </c>
      <c r="R116" s="142">
        <f>Valores!$D$4</f>
        <v>6841.19</v>
      </c>
      <c r="S116" s="154">
        <f>Valores!$C$28</f>
        <v>6103.41</v>
      </c>
      <c r="T116" s="143">
        <f>IF($H$5="NO",Valores!$C$42,Valores!$C$42/2)</f>
        <v>1732.26</v>
      </c>
      <c r="U116" s="154">
        <f>Valores!$C$26</f>
        <v>6300.73</v>
      </c>
      <c r="V116" s="140">
        <f t="shared" si="23"/>
        <v>6300.73</v>
      </c>
      <c r="W116" s="140">
        <v>0</v>
      </c>
      <c r="X116" s="140">
        <v>0</v>
      </c>
      <c r="Y116" s="144">
        <v>0</v>
      </c>
      <c r="Z116" s="140">
        <f>Y116*Valores!$C$2</f>
        <v>0</v>
      </c>
      <c r="AA116" s="140">
        <v>0</v>
      </c>
      <c r="AB116" s="143">
        <f>Valores!$C$90</f>
        <v>2575.39</v>
      </c>
      <c r="AC116" s="145">
        <f>Valores!$C$31</f>
        <v>279.8</v>
      </c>
      <c r="AD116" s="140">
        <f t="shared" si="19"/>
        <v>0</v>
      </c>
      <c r="AE116" s="140">
        <f>Valores!$C$32</f>
        <v>279.8</v>
      </c>
      <c r="AF116" s="144">
        <v>0</v>
      </c>
      <c r="AG116" s="140">
        <f>INT(((AF116*Valores!$C$2)*100)+0.5)/100</f>
        <v>0</v>
      </c>
      <c r="AH116" s="140">
        <f>IF($H$5="NO",Valores!$C$60,Valores!$C$60/2)</f>
        <v>569.14</v>
      </c>
      <c r="AI116" s="140">
        <f>IF($H$5="NO",Valores!$C$62,Valores!$C$62/2)</f>
        <v>162.61000000000001</v>
      </c>
      <c r="AJ116" s="146">
        <f t="shared" si="20"/>
        <v>71702.387499999997</v>
      </c>
      <c r="AK116" s="142">
        <f>Valores!$C$37</f>
        <v>1465.56</v>
      </c>
      <c r="AL116" s="143">
        <f>Valores!$C$85</f>
        <v>2275</v>
      </c>
      <c r="AM116" s="143"/>
      <c r="AN116" s="145">
        <f>IF($H$4="NO",0,Valores!$C$53)</f>
        <v>170.34</v>
      </c>
      <c r="AO116" s="147">
        <f t="shared" si="18"/>
        <v>3910.9</v>
      </c>
      <c r="AP116" s="148">
        <f>AJ116*Valores!$C$69</f>
        <v>-7887.2626249999994</v>
      </c>
      <c r="AQ116" s="148">
        <f>AJ116*-Valores!$C$70</f>
        <v>0</v>
      </c>
      <c r="AR116" s="142">
        <f>AJ116*Valores!$C$71</f>
        <v>-3226.6074374999998</v>
      </c>
      <c r="AS116" s="142">
        <f>Valores!$C$95</f>
        <v>-193.38</v>
      </c>
      <c r="AT116" s="142">
        <f>IF($H$6=0,Valores!$C$96,(Valores!$C$96+$H$6*(Valores!$C$96)))</f>
        <v>-178</v>
      </c>
      <c r="AU116" s="146">
        <f t="shared" si="21"/>
        <v>64128.037437499996</v>
      </c>
      <c r="AV116" s="199">
        <f t="shared" si="14"/>
        <v>-7887.2626249999994</v>
      </c>
      <c r="AW116" s="142">
        <f>AJ116*Valores!$C$72</f>
        <v>-1935.9644624999999</v>
      </c>
      <c r="AX116" s="142">
        <f>AJ116*Valores!$C$73</f>
        <v>-215.10716249999999</v>
      </c>
      <c r="AY116" s="146">
        <f t="shared" si="22"/>
        <v>65574.953249999991</v>
      </c>
      <c r="AZ116" s="150"/>
      <c r="BA116" s="150">
        <v>30</v>
      </c>
      <c r="BB116" s="135" t="s">
        <v>4</v>
      </c>
    </row>
    <row r="117" spans="1:54" s="114" customFormat="1" ht="11.25" customHeight="1" x14ac:dyDescent="0.15">
      <c r="A117" s="134">
        <v>114</v>
      </c>
      <c r="B117" s="134"/>
      <c r="C117" s="135" t="s">
        <v>344</v>
      </c>
      <c r="D117" s="135"/>
      <c r="E117" s="135">
        <f t="shared" si="15"/>
        <v>30</v>
      </c>
      <c r="F117" s="136" t="s">
        <v>345</v>
      </c>
      <c r="G117" s="137">
        <f>72+115</f>
        <v>187</v>
      </c>
      <c r="H117" s="138">
        <f>INT((G117*Valores!$C$2*100)+0.5)/100</f>
        <v>2502.5500000000002</v>
      </c>
      <c r="I117" s="139">
        <v>1704</v>
      </c>
      <c r="J117" s="140">
        <f>INT((I117*Valores!$C$2*100)+0.5)/100</f>
        <v>22803.95</v>
      </c>
      <c r="K117" s="155">
        <v>0</v>
      </c>
      <c r="L117" s="140">
        <f>INT((K117*Valores!$C$2*100)+0.5)/100</f>
        <v>0</v>
      </c>
      <c r="M117" s="153">
        <v>0</v>
      </c>
      <c r="N117" s="140">
        <f>INT((M117*Valores!$C$2*100)+0.5)/100</f>
        <v>0</v>
      </c>
      <c r="O117" s="140">
        <f t="shared" si="16"/>
        <v>5000.9234999999999</v>
      </c>
      <c r="P117" s="140">
        <f t="shared" si="17"/>
        <v>0</v>
      </c>
      <c r="Q117" s="142">
        <f>Valores!$C$21</f>
        <v>11564.28</v>
      </c>
      <c r="R117" s="142">
        <f>Valores!$D$4</f>
        <v>6841.19</v>
      </c>
      <c r="S117" s="154">
        <f>Valores!$C$28</f>
        <v>6103.41</v>
      </c>
      <c r="T117" s="143">
        <f>IF($H$5="NO",Valores!$C$42,Valores!$C$42/2)</f>
        <v>1732.26</v>
      </c>
      <c r="U117" s="154">
        <f>Valores!$C$26</f>
        <v>6300.73</v>
      </c>
      <c r="V117" s="140">
        <f t="shared" si="23"/>
        <v>6300.73</v>
      </c>
      <c r="W117" s="140">
        <v>0</v>
      </c>
      <c r="X117" s="140">
        <v>0</v>
      </c>
      <c r="Y117" s="144">
        <v>0</v>
      </c>
      <c r="Z117" s="140">
        <f>Y117*Valores!$C$2</f>
        <v>0</v>
      </c>
      <c r="AA117" s="140">
        <v>0</v>
      </c>
      <c r="AB117" s="143">
        <f>Valores!$C$90</f>
        <v>2575.39</v>
      </c>
      <c r="AC117" s="145">
        <f>Valores!$C$31</f>
        <v>279.8</v>
      </c>
      <c r="AD117" s="140">
        <f t="shared" si="19"/>
        <v>0</v>
      </c>
      <c r="AE117" s="140">
        <f>Valores!$C$32</f>
        <v>279.8</v>
      </c>
      <c r="AF117" s="144">
        <v>0</v>
      </c>
      <c r="AG117" s="140">
        <f>INT(((AF117*Valores!$C$2)*100)+0.5)/100</f>
        <v>0</v>
      </c>
      <c r="AH117" s="140">
        <f>IF($H$5="NO",Valores!$C$60,Valores!$C$60/2)</f>
        <v>569.14</v>
      </c>
      <c r="AI117" s="140">
        <f>IF($H$5="NO",Valores!$C$62,Valores!$C$62/2)</f>
        <v>162.61000000000001</v>
      </c>
      <c r="AJ117" s="146">
        <f t="shared" si="20"/>
        <v>66716.03350000002</v>
      </c>
      <c r="AK117" s="142">
        <f>Valores!$C$37</f>
        <v>1465.56</v>
      </c>
      <c r="AL117" s="143">
        <f>Valores!$C$85</f>
        <v>2275</v>
      </c>
      <c r="AM117" s="143"/>
      <c r="AN117" s="145">
        <f>IF($H$4="NO",0,Valores!$C$53)</f>
        <v>170.34</v>
      </c>
      <c r="AO117" s="147">
        <f t="shared" si="18"/>
        <v>3910.9</v>
      </c>
      <c r="AP117" s="148">
        <f>AJ117*Valores!$C$69</f>
        <v>-7338.7636850000026</v>
      </c>
      <c r="AQ117" s="148">
        <f>AJ117*-Valores!$C$70</f>
        <v>0</v>
      </c>
      <c r="AR117" s="142">
        <f>AJ117*Valores!$C$71</f>
        <v>-3002.2215075000008</v>
      </c>
      <c r="AS117" s="142">
        <f>Valores!$C$95</f>
        <v>-193.38</v>
      </c>
      <c r="AT117" s="142">
        <f>IF($H$6=0,Valores!$C$96,(Valores!$C$96+$H$6*(Valores!$C$96)))</f>
        <v>-178</v>
      </c>
      <c r="AU117" s="146">
        <f t="shared" si="21"/>
        <v>59914.568307500012</v>
      </c>
      <c r="AV117" s="199">
        <f t="shared" si="14"/>
        <v>-7338.7636850000026</v>
      </c>
      <c r="AW117" s="142">
        <f>AJ117*Valores!$C$72</f>
        <v>-1801.3329045000005</v>
      </c>
      <c r="AX117" s="142">
        <f>AJ117*Valores!$C$73</f>
        <v>-200.14810050000006</v>
      </c>
      <c r="AY117" s="146">
        <f t="shared" si="22"/>
        <v>61286.688810000007</v>
      </c>
      <c r="AZ117" s="150"/>
      <c r="BA117" s="150">
        <v>30</v>
      </c>
      <c r="BB117" s="135" t="s">
        <v>4</v>
      </c>
    </row>
    <row r="118" spans="1:54" s="114" customFormat="1" ht="11.25" customHeight="1" x14ac:dyDescent="0.15">
      <c r="A118" s="152">
        <v>115</v>
      </c>
      <c r="B118" s="152" t="s">
        <v>139</v>
      </c>
      <c r="C118" s="135" t="s">
        <v>346</v>
      </c>
      <c r="D118" s="135"/>
      <c r="E118" s="135">
        <f t="shared" si="15"/>
        <v>30</v>
      </c>
      <c r="F118" s="136" t="s">
        <v>347</v>
      </c>
      <c r="G118" s="137">
        <f>67+94</f>
        <v>161</v>
      </c>
      <c r="H118" s="138">
        <f>INT((G118*Valores!$C$2*100)+0.5)/100</f>
        <v>2154.6</v>
      </c>
      <c r="I118" s="139">
        <v>1480</v>
      </c>
      <c r="J118" s="140">
        <f>INT((I118*Valores!$C$2*100)+0.5)/100</f>
        <v>19806.25</v>
      </c>
      <c r="K118" s="155">
        <v>0</v>
      </c>
      <c r="L118" s="140">
        <f>INT((K118*Valores!$C$2*100)+0.5)/100</f>
        <v>0</v>
      </c>
      <c r="M118" s="153">
        <v>0</v>
      </c>
      <c r="N118" s="140">
        <f>INT((M118*Valores!$C$2*100)+0.5)/100</f>
        <v>0</v>
      </c>
      <c r="O118" s="140">
        <f t="shared" si="16"/>
        <v>4499.0759999999991</v>
      </c>
      <c r="P118" s="140">
        <f t="shared" si="17"/>
        <v>0</v>
      </c>
      <c r="Q118" s="142">
        <f>Valores!$C$21</f>
        <v>11564.28</v>
      </c>
      <c r="R118" s="142">
        <f>Valores!$D$4</f>
        <v>6841.19</v>
      </c>
      <c r="S118" s="154">
        <f>Valores!$C$28</f>
        <v>6103.41</v>
      </c>
      <c r="T118" s="143">
        <f>IF($H$5="NO",Valores!$C$42,Valores!$C$42/2)</f>
        <v>1732.26</v>
      </c>
      <c r="U118" s="154">
        <f>Valores!$C$26</f>
        <v>6300.73</v>
      </c>
      <c r="V118" s="140">
        <f t="shared" si="23"/>
        <v>6300.73</v>
      </c>
      <c r="W118" s="140">
        <v>0</v>
      </c>
      <c r="X118" s="140">
        <v>0</v>
      </c>
      <c r="Y118" s="144">
        <v>0</v>
      </c>
      <c r="Z118" s="140">
        <f>Y118*Valores!$C$2</f>
        <v>0</v>
      </c>
      <c r="AA118" s="140">
        <v>0</v>
      </c>
      <c r="AB118" s="143">
        <f>Valores!$C$90</f>
        <v>2575.39</v>
      </c>
      <c r="AC118" s="145">
        <f>Valores!$C$31</f>
        <v>279.8</v>
      </c>
      <c r="AD118" s="140">
        <f t="shared" si="19"/>
        <v>0</v>
      </c>
      <c r="AE118" s="140">
        <f>Valores!$C$32</f>
        <v>279.8</v>
      </c>
      <c r="AF118" s="144">
        <v>0</v>
      </c>
      <c r="AG118" s="140">
        <f>INT(((AF118*Valores!$C$2)*100)+0.5)/100</f>
        <v>0</v>
      </c>
      <c r="AH118" s="140">
        <f>IF($H$5="NO",Valores!$C$60,Valores!$C$60/2)</f>
        <v>569.14</v>
      </c>
      <c r="AI118" s="140">
        <f>IF($H$5="NO",Valores!$C$62,Valores!$C$62/2)</f>
        <v>162.61000000000001</v>
      </c>
      <c r="AJ118" s="146">
        <f t="shared" si="20"/>
        <v>62868.536</v>
      </c>
      <c r="AK118" s="142">
        <f>Valores!$C$37</f>
        <v>1465.56</v>
      </c>
      <c r="AL118" s="143">
        <f>Valores!$C$85</f>
        <v>2275</v>
      </c>
      <c r="AM118" s="143"/>
      <c r="AN118" s="145">
        <f>IF($H$4="NO",0,Valores!$C$53)</f>
        <v>170.34</v>
      </c>
      <c r="AO118" s="147">
        <f t="shared" si="18"/>
        <v>3910.9</v>
      </c>
      <c r="AP118" s="148">
        <f>AJ118*Valores!$C$69</f>
        <v>-6915.5389599999999</v>
      </c>
      <c r="AQ118" s="148">
        <f>AJ118*-Valores!$C$70</f>
        <v>0</v>
      </c>
      <c r="AR118" s="142">
        <f>AJ118*Valores!$C$71</f>
        <v>-2829.08412</v>
      </c>
      <c r="AS118" s="142">
        <f>Valores!$C$95</f>
        <v>-193.38</v>
      </c>
      <c r="AT118" s="142">
        <f>IF($H$6=0,Valores!$C$96,(Valores!$C$96+$H$6*(Valores!$C$96)))</f>
        <v>-178</v>
      </c>
      <c r="AU118" s="146">
        <f t="shared" si="21"/>
        <v>56663.432919999999</v>
      </c>
      <c r="AV118" s="199">
        <f t="shared" si="14"/>
        <v>-6915.5389599999999</v>
      </c>
      <c r="AW118" s="142">
        <f>AJ118*Valores!$C$72</f>
        <v>-1697.450472</v>
      </c>
      <c r="AX118" s="142">
        <f>AJ118*Valores!$C$73</f>
        <v>-188.60560800000002</v>
      </c>
      <c r="AY118" s="146">
        <f t="shared" si="22"/>
        <v>57977.840960000001</v>
      </c>
      <c r="AZ118" s="150"/>
      <c r="BA118" s="150">
        <v>30</v>
      </c>
      <c r="BB118" s="135" t="s">
        <v>4</v>
      </c>
    </row>
    <row r="119" spans="1:54" s="114" customFormat="1" ht="11.25" customHeight="1" x14ac:dyDescent="0.15">
      <c r="A119" s="134">
        <v>116</v>
      </c>
      <c r="B119" s="134"/>
      <c r="C119" s="135" t="s">
        <v>348</v>
      </c>
      <c r="D119" s="135"/>
      <c r="E119" s="135">
        <f t="shared" si="15"/>
        <v>30</v>
      </c>
      <c r="F119" s="136" t="s">
        <v>349</v>
      </c>
      <c r="G119" s="137">
        <f>1184+94</f>
        <v>1278</v>
      </c>
      <c r="H119" s="138">
        <f>INT((G119*Valores!$C$2*100)+0.5)/100</f>
        <v>17102.96</v>
      </c>
      <c r="I119" s="156">
        <v>0</v>
      </c>
      <c r="J119" s="140">
        <f>INT((I119*Valores!$C$2*100)+0.5)/100</f>
        <v>0</v>
      </c>
      <c r="K119" s="155">
        <v>0</v>
      </c>
      <c r="L119" s="140">
        <f>INT((K119*Valores!$C$2*100)+0.5)/100</f>
        <v>0</v>
      </c>
      <c r="M119" s="153">
        <v>0</v>
      </c>
      <c r="N119" s="140">
        <f>INT((M119*Valores!$C$2*100)+0.5)/100</f>
        <v>0</v>
      </c>
      <c r="O119" s="140">
        <f t="shared" si="16"/>
        <v>3770.3924999999995</v>
      </c>
      <c r="P119" s="140">
        <f t="shared" si="17"/>
        <v>0</v>
      </c>
      <c r="Q119" s="142">
        <f>Valores!$C$21</f>
        <v>11564.28</v>
      </c>
      <c r="R119" s="142">
        <f>Valores!$D$4</f>
        <v>6841.19</v>
      </c>
      <c r="S119" s="140">
        <f>Valores!$C$28</f>
        <v>6103.41</v>
      </c>
      <c r="T119" s="143">
        <f>IF($H$5="NO",Valores!$C$42,Valores!$C$42/2)</f>
        <v>1732.26</v>
      </c>
      <c r="U119" s="154">
        <f>Valores!$C$26</f>
        <v>6300.73</v>
      </c>
      <c r="V119" s="140">
        <f t="shared" si="23"/>
        <v>6300.73</v>
      </c>
      <c r="W119" s="140">
        <v>0</v>
      </c>
      <c r="X119" s="140">
        <v>0</v>
      </c>
      <c r="Y119" s="144">
        <v>0</v>
      </c>
      <c r="Z119" s="140">
        <f>Y119*Valores!$C$2</f>
        <v>0</v>
      </c>
      <c r="AA119" s="140">
        <v>0</v>
      </c>
      <c r="AB119" s="143">
        <f>Valores!$C$90</f>
        <v>2575.39</v>
      </c>
      <c r="AC119" s="145">
        <f>Valores!$C$31</f>
        <v>279.8</v>
      </c>
      <c r="AD119" s="140">
        <f t="shared" si="19"/>
        <v>0</v>
      </c>
      <c r="AE119" s="140">
        <f>Valores!$C$32</f>
        <v>279.8</v>
      </c>
      <c r="AF119" s="144">
        <v>0</v>
      </c>
      <c r="AG119" s="140">
        <f>INT(((AF119*Valores!$C$2)*100)+0.5)/100</f>
        <v>0</v>
      </c>
      <c r="AH119" s="140">
        <f>IF($H$5="NO",Valores!$C$60,Valores!$C$60/2)</f>
        <v>569.14</v>
      </c>
      <c r="AI119" s="140">
        <f>IF($H$5="NO",Valores!$C$62,Valores!$C$62/2)</f>
        <v>162.61000000000001</v>
      </c>
      <c r="AJ119" s="146">
        <f t="shared" si="20"/>
        <v>57281.962500000001</v>
      </c>
      <c r="AK119" s="142">
        <f>Valores!$C$37</f>
        <v>1465.56</v>
      </c>
      <c r="AL119" s="143">
        <f>Valores!$C$85</f>
        <v>2275</v>
      </c>
      <c r="AM119" s="143"/>
      <c r="AN119" s="145">
        <f>IF($H$4="NO",0,Valores!$C$53)</f>
        <v>170.34</v>
      </c>
      <c r="AO119" s="147">
        <f t="shared" si="18"/>
        <v>3910.9</v>
      </c>
      <c r="AP119" s="148">
        <f>AJ119*Valores!$C$69</f>
        <v>-6301.0158750000001</v>
      </c>
      <c r="AQ119" s="148">
        <f>AJ119*-Valores!$C$70</f>
        <v>0</v>
      </c>
      <c r="AR119" s="142">
        <f>AJ119*Valores!$C$71</f>
        <v>-2577.6883124999999</v>
      </c>
      <c r="AS119" s="142">
        <f>Valores!$C$95</f>
        <v>-193.38</v>
      </c>
      <c r="AT119" s="142">
        <f>IF($H$6=0,Valores!$C$96,(Valores!$C$96+$H$6*(Valores!$C$96)))</f>
        <v>-178</v>
      </c>
      <c r="AU119" s="146">
        <f t="shared" si="21"/>
        <v>51942.778312499999</v>
      </c>
      <c r="AV119" s="199">
        <f t="shared" si="14"/>
        <v>-6301.0158750000001</v>
      </c>
      <c r="AW119" s="142">
        <f>AJ119*Valores!$C$72</f>
        <v>-1546.6129874999999</v>
      </c>
      <c r="AX119" s="142">
        <f>AJ119*Valores!$C$73</f>
        <v>-171.8458875</v>
      </c>
      <c r="AY119" s="146">
        <f t="shared" si="22"/>
        <v>53173.387750000002</v>
      </c>
      <c r="AZ119" s="150"/>
      <c r="BA119" s="150">
        <v>30</v>
      </c>
      <c r="BB119" s="135" t="s">
        <v>4</v>
      </c>
    </row>
    <row r="120" spans="1:54" s="114" customFormat="1" ht="11.25" customHeight="1" x14ac:dyDescent="0.15">
      <c r="A120" s="134">
        <v>117</v>
      </c>
      <c r="B120" s="134"/>
      <c r="C120" s="135" t="s">
        <v>350</v>
      </c>
      <c r="D120" s="135"/>
      <c r="E120" s="135">
        <f t="shared" si="15"/>
        <v>17</v>
      </c>
      <c r="F120" s="136" t="s">
        <v>351</v>
      </c>
      <c r="G120" s="137">
        <v>77</v>
      </c>
      <c r="H120" s="138">
        <f>INT((G120*Valores!$C$2*100)+0.5)/100</f>
        <v>1030.46</v>
      </c>
      <c r="I120" s="156">
        <v>2073</v>
      </c>
      <c r="J120" s="140">
        <f>INT((I120*Valores!$C$2*100)+0.5)/100</f>
        <v>27742.13</v>
      </c>
      <c r="K120" s="155">
        <v>0</v>
      </c>
      <c r="L120" s="140">
        <f>INT((K120*Valores!$C$2*100)+0.5)/100</f>
        <v>0</v>
      </c>
      <c r="M120" s="153">
        <v>0</v>
      </c>
      <c r="N120" s="140">
        <f>INT((M120*Valores!$C$2*100)+0.5)/100</f>
        <v>0</v>
      </c>
      <c r="O120" s="140">
        <f t="shared" si="16"/>
        <v>5610.9224999999997</v>
      </c>
      <c r="P120" s="140">
        <f t="shared" si="17"/>
        <v>0</v>
      </c>
      <c r="Q120" s="142">
        <f>Valores!$C$15</f>
        <v>13989.51</v>
      </c>
      <c r="R120" s="142">
        <f>Valores!$D$4</f>
        <v>6841.19</v>
      </c>
      <c r="S120" s="154">
        <f>Valores!$C$28</f>
        <v>6103.41</v>
      </c>
      <c r="T120" s="143">
        <f>IF($H$5="NO",Valores!$C$44,Valores!$C$44/2)</f>
        <v>2267.75</v>
      </c>
      <c r="U120" s="140">
        <f>Valores!$C$25</f>
        <v>6365.81</v>
      </c>
      <c r="V120" s="140">
        <f t="shared" si="23"/>
        <v>6365.81</v>
      </c>
      <c r="W120" s="140">
        <v>0</v>
      </c>
      <c r="X120" s="140">
        <v>0</v>
      </c>
      <c r="Y120" s="144">
        <v>0</v>
      </c>
      <c r="Z120" s="140">
        <f>Y120*Valores!$C$2</f>
        <v>0</v>
      </c>
      <c r="AA120" s="140">
        <v>0</v>
      </c>
      <c r="AB120" s="143">
        <f>Valores!$C$90</f>
        <v>2575.39</v>
      </c>
      <c r="AC120" s="145">
        <f>Valores!$C$31</f>
        <v>279.8</v>
      </c>
      <c r="AD120" s="140">
        <f t="shared" si="19"/>
        <v>0</v>
      </c>
      <c r="AE120" s="140">
        <f>Valores!$C$32</f>
        <v>279.8</v>
      </c>
      <c r="AF120" s="144">
        <v>0</v>
      </c>
      <c r="AG120" s="140">
        <f>INT(((AF120*Valores!$C$2)*100)+0.5)/100</f>
        <v>0</v>
      </c>
      <c r="AH120" s="140">
        <f>IF($H$5="NO",Valores!$C$60,Valores!$C$60/2)</f>
        <v>569.14</v>
      </c>
      <c r="AI120" s="140">
        <f>IF($H$5="NO",Valores!$C$62,Valores!$C$62/2)</f>
        <v>162.61000000000001</v>
      </c>
      <c r="AJ120" s="146">
        <f t="shared" si="20"/>
        <v>73817.922500000001</v>
      </c>
      <c r="AK120" s="142">
        <f>Valores!$C$37</f>
        <v>1465.56</v>
      </c>
      <c r="AL120" s="143">
        <f>Valores!$C$85</f>
        <v>2275</v>
      </c>
      <c r="AM120" s="143"/>
      <c r="AN120" s="145">
        <f>IF($H$4="NO",0,Valores!$C$53)</f>
        <v>170.34</v>
      </c>
      <c r="AO120" s="147">
        <f t="shared" si="18"/>
        <v>3910.9</v>
      </c>
      <c r="AP120" s="148">
        <f>AJ120*Valores!$C$69</f>
        <v>-8119.9714750000003</v>
      </c>
      <c r="AQ120" s="148">
        <f>AJ120*-Valores!$C$70</f>
        <v>0</v>
      </c>
      <c r="AR120" s="142">
        <f>AJ120*Valores!$C$71</f>
        <v>-3321.8065124999998</v>
      </c>
      <c r="AS120" s="142">
        <f>Valores!$C$95</f>
        <v>-193.38</v>
      </c>
      <c r="AT120" s="142">
        <f>IF($H$6=0,Valores!$C$96,(Valores!$C$96+$H$6*(Valores!$C$96)))</f>
        <v>-178</v>
      </c>
      <c r="AU120" s="146">
        <f t="shared" si="21"/>
        <v>65915.664512500007</v>
      </c>
      <c r="AV120" s="199">
        <f t="shared" si="14"/>
        <v>-8119.9714750000003</v>
      </c>
      <c r="AW120" s="142">
        <f>AJ120*Valores!$C$72</f>
        <v>-1993.0839074999999</v>
      </c>
      <c r="AX120" s="142">
        <f>AJ120*Valores!$C$73</f>
        <v>-221.4537675</v>
      </c>
      <c r="AY120" s="146">
        <f t="shared" si="22"/>
        <v>67394.313349999997</v>
      </c>
      <c r="AZ120" s="150"/>
      <c r="BA120" s="150">
        <v>30</v>
      </c>
      <c r="BB120" s="135" t="s">
        <v>4</v>
      </c>
    </row>
    <row r="121" spans="1:54" s="114" customFormat="1" ht="11.25" customHeight="1" x14ac:dyDescent="0.15">
      <c r="A121" s="134">
        <v>118</v>
      </c>
      <c r="B121" s="134"/>
      <c r="C121" s="135" t="s">
        <v>352</v>
      </c>
      <c r="D121" s="135"/>
      <c r="E121" s="135">
        <f t="shared" si="15"/>
        <v>29</v>
      </c>
      <c r="F121" s="136" t="s">
        <v>353</v>
      </c>
      <c r="G121" s="137">
        <v>77</v>
      </c>
      <c r="H121" s="138">
        <f>INT((G121*Valores!$C$2*100)+0.5)/100</f>
        <v>1030.46</v>
      </c>
      <c r="I121" s="156">
        <v>2043</v>
      </c>
      <c r="J121" s="140">
        <f>INT((I121*Valores!$C$2*100)+0.5)/100</f>
        <v>27340.65</v>
      </c>
      <c r="K121" s="155">
        <v>0</v>
      </c>
      <c r="L121" s="140">
        <f>INT((K121*Valores!$C$2*100)+0.5)/100</f>
        <v>0</v>
      </c>
      <c r="M121" s="153">
        <v>0</v>
      </c>
      <c r="N121" s="140">
        <f>INT((M121*Valores!$C$2*100)+0.5)/100</f>
        <v>0</v>
      </c>
      <c r="O121" s="140">
        <f t="shared" si="16"/>
        <v>5550.7004999999999</v>
      </c>
      <c r="P121" s="140">
        <f t="shared" si="17"/>
        <v>0</v>
      </c>
      <c r="Q121" s="142">
        <f>Valores!$C$16</f>
        <v>14032.86</v>
      </c>
      <c r="R121" s="142">
        <f>Valores!$D$4</f>
        <v>6841.19</v>
      </c>
      <c r="S121" s="154">
        <f>Valores!$C$28</f>
        <v>6103.41</v>
      </c>
      <c r="T121" s="143">
        <f>IF($H$5="NO",Valores!$C$44,Valores!$C$44/2)</f>
        <v>2267.75</v>
      </c>
      <c r="U121" s="140">
        <f>Valores!$C$25</f>
        <v>6365.81</v>
      </c>
      <c r="V121" s="140">
        <f t="shared" si="23"/>
        <v>6365.81</v>
      </c>
      <c r="W121" s="140">
        <v>0</v>
      </c>
      <c r="X121" s="140">
        <v>0</v>
      </c>
      <c r="Y121" s="144">
        <v>0</v>
      </c>
      <c r="Z121" s="140">
        <f>Y121*Valores!$C$2</f>
        <v>0</v>
      </c>
      <c r="AA121" s="140">
        <v>0</v>
      </c>
      <c r="AB121" s="143">
        <f>Valores!$C$90</f>
        <v>2575.39</v>
      </c>
      <c r="AC121" s="145">
        <f>Valores!$C$31</f>
        <v>279.8</v>
      </c>
      <c r="AD121" s="140">
        <f t="shared" si="19"/>
        <v>0</v>
      </c>
      <c r="AE121" s="140">
        <f>Valores!$C$32</f>
        <v>279.8</v>
      </c>
      <c r="AF121" s="144">
        <v>0</v>
      </c>
      <c r="AG121" s="140">
        <f>INT(((AF121*Valores!$C$2)*100)+0.5)/100</f>
        <v>0</v>
      </c>
      <c r="AH121" s="140">
        <f>IF($H$5="NO",Valores!$C$60,Valores!$C$60/2)</f>
        <v>569.14</v>
      </c>
      <c r="AI121" s="140">
        <f>IF($H$5="NO",Valores!$C$62,Valores!$C$62/2)</f>
        <v>162.61000000000001</v>
      </c>
      <c r="AJ121" s="146">
        <f t="shared" si="20"/>
        <v>73399.570500000002</v>
      </c>
      <c r="AK121" s="142">
        <f>Valores!$C$37</f>
        <v>1465.56</v>
      </c>
      <c r="AL121" s="143">
        <f>Valores!$C$85</f>
        <v>2275</v>
      </c>
      <c r="AM121" s="143"/>
      <c r="AN121" s="145">
        <f>IF($H$4="NO",0,Valores!$C$53)</f>
        <v>170.34</v>
      </c>
      <c r="AO121" s="147">
        <f t="shared" si="18"/>
        <v>3910.9</v>
      </c>
      <c r="AP121" s="148">
        <f>AJ121*Valores!$C$69</f>
        <v>-8073.9527550000003</v>
      </c>
      <c r="AQ121" s="148">
        <f>AJ121*-Valores!$C$70</f>
        <v>0</v>
      </c>
      <c r="AR121" s="142">
        <f>AJ121*Valores!$C$71</f>
        <v>-3302.9806724999999</v>
      </c>
      <c r="AS121" s="142">
        <f>Valores!$C$95</f>
        <v>-193.38</v>
      </c>
      <c r="AT121" s="142">
        <f>IF($H$6=0,Valores!$C$96,(Valores!$C$96+$H$6*(Valores!$C$96)))</f>
        <v>-178</v>
      </c>
      <c r="AU121" s="146">
        <f t="shared" si="21"/>
        <v>65562.157072500006</v>
      </c>
      <c r="AV121" s="199">
        <f t="shared" si="14"/>
        <v>-8073.9527550000003</v>
      </c>
      <c r="AW121" s="142">
        <f>AJ121*Valores!$C$72</f>
        <v>-1981.7884035</v>
      </c>
      <c r="AX121" s="142">
        <f>AJ121*Valores!$C$73</f>
        <v>-220.1987115</v>
      </c>
      <c r="AY121" s="146">
        <f t="shared" si="22"/>
        <v>67034.530629999994</v>
      </c>
      <c r="AZ121" s="150"/>
      <c r="BA121" s="150">
        <v>30</v>
      </c>
      <c r="BB121" s="135" t="s">
        <v>4</v>
      </c>
    </row>
    <row r="122" spans="1:54" s="114" customFormat="1" ht="11.25" customHeight="1" x14ac:dyDescent="0.15">
      <c r="A122" s="134">
        <v>119</v>
      </c>
      <c r="B122" s="134"/>
      <c r="C122" s="135" t="s">
        <v>354</v>
      </c>
      <c r="D122" s="135"/>
      <c r="E122" s="135">
        <f t="shared" si="15"/>
        <v>29</v>
      </c>
      <c r="F122" s="136" t="s">
        <v>355</v>
      </c>
      <c r="G122" s="137">
        <v>76</v>
      </c>
      <c r="H122" s="138">
        <f>INT((G122*Valores!$C$2*100)+0.5)/100</f>
        <v>1017.08</v>
      </c>
      <c r="I122" s="156">
        <v>1954</v>
      </c>
      <c r="J122" s="140">
        <f>INT((I122*Valores!$C$2*100)+0.5)/100</f>
        <v>26149.599999999999</v>
      </c>
      <c r="K122" s="155">
        <v>0</v>
      </c>
      <c r="L122" s="140">
        <f>INT((K122*Valores!$C$2*100)+0.5)/100</f>
        <v>0</v>
      </c>
      <c r="M122" s="153">
        <v>0</v>
      </c>
      <c r="N122" s="140">
        <f>INT((M122*Valores!$C$2*100)+0.5)/100</f>
        <v>0</v>
      </c>
      <c r="O122" s="140">
        <f t="shared" si="16"/>
        <v>5370.0359999999991</v>
      </c>
      <c r="P122" s="140">
        <f t="shared" si="17"/>
        <v>0</v>
      </c>
      <c r="Q122" s="142">
        <f>Valores!$C$16</f>
        <v>14032.86</v>
      </c>
      <c r="R122" s="142">
        <f>Valores!$D$4</f>
        <v>6841.19</v>
      </c>
      <c r="S122" s="154">
        <f>Valores!$C$28</f>
        <v>6103.41</v>
      </c>
      <c r="T122" s="143">
        <f>IF($H$5="NO",Valores!$C$44,Valores!$C$44/2)</f>
        <v>2267.75</v>
      </c>
      <c r="U122" s="140">
        <f>Valores!$C$25</f>
        <v>6365.81</v>
      </c>
      <c r="V122" s="140">
        <f t="shared" si="23"/>
        <v>6365.81</v>
      </c>
      <c r="W122" s="140">
        <v>0</v>
      </c>
      <c r="X122" s="140">
        <v>0</v>
      </c>
      <c r="Y122" s="144">
        <v>0</v>
      </c>
      <c r="Z122" s="140">
        <f>Y122*Valores!$C$2</f>
        <v>0</v>
      </c>
      <c r="AA122" s="140">
        <v>0</v>
      </c>
      <c r="AB122" s="143">
        <f>Valores!$C$90</f>
        <v>2575.39</v>
      </c>
      <c r="AC122" s="145">
        <f>Valores!$C$31</f>
        <v>279.8</v>
      </c>
      <c r="AD122" s="140">
        <f t="shared" si="19"/>
        <v>0</v>
      </c>
      <c r="AE122" s="140">
        <f>Valores!$C$32</f>
        <v>279.8</v>
      </c>
      <c r="AF122" s="144">
        <v>0</v>
      </c>
      <c r="AG122" s="140">
        <f>INT(((AF122*Valores!$C$2)*100)+0.5)/100</f>
        <v>0</v>
      </c>
      <c r="AH122" s="140">
        <f>IF($H$5="NO",Valores!$C$60,Valores!$C$60/2)</f>
        <v>569.14</v>
      </c>
      <c r="AI122" s="140">
        <f>IF($H$5="NO",Valores!$C$62,Valores!$C$62/2)</f>
        <v>162.61000000000001</v>
      </c>
      <c r="AJ122" s="146">
        <f t="shared" si="20"/>
        <v>72014.47600000001</v>
      </c>
      <c r="AK122" s="142">
        <f>Valores!$C$37</f>
        <v>1465.56</v>
      </c>
      <c r="AL122" s="143">
        <f>Valores!$C$85</f>
        <v>2275</v>
      </c>
      <c r="AM122" s="143"/>
      <c r="AN122" s="145">
        <f>IF($H$4="NO",0,Valores!$C$53)</f>
        <v>170.34</v>
      </c>
      <c r="AO122" s="147">
        <f t="shared" si="18"/>
        <v>3910.9</v>
      </c>
      <c r="AP122" s="148">
        <f>AJ122*Valores!$C$69</f>
        <v>-7921.5923600000015</v>
      </c>
      <c r="AQ122" s="148">
        <f>AJ122*-Valores!$C$70</f>
        <v>0</v>
      </c>
      <c r="AR122" s="142">
        <f>AJ122*Valores!$C$71</f>
        <v>-3240.6514200000001</v>
      </c>
      <c r="AS122" s="142">
        <f>Valores!$C$95</f>
        <v>-193.38</v>
      </c>
      <c r="AT122" s="142">
        <f>IF($H$6=0,Valores!$C$96,(Valores!$C$96+$H$6*(Valores!$C$96)))</f>
        <v>-178</v>
      </c>
      <c r="AU122" s="146">
        <f t="shared" si="21"/>
        <v>64391.752220000009</v>
      </c>
      <c r="AV122" s="199">
        <f t="shared" si="14"/>
        <v>-7921.5923600000015</v>
      </c>
      <c r="AW122" s="142">
        <f>AJ122*Valores!$C$72</f>
        <v>-1944.3908520000002</v>
      </c>
      <c r="AX122" s="142">
        <f>AJ122*Valores!$C$73</f>
        <v>-216.04342800000003</v>
      </c>
      <c r="AY122" s="146">
        <f t="shared" si="22"/>
        <v>65843.349360000007</v>
      </c>
      <c r="AZ122" s="150"/>
      <c r="BA122" s="150">
        <v>30</v>
      </c>
      <c r="BB122" s="135" t="s">
        <v>4</v>
      </c>
    </row>
    <row r="123" spans="1:54" s="114" customFormat="1" ht="11.25" customHeight="1" x14ac:dyDescent="0.15">
      <c r="A123" s="152">
        <v>120</v>
      </c>
      <c r="B123" s="152" t="s">
        <v>139</v>
      </c>
      <c r="C123" s="135" t="s">
        <v>356</v>
      </c>
      <c r="D123" s="135"/>
      <c r="E123" s="135">
        <f t="shared" si="15"/>
        <v>29</v>
      </c>
      <c r="F123" s="136" t="s">
        <v>357</v>
      </c>
      <c r="G123" s="137">
        <v>274</v>
      </c>
      <c r="H123" s="138">
        <f>INT((G123*Valores!$C$2*100)+0.5)/100</f>
        <v>3666.83</v>
      </c>
      <c r="I123" s="156">
        <v>1163</v>
      </c>
      <c r="J123" s="140">
        <f>INT((I123*Valores!$C$2*100)+0.5)/100</f>
        <v>15563.96</v>
      </c>
      <c r="K123" s="155">
        <v>0</v>
      </c>
      <c r="L123" s="140">
        <f>INT((K123*Valores!$C$2*100)+0.5)/100</f>
        <v>0</v>
      </c>
      <c r="M123" s="153">
        <v>0</v>
      </c>
      <c r="N123" s="140">
        <f>INT((M123*Valores!$C$2*100)+0.5)/100</f>
        <v>0</v>
      </c>
      <c r="O123" s="140">
        <f t="shared" si="16"/>
        <v>4179.6525000000001</v>
      </c>
      <c r="P123" s="140">
        <f t="shared" si="17"/>
        <v>0</v>
      </c>
      <c r="Q123" s="142">
        <f>Valores!$C$16</f>
        <v>14032.86</v>
      </c>
      <c r="R123" s="142">
        <f>Valores!$D$4</f>
        <v>6841.19</v>
      </c>
      <c r="S123" s="154">
        <f>Valores!$C$28</f>
        <v>6103.41</v>
      </c>
      <c r="T123" s="143">
        <f>IF($H$5="NO",Valores!$C$44,Valores!$C$44/2)</f>
        <v>2267.75</v>
      </c>
      <c r="U123" s="140">
        <f>Valores!$C$25</f>
        <v>6365.81</v>
      </c>
      <c r="V123" s="140">
        <f t="shared" si="23"/>
        <v>6365.81</v>
      </c>
      <c r="W123" s="140">
        <v>0</v>
      </c>
      <c r="X123" s="140">
        <v>0</v>
      </c>
      <c r="Y123" s="144">
        <v>0</v>
      </c>
      <c r="Z123" s="140">
        <f>Y123*Valores!$C$2</f>
        <v>0</v>
      </c>
      <c r="AA123" s="140">
        <v>0</v>
      </c>
      <c r="AB123" s="143">
        <f>Valores!$C$90</f>
        <v>2575.39</v>
      </c>
      <c r="AC123" s="145">
        <f>Valores!$C$31</f>
        <v>279.8</v>
      </c>
      <c r="AD123" s="140">
        <f t="shared" si="19"/>
        <v>0</v>
      </c>
      <c r="AE123" s="140">
        <f>Valores!$C$32</f>
        <v>279.8</v>
      </c>
      <c r="AF123" s="144">
        <v>0</v>
      </c>
      <c r="AG123" s="140">
        <f>INT(((AF123*Valores!$C$2)*100)+0.5)/100</f>
        <v>0</v>
      </c>
      <c r="AH123" s="140">
        <f>IF($H$5="NO",Valores!$C$60,Valores!$C$60/2)</f>
        <v>569.14</v>
      </c>
      <c r="AI123" s="140">
        <f>IF($H$5="NO",Valores!$C$62,Valores!$C$62/2)</f>
        <v>162.61000000000001</v>
      </c>
      <c r="AJ123" s="146">
        <f t="shared" si="20"/>
        <v>62888.202500000014</v>
      </c>
      <c r="AK123" s="142">
        <f>Valores!$C$37</f>
        <v>1465.56</v>
      </c>
      <c r="AL123" s="143">
        <f>Valores!$C$85</f>
        <v>2275</v>
      </c>
      <c r="AM123" s="143"/>
      <c r="AN123" s="145">
        <f>IF($H$4="NO",0,Valores!$C$53)</f>
        <v>170.34</v>
      </c>
      <c r="AO123" s="147">
        <f t="shared" si="18"/>
        <v>3910.9</v>
      </c>
      <c r="AP123" s="148">
        <f>AJ123*Valores!$C$69</f>
        <v>-6917.7022750000015</v>
      </c>
      <c r="AQ123" s="148">
        <f>AJ123*-Valores!$C$70</f>
        <v>0</v>
      </c>
      <c r="AR123" s="142">
        <f>AJ123*Valores!$C$71</f>
        <v>-2829.9691125000004</v>
      </c>
      <c r="AS123" s="142">
        <f>Valores!$C$95</f>
        <v>-193.38</v>
      </c>
      <c r="AT123" s="142">
        <f>IF($H$6=0,Valores!$C$96,(Valores!$C$96+$H$6*(Valores!$C$96)))</f>
        <v>-178</v>
      </c>
      <c r="AU123" s="146">
        <f t="shared" si="21"/>
        <v>56680.051112500012</v>
      </c>
      <c r="AV123" s="199">
        <f t="shared" si="14"/>
        <v>-6917.7022750000015</v>
      </c>
      <c r="AW123" s="142">
        <f>AJ123*Valores!$C$72</f>
        <v>-1697.9814675000005</v>
      </c>
      <c r="AX123" s="142">
        <f>AJ123*Valores!$C$73</f>
        <v>-188.66460750000005</v>
      </c>
      <c r="AY123" s="146">
        <f t="shared" si="22"/>
        <v>57994.754150000008</v>
      </c>
      <c r="AZ123" s="150"/>
      <c r="BA123" s="150">
        <v>30</v>
      </c>
      <c r="BB123" s="135" t="s">
        <v>4</v>
      </c>
    </row>
    <row r="124" spans="1:54" s="114" customFormat="1" ht="11.25" customHeight="1" x14ac:dyDescent="0.15">
      <c r="A124" s="134">
        <v>121</v>
      </c>
      <c r="B124" s="134"/>
      <c r="C124" s="135" t="s">
        <v>358</v>
      </c>
      <c r="D124" s="135"/>
      <c r="E124" s="135">
        <f t="shared" si="15"/>
        <v>27</v>
      </c>
      <c r="F124" s="136" t="s">
        <v>359</v>
      </c>
      <c r="G124" s="137">
        <v>2800</v>
      </c>
      <c r="H124" s="138">
        <f>INT((G124*Valores!$C$2*100)+0.5)/100</f>
        <v>37471.279999999999</v>
      </c>
      <c r="I124" s="156">
        <v>0</v>
      </c>
      <c r="J124" s="140">
        <f>INT((I124*Valores!$C$2*100)+0.5)/100</f>
        <v>0</v>
      </c>
      <c r="K124" s="155">
        <v>0</v>
      </c>
      <c r="L124" s="140">
        <f>INT((K124*Valores!$C$2*100)+0.5)/100</f>
        <v>0</v>
      </c>
      <c r="M124" s="153">
        <v>0</v>
      </c>
      <c r="N124" s="140">
        <f>INT((M124*Valores!$C$2*100)+0.5)/100</f>
        <v>0</v>
      </c>
      <c r="O124" s="140">
        <f t="shared" si="16"/>
        <v>7066.5869999999986</v>
      </c>
      <c r="P124" s="140">
        <f t="shared" si="17"/>
        <v>0</v>
      </c>
      <c r="Q124" s="142">
        <f>Valores!$C$21</f>
        <v>11564.28</v>
      </c>
      <c r="R124" s="142">
        <f>Valores!$D$4</f>
        <v>6841.19</v>
      </c>
      <c r="S124" s="140">
        <f>Valores!$C$28</f>
        <v>6103.41</v>
      </c>
      <c r="T124" s="143">
        <f>IF($H$5="NO",Valores!$C$45,Valores!$C$45/2)</f>
        <v>3338.57</v>
      </c>
      <c r="U124" s="154">
        <f>Valores!$C$26</f>
        <v>6300.73</v>
      </c>
      <c r="V124" s="140">
        <f t="shared" si="23"/>
        <v>6300.73</v>
      </c>
      <c r="W124" s="140">
        <v>0</v>
      </c>
      <c r="X124" s="140">
        <v>0</v>
      </c>
      <c r="Y124" s="144">
        <v>0</v>
      </c>
      <c r="Z124" s="140">
        <f>Y124*Valores!$C$2</f>
        <v>0</v>
      </c>
      <c r="AA124" s="140">
        <v>0</v>
      </c>
      <c r="AB124" s="143">
        <f>Valores!$C$90</f>
        <v>2575.39</v>
      </c>
      <c r="AC124" s="145">
        <f>Valores!$C$31</f>
        <v>279.8</v>
      </c>
      <c r="AD124" s="140">
        <f t="shared" si="19"/>
        <v>0</v>
      </c>
      <c r="AE124" s="140">
        <f>Valores!$C$32</f>
        <v>279.8</v>
      </c>
      <c r="AF124" s="144">
        <v>0</v>
      </c>
      <c r="AG124" s="140">
        <f>INT(((AF124*Valores!$C$2)*100)+0.5)/100</f>
        <v>0</v>
      </c>
      <c r="AH124" s="140">
        <f>IF($H$5="NO",Valores!$C$60,Valores!$C$60/2)</f>
        <v>569.14</v>
      </c>
      <c r="AI124" s="140">
        <f>IF($H$5="NO",Valores!$C$62,Valores!$C$62/2)</f>
        <v>162.61000000000001</v>
      </c>
      <c r="AJ124" s="146">
        <f t="shared" si="20"/>
        <v>82552.787000000011</v>
      </c>
      <c r="AK124" s="142">
        <f>Valores!$C$37</f>
        <v>1465.56</v>
      </c>
      <c r="AL124" s="143">
        <f>Valores!$C$85</f>
        <v>2275</v>
      </c>
      <c r="AM124" s="143"/>
      <c r="AN124" s="145">
        <f>IF($H$4="NO",0,Valores!$C$52)</f>
        <v>327.60000000000002</v>
      </c>
      <c r="AO124" s="147">
        <f t="shared" si="18"/>
        <v>4068.16</v>
      </c>
      <c r="AP124" s="148">
        <f>AJ124*Valores!$C$69</f>
        <v>-9080.8065700000006</v>
      </c>
      <c r="AQ124" s="148">
        <f>AJ124*-Valores!$C$70</f>
        <v>0</v>
      </c>
      <c r="AR124" s="142">
        <f>AJ124*Valores!$C$71</f>
        <v>-3714.8754150000004</v>
      </c>
      <c r="AS124" s="142">
        <f>Valores!$C$95</f>
        <v>-193.38</v>
      </c>
      <c r="AT124" s="142">
        <f>IF($H$6=0,Valores!$C$96,(Valores!$C$96+$H$6*(Valores!$C$96)))</f>
        <v>-178</v>
      </c>
      <c r="AU124" s="146">
        <f t="shared" si="21"/>
        <v>73453.885015000007</v>
      </c>
      <c r="AV124" s="199">
        <f t="shared" si="14"/>
        <v>-9080.8065700000006</v>
      </c>
      <c r="AW124" s="142">
        <f>AJ124*Valores!$C$72</f>
        <v>-2228.9252490000003</v>
      </c>
      <c r="AX124" s="142">
        <f>AJ124*Valores!$C$73</f>
        <v>-247.65836100000004</v>
      </c>
      <c r="AY124" s="146">
        <f t="shared" si="22"/>
        <v>75063.556820000013</v>
      </c>
      <c r="AZ124" s="150"/>
      <c r="BA124" s="150"/>
      <c r="BB124" s="135" t="s">
        <v>4</v>
      </c>
    </row>
    <row r="125" spans="1:54" s="114" customFormat="1" ht="11.25" customHeight="1" x14ac:dyDescent="0.15">
      <c r="A125" s="134">
        <v>122</v>
      </c>
      <c r="B125" s="134"/>
      <c r="C125" s="135" t="s">
        <v>360</v>
      </c>
      <c r="D125" s="135"/>
      <c r="E125" s="135">
        <f t="shared" si="15"/>
        <v>27</v>
      </c>
      <c r="F125" s="136" t="s">
        <v>361</v>
      </c>
      <c r="G125" s="137">
        <v>2850</v>
      </c>
      <c r="H125" s="138">
        <f>INT((G125*Valores!$C$2*100)+0.5)/100</f>
        <v>38140.410000000003</v>
      </c>
      <c r="I125" s="156">
        <v>0</v>
      </c>
      <c r="J125" s="140">
        <f>INT((I125*Valores!$C$2*100)+0.5)/100</f>
        <v>0</v>
      </c>
      <c r="K125" s="155">
        <v>0</v>
      </c>
      <c r="L125" s="140">
        <f>INT((K125*Valores!$C$2*100)+0.5)/100</f>
        <v>0</v>
      </c>
      <c r="M125" s="153">
        <v>0</v>
      </c>
      <c r="N125" s="140">
        <f>INT((M125*Valores!$C$2*100)+0.5)/100</f>
        <v>0</v>
      </c>
      <c r="O125" s="140">
        <f t="shared" si="16"/>
        <v>7166.9564999999993</v>
      </c>
      <c r="P125" s="140">
        <f t="shared" si="17"/>
        <v>0</v>
      </c>
      <c r="Q125" s="142">
        <f>Valores!$C$16</f>
        <v>14032.86</v>
      </c>
      <c r="R125" s="142">
        <f>Valores!$D$4</f>
        <v>6841.19</v>
      </c>
      <c r="S125" s="154">
        <f>Valores!$C$28</f>
        <v>6103.41</v>
      </c>
      <c r="T125" s="143">
        <f>IF($H$5="NO",Valores!$C$45,Valores!$C$45/2)</f>
        <v>3338.57</v>
      </c>
      <c r="U125" s="154">
        <f>Valores!$C$26</f>
        <v>6300.73</v>
      </c>
      <c r="V125" s="140">
        <f t="shared" si="23"/>
        <v>6300.73</v>
      </c>
      <c r="W125" s="140">
        <v>0</v>
      </c>
      <c r="X125" s="140">
        <v>0</v>
      </c>
      <c r="Y125" s="144">
        <v>0</v>
      </c>
      <c r="Z125" s="140">
        <f>Y125*Valores!$C$2</f>
        <v>0</v>
      </c>
      <c r="AA125" s="140">
        <v>0</v>
      </c>
      <c r="AB125" s="143">
        <f>Valores!$C$92</f>
        <v>5150.78</v>
      </c>
      <c r="AC125" s="145">
        <f>Valores!$C$31</f>
        <v>279.8</v>
      </c>
      <c r="AD125" s="140">
        <f t="shared" si="19"/>
        <v>0</v>
      </c>
      <c r="AE125" s="140">
        <f>Valores!$C$32</f>
        <v>279.8</v>
      </c>
      <c r="AF125" s="144">
        <v>0</v>
      </c>
      <c r="AG125" s="140">
        <f>INT(((AF125*Valores!$C$2)*100)+0.5)/100</f>
        <v>0</v>
      </c>
      <c r="AH125" s="140">
        <f>IF($H$5="NO",Valores!$C$60,Valores!$C$60/2)</f>
        <v>569.14</v>
      </c>
      <c r="AI125" s="140">
        <f>IF($H$5="NO",Valores!$C$62,Valores!$C$62/2)</f>
        <v>162.61000000000001</v>
      </c>
      <c r="AJ125" s="146">
        <f t="shared" si="20"/>
        <v>88366.256500000018</v>
      </c>
      <c r="AK125" s="142">
        <f>Valores!$C$37</f>
        <v>1465.56</v>
      </c>
      <c r="AL125" s="143">
        <f>Valores!$C$87</f>
        <v>4550</v>
      </c>
      <c r="AM125" s="143"/>
      <c r="AN125" s="145">
        <f>IF($H$4="NO",0,Valores!$C$52)</f>
        <v>327.60000000000002</v>
      </c>
      <c r="AO125" s="147">
        <f t="shared" si="18"/>
        <v>6343.16</v>
      </c>
      <c r="AP125" s="148">
        <f>AJ125*Valores!$C$69</f>
        <v>-9720.2882150000023</v>
      </c>
      <c r="AQ125" s="148">
        <f>AJ125*-Valores!$C$70</f>
        <v>0</v>
      </c>
      <c r="AR125" s="142">
        <f>AJ125*Valores!$C$71</f>
        <v>-3976.4815425000006</v>
      </c>
      <c r="AS125" s="142">
        <f>Valores!$C$95</f>
        <v>-193.38</v>
      </c>
      <c r="AT125" s="142">
        <f>IF($H$6=0,Valores!$C$96,(Valores!$C$96+$H$6*(Valores!$C$96)))</f>
        <v>-178</v>
      </c>
      <c r="AU125" s="146">
        <f t="shared" si="21"/>
        <v>80641.266742500011</v>
      </c>
      <c r="AV125" s="199">
        <f t="shared" si="14"/>
        <v>-9720.2882150000023</v>
      </c>
      <c r="AW125" s="142">
        <f>AJ125*Valores!$C$72</f>
        <v>-2385.8889255000004</v>
      </c>
      <c r="AX125" s="142">
        <f>AJ125*Valores!$C$73</f>
        <v>-265.09876950000006</v>
      </c>
      <c r="AY125" s="146">
        <f t="shared" si="22"/>
        <v>82338.140590000025</v>
      </c>
      <c r="AZ125" s="150"/>
      <c r="BA125" s="150"/>
      <c r="BB125" s="135" t="s">
        <v>4</v>
      </c>
    </row>
    <row r="126" spans="1:54" s="114" customFormat="1" ht="11.25" customHeight="1" x14ac:dyDescent="0.15">
      <c r="A126" s="134">
        <v>123</v>
      </c>
      <c r="B126" s="134"/>
      <c r="C126" s="135" t="s">
        <v>362</v>
      </c>
      <c r="D126" s="135"/>
      <c r="E126" s="135">
        <f t="shared" si="15"/>
        <v>21</v>
      </c>
      <c r="F126" s="136" t="s">
        <v>363</v>
      </c>
      <c r="G126" s="137">
        <v>1735</v>
      </c>
      <c r="H126" s="138">
        <f>INT((G126*Valores!$C$2*100)+0.5)/100</f>
        <v>23218.81</v>
      </c>
      <c r="I126" s="156">
        <v>0</v>
      </c>
      <c r="J126" s="140">
        <f>INT((I126*Valores!$C$2*100)+0.5)/100</f>
        <v>0</v>
      </c>
      <c r="K126" s="155">
        <v>0</v>
      </c>
      <c r="L126" s="140">
        <f>INT((K126*Valores!$C$2*100)+0.5)/100</f>
        <v>0</v>
      </c>
      <c r="M126" s="153">
        <v>0</v>
      </c>
      <c r="N126" s="140">
        <f>INT((M126*Valores!$C$2*100)+0.5)/100</f>
        <v>0</v>
      </c>
      <c r="O126" s="140">
        <f t="shared" si="16"/>
        <v>4727.9279999999999</v>
      </c>
      <c r="P126" s="140">
        <f t="shared" si="17"/>
        <v>0</v>
      </c>
      <c r="Q126" s="142">
        <f>Valores!$C$21</f>
        <v>11564.28</v>
      </c>
      <c r="R126" s="142">
        <f>Valores!$D$4</f>
        <v>6841.19</v>
      </c>
      <c r="S126" s="140">
        <v>0</v>
      </c>
      <c r="T126" s="143">
        <f>IF($H$5="NO",Valores!$C$43,Valores!$C$43/2)</f>
        <v>1999.98</v>
      </c>
      <c r="U126" s="154">
        <f>Valores!$C$26</f>
        <v>6300.73</v>
      </c>
      <c r="V126" s="140">
        <f t="shared" si="23"/>
        <v>6300.73</v>
      </c>
      <c r="W126" s="140">
        <v>0</v>
      </c>
      <c r="X126" s="140">
        <v>0</v>
      </c>
      <c r="Y126" s="144">
        <v>0</v>
      </c>
      <c r="Z126" s="140">
        <f>Y126*Valores!$C$2</f>
        <v>0</v>
      </c>
      <c r="AA126" s="140">
        <v>0</v>
      </c>
      <c r="AB126" s="143">
        <f>Valores!$C$90</f>
        <v>2575.39</v>
      </c>
      <c r="AC126" s="145">
        <f>Valores!$C$31</f>
        <v>279.8</v>
      </c>
      <c r="AD126" s="140">
        <f t="shared" si="19"/>
        <v>0</v>
      </c>
      <c r="AE126" s="140">
        <f>Valores!$C$32</f>
        <v>279.8</v>
      </c>
      <c r="AF126" s="144">
        <v>0</v>
      </c>
      <c r="AG126" s="140">
        <f>INT(((AF126*Valores!$C$2)*100)+0.5)/100</f>
        <v>0</v>
      </c>
      <c r="AH126" s="140">
        <f>IF($H$5="NO",Valores!$C$60,Valores!$C$60/2)</f>
        <v>569.14</v>
      </c>
      <c r="AI126" s="140">
        <f>IF($H$5="NO",Valores!$C$62,Valores!$C$62/2)</f>
        <v>162.61000000000001</v>
      </c>
      <c r="AJ126" s="146">
        <f t="shared" si="20"/>
        <v>58519.658000000018</v>
      </c>
      <c r="AK126" s="142">
        <f>Valores!$C$37</f>
        <v>1465.56</v>
      </c>
      <c r="AL126" s="143">
        <f>Valores!$C$85</f>
        <v>2275</v>
      </c>
      <c r="AM126" s="143"/>
      <c r="AN126" s="145">
        <f>IF($H$4="NO",0,Valores!$C$53)</f>
        <v>170.34</v>
      </c>
      <c r="AO126" s="147">
        <f t="shared" si="18"/>
        <v>3910.9</v>
      </c>
      <c r="AP126" s="148">
        <f>AJ126*Valores!$C$69</f>
        <v>-6437.1623800000016</v>
      </c>
      <c r="AQ126" s="148">
        <f>AJ126*-Valores!$C$70</f>
        <v>0</v>
      </c>
      <c r="AR126" s="142">
        <f>AJ126*Valores!$C$71</f>
        <v>-2633.3846100000005</v>
      </c>
      <c r="AS126" s="142">
        <f>Valores!$C$95</f>
        <v>-193.38</v>
      </c>
      <c r="AT126" s="142">
        <f>IF($H$6=0,Valores!$C$96,(Valores!$C$96+$H$6*(Valores!$C$96)))</f>
        <v>-178</v>
      </c>
      <c r="AU126" s="146">
        <f t="shared" si="21"/>
        <v>52988.631010000012</v>
      </c>
      <c r="AV126" s="199">
        <f t="shared" si="14"/>
        <v>-6437.1623800000016</v>
      </c>
      <c r="AW126" s="142">
        <f>AJ126*Valores!$C$72</f>
        <v>-1580.0307660000005</v>
      </c>
      <c r="AX126" s="142">
        <f>AJ126*Valores!$C$73</f>
        <v>-175.55897400000006</v>
      </c>
      <c r="AY126" s="146">
        <f t="shared" si="22"/>
        <v>54237.805880000014</v>
      </c>
      <c r="AZ126" s="150"/>
      <c r="BA126" s="150"/>
      <c r="BB126" s="135" t="s">
        <v>4</v>
      </c>
    </row>
    <row r="127" spans="1:54" s="114" customFormat="1" ht="11.25" customHeight="1" x14ac:dyDescent="0.15">
      <c r="A127" s="134">
        <v>124</v>
      </c>
      <c r="B127" s="134"/>
      <c r="C127" s="135" t="s">
        <v>364</v>
      </c>
      <c r="D127" s="135"/>
      <c r="E127" s="135">
        <f t="shared" si="15"/>
        <v>35</v>
      </c>
      <c r="F127" s="136" t="s">
        <v>365</v>
      </c>
      <c r="G127" s="137">
        <v>72</v>
      </c>
      <c r="H127" s="138">
        <f>INT((G127*Valores!$C$2*100)+0.5)/100</f>
        <v>963.55</v>
      </c>
      <c r="I127" s="156">
        <v>1590</v>
      </c>
      <c r="J127" s="140">
        <f>INT((I127*Valores!$C$2*100)+0.5)/100</f>
        <v>21278.33</v>
      </c>
      <c r="K127" s="155">
        <v>0</v>
      </c>
      <c r="L127" s="140">
        <f>INT((K127*Valores!$C$2*100)+0.5)/100</f>
        <v>0</v>
      </c>
      <c r="M127" s="153">
        <v>0</v>
      </c>
      <c r="N127" s="140">
        <f>INT((M127*Valores!$C$2*100)+0.5)/100</f>
        <v>0</v>
      </c>
      <c r="O127" s="140">
        <f t="shared" si="16"/>
        <v>4581.3885</v>
      </c>
      <c r="P127" s="140">
        <f t="shared" si="17"/>
        <v>0</v>
      </c>
      <c r="Q127" s="142">
        <f>Valores!$C$21</f>
        <v>11564.28</v>
      </c>
      <c r="R127" s="142">
        <f>Valores!$D$4</f>
        <v>6841.19</v>
      </c>
      <c r="S127" s="143">
        <f>Valores!$C$28</f>
        <v>6103.41</v>
      </c>
      <c r="T127" s="143">
        <f>IF($H$5="NO",Valores!$C$43,Valores!$C$43/2)</f>
        <v>1999.98</v>
      </c>
      <c r="U127" s="154">
        <f>Valores!$C$26</f>
        <v>6300.73</v>
      </c>
      <c r="V127" s="140">
        <f t="shared" si="23"/>
        <v>6300.73</v>
      </c>
      <c r="W127" s="140">
        <v>0</v>
      </c>
      <c r="X127" s="140">
        <v>0</v>
      </c>
      <c r="Y127" s="144">
        <v>0</v>
      </c>
      <c r="Z127" s="140">
        <f>Y127*Valores!$C$2</f>
        <v>0</v>
      </c>
      <c r="AA127" s="140">
        <v>0</v>
      </c>
      <c r="AB127" s="143">
        <f>Valores!$C$90</f>
        <v>2575.39</v>
      </c>
      <c r="AC127" s="145">
        <f>Valores!$C$31</f>
        <v>279.8</v>
      </c>
      <c r="AD127" s="140">
        <f t="shared" si="19"/>
        <v>0</v>
      </c>
      <c r="AE127" s="140">
        <f>Valores!$C$32</f>
        <v>279.8</v>
      </c>
      <c r="AF127" s="144">
        <v>0</v>
      </c>
      <c r="AG127" s="140">
        <f>INT(((AF127*Valores!$C$2)*100)+0.5)/100</f>
        <v>0</v>
      </c>
      <c r="AH127" s="140">
        <f>IF($H$5="NO",Valores!$C$60,Valores!$C$60/2)</f>
        <v>569.14</v>
      </c>
      <c r="AI127" s="140">
        <f>IF($H$5="NO",Valores!$C$62,Valores!$C$62/2)</f>
        <v>162.61000000000001</v>
      </c>
      <c r="AJ127" s="146">
        <f t="shared" si="20"/>
        <v>63499.598500000015</v>
      </c>
      <c r="AK127" s="142">
        <f>Valores!$C$37</f>
        <v>1465.56</v>
      </c>
      <c r="AL127" s="143">
        <f>Valores!$C$85</f>
        <v>2275</v>
      </c>
      <c r="AM127" s="143"/>
      <c r="AN127" s="145">
        <f>IF($H$4="NO",0,Valores!$C$53)</f>
        <v>170.34</v>
      </c>
      <c r="AO127" s="147">
        <f t="shared" si="18"/>
        <v>3910.9</v>
      </c>
      <c r="AP127" s="148">
        <f>AJ127*Valores!$C$69</f>
        <v>-6984.9558350000016</v>
      </c>
      <c r="AQ127" s="148">
        <f>AJ127*-Valores!$C$70</f>
        <v>0</v>
      </c>
      <c r="AR127" s="142">
        <f>AJ127*Valores!$C$71</f>
        <v>-2857.4819325000008</v>
      </c>
      <c r="AS127" s="142">
        <f>Valores!$C$95</f>
        <v>-193.38</v>
      </c>
      <c r="AT127" s="142">
        <f>IF($H$6=0,Valores!$C$96,(Valores!$C$96+$H$6*(Valores!$C$96)))</f>
        <v>-178</v>
      </c>
      <c r="AU127" s="146">
        <f t="shared" si="21"/>
        <v>57196.680732500012</v>
      </c>
      <c r="AV127" s="199">
        <f t="shared" si="14"/>
        <v>-6984.9558350000016</v>
      </c>
      <c r="AW127" s="142">
        <f>AJ127*Valores!$C$72</f>
        <v>-1714.4891595000004</v>
      </c>
      <c r="AX127" s="142">
        <f>AJ127*Valores!$C$73</f>
        <v>-190.49879550000006</v>
      </c>
      <c r="AY127" s="146">
        <f t="shared" si="22"/>
        <v>58520.554710000011</v>
      </c>
      <c r="AZ127" s="150"/>
      <c r="BA127" s="150">
        <v>25</v>
      </c>
      <c r="BB127" s="135" t="s">
        <v>4</v>
      </c>
    </row>
    <row r="128" spans="1:54" s="114" customFormat="1" ht="11.25" customHeight="1" x14ac:dyDescent="0.15">
      <c r="A128" s="152">
        <v>125</v>
      </c>
      <c r="B128" s="152" t="s">
        <v>139</v>
      </c>
      <c r="C128" s="135" t="s">
        <v>366</v>
      </c>
      <c r="D128" s="135"/>
      <c r="E128" s="135">
        <f t="shared" si="15"/>
        <v>32</v>
      </c>
      <c r="F128" s="136" t="s">
        <v>367</v>
      </c>
      <c r="G128" s="137">
        <v>72</v>
      </c>
      <c r="H128" s="138">
        <f>INT((G128*Valores!$C$2*100)+0.5)/100</f>
        <v>963.55</v>
      </c>
      <c r="I128" s="156">
        <v>1590</v>
      </c>
      <c r="J128" s="140">
        <f>INT((I128*Valores!$C$2*100)+0.5)/100</f>
        <v>21278.33</v>
      </c>
      <c r="K128" s="155">
        <v>0</v>
      </c>
      <c r="L128" s="140">
        <f>INT((K128*Valores!$C$2*100)+0.5)/100</f>
        <v>0</v>
      </c>
      <c r="M128" s="153">
        <v>0</v>
      </c>
      <c r="N128" s="140">
        <f>INT((M128*Valores!$C$2*100)+0.5)/100</f>
        <v>0</v>
      </c>
      <c r="O128" s="140">
        <f t="shared" si="16"/>
        <v>4581.3885</v>
      </c>
      <c r="P128" s="140">
        <f t="shared" si="17"/>
        <v>0</v>
      </c>
      <c r="Q128" s="142">
        <f>Valores!$C$21</f>
        <v>11564.28</v>
      </c>
      <c r="R128" s="142">
        <f>Valores!$D$4</f>
        <v>6841.19</v>
      </c>
      <c r="S128" s="157">
        <f>Valores!$C$28</f>
        <v>6103.41</v>
      </c>
      <c r="T128" s="143">
        <f>IF($H$5="NO",Valores!$C$43,Valores!$C$43/2)</f>
        <v>1999.98</v>
      </c>
      <c r="U128" s="154">
        <f>Valores!$C$26</f>
        <v>6300.73</v>
      </c>
      <c r="V128" s="140">
        <f t="shared" si="23"/>
        <v>6300.73</v>
      </c>
      <c r="W128" s="140">
        <v>0</v>
      </c>
      <c r="X128" s="140">
        <v>0</v>
      </c>
      <c r="Y128" s="144">
        <v>0</v>
      </c>
      <c r="Z128" s="140">
        <f>Y128*Valores!$C$2</f>
        <v>0</v>
      </c>
      <c r="AA128" s="140">
        <v>0</v>
      </c>
      <c r="AB128" s="143">
        <f>Valores!$C$90</f>
        <v>2575.39</v>
      </c>
      <c r="AC128" s="145">
        <f>Valores!$C$31</f>
        <v>279.8</v>
      </c>
      <c r="AD128" s="140">
        <f t="shared" si="19"/>
        <v>0</v>
      </c>
      <c r="AE128" s="140">
        <f>Valores!$C$32</f>
        <v>279.8</v>
      </c>
      <c r="AF128" s="144">
        <v>94</v>
      </c>
      <c r="AG128" s="140">
        <f>INT(((AF128*Valores!$C$2)*100)+0.5)/100</f>
        <v>1257.96</v>
      </c>
      <c r="AH128" s="140">
        <f>IF($H$5="NO",Valores!$C$60,Valores!$C$60/2)</f>
        <v>569.14</v>
      </c>
      <c r="AI128" s="140">
        <f>IF($H$5="NO",Valores!$C$62,Valores!$C$62/2)</f>
        <v>162.61000000000001</v>
      </c>
      <c r="AJ128" s="146">
        <f t="shared" si="20"/>
        <v>64757.558500000014</v>
      </c>
      <c r="AK128" s="142">
        <f>Valores!$C$37</f>
        <v>1465.56</v>
      </c>
      <c r="AL128" s="143">
        <f>Valores!$C$85</f>
        <v>2275</v>
      </c>
      <c r="AM128" s="143"/>
      <c r="AN128" s="145">
        <f>IF($H$4="NO",0,Valores!$C$53)</f>
        <v>170.34</v>
      </c>
      <c r="AO128" s="147">
        <f t="shared" si="18"/>
        <v>3910.9</v>
      </c>
      <c r="AP128" s="148">
        <f>AJ128*Valores!$C$69</f>
        <v>-7123.3314350000019</v>
      </c>
      <c r="AQ128" s="148">
        <f>AJ128*-Valores!$C$70</f>
        <v>0</v>
      </c>
      <c r="AR128" s="142">
        <f>AJ128*Valores!$C$71</f>
        <v>-2914.0901325000004</v>
      </c>
      <c r="AS128" s="142">
        <f>Valores!$C$95</f>
        <v>-193.38</v>
      </c>
      <c r="AT128" s="142">
        <f>IF($H$6=0,Valores!$C$96,(Valores!$C$96+$H$6*(Valores!$C$96)))</f>
        <v>-178</v>
      </c>
      <c r="AU128" s="146">
        <f t="shared" si="21"/>
        <v>58259.656932500009</v>
      </c>
      <c r="AV128" s="199">
        <f t="shared" si="14"/>
        <v>-7123.3314350000019</v>
      </c>
      <c r="AW128" s="142">
        <f>AJ128*Valores!$C$72</f>
        <v>-1748.4540795000003</v>
      </c>
      <c r="AX128" s="142">
        <f>AJ128*Valores!$C$73</f>
        <v>-194.27267550000005</v>
      </c>
      <c r="AY128" s="146">
        <f t="shared" si="22"/>
        <v>59602.400310000005</v>
      </c>
      <c r="AZ128" s="150"/>
      <c r="BA128" s="150">
        <v>20</v>
      </c>
      <c r="BB128" s="135" t="s">
        <v>4</v>
      </c>
    </row>
    <row r="129" spans="1:54" s="114" customFormat="1" ht="11.25" customHeight="1" x14ac:dyDescent="0.15">
      <c r="A129" s="134">
        <v>126</v>
      </c>
      <c r="B129" s="134"/>
      <c r="C129" s="135" t="s">
        <v>368</v>
      </c>
      <c r="D129" s="135"/>
      <c r="E129" s="135">
        <f t="shared" si="15"/>
        <v>36</v>
      </c>
      <c r="F129" s="136" t="s">
        <v>369</v>
      </c>
      <c r="G129" s="137">
        <v>77</v>
      </c>
      <c r="H129" s="138">
        <f>INT((G129*Valores!$C$2*100)+0.5)/100</f>
        <v>1030.46</v>
      </c>
      <c r="I129" s="156">
        <v>2043</v>
      </c>
      <c r="J129" s="140">
        <f>INT((I129*Valores!$C$2*100)+0.5)/100</f>
        <v>27340.65</v>
      </c>
      <c r="K129" s="155">
        <v>0</v>
      </c>
      <c r="L129" s="140">
        <f>INT((K129*Valores!$C$2*100)+0.5)/100</f>
        <v>0</v>
      </c>
      <c r="M129" s="153">
        <v>0</v>
      </c>
      <c r="N129" s="140">
        <f>INT((M129*Valores!$C$2*100)+0.5)/100</f>
        <v>0</v>
      </c>
      <c r="O129" s="140">
        <f t="shared" si="16"/>
        <v>5550.7004999999999</v>
      </c>
      <c r="P129" s="140">
        <f t="shared" si="17"/>
        <v>0</v>
      </c>
      <c r="Q129" s="158">
        <f>Valores!$C$17</f>
        <v>11932.86</v>
      </c>
      <c r="R129" s="142">
        <f>Valores!$D$4</f>
        <v>6841.19</v>
      </c>
      <c r="S129" s="143">
        <f>Valores!$C$28</f>
        <v>6103.41</v>
      </c>
      <c r="T129" s="143">
        <f>IF($H$5="NO",Valores!$C$44,Valores!$C$44/2)</f>
        <v>2267.75</v>
      </c>
      <c r="U129" s="140">
        <f>Valores!$C$25</f>
        <v>6365.81</v>
      </c>
      <c r="V129" s="140">
        <f t="shared" si="23"/>
        <v>6365.81</v>
      </c>
      <c r="W129" s="140">
        <v>0</v>
      </c>
      <c r="X129" s="140">
        <v>0</v>
      </c>
      <c r="Y129" s="144">
        <v>0</v>
      </c>
      <c r="Z129" s="140">
        <f>Y129*Valores!$C$2</f>
        <v>0</v>
      </c>
      <c r="AA129" s="140">
        <v>0</v>
      </c>
      <c r="AB129" s="143">
        <f>Valores!$C$90</f>
        <v>2575.39</v>
      </c>
      <c r="AC129" s="145">
        <f>Valores!$C$31</f>
        <v>279.8</v>
      </c>
      <c r="AD129" s="140">
        <f t="shared" si="19"/>
        <v>0</v>
      </c>
      <c r="AE129" s="140">
        <f>Valores!$C$32</f>
        <v>279.8</v>
      </c>
      <c r="AF129" s="144">
        <v>0</v>
      </c>
      <c r="AG129" s="140">
        <f>INT(((AF129*Valores!$C$2)*100)+0.5)/100</f>
        <v>0</v>
      </c>
      <c r="AH129" s="140">
        <f>IF($H$5="NO",Valores!$C$60,Valores!$C$60/2)</f>
        <v>569.14</v>
      </c>
      <c r="AI129" s="140">
        <f>IF($H$5="NO",Valores!$C$62,Valores!$C$62/2)</f>
        <v>162.61000000000001</v>
      </c>
      <c r="AJ129" s="146">
        <f t="shared" si="20"/>
        <v>71299.570500000002</v>
      </c>
      <c r="AK129" s="142">
        <f>Valores!$C$37</f>
        <v>1465.56</v>
      </c>
      <c r="AL129" s="143">
        <f>Valores!$C$85</f>
        <v>2275</v>
      </c>
      <c r="AM129" s="143"/>
      <c r="AN129" s="145">
        <f>IF($H$4="NO",0,Valores!$C$53)</f>
        <v>170.34</v>
      </c>
      <c r="AO129" s="147">
        <f t="shared" si="18"/>
        <v>3910.9</v>
      </c>
      <c r="AP129" s="148">
        <f>AJ129*Valores!$C$69</f>
        <v>-7842.9527550000003</v>
      </c>
      <c r="AQ129" s="148">
        <f>AJ129*-Valores!$C$70</f>
        <v>0</v>
      </c>
      <c r="AR129" s="142">
        <f>AJ129*Valores!$C$71</f>
        <v>-3208.4806724999999</v>
      </c>
      <c r="AS129" s="142">
        <f>Valores!$C$95</f>
        <v>-193.38</v>
      </c>
      <c r="AT129" s="142">
        <f>IF($H$6=0,Valores!$C$96,(Valores!$C$96+$H$6*(Valores!$C$96)))</f>
        <v>-178</v>
      </c>
      <c r="AU129" s="146">
        <f t="shared" si="21"/>
        <v>63787.657072499998</v>
      </c>
      <c r="AV129" s="199">
        <f t="shared" si="14"/>
        <v>-7842.9527550000003</v>
      </c>
      <c r="AW129" s="142">
        <f>AJ129*Valores!$C$72</f>
        <v>-1925.0884034999999</v>
      </c>
      <c r="AX129" s="142">
        <f>AJ129*Valores!$C$73</f>
        <v>-213.89871150000002</v>
      </c>
      <c r="AY129" s="146">
        <f t="shared" si="22"/>
        <v>65228.530629999994</v>
      </c>
      <c r="AZ129" s="150"/>
      <c r="BA129" s="150"/>
      <c r="BB129" s="135" t="s">
        <v>4</v>
      </c>
    </row>
    <row r="130" spans="1:54" s="114" customFormat="1" ht="11.25" customHeight="1" x14ac:dyDescent="0.15">
      <c r="A130" s="134">
        <v>127</v>
      </c>
      <c r="B130" s="134"/>
      <c r="C130" s="135" t="s">
        <v>370</v>
      </c>
      <c r="D130" s="135"/>
      <c r="E130" s="135">
        <f t="shared" si="15"/>
        <v>35</v>
      </c>
      <c r="F130" s="136" t="s">
        <v>371</v>
      </c>
      <c r="G130" s="137">
        <v>61</v>
      </c>
      <c r="H130" s="138">
        <f>INT((G130*Valores!$C$2*100)+0.5)/100</f>
        <v>816.34</v>
      </c>
      <c r="I130" s="156">
        <v>1217</v>
      </c>
      <c r="J130" s="140">
        <f>INT((I130*Valores!$C$2*100)+0.5)/100</f>
        <v>16286.62</v>
      </c>
      <c r="K130" s="155">
        <v>0</v>
      </c>
      <c r="L130" s="140">
        <f>INT((K130*Valores!$C$2*100)+0.5)/100</f>
        <v>0</v>
      </c>
      <c r="M130" s="153">
        <v>0</v>
      </c>
      <c r="N130" s="140">
        <f>INT((M130*Valores!$C$2*100)+0.5)/100</f>
        <v>0</v>
      </c>
      <c r="O130" s="140">
        <f t="shared" si="16"/>
        <v>3820.3125</v>
      </c>
      <c r="P130" s="140">
        <f t="shared" si="17"/>
        <v>0</v>
      </c>
      <c r="Q130" s="142">
        <f>Valores!$C$21</f>
        <v>11564.28</v>
      </c>
      <c r="R130" s="142">
        <f>Valores!$D$4</f>
        <v>6841.19</v>
      </c>
      <c r="S130" s="143">
        <f>Valores!$C$28</f>
        <v>6103.41</v>
      </c>
      <c r="T130" s="143">
        <f>IF($H$5="NO",Valores!$C$43,Valores!$C$43/2)</f>
        <v>1999.98</v>
      </c>
      <c r="U130" s="154">
        <f>Valores!$C$25</f>
        <v>6365.81</v>
      </c>
      <c r="V130" s="140">
        <f t="shared" si="23"/>
        <v>6365.81</v>
      </c>
      <c r="W130" s="140">
        <v>0</v>
      </c>
      <c r="X130" s="140">
        <v>0</v>
      </c>
      <c r="Y130" s="144">
        <v>0</v>
      </c>
      <c r="Z130" s="140">
        <f>Y130*Valores!$C$2</f>
        <v>0</v>
      </c>
      <c r="AA130" s="140">
        <v>0</v>
      </c>
      <c r="AB130" s="143">
        <f>Valores!$C$90</f>
        <v>2575.39</v>
      </c>
      <c r="AC130" s="145">
        <f>Valores!$C$31</f>
        <v>279.8</v>
      </c>
      <c r="AD130" s="140">
        <f t="shared" si="19"/>
        <v>0</v>
      </c>
      <c r="AE130" s="140">
        <f>Valores!$C$32</f>
        <v>279.8</v>
      </c>
      <c r="AF130" s="144">
        <v>0</v>
      </c>
      <c r="AG130" s="140">
        <f>INT(((AF130*Valores!$C$2)*100)+0.5)/100</f>
        <v>0</v>
      </c>
      <c r="AH130" s="140">
        <f>IF($H$5="NO",Valores!$C$60,Valores!$C$60/2)</f>
        <v>569.14</v>
      </c>
      <c r="AI130" s="140">
        <f>IF($H$5="NO",Valores!$C$62,Valores!$C$62/2)</f>
        <v>162.61000000000001</v>
      </c>
      <c r="AJ130" s="146">
        <f t="shared" si="20"/>
        <v>57664.682500000003</v>
      </c>
      <c r="AK130" s="142">
        <f>Valores!$C$37</f>
        <v>1465.56</v>
      </c>
      <c r="AL130" s="143">
        <f>Valores!$C$85</f>
        <v>2275</v>
      </c>
      <c r="AM130" s="143"/>
      <c r="AN130" s="145">
        <f>IF($H$4="NO",0,Valores!$C$53)</f>
        <v>170.34</v>
      </c>
      <c r="AO130" s="147">
        <f t="shared" si="18"/>
        <v>3910.9</v>
      </c>
      <c r="AP130" s="148">
        <f>AJ130*Valores!$C$69</f>
        <v>-6343.1150750000006</v>
      </c>
      <c r="AQ130" s="148">
        <f>AJ130*-Valores!$C$70</f>
        <v>0</v>
      </c>
      <c r="AR130" s="142">
        <f>AJ130*Valores!$C$71</f>
        <v>-2594.9107125</v>
      </c>
      <c r="AS130" s="142">
        <f>Valores!$C$95</f>
        <v>-193.38</v>
      </c>
      <c r="AT130" s="142">
        <f>IF($H$6=0,Valores!$C$96,(Valores!$C$96+$H$6*(Valores!$C$96)))</f>
        <v>-178</v>
      </c>
      <c r="AU130" s="146">
        <f t="shared" si="21"/>
        <v>52266.176712500004</v>
      </c>
      <c r="AV130" s="199">
        <f t="shared" si="14"/>
        <v>-6343.1150750000006</v>
      </c>
      <c r="AW130" s="142">
        <f>AJ130*Valores!$C$72</f>
        <v>-1556.9464275</v>
      </c>
      <c r="AX130" s="142">
        <f>AJ130*Valores!$C$73</f>
        <v>-172.99404750000002</v>
      </c>
      <c r="AY130" s="146">
        <f t="shared" si="22"/>
        <v>53502.526949999999</v>
      </c>
      <c r="AZ130" s="150"/>
      <c r="BA130" s="150">
        <v>25</v>
      </c>
      <c r="BB130" s="135" t="s">
        <v>4</v>
      </c>
    </row>
    <row r="131" spans="1:54" s="114" customFormat="1" ht="11.25" customHeight="1" x14ac:dyDescent="0.15">
      <c r="A131" s="134">
        <v>128</v>
      </c>
      <c r="B131" s="134"/>
      <c r="C131" s="135" t="s">
        <v>372</v>
      </c>
      <c r="D131" s="135"/>
      <c r="E131" s="135">
        <f t="shared" si="15"/>
        <v>32</v>
      </c>
      <c r="F131" s="136" t="s">
        <v>373</v>
      </c>
      <c r="G131" s="137">
        <v>72</v>
      </c>
      <c r="H131" s="138">
        <f>INT((G131*Valores!$C$2*100)+0.5)/100</f>
        <v>963.55</v>
      </c>
      <c r="I131" s="156">
        <v>1206</v>
      </c>
      <c r="J131" s="140">
        <f>INT((I131*Valores!$C$2*100)+0.5)/100</f>
        <v>16139.42</v>
      </c>
      <c r="K131" s="155">
        <v>0</v>
      </c>
      <c r="L131" s="140">
        <f>INT((K131*Valores!$C$2*100)+0.5)/100</f>
        <v>0</v>
      </c>
      <c r="M131" s="153">
        <v>0</v>
      </c>
      <c r="N131" s="140">
        <f>INT((M131*Valores!$C$2*100)+0.5)/100</f>
        <v>0</v>
      </c>
      <c r="O131" s="140">
        <f t="shared" si="16"/>
        <v>3820.3140000000003</v>
      </c>
      <c r="P131" s="140">
        <f t="shared" si="17"/>
        <v>0</v>
      </c>
      <c r="Q131" s="142">
        <f>Valores!$C$21</f>
        <v>11564.28</v>
      </c>
      <c r="R131" s="142">
        <f>Valores!$D$4</f>
        <v>6841.19</v>
      </c>
      <c r="S131" s="157">
        <f>Valores!$C$28</f>
        <v>6103.41</v>
      </c>
      <c r="T131" s="143">
        <f>IF($H$5="NO",Valores!$C$43,Valores!$C$43/2)</f>
        <v>1999.98</v>
      </c>
      <c r="U131" s="140">
        <f>Valores!$C$25</f>
        <v>6365.81</v>
      </c>
      <c r="V131" s="140">
        <f t="shared" si="23"/>
        <v>6365.81</v>
      </c>
      <c r="W131" s="140">
        <v>0</v>
      </c>
      <c r="X131" s="140">
        <v>0</v>
      </c>
      <c r="Y131" s="144">
        <v>0</v>
      </c>
      <c r="Z131" s="140">
        <f>Y131*Valores!$C$2</f>
        <v>0</v>
      </c>
      <c r="AA131" s="140">
        <v>0</v>
      </c>
      <c r="AB131" s="143">
        <f>Valores!$C$90</f>
        <v>2575.39</v>
      </c>
      <c r="AC131" s="145">
        <f>Valores!$C$31</f>
        <v>279.8</v>
      </c>
      <c r="AD131" s="140">
        <f t="shared" si="19"/>
        <v>0</v>
      </c>
      <c r="AE131" s="140">
        <f>Valores!$C$32</f>
        <v>279.8</v>
      </c>
      <c r="AF131" s="144">
        <v>94</v>
      </c>
      <c r="AG131" s="140">
        <f>INT(((AF131*Valores!$C$2)*100)+0.5)/100</f>
        <v>1257.96</v>
      </c>
      <c r="AH131" s="140">
        <f>IF($H$5="NO",Valores!$C$60,Valores!$C$60/2)</f>
        <v>569.14</v>
      </c>
      <c r="AI131" s="140">
        <f>IF($H$5="NO",Valores!$C$62,Valores!$C$62/2)</f>
        <v>162.61000000000001</v>
      </c>
      <c r="AJ131" s="146">
        <f t="shared" si="20"/>
        <v>58922.65400000001</v>
      </c>
      <c r="AK131" s="142">
        <f>Valores!$C$37</f>
        <v>1465.56</v>
      </c>
      <c r="AL131" s="143">
        <f>Valores!$C$85</f>
        <v>2275</v>
      </c>
      <c r="AM131" s="143"/>
      <c r="AN131" s="145">
        <f>IF($H$4="NO",0,Valores!$C$53)</f>
        <v>170.34</v>
      </c>
      <c r="AO131" s="147">
        <f t="shared" si="18"/>
        <v>3910.9</v>
      </c>
      <c r="AP131" s="148">
        <f>AJ131*Valores!$C$69</f>
        <v>-6481.4919400000008</v>
      </c>
      <c r="AQ131" s="148">
        <f>AJ131*-Valores!$C$70</f>
        <v>0</v>
      </c>
      <c r="AR131" s="142">
        <f>AJ131*Valores!$C$71</f>
        <v>-2651.5194300000003</v>
      </c>
      <c r="AS131" s="142">
        <f>Valores!$C$95</f>
        <v>-193.38</v>
      </c>
      <c r="AT131" s="142">
        <f>IF($H$6=0,Valores!$C$96,(Valores!$C$96+$H$6*(Valores!$C$96)))</f>
        <v>-178</v>
      </c>
      <c r="AU131" s="146">
        <f t="shared" si="21"/>
        <v>53329.162630000006</v>
      </c>
      <c r="AV131" s="199">
        <f t="shared" si="14"/>
        <v>-6481.4919400000008</v>
      </c>
      <c r="AW131" s="142">
        <f>AJ131*Valores!$C$72</f>
        <v>-1590.9116580000002</v>
      </c>
      <c r="AX131" s="142">
        <f>AJ131*Valores!$C$73</f>
        <v>-176.76796200000004</v>
      </c>
      <c r="AY131" s="146">
        <f t="shared" si="22"/>
        <v>54584.382440000009</v>
      </c>
      <c r="AZ131" s="150"/>
      <c r="BA131" s="150">
        <v>20</v>
      </c>
      <c r="BB131" s="135" t="s">
        <v>4</v>
      </c>
    </row>
    <row r="132" spans="1:54" s="114" customFormat="1" ht="11.25" customHeight="1" x14ac:dyDescent="0.15">
      <c r="A132" s="134">
        <v>129</v>
      </c>
      <c r="B132" s="134"/>
      <c r="C132" s="135" t="s">
        <v>374</v>
      </c>
      <c r="D132" s="135"/>
      <c r="E132" s="135">
        <f t="shared" si="15"/>
        <v>33</v>
      </c>
      <c r="F132" s="136" t="s">
        <v>375</v>
      </c>
      <c r="G132" s="137">
        <v>61</v>
      </c>
      <c r="H132" s="138">
        <f>INT((G132*Valores!$C$2*100)+0.5)/100</f>
        <v>816.34</v>
      </c>
      <c r="I132" s="156">
        <v>1217</v>
      </c>
      <c r="J132" s="140">
        <f>INT((I132*Valores!$C$2*100)+0.5)/100</f>
        <v>16286.62</v>
      </c>
      <c r="K132" s="155">
        <v>0</v>
      </c>
      <c r="L132" s="140">
        <f>INT((K132*Valores!$C$2*100)+0.5)/100</f>
        <v>0</v>
      </c>
      <c r="M132" s="153">
        <v>0</v>
      </c>
      <c r="N132" s="140">
        <f>INT((M132*Valores!$C$2*100)+0.5)/100</f>
        <v>0</v>
      </c>
      <c r="O132" s="140">
        <f t="shared" si="16"/>
        <v>3810.5504999999994</v>
      </c>
      <c r="P132" s="140">
        <f t="shared" si="17"/>
        <v>0</v>
      </c>
      <c r="Q132" s="142">
        <f>Valores!$C$21</f>
        <v>11564.28</v>
      </c>
      <c r="R132" s="142">
        <f>Valores!$D$4</f>
        <v>6841.19</v>
      </c>
      <c r="S132" s="140">
        <v>0</v>
      </c>
      <c r="T132" s="143">
        <f>IF($H$5="NO",Valores!$C$43,Valores!$C$43/2)</f>
        <v>1999.98</v>
      </c>
      <c r="U132" s="154">
        <f>Valores!$C$26</f>
        <v>6300.73</v>
      </c>
      <c r="V132" s="140">
        <f t="shared" si="23"/>
        <v>6300.73</v>
      </c>
      <c r="W132" s="140">
        <v>0</v>
      </c>
      <c r="X132" s="140">
        <v>0</v>
      </c>
      <c r="Y132" s="144">
        <v>0</v>
      </c>
      <c r="Z132" s="140">
        <f>Y132*Valores!$C$2</f>
        <v>0</v>
      </c>
      <c r="AA132" s="140">
        <v>0</v>
      </c>
      <c r="AB132" s="143">
        <f>Valores!$C$90</f>
        <v>2575.39</v>
      </c>
      <c r="AC132" s="145">
        <f>Valores!$C$31</f>
        <v>279.8</v>
      </c>
      <c r="AD132" s="140">
        <f t="shared" si="19"/>
        <v>0</v>
      </c>
      <c r="AE132" s="140">
        <f>Valores!$C$32</f>
        <v>279.8</v>
      </c>
      <c r="AF132" s="144">
        <v>0</v>
      </c>
      <c r="AG132" s="140">
        <f>INT(((AF132*Valores!$C$2)*100)+0.5)/100</f>
        <v>0</v>
      </c>
      <c r="AH132" s="140">
        <f>IF($H$5="NO",Valores!$C$60,Valores!$C$60/2)</f>
        <v>569.14</v>
      </c>
      <c r="AI132" s="140">
        <f>IF($H$5="NO",Valores!$C$62,Valores!$C$62/2)</f>
        <v>162.61000000000001</v>
      </c>
      <c r="AJ132" s="146">
        <f t="shared" si="20"/>
        <v>51486.430500000009</v>
      </c>
      <c r="AK132" s="142">
        <f>Valores!$C$37</f>
        <v>1465.56</v>
      </c>
      <c r="AL132" s="143">
        <f>Valores!$C$85</f>
        <v>2275</v>
      </c>
      <c r="AM132" s="143"/>
      <c r="AN132" s="145">
        <f>IF($H$4="NO",0,Valores!$C$53)</f>
        <v>170.34</v>
      </c>
      <c r="AO132" s="147">
        <f t="shared" si="18"/>
        <v>3910.9</v>
      </c>
      <c r="AP132" s="148">
        <f>AJ132*Valores!$C$69</f>
        <v>-5663.5073550000006</v>
      </c>
      <c r="AQ132" s="148">
        <f>AJ132*-Valores!$C$70</f>
        <v>0</v>
      </c>
      <c r="AR132" s="142">
        <f>AJ132*Valores!$C$71</f>
        <v>-2316.8893725000003</v>
      </c>
      <c r="AS132" s="142">
        <f>Valores!$C$95</f>
        <v>-193.38</v>
      </c>
      <c r="AT132" s="142">
        <f>IF($H$6=0,Valores!$C$96,(Valores!$C$96+$H$6*(Valores!$C$96)))</f>
        <v>-178</v>
      </c>
      <c r="AU132" s="146">
        <f t="shared" si="21"/>
        <v>47045.55377250001</v>
      </c>
      <c r="AV132" s="199">
        <f t="shared" si="14"/>
        <v>-5663.5073550000006</v>
      </c>
      <c r="AW132" s="142">
        <f>AJ132*Valores!$C$72</f>
        <v>-1390.1336235000003</v>
      </c>
      <c r="AX132" s="142">
        <f>AJ132*Valores!$C$73</f>
        <v>-154.45929150000003</v>
      </c>
      <c r="AY132" s="146">
        <f t="shared" si="22"/>
        <v>48189.230230000008</v>
      </c>
      <c r="AZ132" s="150"/>
      <c r="BA132" s="150"/>
      <c r="BB132" s="135" t="s">
        <v>8</v>
      </c>
    </row>
    <row r="133" spans="1:54" s="114" customFormat="1" ht="11.25" customHeight="1" x14ac:dyDescent="0.15">
      <c r="A133" s="152">
        <v>130</v>
      </c>
      <c r="B133" s="152" t="s">
        <v>139</v>
      </c>
      <c r="C133" s="135" t="s">
        <v>376</v>
      </c>
      <c r="D133" s="135"/>
      <c r="E133" s="135">
        <f t="shared" si="15"/>
        <v>24</v>
      </c>
      <c r="F133" s="136" t="s">
        <v>377</v>
      </c>
      <c r="G133" s="137">
        <v>1278</v>
      </c>
      <c r="H133" s="138">
        <f>INT((G133*Valores!$C$2*100)+0.5)/100</f>
        <v>17102.96</v>
      </c>
      <c r="I133" s="156">
        <v>0</v>
      </c>
      <c r="J133" s="140">
        <f>INT((I133*Valores!$C$2*100)+0.5)/100</f>
        <v>0</v>
      </c>
      <c r="K133" s="155">
        <v>0</v>
      </c>
      <c r="L133" s="140">
        <f>INT((K133*Valores!$C$2*100)+0.5)/100</f>
        <v>0</v>
      </c>
      <c r="M133" s="153">
        <v>0</v>
      </c>
      <c r="N133" s="140">
        <f>INT((M133*Valores!$C$2*100)+0.5)/100</f>
        <v>0</v>
      </c>
      <c r="O133" s="140">
        <f t="shared" si="16"/>
        <v>3850.7159999999994</v>
      </c>
      <c r="P133" s="140">
        <f t="shared" si="17"/>
        <v>0</v>
      </c>
      <c r="Q133" s="142">
        <f>Valores!$C$21</f>
        <v>11564.28</v>
      </c>
      <c r="R133" s="142">
        <f>Valores!$D$4</f>
        <v>6841.19</v>
      </c>
      <c r="S133" s="154">
        <f>Valores!$C$28</f>
        <v>6103.41</v>
      </c>
      <c r="T133" s="143">
        <f>IF($H$5="NO",Valores!$C$44,Valores!$C$44/2)</f>
        <v>2267.75</v>
      </c>
      <c r="U133" s="154">
        <f>Valores!$C$26</f>
        <v>6300.73</v>
      </c>
      <c r="V133" s="140">
        <f t="shared" si="23"/>
        <v>6300.73</v>
      </c>
      <c r="W133" s="140">
        <v>0</v>
      </c>
      <c r="X133" s="140">
        <v>0</v>
      </c>
      <c r="Y133" s="144">
        <v>0</v>
      </c>
      <c r="Z133" s="140">
        <f>Y133*Valores!$C$2</f>
        <v>0</v>
      </c>
      <c r="AA133" s="140">
        <v>0</v>
      </c>
      <c r="AB133" s="143">
        <f>Valores!$C$90</f>
        <v>2575.39</v>
      </c>
      <c r="AC133" s="145">
        <f>Valores!$C$31</f>
        <v>279.8</v>
      </c>
      <c r="AD133" s="140">
        <f t="shared" si="19"/>
        <v>0</v>
      </c>
      <c r="AE133" s="140">
        <f>Valores!$C$32</f>
        <v>279.8</v>
      </c>
      <c r="AF133" s="144">
        <v>0</v>
      </c>
      <c r="AG133" s="140">
        <f>INT(((AF133*Valores!$C$2)*100)+0.5)/100</f>
        <v>0</v>
      </c>
      <c r="AH133" s="140">
        <f>IF($H$5="NO",Valores!$C$60,Valores!$C$60/2)</f>
        <v>569.14</v>
      </c>
      <c r="AI133" s="140">
        <f>IF($H$5="NO",Valores!$C$62,Valores!$C$62/2)</f>
        <v>162.61000000000001</v>
      </c>
      <c r="AJ133" s="146">
        <f t="shared" si="20"/>
        <v>57897.775999999998</v>
      </c>
      <c r="AK133" s="142">
        <f>Valores!$C$37</f>
        <v>1465.56</v>
      </c>
      <c r="AL133" s="143">
        <f>Valores!$C$85</f>
        <v>2275</v>
      </c>
      <c r="AM133" s="143"/>
      <c r="AN133" s="145">
        <f>IF($H$4="NO",0,Valores!$C$53)</f>
        <v>170.34</v>
      </c>
      <c r="AO133" s="147">
        <f t="shared" si="18"/>
        <v>3910.9</v>
      </c>
      <c r="AP133" s="148">
        <f>AJ133*Valores!$C$69</f>
        <v>-6368.7553600000001</v>
      </c>
      <c r="AQ133" s="148">
        <f>AJ133*-Valores!$C$70</f>
        <v>0</v>
      </c>
      <c r="AR133" s="142">
        <f>AJ133*Valores!$C$71</f>
        <v>-2605.3999199999998</v>
      </c>
      <c r="AS133" s="142">
        <f>Valores!$C$95</f>
        <v>-193.38</v>
      </c>
      <c r="AT133" s="142">
        <f>IF($H$6=0,Valores!$C$96,(Valores!$C$96+$H$6*(Valores!$C$96)))</f>
        <v>-178</v>
      </c>
      <c r="AU133" s="146">
        <f t="shared" si="21"/>
        <v>52463.140719999996</v>
      </c>
      <c r="AV133" s="199">
        <f t="shared" si="14"/>
        <v>-6368.7553600000001</v>
      </c>
      <c r="AW133" s="142">
        <f>AJ133*Valores!$C$72</f>
        <v>-1563.2399519999999</v>
      </c>
      <c r="AX133" s="142">
        <f>AJ133*Valores!$C$73</f>
        <v>-173.69332800000001</v>
      </c>
      <c r="AY133" s="146">
        <f t="shared" si="22"/>
        <v>53702.987359999999</v>
      </c>
      <c r="AZ133" s="150"/>
      <c r="BA133" s="150">
        <v>22</v>
      </c>
      <c r="BB133" s="135" t="s">
        <v>4</v>
      </c>
    </row>
    <row r="134" spans="1:54" s="114" customFormat="1" ht="11.25" customHeight="1" x14ac:dyDescent="0.15">
      <c r="A134" s="134">
        <v>131</v>
      </c>
      <c r="B134" s="134"/>
      <c r="C134" s="135" t="s">
        <v>378</v>
      </c>
      <c r="D134" s="135"/>
      <c r="E134" s="135">
        <f t="shared" si="15"/>
        <v>30</v>
      </c>
      <c r="F134" s="136" t="s">
        <v>379</v>
      </c>
      <c r="G134" s="137">
        <v>1278</v>
      </c>
      <c r="H134" s="138">
        <f>INT((G134*Valores!$C$2*100)+0.5)/100</f>
        <v>17102.96</v>
      </c>
      <c r="I134" s="156">
        <v>0</v>
      </c>
      <c r="J134" s="140">
        <f>INT((I134*Valores!$C$2*100)+0.5)/100</f>
        <v>0</v>
      </c>
      <c r="K134" s="155">
        <v>0</v>
      </c>
      <c r="L134" s="140">
        <f>INT((K134*Valores!$C$2*100)+0.5)/100</f>
        <v>0</v>
      </c>
      <c r="M134" s="153">
        <v>0</v>
      </c>
      <c r="N134" s="140">
        <f>INT((M134*Valores!$C$2*100)+0.5)/100</f>
        <v>0</v>
      </c>
      <c r="O134" s="140">
        <f t="shared" si="16"/>
        <v>3860.4780000000001</v>
      </c>
      <c r="P134" s="140">
        <f t="shared" si="17"/>
        <v>0</v>
      </c>
      <c r="Q134" s="142">
        <f>Valores!$C$21</f>
        <v>11564.28</v>
      </c>
      <c r="R134" s="142">
        <f>Valores!$D$4</f>
        <v>6841.19</v>
      </c>
      <c r="S134" s="140">
        <f>Valores!$C$28</f>
        <v>6103.41</v>
      </c>
      <c r="T134" s="143">
        <f>IF($H$5="NO",Valores!$C$44,Valores!$C$44/2)</f>
        <v>2267.75</v>
      </c>
      <c r="U134" s="140">
        <f>Valores!$C$25</f>
        <v>6365.81</v>
      </c>
      <c r="V134" s="140">
        <f t="shared" si="23"/>
        <v>6365.81</v>
      </c>
      <c r="W134" s="140">
        <v>0</v>
      </c>
      <c r="X134" s="140">
        <v>0</v>
      </c>
      <c r="Y134" s="144">
        <v>0</v>
      </c>
      <c r="Z134" s="140">
        <f>Y134*Valores!$C$2</f>
        <v>0</v>
      </c>
      <c r="AA134" s="140">
        <v>0</v>
      </c>
      <c r="AB134" s="143">
        <f>Valores!$C$90</f>
        <v>2575.39</v>
      </c>
      <c r="AC134" s="145">
        <f>Valores!$C$31</f>
        <v>279.8</v>
      </c>
      <c r="AD134" s="140">
        <f t="shared" si="19"/>
        <v>0</v>
      </c>
      <c r="AE134" s="140">
        <f>Valores!$C$32</f>
        <v>279.8</v>
      </c>
      <c r="AF134" s="144">
        <v>94</v>
      </c>
      <c r="AG134" s="140">
        <f>INT(((AF134*Valores!$C$2)*100)+0.5)/100</f>
        <v>1257.96</v>
      </c>
      <c r="AH134" s="140">
        <f>IF($H$5="NO",Valores!$C$60,Valores!$C$60/2)</f>
        <v>569.14</v>
      </c>
      <c r="AI134" s="140">
        <f>IF($H$5="NO",Valores!$C$62,Valores!$C$62/2)</f>
        <v>162.61000000000001</v>
      </c>
      <c r="AJ134" s="146">
        <f t="shared" si="20"/>
        <v>59230.578000000001</v>
      </c>
      <c r="AK134" s="142">
        <f>Valores!$C$37</f>
        <v>1465.56</v>
      </c>
      <c r="AL134" s="143">
        <f>Valores!$C$85</f>
        <v>2275</v>
      </c>
      <c r="AM134" s="143"/>
      <c r="AN134" s="145">
        <f>IF($H$4="NO",0,Valores!$C$53)</f>
        <v>170.34</v>
      </c>
      <c r="AO134" s="147">
        <f t="shared" si="18"/>
        <v>3910.9</v>
      </c>
      <c r="AP134" s="148">
        <f>AJ134*Valores!$C$69</f>
        <v>-6515.3635800000002</v>
      </c>
      <c r="AQ134" s="148">
        <f>AJ134*-Valores!$C$70</f>
        <v>0</v>
      </c>
      <c r="AR134" s="142">
        <f>AJ134*Valores!$C$71</f>
        <v>-2665.37601</v>
      </c>
      <c r="AS134" s="142">
        <f>Valores!$C$95</f>
        <v>-193.38</v>
      </c>
      <c r="AT134" s="142">
        <f>IF($H$6=0,Valores!$C$96,(Valores!$C$96+$H$6*(Valores!$C$96)))</f>
        <v>-178</v>
      </c>
      <c r="AU134" s="146">
        <f t="shared" si="21"/>
        <v>53589.358410000001</v>
      </c>
      <c r="AV134" s="199">
        <f t="shared" si="14"/>
        <v>-6515.3635800000002</v>
      </c>
      <c r="AW134" s="142">
        <f>AJ134*Valores!$C$72</f>
        <v>-1599.225606</v>
      </c>
      <c r="AX134" s="142">
        <f>AJ134*Valores!$C$73</f>
        <v>-177.691734</v>
      </c>
      <c r="AY134" s="146">
        <f t="shared" si="22"/>
        <v>54849.197079999998</v>
      </c>
      <c r="AZ134" s="150"/>
      <c r="BA134" s="150">
        <v>20</v>
      </c>
      <c r="BB134" s="135" t="s">
        <v>4</v>
      </c>
    </row>
    <row r="135" spans="1:54" s="114" customFormat="1" ht="11.25" customHeight="1" x14ac:dyDescent="0.15">
      <c r="A135" s="134">
        <v>132</v>
      </c>
      <c r="B135" s="134"/>
      <c r="C135" s="135" t="s">
        <v>380</v>
      </c>
      <c r="D135" s="135"/>
      <c r="E135" s="135">
        <f t="shared" si="15"/>
        <v>19</v>
      </c>
      <c r="F135" s="136" t="s">
        <v>381</v>
      </c>
      <c r="G135" s="137">
        <v>936</v>
      </c>
      <c r="H135" s="138">
        <f>INT((G135*Valores!$C$2*100)+0.5)/100</f>
        <v>12526.11</v>
      </c>
      <c r="I135" s="156">
        <v>0</v>
      </c>
      <c r="J135" s="140">
        <f>INT((I135*Valores!$C$2*100)+0.5)/100</f>
        <v>0</v>
      </c>
      <c r="K135" s="155">
        <v>0</v>
      </c>
      <c r="L135" s="140">
        <f>INT((K135*Valores!$C$2*100)+0.5)/100</f>
        <v>0</v>
      </c>
      <c r="M135" s="153">
        <v>0</v>
      </c>
      <c r="N135" s="140">
        <f>INT((M135*Valores!$C$2*100)+0.5)/100</f>
        <v>0</v>
      </c>
      <c r="O135" s="140">
        <f t="shared" si="16"/>
        <v>3124.0229999999997</v>
      </c>
      <c r="P135" s="140">
        <f t="shared" si="17"/>
        <v>0</v>
      </c>
      <c r="Q135" s="154">
        <f>Valores!$C$21</f>
        <v>11564.28</v>
      </c>
      <c r="R135" s="154">
        <f>Valores!$D$4</f>
        <v>6841.19</v>
      </c>
      <c r="S135" s="154">
        <f>Valores!$C$29</f>
        <v>5680.65</v>
      </c>
      <c r="T135" s="143">
        <f>IF($H$5="NO",Valores!$C$43,Valores!$C$43/2)</f>
        <v>1999.98</v>
      </c>
      <c r="U135" s="154">
        <f>Valores!$C$26</f>
        <v>6300.73</v>
      </c>
      <c r="V135" s="140">
        <f t="shared" si="23"/>
        <v>6300.73</v>
      </c>
      <c r="W135" s="140">
        <v>0</v>
      </c>
      <c r="X135" s="140">
        <v>0</v>
      </c>
      <c r="Y135" s="144">
        <v>0</v>
      </c>
      <c r="Z135" s="140">
        <f>Y135*Valores!$C$2</f>
        <v>0</v>
      </c>
      <c r="AA135" s="140">
        <v>0</v>
      </c>
      <c r="AB135" s="143">
        <f>Valores!$C$90</f>
        <v>2575.39</v>
      </c>
      <c r="AC135" s="145">
        <f>Valores!$C$31</f>
        <v>279.8</v>
      </c>
      <c r="AD135" s="140">
        <f t="shared" si="19"/>
        <v>0</v>
      </c>
      <c r="AE135" s="140">
        <f>Valores!$C$32</f>
        <v>279.8</v>
      </c>
      <c r="AF135" s="159">
        <v>94</v>
      </c>
      <c r="AG135" s="143">
        <f>INT(((AF135*Valores!$C$2)*100)+0.5)/100</f>
        <v>1257.96</v>
      </c>
      <c r="AH135" s="140">
        <f>IF($H$5="NO",Valores!$C$60,Valores!$C$60/2)</f>
        <v>569.14</v>
      </c>
      <c r="AI135" s="140">
        <f>IF($H$5="NO",Valores!$C$62,Valores!$C$62/2)</f>
        <v>162.61000000000001</v>
      </c>
      <c r="AJ135" s="146">
        <f t="shared" si="20"/>
        <v>53161.663000000015</v>
      </c>
      <c r="AK135" s="154">
        <f>Valores!$C$37</f>
        <v>1465.56</v>
      </c>
      <c r="AL135" s="143">
        <f>Valores!$C$85</f>
        <v>2275</v>
      </c>
      <c r="AM135" s="143"/>
      <c r="AN135" s="145">
        <f>IF($H$4="NO",0,Valores!$C$53)</f>
        <v>170.34</v>
      </c>
      <c r="AO135" s="147">
        <f t="shared" si="18"/>
        <v>3910.9</v>
      </c>
      <c r="AP135" s="148">
        <f>AJ135*Valores!$C$69</f>
        <v>-5847.7829300000021</v>
      </c>
      <c r="AQ135" s="149">
        <f>AJ135*-Valores!$C$70</f>
        <v>0</v>
      </c>
      <c r="AR135" s="142">
        <f>AJ135*Valores!$C$71</f>
        <v>-2392.2748350000006</v>
      </c>
      <c r="AS135" s="142">
        <f>Valores!$C$95</f>
        <v>-193.38</v>
      </c>
      <c r="AT135" s="142">
        <f>IF($H$6=0,Valores!$C$96,(Valores!$C$96+$H$6*(Valores!$C$96)))</f>
        <v>-178</v>
      </c>
      <c r="AU135" s="146">
        <f t="shared" si="21"/>
        <v>48461.125235000014</v>
      </c>
      <c r="AV135" s="199">
        <f t="shared" si="14"/>
        <v>-5847.7829300000021</v>
      </c>
      <c r="AW135" s="142">
        <f>AJ135*Valores!$C$72</f>
        <v>-1435.3649010000004</v>
      </c>
      <c r="AX135" s="142">
        <f>AJ135*Valores!$C$73</f>
        <v>-159.48498900000004</v>
      </c>
      <c r="AY135" s="146">
        <f t="shared" si="22"/>
        <v>49629.93018000001</v>
      </c>
      <c r="AZ135" s="150">
        <v>8</v>
      </c>
      <c r="BA135" s="150"/>
      <c r="BB135" s="135" t="s">
        <v>4</v>
      </c>
    </row>
    <row r="136" spans="1:54" s="114" customFormat="1" ht="11.25" customHeight="1" x14ac:dyDescent="0.15">
      <c r="A136" s="134">
        <v>133</v>
      </c>
      <c r="B136" s="134"/>
      <c r="C136" s="135" t="s">
        <v>382</v>
      </c>
      <c r="D136" s="135"/>
      <c r="E136" s="135">
        <f t="shared" si="15"/>
        <v>19</v>
      </c>
      <c r="F136" s="136" t="s">
        <v>383</v>
      </c>
      <c r="G136" s="137">
        <v>1278</v>
      </c>
      <c r="H136" s="138">
        <f>INT((G136*Valores!$C$2*100)+0.5)/100</f>
        <v>17102.96</v>
      </c>
      <c r="I136" s="156">
        <v>0</v>
      </c>
      <c r="J136" s="140">
        <f>INT((I136*Valores!$C$2*100)+0.5)/100</f>
        <v>0</v>
      </c>
      <c r="K136" s="155">
        <v>0</v>
      </c>
      <c r="L136" s="140">
        <f>INT((K136*Valores!$C$2*100)+0.5)/100</f>
        <v>0</v>
      </c>
      <c r="M136" s="153">
        <v>0</v>
      </c>
      <c r="N136" s="140">
        <f>INT((M136*Valores!$C$2*100)+0.5)/100</f>
        <v>0</v>
      </c>
      <c r="O136" s="140">
        <f t="shared" si="16"/>
        <v>3810.5504999999994</v>
      </c>
      <c r="P136" s="140">
        <f t="shared" si="17"/>
        <v>0</v>
      </c>
      <c r="Q136" s="154">
        <f>Valores!$C$15</f>
        <v>13989.51</v>
      </c>
      <c r="R136" s="154">
        <f>Valores!$D$4</f>
        <v>6841.19</v>
      </c>
      <c r="S136" s="143">
        <v>0</v>
      </c>
      <c r="T136" s="143">
        <f>IF($H$5="NO",Valores!$C$43,Valores!$C$43/2)</f>
        <v>1999.98</v>
      </c>
      <c r="U136" s="154">
        <f>Valores!$C$26</f>
        <v>6300.73</v>
      </c>
      <c r="V136" s="140">
        <f t="shared" si="23"/>
        <v>6300.73</v>
      </c>
      <c r="W136" s="140">
        <v>0</v>
      </c>
      <c r="X136" s="140">
        <v>0</v>
      </c>
      <c r="Y136" s="144">
        <v>0</v>
      </c>
      <c r="Z136" s="140">
        <f>Y136*Valores!$C$2</f>
        <v>0</v>
      </c>
      <c r="AA136" s="140">
        <v>0</v>
      </c>
      <c r="AB136" s="143">
        <f>Valores!$C$90</f>
        <v>2575.39</v>
      </c>
      <c r="AC136" s="145">
        <f>Valores!$C$31</f>
        <v>279.8</v>
      </c>
      <c r="AD136" s="140">
        <f t="shared" si="19"/>
        <v>0</v>
      </c>
      <c r="AE136" s="140">
        <f>Valores!$C$32</f>
        <v>279.8</v>
      </c>
      <c r="AF136" s="159">
        <v>94</v>
      </c>
      <c r="AG136" s="143">
        <f>INT(((AF136*Valores!$C$2)*100)+0.5)/100</f>
        <v>1257.96</v>
      </c>
      <c r="AH136" s="140">
        <f>IF($H$5="NO",Valores!$C$60,Valores!$C$60/2)</f>
        <v>569.14</v>
      </c>
      <c r="AI136" s="140">
        <f>IF($H$5="NO",Valores!$C$62,Valores!$C$62/2)</f>
        <v>162.61000000000001</v>
      </c>
      <c r="AJ136" s="146">
        <f t="shared" si="20"/>
        <v>55169.620500000005</v>
      </c>
      <c r="AK136" s="154">
        <f>Valores!$C$37</f>
        <v>1465.56</v>
      </c>
      <c r="AL136" s="143">
        <f>Valores!$C$85</f>
        <v>2275</v>
      </c>
      <c r="AM136" s="143"/>
      <c r="AN136" s="145">
        <f>IF($H$4="NO",0,Valores!$C$53)</f>
        <v>170.34</v>
      </c>
      <c r="AO136" s="147">
        <f t="shared" si="18"/>
        <v>3910.9</v>
      </c>
      <c r="AP136" s="148">
        <f>AJ136*Valores!$C$69</f>
        <v>-6068.6582550000003</v>
      </c>
      <c r="AQ136" s="149">
        <f>AJ136*-Valores!$C$70</f>
        <v>0</v>
      </c>
      <c r="AR136" s="142">
        <f>AJ136*Valores!$C$71</f>
        <v>-2482.6329224999999</v>
      </c>
      <c r="AS136" s="142">
        <f>Valores!$C$95</f>
        <v>-193.38</v>
      </c>
      <c r="AT136" s="142">
        <f>IF($H$6=0,Valores!$C$96,(Valores!$C$96+$H$6*(Valores!$C$96)))</f>
        <v>-178</v>
      </c>
      <c r="AU136" s="146">
        <f t="shared" si="21"/>
        <v>50157.849322500006</v>
      </c>
      <c r="AV136" s="199">
        <f t="shared" ref="AV136:AV199" si="24">AP136</f>
        <v>-6068.6582550000003</v>
      </c>
      <c r="AW136" s="142">
        <f>AJ136*Valores!$C$72</f>
        <v>-1489.5797535000002</v>
      </c>
      <c r="AX136" s="142">
        <f>AJ136*Valores!$C$73</f>
        <v>-165.50886150000002</v>
      </c>
      <c r="AY136" s="146">
        <f t="shared" si="22"/>
        <v>51356.773630000003</v>
      </c>
      <c r="AZ136" s="150"/>
      <c r="BA136" s="150">
        <v>22</v>
      </c>
      <c r="BB136" s="135" t="s">
        <v>4</v>
      </c>
    </row>
    <row r="137" spans="1:54" s="114" customFormat="1" ht="11.25" customHeight="1" x14ac:dyDescent="0.15">
      <c r="A137" s="134">
        <v>134</v>
      </c>
      <c r="B137" s="134"/>
      <c r="C137" s="135" t="s">
        <v>384</v>
      </c>
      <c r="D137" s="135"/>
      <c r="E137" s="135">
        <f t="shared" ref="E137:E199" si="25">LEN(F137)</f>
        <v>26</v>
      </c>
      <c r="F137" s="136" t="s">
        <v>385</v>
      </c>
      <c r="G137" s="137">
        <v>1278</v>
      </c>
      <c r="H137" s="138">
        <f>INT((G137*Valores!$C$2*100)+0.5)/100</f>
        <v>17102.96</v>
      </c>
      <c r="I137" s="156">
        <v>0</v>
      </c>
      <c r="J137" s="140">
        <f>INT((I137*Valores!$C$2*100)+0.5)/100</f>
        <v>0</v>
      </c>
      <c r="K137" s="155">
        <v>0</v>
      </c>
      <c r="L137" s="140">
        <f>INT((K137*Valores!$C$2*100)+0.5)/100</f>
        <v>0</v>
      </c>
      <c r="M137" s="153">
        <v>0</v>
      </c>
      <c r="N137" s="140">
        <f>INT((M137*Valores!$C$2*100)+0.5)/100</f>
        <v>0</v>
      </c>
      <c r="O137" s="140">
        <f t="shared" ref="O137:O199" si="26">IF($J$2=0,IF(C137&lt;&gt;"13-930",(SUM(H137,J137,L137,N137,Z137,U137,T137)*$O$2),0),0)</f>
        <v>3860.4780000000001</v>
      </c>
      <c r="P137" s="140">
        <f t="shared" ref="P137:P199" si="27">SUM(H137,J137,L137,N137,Z137,T137)*$J$2</f>
        <v>0</v>
      </c>
      <c r="Q137" s="154">
        <f>Valores!$C$15</f>
        <v>13989.51</v>
      </c>
      <c r="R137" s="154">
        <f>Valores!$D$4</f>
        <v>6841.19</v>
      </c>
      <c r="S137" s="154">
        <f>Valores!$C$28</f>
        <v>6103.41</v>
      </c>
      <c r="T137" s="143">
        <f>IF($H$5="NO",Valores!$C$44,Valores!$C$44/2)</f>
        <v>2267.75</v>
      </c>
      <c r="U137" s="140">
        <f>Valores!$C$25</f>
        <v>6365.81</v>
      </c>
      <c r="V137" s="140">
        <f t="shared" si="23"/>
        <v>6365.81</v>
      </c>
      <c r="W137" s="140">
        <v>0</v>
      </c>
      <c r="X137" s="140">
        <v>0</v>
      </c>
      <c r="Y137" s="144">
        <v>0</v>
      </c>
      <c r="Z137" s="140">
        <f>Y137*Valores!$C$2</f>
        <v>0</v>
      </c>
      <c r="AA137" s="140">
        <v>0</v>
      </c>
      <c r="AB137" s="143">
        <f>Valores!$C$90</f>
        <v>2575.39</v>
      </c>
      <c r="AC137" s="145">
        <f>Valores!$C$31</f>
        <v>279.8</v>
      </c>
      <c r="AD137" s="140">
        <f t="shared" si="19"/>
        <v>0</v>
      </c>
      <c r="AE137" s="140">
        <f>Valores!$C$32</f>
        <v>279.8</v>
      </c>
      <c r="AF137" s="144">
        <v>0</v>
      </c>
      <c r="AG137" s="140">
        <f>INT(((AF137*Valores!$C$2)*100)+0.5)/100</f>
        <v>0</v>
      </c>
      <c r="AH137" s="140">
        <f>IF($H$5="NO",Valores!$C$60,Valores!$C$60/2)</f>
        <v>569.14</v>
      </c>
      <c r="AI137" s="140">
        <f>IF($H$5="NO",Valores!$C$62,Valores!$C$62/2)</f>
        <v>162.61000000000001</v>
      </c>
      <c r="AJ137" s="146">
        <f t="shared" si="20"/>
        <v>60397.847999999998</v>
      </c>
      <c r="AK137" s="154">
        <f>Valores!$C$37</f>
        <v>1465.56</v>
      </c>
      <c r="AL137" s="143">
        <f>Valores!$C$85</f>
        <v>2275</v>
      </c>
      <c r="AM137" s="143"/>
      <c r="AN137" s="145">
        <f>IF($H$4="NO",0,Valores!$C$53)</f>
        <v>170.34</v>
      </c>
      <c r="AO137" s="147">
        <f t="shared" ref="AO137:AO200" si="28">IF($H$4="SI",SUM(AK137:AN137),SUM(AK137:AL137))</f>
        <v>3910.9</v>
      </c>
      <c r="AP137" s="148">
        <f>AJ137*Valores!$C$69</f>
        <v>-6643.7632800000001</v>
      </c>
      <c r="AQ137" s="149">
        <f>AJ137*-Valores!$C$70</f>
        <v>0</v>
      </c>
      <c r="AR137" s="142">
        <f>AJ137*Valores!$C$71</f>
        <v>-2717.9031599999998</v>
      </c>
      <c r="AS137" s="142">
        <f>Valores!$C$95</f>
        <v>-193.38</v>
      </c>
      <c r="AT137" s="142">
        <f>IF($H$6=0,Valores!$C$96,(Valores!$C$96+$H$6*(Valores!$C$96)))</f>
        <v>-178</v>
      </c>
      <c r="AU137" s="146">
        <f t="shared" si="21"/>
        <v>54575.701560000001</v>
      </c>
      <c r="AV137" s="199">
        <f t="shared" si="24"/>
        <v>-6643.7632800000001</v>
      </c>
      <c r="AW137" s="142">
        <f>AJ137*Valores!$C$72</f>
        <v>-1630.741896</v>
      </c>
      <c r="AX137" s="142">
        <f>AJ137*Valores!$C$73</f>
        <v>-181.193544</v>
      </c>
      <c r="AY137" s="146">
        <f t="shared" si="22"/>
        <v>55853.049279999999</v>
      </c>
      <c r="AZ137" s="150"/>
      <c r="BA137" s="150"/>
      <c r="BB137" s="135" t="s">
        <v>4</v>
      </c>
    </row>
    <row r="138" spans="1:54" s="114" customFormat="1" ht="11.25" customHeight="1" x14ac:dyDescent="0.15">
      <c r="A138" s="152">
        <v>135</v>
      </c>
      <c r="B138" s="152" t="s">
        <v>139</v>
      </c>
      <c r="C138" s="135" t="s">
        <v>386</v>
      </c>
      <c r="D138" s="135"/>
      <c r="E138" s="135">
        <f t="shared" si="25"/>
        <v>19</v>
      </c>
      <c r="F138" s="136" t="s">
        <v>387</v>
      </c>
      <c r="G138" s="137">
        <v>1278</v>
      </c>
      <c r="H138" s="138">
        <f>INT((G138*Valores!$C$2*100)+0.5)/100</f>
        <v>17102.96</v>
      </c>
      <c r="I138" s="156">
        <v>0</v>
      </c>
      <c r="J138" s="140">
        <f>INT((I138*Valores!$C$2*100)+0.5)/100</f>
        <v>0</v>
      </c>
      <c r="K138" s="155">
        <v>0</v>
      </c>
      <c r="L138" s="140">
        <f>INT((K138*Valores!$C$2*100)+0.5)/100</f>
        <v>0</v>
      </c>
      <c r="M138" s="153">
        <v>0</v>
      </c>
      <c r="N138" s="140">
        <f>INT((M138*Valores!$C$2*100)+0.5)/100</f>
        <v>0</v>
      </c>
      <c r="O138" s="140">
        <f t="shared" si="26"/>
        <v>3860.4780000000001</v>
      </c>
      <c r="P138" s="140">
        <f t="shared" si="27"/>
        <v>0</v>
      </c>
      <c r="Q138" s="154">
        <f>Valores!$C$15</f>
        <v>13989.51</v>
      </c>
      <c r="R138" s="154">
        <f>Valores!$D$4</f>
        <v>6841.19</v>
      </c>
      <c r="S138" s="154">
        <f>Valores!$C$28</f>
        <v>6103.41</v>
      </c>
      <c r="T138" s="143">
        <f>IF($H$5="NO",Valores!$C$44,Valores!$C$44/2)</f>
        <v>2267.75</v>
      </c>
      <c r="U138" s="140">
        <f>Valores!$C$25</f>
        <v>6365.81</v>
      </c>
      <c r="V138" s="140">
        <f t="shared" si="23"/>
        <v>6365.81</v>
      </c>
      <c r="W138" s="140">
        <v>0</v>
      </c>
      <c r="X138" s="140">
        <v>0</v>
      </c>
      <c r="Y138" s="144">
        <v>0</v>
      </c>
      <c r="Z138" s="140">
        <f>Y138*Valores!$C$2</f>
        <v>0</v>
      </c>
      <c r="AA138" s="140">
        <v>0</v>
      </c>
      <c r="AB138" s="143">
        <f>Valores!$C$90</f>
        <v>2575.39</v>
      </c>
      <c r="AC138" s="145">
        <f>Valores!$C$31</f>
        <v>279.8</v>
      </c>
      <c r="AD138" s="140">
        <f t="shared" ref="AD138:AD200" si="29">SUM(H138,J138,L138,Z138,T138)*$H$3/100</f>
        <v>0</v>
      </c>
      <c r="AE138" s="140">
        <f>Valores!$C$32</f>
        <v>279.8</v>
      </c>
      <c r="AF138" s="144">
        <v>0</v>
      </c>
      <c r="AG138" s="140">
        <f>INT(((AF138*Valores!$C$2)*100)+0.5)/100</f>
        <v>0</v>
      </c>
      <c r="AH138" s="140">
        <f>IF($H$5="NO",Valores!$C$60,Valores!$C$60/2)</f>
        <v>569.14</v>
      </c>
      <c r="AI138" s="140">
        <f>IF($H$5="NO",Valores!$C$62,Valores!$C$62/2)</f>
        <v>162.61000000000001</v>
      </c>
      <c r="AJ138" s="146">
        <f t="shared" ref="AJ138:AJ200" si="30">SUM(H138,J138,L138,N138,O138,P138,Q138,R138,S138,V138,W138,X138,Z138,AA138,AC138,AD138,AE138,AG138,T138,AH138,AI138,AB138)</f>
        <v>60397.847999999998</v>
      </c>
      <c r="AK138" s="154">
        <f>Valores!$C$37</f>
        <v>1465.56</v>
      </c>
      <c r="AL138" s="143">
        <f>Valores!$C$85</f>
        <v>2275</v>
      </c>
      <c r="AM138" s="143"/>
      <c r="AN138" s="145">
        <f>IF($H$4="NO",0,Valores!$C$53)</f>
        <v>170.34</v>
      </c>
      <c r="AO138" s="147">
        <f t="shared" si="28"/>
        <v>3910.9</v>
      </c>
      <c r="AP138" s="148">
        <f>AJ138*Valores!$C$69</f>
        <v>-6643.7632800000001</v>
      </c>
      <c r="AQ138" s="149">
        <f>AJ138*-Valores!$C$70</f>
        <v>0</v>
      </c>
      <c r="AR138" s="142">
        <f>AJ138*Valores!$C$71</f>
        <v>-2717.9031599999998</v>
      </c>
      <c r="AS138" s="142">
        <f>Valores!$C$95</f>
        <v>-193.38</v>
      </c>
      <c r="AT138" s="142">
        <f>IF($H$6=0,Valores!$C$96,(Valores!$C$96+$H$6*(Valores!$C$96)))</f>
        <v>-178</v>
      </c>
      <c r="AU138" s="146">
        <f t="shared" ref="AU138:AU201" si="31">AJ138+SUM(AO138:AT138)</f>
        <v>54575.701560000001</v>
      </c>
      <c r="AV138" s="199">
        <f t="shared" si="24"/>
        <v>-6643.7632800000001</v>
      </c>
      <c r="AW138" s="142">
        <f>AJ138*Valores!$C$72</f>
        <v>-1630.741896</v>
      </c>
      <c r="AX138" s="142">
        <f>AJ138*Valores!$C$73</f>
        <v>-181.193544</v>
      </c>
      <c r="AY138" s="146">
        <f t="shared" ref="AY138:AY201" si="32">AJ138+AO138+SUM(AV138:AX138)</f>
        <v>55853.049279999999</v>
      </c>
      <c r="AZ138" s="150"/>
      <c r="BA138" s="150"/>
      <c r="BB138" s="135" t="s">
        <v>4</v>
      </c>
    </row>
    <row r="139" spans="1:54" s="114" customFormat="1" ht="11.25" customHeight="1" x14ac:dyDescent="0.15">
      <c r="A139" s="134">
        <v>136</v>
      </c>
      <c r="B139" s="134"/>
      <c r="C139" s="135" t="s">
        <v>388</v>
      </c>
      <c r="D139" s="135"/>
      <c r="E139" s="135">
        <f t="shared" si="25"/>
        <v>29</v>
      </c>
      <c r="F139" s="136" t="s">
        <v>389</v>
      </c>
      <c r="G139" s="137">
        <v>1278</v>
      </c>
      <c r="H139" s="138">
        <f>INT((G139*Valores!$C$2*100)+0.5)/100</f>
        <v>17102.96</v>
      </c>
      <c r="I139" s="156">
        <v>0</v>
      </c>
      <c r="J139" s="140">
        <f>INT((I139*Valores!$C$2*100)+0.5)/100</f>
        <v>0</v>
      </c>
      <c r="K139" s="155">
        <v>0</v>
      </c>
      <c r="L139" s="140">
        <f>INT((K139*Valores!$C$2*100)+0.5)/100</f>
        <v>0</v>
      </c>
      <c r="M139" s="153">
        <v>0</v>
      </c>
      <c r="N139" s="140">
        <f>INT((M139*Valores!$C$2*100)+0.5)/100</f>
        <v>0</v>
      </c>
      <c r="O139" s="140">
        <f t="shared" si="26"/>
        <v>3860.4780000000001</v>
      </c>
      <c r="P139" s="140">
        <f t="shared" si="27"/>
        <v>0</v>
      </c>
      <c r="Q139" s="154">
        <f>Valores!$C$21</f>
        <v>11564.28</v>
      </c>
      <c r="R139" s="154">
        <f>Valores!$D$4</f>
        <v>6841.19</v>
      </c>
      <c r="S139" s="140">
        <v>0</v>
      </c>
      <c r="T139" s="143">
        <f>IF($H$5="NO",Valores!$C$44,Valores!$C$44/2)</f>
        <v>2267.75</v>
      </c>
      <c r="U139" s="140">
        <f>Valores!$C$25</f>
        <v>6365.81</v>
      </c>
      <c r="V139" s="140">
        <f t="shared" si="23"/>
        <v>6365.81</v>
      </c>
      <c r="W139" s="140">
        <v>0</v>
      </c>
      <c r="X139" s="140">
        <v>0</v>
      </c>
      <c r="Y139" s="144">
        <v>0</v>
      </c>
      <c r="Z139" s="140">
        <f>Y139*Valores!$C$2</f>
        <v>0</v>
      </c>
      <c r="AA139" s="140">
        <v>0</v>
      </c>
      <c r="AB139" s="143">
        <f>Valores!$C$90</f>
        <v>2575.39</v>
      </c>
      <c r="AC139" s="145">
        <f>Valores!$C$31</f>
        <v>279.8</v>
      </c>
      <c r="AD139" s="140">
        <f t="shared" si="29"/>
        <v>0</v>
      </c>
      <c r="AE139" s="140">
        <f>Valores!$C$32</f>
        <v>279.8</v>
      </c>
      <c r="AF139" s="144">
        <v>0</v>
      </c>
      <c r="AG139" s="140">
        <f>INT(((AF139*Valores!$C$2)*100)+0.5)/100</f>
        <v>0</v>
      </c>
      <c r="AH139" s="140">
        <f>IF($H$5="NO",Valores!$C$60,Valores!$C$60/2)</f>
        <v>569.14</v>
      </c>
      <c r="AI139" s="140">
        <f>IF($H$5="NO",Valores!$C$62,Valores!$C$62/2)</f>
        <v>162.61000000000001</v>
      </c>
      <c r="AJ139" s="146">
        <f t="shared" si="30"/>
        <v>51869.208000000006</v>
      </c>
      <c r="AK139" s="154">
        <f>Valores!$C$37</f>
        <v>1465.56</v>
      </c>
      <c r="AL139" s="143">
        <f>Valores!$C$85</f>
        <v>2275</v>
      </c>
      <c r="AM139" s="143"/>
      <c r="AN139" s="145">
        <f>IF($H$4="NO",0,Valores!$C$53)</f>
        <v>170.34</v>
      </c>
      <c r="AO139" s="147">
        <f t="shared" si="28"/>
        <v>3910.9</v>
      </c>
      <c r="AP139" s="148">
        <f>AJ139*Valores!$C$69</f>
        <v>-5705.6128800000006</v>
      </c>
      <c r="AQ139" s="149">
        <f>AJ139*-Valores!$C$70</f>
        <v>0</v>
      </c>
      <c r="AR139" s="142">
        <f>AJ139*Valores!$C$71</f>
        <v>-2334.11436</v>
      </c>
      <c r="AS139" s="142">
        <f>Valores!$C$95</f>
        <v>-193.38</v>
      </c>
      <c r="AT139" s="142">
        <f>IF($H$6=0,Valores!$C$96,(Valores!$C$96+$H$6*(Valores!$C$96)))</f>
        <v>-178</v>
      </c>
      <c r="AU139" s="146">
        <f t="shared" si="31"/>
        <v>47369.000760000003</v>
      </c>
      <c r="AV139" s="199">
        <f t="shared" si="24"/>
        <v>-5705.6128800000006</v>
      </c>
      <c r="AW139" s="142">
        <f>AJ139*Valores!$C$72</f>
        <v>-1400.4686160000001</v>
      </c>
      <c r="AX139" s="142">
        <f>AJ139*Valores!$C$73</f>
        <v>-155.60762400000002</v>
      </c>
      <c r="AY139" s="146">
        <f t="shared" si="32"/>
        <v>48518.418880000005</v>
      </c>
      <c r="AZ139" s="150">
        <v>12</v>
      </c>
      <c r="BA139" s="150">
        <v>15</v>
      </c>
      <c r="BB139" s="135" t="s">
        <v>8</v>
      </c>
    </row>
    <row r="140" spans="1:54" s="114" customFormat="1" ht="11.25" customHeight="1" x14ac:dyDescent="0.15">
      <c r="A140" s="134">
        <v>137</v>
      </c>
      <c r="B140" s="134"/>
      <c r="C140" s="135" t="s">
        <v>390</v>
      </c>
      <c r="D140" s="135"/>
      <c r="E140" s="135">
        <f t="shared" si="25"/>
        <v>26</v>
      </c>
      <c r="F140" s="136" t="s">
        <v>391</v>
      </c>
      <c r="G140" s="137">
        <v>616</v>
      </c>
      <c r="H140" s="138">
        <f>INT((G140*Valores!$C$2*100)+0.5)/100</f>
        <v>8243.68</v>
      </c>
      <c r="I140" s="156">
        <v>0</v>
      </c>
      <c r="J140" s="140">
        <f>INT((I140*Valores!$C$2*100)+0.5)/100</f>
        <v>0</v>
      </c>
      <c r="K140" s="155">
        <v>0</v>
      </c>
      <c r="L140" s="140">
        <f>INT((K140*Valores!$C$2*100)+0.5)/100</f>
        <v>0</v>
      </c>
      <c r="M140" s="153">
        <v>0</v>
      </c>
      <c r="N140" s="140">
        <f>INT((M140*Valores!$C$2*100)+0.5)/100</f>
        <v>0</v>
      </c>
      <c r="O140" s="140">
        <f t="shared" si="26"/>
        <v>2531.5860000000002</v>
      </c>
      <c r="P140" s="140">
        <f t="shared" si="27"/>
        <v>0</v>
      </c>
      <c r="Q140" s="154">
        <f>Valores!$C$15</f>
        <v>13989.51</v>
      </c>
      <c r="R140" s="154">
        <f>Valores!$D$4</f>
        <v>6841.19</v>
      </c>
      <c r="S140" s="154">
        <f>Valores!$C$28</f>
        <v>6103.41</v>
      </c>
      <c r="T140" s="143">
        <f>IF($H$5="NO",Valores!$C$44,Valores!$C$44/2)</f>
        <v>2267.75</v>
      </c>
      <c r="U140" s="140">
        <f>Valores!$C$25</f>
        <v>6365.81</v>
      </c>
      <c r="V140" s="140">
        <f t="shared" si="23"/>
        <v>6365.81</v>
      </c>
      <c r="W140" s="140">
        <v>0</v>
      </c>
      <c r="X140" s="140">
        <v>0</v>
      </c>
      <c r="Y140" s="144">
        <v>0</v>
      </c>
      <c r="Z140" s="140">
        <f>Y140*Valores!$C$2</f>
        <v>0</v>
      </c>
      <c r="AA140" s="140">
        <v>0</v>
      </c>
      <c r="AB140" s="143">
        <f>Valores!$C$90</f>
        <v>2575.39</v>
      </c>
      <c r="AC140" s="145">
        <f>Valores!$C$31</f>
        <v>279.8</v>
      </c>
      <c r="AD140" s="140">
        <f t="shared" si="29"/>
        <v>0</v>
      </c>
      <c r="AE140" s="140">
        <f>Valores!$C$32</f>
        <v>279.8</v>
      </c>
      <c r="AF140" s="144">
        <v>0</v>
      </c>
      <c r="AG140" s="140">
        <f>INT(((AF140*Valores!$C$2)*100)+0.5)/100</f>
        <v>0</v>
      </c>
      <c r="AH140" s="140">
        <f>IF($H$5="NO",Valores!$C$60,Valores!$C$60/2)</f>
        <v>569.14</v>
      </c>
      <c r="AI140" s="140">
        <f>IF($H$5="NO",Valores!$C$62,Valores!$C$62/2)</f>
        <v>162.61000000000001</v>
      </c>
      <c r="AJ140" s="146">
        <f t="shared" si="30"/>
        <v>50209.675999999999</v>
      </c>
      <c r="AK140" s="154">
        <f>Valores!$C$37</f>
        <v>1465.56</v>
      </c>
      <c r="AL140" s="143">
        <f>Valores!$C$85</f>
        <v>2275</v>
      </c>
      <c r="AM140" s="143"/>
      <c r="AN140" s="145">
        <f>IF($H$4="NO",0,Valores!$C$53)</f>
        <v>170.34</v>
      </c>
      <c r="AO140" s="147">
        <f t="shared" si="28"/>
        <v>3910.9</v>
      </c>
      <c r="AP140" s="148">
        <f>AJ140*Valores!$C$69</f>
        <v>-5523.0643600000003</v>
      </c>
      <c r="AQ140" s="149">
        <f>AJ140*-Valores!$C$70</f>
        <v>0</v>
      </c>
      <c r="AR140" s="142">
        <f>AJ140*Valores!$C$71</f>
        <v>-2259.4354199999998</v>
      </c>
      <c r="AS140" s="142">
        <f>Valores!$C$95</f>
        <v>-193.38</v>
      </c>
      <c r="AT140" s="142">
        <f>IF($H$6=0,Valores!$C$96,(Valores!$C$96+$H$6*(Valores!$C$96)))</f>
        <v>-178</v>
      </c>
      <c r="AU140" s="146">
        <f t="shared" si="31"/>
        <v>45966.696219999998</v>
      </c>
      <c r="AV140" s="199">
        <f t="shared" si="24"/>
        <v>-5523.0643600000003</v>
      </c>
      <c r="AW140" s="142">
        <f>AJ140*Valores!$C$72</f>
        <v>-1355.6612519999999</v>
      </c>
      <c r="AX140" s="142">
        <f>AJ140*Valores!$C$73</f>
        <v>-150.62902800000001</v>
      </c>
      <c r="AY140" s="146">
        <f t="shared" si="32"/>
        <v>47091.221360000003</v>
      </c>
      <c r="AZ140" s="150">
        <v>6</v>
      </c>
      <c r="BA140" s="150"/>
      <c r="BB140" s="135" t="s">
        <v>4</v>
      </c>
    </row>
    <row r="141" spans="1:54" s="114" customFormat="1" ht="11.25" customHeight="1" x14ac:dyDescent="0.15">
      <c r="A141" s="134">
        <v>138</v>
      </c>
      <c r="B141" s="134"/>
      <c r="C141" s="135" t="s">
        <v>392</v>
      </c>
      <c r="D141" s="135"/>
      <c r="E141" s="135">
        <f t="shared" si="25"/>
        <v>31</v>
      </c>
      <c r="F141" s="136" t="s">
        <v>393</v>
      </c>
      <c r="G141" s="137">
        <v>1278</v>
      </c>
      <c r="H141" s="138">
        <f>INT((G141*Valores!$C$2*100)+0.5)/100</f>
        <v>17102.96</v>
      </c>
      <c r="I141" s="156">
        <v>0</v>
      </c>
      <c r="J141" s="140">
        <f>INT((I141*Valores!$C$2*100)+0.5)/100</f>
        <v>0</v>
      </c>
      <c r="K141" s="155">
        <v>0</v>
      </c>
      <c r="L141" s="140">
        <f>INT((K141*Valores!$C$2*100)+0.5)/100</f>
        <v>0</v>
      </c>
      <c r="M141" s="153">
        <v>0</v>
      </c>
      <c r="N141" s="140">
        <f>INT((M141*Valores!$C$2*100)+0.5)/100</f>
        <v>0</v>
      </c>
      <c r="O141" s="140">
        <f t="shared" si="26"/>
        <v>3850.7159999999994</v>
      </c>
      <c r="P141" s="140">
        <f t="shared" si="27"/>
        <v>0</v>
      </c>
      <c r="Q141" s="154">
        <f>Valores!$C$21</f>
        <v>11564.28</v>
      </c>
      <c r="R141" s="154">
        <f>Valores!$D$4</f>
        <v>6841.19</v>
      </c>
      <c r="S141" s="140">
        <v>0</v>
      </c>
      <c r="T141" s="143">
        <f>IF($H$5="NO",Valores!$C$44,Valores!$C$44/2)</f>
        <v>2267.75</v>
      </c>
      <c r="U141" s="154">
        <f>Valores!$C$26</f>
        <v>6300.73</v>
      </c>
      <c r="V141" s="140">
        <f t="shared" si="23"/>
        <v>6300.73</v>
      </c>
      <c r="W141" s="140">
        <v>0</v>
      </c>
      <c r="X141" s="140">
        <v>0</v>
      </c>
      <c r="Y141" s="144">
        <v>0</v>
      </c>
      <c r="Z141" s="140">
        <f>Y141*Valores!$C$2</f>
        <v>0</v>
      </c>
      <c r="AA141" s="140">
        <v>0</v>
      </c>
      <c r="AB141" s="143">
        <f>Valores!$C$90</f>
        <v>2575.39</v>
      </c>
      <c r="AC141" s="145">
        <f>Valores!$C$31</f>
        <v>279.8</v>
      </c>
      <c r="AD141" s="140">
        <f t="shared" si="29"/>
        <v>0</v>
      </c>
      <c r="AE141" s="140">
        <f>Valores!$C$32</f>
        <v>279.8</v>
      </c>
      <c r="AF141" s="144">
        <v>0</v>
      </c>
      <c r="AG141" s="140">
        <f>INT(((AF141*Valores!$C$2)*100)+0.5)/100</f>
        <v>0</v>
      </c>
      <c r="AH141" s="140">
        <f>IF($H$5="NO",Valores!$C$60,Valores!$C$60/2)</f>
        <v>569.14</v>
      </c>
      <c r="AI141" s="140">
        <f>IF($H$5="NO",Valores!$C$62,Valores!$C$62/2)</f>
        <v>162.61000000000001</v>
      </c>
      <c r="AJ141" s="146">
        <f t="shared" si="30"/>
        <v>51794.366000000009</v>
      </c>
      <c r="AK141" s="154">
        <f>Valores!$C$37</f>
        <v>1465.56</v>
      </c>
      <c r="AL141" s="143">
        <f>Valores!$C$85</f>
        <v>2275</v>
      </c>
      <c r="AM141" s="143"/>
      <c r="AN141" s="145">
        <f>(IF($H$4="NO",0,Valores!$C$55))</f>
        <v>155.18</v>
      </c>
      <c r="AO141" s="147">
        <f t="shared" si="28"/>
        <v>3895.74</v>
      </c>
      <c r="AP141" s="148">
        <f>AJ141*Valores!$C$69</f>
        <v>-5697.3802600000008</v>
      </c>
      <c r="AQ141" s="149">
        <f>AJ141*-Valores!$C$70</f>
        <v>0</v>
      </c>
      <c r="AR141" s="142">
        <f>AJ141*Valores!$C$71</f>
        <v>-2330.7464700000005</v>
      </c>
      <c r="AS141" s="142">
        <f>Valores!$C$95</f>
        <v>-193.38</v>
      </c>
      <c r="AT141" s="142">
        <f>IF($H$6=0,Valores!$C$96,(Valores!$C$96+$H$6*(Valores!$C$96)))</f>
        <v>-178</v>
      </c>
      <c r="AU141" s="146">
        <f t="shared" si="31"/>
        <v>47290.599270000006</v>
      </c>
      <c r="AV141" s="199">
        <f t="shared" si="24"/>
        <v>-5697.3802600000008</v>
      </c>
      <c r="AW141" s="142">
        <f>AJ141*Valores!$C$72</f>
        <v>-1398.4478820000002</v>
      </c>
      <c r="AX141" s="142">
        <f>AJ141*Valores!$C$73</f>
        <v>-155.38309800000002</v>
      </c>
      <c r="AY141" s="146">
        <f t="shared" si="32"/>
        <v>48438.894760000003</v>
      </c>
      <c r="AZ141" s="150">
        <v>12</v>
      </c>
      <c r="BA141" s="150">
        <v>15</v>
      </c>
      <c r="BB141" s="135" t="s">
        <v>4</v>
      </c>
    </row>
    <row r="142" spans="1:54" s="114" customFormat="1" ht="11.25" customHeight="1" x14ac:dyDescent="0.15">
      <c r="A142" s="134">
        <v>139</v>
      </c>
      <c r="B142" s="134"/>
      <c r="C142" s="135" t="s">
        <v>394</v>
      </c>
      <c r="D142" s="135"/>
      <c r="E142" s="135">
        <f t="shared" si="25"/>
        <v>33</v>
      </c>
      <c r="F142" s="136" t="s">
        <v>395</v>
      </c>
      <c r="G142" s="137">
        <v>1983</v>
      </c>
      <c r="H142" s="138">
        <f>INT((G142*Valores!$C$2*100)+0.5)/100</f>
        <v>26537.7</v>
      </c>
      <c r="I142" s="156">
        <v>0</v>
      </c>
      <c r="J142" s="140">
        <f>INT((I142*Valores!$C$2*100)+0.5)/100</f>
        <v>0</v>
      </c>
      <c r="K142" s="155">
        <v>0</v>
      </c>
      <c r="L142" s="140">
        <f>INT((K142*Valores!$C$2*100)+0.5)/100</f>
        <v>0</v>
      </c>
      <c r="M142" s="153">
        <v>0</v>
      </c>
      <c r="N142" s="140">
        <f>INT((M142*Valores!$C$2*100)+0.5)/100</f>
        <v>0</v>
      </c>
      <c r="O142" s="140">
        <f t="shared" si="26"/>
        <v>5275.6890000000003</v>
      </c>
      <c r="P142" s="140">
        <f t="shared" si="27"/>
        <v>0</v>
      </c>
      <c r="Q142" s="154">
        <f>Valores!$C$15</f>
        <v>13989.51</v>
      </c>
      <c r="R142" s="154">
        <f>Valores!$D$4</f>
        <v>6841.19</v>
      </c>
      <c r="S142" s="154">
        <f>Valores!$C$28</f>
        <v>6103.41</v>
      </c>
      <c r="T142" s="143">
        <f>IF($H$5="NO",Valores!$C$44,Valores!$C$44/2)</f>
        <v>2267.75</v>
      </c>
      <c r="U142" s="140">
        <f>Valores!$C$25</f>
        <v>6365.81</v>
      </c>
      <c r="V142" s="140">
        <f t="shared" si="23"/>
        <v>6365.81</v>
      </c>
      <c r="W142" s="140">
        <v>0</v>
      </c>
      <c r="X142" s="140">
        <v>0</v>
      </c>
      <c r="Y142" s="144">
        <v>0</v>
      </c>
      <c r="Z142" s="140">
        <f>Y142*Valores!$C$2</f>
        <v>0</v>
      </c>
      <c r="AA142" s="140">
        <v>0</v>
      </c>
      <c r="AB142" s="143">
        <f>Valores!$C$90</f>
        <v>2575.39</v>
      </c>
      <c r="AC142" s="145">
        <f>Valores!$C$31</f>
        <v>279.8</v>
      </c>
      <c r="AD142" s="140">
        <f t="shared" si="29"/>
        <v>0</v>
      </c>
      <c r="AE142" s="140">
        <f>Valores!$C$32</f>
        <v>279.8</v>
      </c>
      <c r="AF142" s="144">
        <v>94</v>
      </c>
      <c r="AG142" s="140">
        <f>INT(((AF142*Valores!$C$2)*100)+0.5)/100</f>
        <v>1257.96</v>
      </c>
      <c r="AH142" s="140">
        <f>IF($H$5="NO",Valores!$C$60,Valores!$C$60/2)</f>
        <v>569.14</v>
      </c>
      <c r="AI142" s="140">
        <f>IF($H$5="NO",Valores!$C$62,Valores!$C$62/2)</f>
        <v>162.61000000000001</v>
      </c>
      <c r="AJ142" s="146">
        <f t="shared" si="30"/>
        <v>72505.75900000002</v>
      </c>
      <c r="AK142" s="154">
        <f>Valores!$C$37</f>
        <v>1465.56</v>
      </c>
      <c r="AL142" s="143">
        <f>Valores!$C$85</f>
        <v>2275</v>
      </c>
      <c r="AM142" s="143"/>
      <c r="AN142" s="145">
        <f>IF($H$4="NO",0,Valores!$C$53)</f>
        <v>170.34</v>
      </c>
      <c r="AO142" s="147">
        <f t="shared" si="28"/>
        <v>3910.9</v>
      </c>
      <c r="AP142" s="148">
        <f>AJ142*Valores!$C$69</f>
        <v>-7975.633490000002</v>
      </c>
      <c r="AQ142" s="149">
        <f>AJ142*-Valores!$C$70</f>
        <v>0</v>
      </c>
      <c r="AR142" s="142">
        <f>AJ142*Valores!$C$71</f>
        <v>-3262.7591550000006</v>
      </c>
      <c r="AS142" s="142">
        <f>Valores!$C$95</f>
        <v>-193.38</v>
      </c>
      <c r="AT142" s="142">
        <f>IF($H$6=0,Valores!$C$96,(Valores!$C$96+$H$6*(Valores!$C$96)))</f>
        <v>-178</v>
      </c>
      <c r="AU142" s="146">
        <f t="shared" si="31"/>
        <v>64806.886355000017</v>
      </c>
      <c r="AV142" s="199">
        <f t="shared" si="24"/>
        <v>-7975.633490000002</v>
      </c>
      <c r="AW142" s="142">
        <f>AJ142*Valores!$C$72</f>
        <v>-1957.6554930000004</v>
      </c>
      <c r="AX142" s="142">
        <f>AJ142*Valores!$C$73</f>
        <v>-217.51727700000006</v>
      </c>
      <c r="AY142" s="146">
        <f t="shared" si="32"/>
        <v>66265.852740000017</v>
      </c>
      <c r="AZ142" s="150"/>
      <c r="BA142" s="150"/>
      <c r="BB142" s="135" t="s">
        <v>8</v>
      </c>
    </row>
    <row r="143" spans="1:54" s="114" customFormat="1" ht="11.25" customHeight="1" x14ac:dyDescent="0.15">
      <c r="A143" s="152">
        <v>140</v>
      </c>
      <c r="B143" s="152" t="s">
        <v>139</v>
      </c>
      <c r="C143" s="135" t="s">
        <v>396</v>
      </c>
      <c r="D143" s="135"/>
      <c r="E143" s="135">
        <f t="shared" si="25"/>
        <v>29</v>
      </c>
      <c r="F143" s="136" t="s">
        <v>397</v>
      </c>
      <c r="G143" s="137">
        <v>1378</v>
      </c>
      <c r="H143" s="138">
        <f>INT((G143*Valores!$C$2*100)+0.5)/100</f>
        <v>18441.22</v>
      </c>
      <c r="I143" s="156">
        <v>0</v>
      </c>
      <c r="J143" s="140">
        <f>INT((I143*Valores!$C$2*100)+0.5)/100</f>
        <v>0</v>
      </c>
      <c r="K143" s="155">
        <v>0</v>
      </c>
      <c r="L143" s="140">
        <f>INT((K143*Valores!$C$2*100)+0.5)/100</f>
        <v>0</v>
      </c>
      <c r="M143" s="153">
        <v>0</v>
      </c>
      <c r="N143" s="140">
        <f>INT((M143*Valores!$C$2*100)+0.5)/100</f>
        <v>0</v>
      </c>
      <c r="O143" s="140">
        <f t="shared" si="26"/>
        <v>4051.4549999999999</v>
      </c>
      <c r="P143" s="140">
        <f t="shared" si="27"/>
        <v>0</v>
      </c>
      <c r="Q143" s="154">
        <f>Valores!$C$21</f>
        <v>11564.28</v>
      </c>
      <c r="R143" s="154">
        <f>Valores!$D$4</f>
        <v>6841.19</v>
      </c>
      <c r="S143" s="154">
        <f>Valores!$C$28</f>
        <v>6103.41</v>
      </c>
      <c r="T143" s="143">
        <f>IF($H$5="NO",Valores!$C$44,Valores!$C$44/2)</f>
        <v>2267.75</v>
      </c>
      <c r="U143" s="154">
        <f>Valores!$C$26</f>
        <v>6300.73</v>
      </c>
      <c r="V143" s="140">
        <f t="shared" si="23"/>
        <v>6300.73</v>
      </c>
      <c r="W143" s="140">
        <v>0</v>
      </c>
      <c r="X143" s="140">
        <v>0</v>
      </c>
      <c r="Y143" s="144">
        <v>0</v>
      </c>
      <c r="Z143" s="140">
        <f>Y143*Valores!$C$2</f>
        <v>0</v>
      </c>
      <c r="AA143" s="140">
        <v>0</v>
      </c>
      <c r="AB143" s="143">
        <f>Valores!$C$90</f>
        <v>2575.39</v>
      </c>
      <c r="AC143" s="145">
        <f>Valores!$C$31</f>
        <v>279.8</v>
      </c>
      <c r="AD143" s="140">
        <f t="shared" si="29"/>
        <v>0</v>
      </c>
      <c r="AE143" s="140">
        <f>Valores!$C$32</f>
        <v>279.8</v>
      </c>
      <c r="AF143" s="144">
        <v>0</v>
      </c>
      <c r="AG143" s="140">
        <f>INT(((AF143*Valores!$C$2)*100)+0.5)/100</f>
        <v>0</v>
      </c>
      <c r="AH143" s="140">
        <f>IF($H$5="NO",Valores!$C$60,Valores!$C$60/2)</f>
        <v>569.14</v>
      </c>
      <c r="AI143" s="140">
        <f>IF($H$5="NO",Valores!$C$62,Valores!$C$62/2)</f>
        <v>162.61000000000001</v>
      </c>
      <c r="AJ143" s="146">
        <f t="shared" si="30"/>
        <v>59436.775000000009</v>
      </c>
      <c r="AK143" s="154">
        <f>Valores!$C$37</f>
        <v>1465.56</v>
      </c>
      <c r="AL143" s="143">
        <f>Valores!$C$85</f>
        <v>2275</v>
      </c>
      <c r="AM143" s="143"/>
      <c r="AN143" s="145">
        <f>IF($H$4="NO",0,Valores!$C$53)</f>
        <v>170.34</v>
      </c>
      <c r="AO143" s="147">
        <f t="shared" si="28"/>
        <v>3910.9</v>
      </c>
      <c r="AP143" s="148">
        <f>AJ143*Valores!$C$69</f>
        <v>-6538.045250000001</v>
      </c>
      <c r="AQ143" s="149">
        <f>AJ143*-Valores!$C$70</f>
        <v>0</v>
      </c>
      <c r="AR143" s="142">
        <f>AJ143*Valores!$C$71</f>
        <v>-2674.6548750000002</v>
      </c>
      <c r="AS143" s="142">
        <f>Valores!$C$95</f>
        <v>-193.38</v>
      </c>
      <c r="AT143" s="142">
        <f>IF($H$6=0,Valores!$C$96,(Valores!$C$96+$H$6*(Valores!$C$96)))</f>
        <v>-178</v>
      </c>
      <c r="AU143" s="146">
        <f t="shared" si="31"/>
        <v>53763.59487500001</v>
      </c>
      <c r="AV143" s="199">
        <f t="shared" si="24"/>
        <v>-6538.045250000001</v>
      </c>
      <c r="AW143" s="142">
        <f>AJ143*Valores!$C$72</f>
        <v>-1604.7929250000002</v>
      </c>
      <c r="AX143" s="142">
        <f>AJ143*Valores!$C$73</f>
        <v>-178.31032500000003</v>
      </c>
      <c r="AY143" s="146">
        <f t="shared" si="32"/>
        <v>55026.526500000007</v>
      </c>
      <c r="AZ143" s="150"/>
      <c r="BA143" s="150">
        <v>22</v>
      </c>
      <c r="BB143" s="135" t="s">
        <v>4</v>
      </c>
    </row>
    <row r="144" spans="1:54" s="114" customFormat="1" ht="11.25" customHeight="1" x14ac:dyDescent="0.15">
      <c r="A144" s="134">
        <v>141</v>
      </c>
      <c r="B144" s="134"/>
      <c r="C144" s="135" t="s">
        <v>398</v>
      </c>
      <c r="D144" s="135"/>
      <c r="E144" s="135">
        <f t="shared" si="25"/>
        <v>30</v>
      </c>
      <c r="F144" s="136" t="s">
        <v>399</v>
      </c>
      <c r="G144" s="137">
        <v>1278</v>
      </c>
      <c r="H144" s="138">
        <f>INT((G144*Valores!$C$2*100)+0.5)/100</f>
        <v>17102.96</v>
      </c>
      <c r="I144" s="156">
        <v>0</v>
      </c>
      <c r="J144" s="140">
        <f>INT((I144*Valores!$C$2*100)+0.5)/100</f>
        <v>0</v>
      </c>
      <c r="K144" s="155">
        <v>0</v>
      </c>
      <c r="L144" s="140">
        <f>INT((K144*Valores!$C$2*100)+0.5)/100</f>
        <v>0</v>
      </c>
      <c r="M144" s="153">
        <v>0</v>
      </c>
      <c r="N144" s="140">
        <f>INT((M144*Valores!$C$2*100)+0.5)/100</f>
        <v>0</v>
      </c>
      <c r="O144" s="140">
        <f t="shared" si="26"/>
        <v>3860.4780000000001</v>
      </c>
      <c r="P144" s="140">
        <f t="shared" si="27"/>
        <v>0</v>
      </c>
      <c r="Q144" s="154">
        <f>Valores!$C$21</f>
        <v>11564.28</v>
      </c>
      <c r="R144" s="154">
        <f>Valores!$D$4</f>
        <v>6841.19</v>
      </c>
      <c r="S144" s="140">
        <f>Valores!$C$28</f>
        <v>6103.41</v>
      </c>
      <c r="T144" s="143">
        <f>IF($H$5="NO",Valores!$C$44,Valores!$C$44/2)</f>
        <v>2267.75</v>
      </c>
      <c r="U144" s="140">
        <f>Valores!$C$25</f>
        <v>6365.81</v>
      </c>
      <c r="V144" s="140">
        <f t="shared" si="23"/>
        <v>6365.81</v>
      </c>
      <c r="W144" s="140">
        <v>0</v>
      </c>
      <c r="X144" s="140">
        <v>0</v>
      </c>
      <c r="Y144" s="144">
        <v>0</v>
      </c>
      <c r="Z144" s="140">
        <f>Y144*Valores!$C$2</f>
        <v>0</v>
      </c>
      <c r="AA144" s="140">
        <v>0</v>
      </c>
      <c r="AB144" s="143">
        <f>Valores!$C$90</f>
        <v>2575.39</v>
      </c>
      <c r="AC144" s="145">
        <f>Valores!$C$31</f>
        <v>279.8</v>
      </c>
      <c r="AD144" s="140">
        <f t="shared" si="29"/>
        <v>0</v>
      </c>
      <c r="AE144" s="140">
        <f>Valores!$C$32</f>
        <v>279.8</v>
      </c>
      <c r="AF144" s="144">
        <v>0</v>
      </c>
      <c r="AG144" s="140">
        <f>INT(((AF144*Valores!$C$2)*100)+0.5)/100</f>
        <v>0</v>
      </c>
      <c r="AH144" s="140">
        <f>IF($H$5="NO",Valores!$C$60,Valores!$C$60/2)</f>
        <v>569.14</v>
      </c>
      <c r="AI144" s="140">
        <f>IF($H$5="NO",Valores!$C$62,Valores!$C$62/2)</f>
        <v>162.61000000000001</v>
      </c>
      <c r="AJ144" s="146">
        <f t="shared" si="30"/>
        <v>57972.618000000002</v>
      </c>
      <c r="AK144" s="154">
        <f>Valores!$C$37</f>
        <v>1465.56</v>
      </c>
      <c r="AL144" s="143">
        <f>Valores!$C$85</f>
        <v>2275</v>
      </c>
      <c r="AM144" s="143"/>
      <c r="AN144" s="145">
        <f>IF($H$4="NO",0,Valores!$C$53)</f>
        <v>170.34</v>
      </c>
      <c r="AO144" s="147">
        <f t="shared" si="28"/>
        <v>3910.9</v>
      </c>
      <c r="AP144" s="148">
        <f>AJ144*Valores!$C$69</f>
        <v>-6376.9879799999999</v>
      </c>
      <c r="AQ144" s="149">
        <f>AJ144*-Valores!$C$70</f>
        <v>0</v>
      </c>
      <c r="AR144" s="142">
        <f>AJ144*Valores!$C$71</f>
        <v>-2608.7678099999998</v>
      </c>
      <c r="AS144" s="142">
        <f>Valores!$C$95</f>
        <v>-193.38</v>
      </c>
      <c r="AT144" s="142">
        <f>IF($H$6=0,Valores!$C$96,(Valores!$C$96+$H$6*(Valores!$C$96)))</f>
        <v>-178</v>
      </c>
      <c r="AU144" s="146">
        <f t="shared" si="31"/>
        <v>52526.382210000003</v>
      </c>
      <c r="AV144" s="199">
        <f t="shared" si="24"/>
        <v>-6376.9879799999999</v>
      </c>
      <c r="AW144" s="142">
        <f>AJ144*Valores!$C$72</f>
        <v>-1565.2606860000001</v>
      </c>
      <c r="AX144" s="142">
        <f>AJ144*Valores!$C$73</f>
        <v>-173.91785400000001</v>
      </c>
      <c r="AY144" s="146">
        <f t="shared" si="32"/>
        <v>53767.351480000005</v>
      </c>
      <c r="AZ144" s="150"/>
      <c r="BA144" s="150">
        <v>22</v>
      </c>
      <c r="BB144" s="135" t="s">
        <v>4</v>
      </c>
    </row>
    <row r="145" spans="1:54" s="114" customFormat="1" ht="11.25" customHeight="1" x14ac:dyDescent="0.15">
      <c r="A145" s="134">
        <v>142</v>
      </c>
      <c r="B145" s="134"/>
      <c r="C145" s="135" t="s">
        <v>400</v>
      </c>
      <c r="D145" s="135"/>
      <c r="E145" s="135">
        <f t="shared" si="25"/>
        <v>31</v>
      </c>
      <c r="F145" s="136" t="s">
        <v>401</v>
      </c>
      <c r="G145" s="137">
        <v>1278</v>
      </c>
      <c r="H145" s="138">
        <f>INT((G145*Valores!$C$2*100)+0.5)/100</f>
        <v>17102.96</v>
      </c>
      <c r="I145" s="156">
        <v>0</v>
      </c>
      <c r="J145" s="140">
        <f>INT((I145*Valores!$C$2*100)+0.5)/100</f>
        <v>0</v>
      </c>
      <c r="K145" s="155">
        <v>0</v>
      </c>
      <c r="L145" s="140">
        <f>INT((K145*Valores!$C$2*100)+0.5)/100</f>
        <v>0</v>
      </c>
      <c r="M145" s="153">
        <v>0</v>
      </c>
      <c r="N145" s="140">
        <f>INT((M145*Valores!$C$2*100)+0.5)/100</f>
        <v>0</v>
      </c>
      <c r="O145" s="140">
        <f t="shared" si="26"/>
        <v>3680.6347499999997</v>
      </c>
      <c r="P145" s="140">
        <f t="shared" si="27"/>
        <v>0</v>
      </c>
      <c r="Q145" s="154">
        <f>Valores!$C$21</f>
        <v>11564.28</v>
      </c>
      <c r="R145" s="154">
        <f>Valores!$D$4</f>
        <v>6841.19</v>
      </c>
      <c r="S145" s="154">
        <f>Valores!$C$28</f>
        <v>6103.41</v>
      </c>
      <c r="T145" s="143">
        <f>Valores!$C$44/2</f>
        <v>1133.875</v>
      </c>
      <c r="U145" s="154">
        <f>Valores!$C$26</f>
        <v>6300.73</v>
      </c>
      <c r="V145" s="140">
        <f t="shared" si="23"/>
        <v>6300.73</v>
      </c>
      <c r="W145" s="140">
        <v>0</v>
      </c>
      <c r="X145" s="140">
        <v>0</v>
      </c>
      <c r="Y145" s="144">
        <v>0</v>
      </c>
      <c r="Z145" s="140">
        <f>Y145*Valores!$C$2</f>
        <v>0</v>
      </c>
      <c r="AA145" s="140">
        <v>0</v>
      </c>
      <c r="AB145" s="143">
        <f>Valores!$C$90</f>
        <v>2575.39</v>
      </c>
      <c r="AC145" s="145">
        <f>Valores!$C$31</f>
        <v>279.8</v>
      </c>
      <c r="AD145" s="140">
        <f t="shared" si="29"/>
        <v>0</v>
      </c>
      <c r="AE145" s="140">
        <f>Valores!$C$32</f>
        <v>279.8</v>
      </c>
      <c r="AF145" s="144">
        <v>0</v>
      </c>
      <c r="AG145" s="140">
        <f>INT(((AF145*Valores!$C$2)*100)+0.5)/100</f>
        <v>0</v>
      </c>
      <c r="AH145" s="140">
        <f>Valores!$C$60/2</f>
        <v>284.57</v>
      </c>
      <c r="AI145" s="140">
        <f>Valores!$C$62/2</f>
        <v>81.305000000000007</v>
      </c>
      <c r="AJ145" s="146">
        <f t="shared" si="30"/>
        <v>56227.94475000001</v>
      </c>
      <c r="AK145" s="154">
        <f>Valores!$C$37</f>
        <v>1465.56</v>
      </c>
      <c r="AL145" s="143">
        <f>Valores!$C$85</f>
        <v>2275</v>
      </c>
      <c r="AM145" s="143"/>
      <c r="AN145" s="145">
        <f>IF($H$4="NO",0,Valores!$C$53)</f>
        <v>170.34</v>
      </c>
      <c r="AO145" s="147">
        <f t="shared" si="28"/>
        <v>3910.9</v>
      </c>
      <c r="AP145" s="148">
        <f>AJ145*Valores!$C$69</f>
        <v>-6185.0739225000007</v>
      </c>
      <c r="AQ145" s="149">
        <f>AJ145*-Valores!$C$70</f>
        <v>0</v>
      </c>
      <c r="AR145" s="142">
        <f>AJ145*Valores!$C$71</f>
        <v>-2530.2575137500003</v>
      </c>
      <c r="AS145" s="142">
        <f>Valores!$C$95</f>
        <v>-193.38</v>
      </c>
      <c r="AT145" s="142">
        <f>IF($H$6=0,Valores!$C$96,(Valores!$C$96+$H$6*(Valores!$C$96)))</f>
        <v>-178</v>
      </c>
      <c r="AU145" s="146">
        <f t="shared" si="31"/>
        <v>51052.133313750011</v>
      </c>
      <c r="AV145" s="199">
        <f t="shared" si="24"/>
        <v>-6185.0739225000007</v>
      </c>
      <c r="AW145" s="142">
        <f>AJ145*Valores!$C$72</f>
        <v>-1518.1545082500002</v>
      </c>
      <c r="AX145" s="142">
        <f>AJ145*Valores!$C$73</f>
        <v>-168.68383425000005</v>
      </c>
      <c r="AY145" s="146">
        <f t="shared" si="32"/>
        <v>52266.932485000012</v>
      </c>
      <c r="AZ145" s="150"/>
      <c r="BA145" s="150"/>
      <c r="BB145" s="135" t="s">
        <v>8</v>
      </c>
    </row>
    <row r="146" spans="1:54" s="114" customFormat="1" ht="11.25" customHeight="1" x14ac:dyDescent="0.15">
      <c r="A146" s="134">
        <v>143</v>
      </c>
      <c r="B146" s="134"/>
      <c r="C146" s="135" t="s">
        <v>402</v>
      </c>
      <c r="D146" s="135"/>
      <c r="E146" s="135">
        <f t="shared" si="25"/>
        <v>19</v>
      </c>
      <c r="F146" s="136" t="s">
        <v>403</v>
      </c>
      <c r="G146" s="137">
        <v>1278</v>
      </c>
      <c r="H146" s="138">
        <f>INT((G146*Valores!$C$2*100)+0.5)/100</f>
        <v>17102.96</v>
      </c>
      <c r="I146" s="156">
        <v>0</v>
      </c>
      <c r="J146" s="140">
        <f>INT((I146*Valores!$C$2*100)+0.5)/100</f>
        <v>0</v>
      </c>
      <c r="K146" s="155">
        <v>0</v>
      </c>
      <c r="L146" s="140">
        <f>INT((K146*Valores!$C$2*100)+0.5)/100</f>
        <v>0</v>
      </c>
      <c r="M146" s="153">
        <v>0</v>
      </c>
      <c r="N146" s="140">
        <f>INT((M146*Valores!$C$2*100)+0.5)/100</f>
        <v>0</v>
      </c>
      <c r="O146" s="140">
        <f t="shared" si="26"/>
        <v>3860.4780000000001</v>
      </c>
      <c r="P146" s="140">
        <f t="shared" si="27"/>
        <v>0</v>
      </c>
      <c r="Q146" s="154">
        <f>Valores!$C$21</f>
        <v>11564.28</v>
      </c>
      <c r="R146" s="154">
        <f>Valores!$D$4</f>
        <v>6841.19</v>
      </c>
      <c r="S146" s="154">
        <f>Valores!$C$28</f>
        <v>6103.41</v>
      </c>
      <c r="T146" s="143">
        <f>IF($H$5="NO",Valores!$C$44,Valores!$C$44/2)</f>
        <v>2267.75</v>
      </c>
      <c r="U146" s="140">
        <f>Valores!$C$25</f>
        <v>6365.81</v>
      </c>
      <c r="V146" s="140">
        <f t="shared" si="23"/>
        <v>6365.81</v>
      </c>
      <c r="W146" s="140">
        <v>0</v>
      </c>
      <c r="X146" s="140">
        <v>0</v>
      </c>
      <c r="Y146" s="144">
        <v>0</v>
      </c>
      <c r="Z146" s="140">
        <f>Y146*Valores!$C$2</f>
        <v>0</v>
      </c>
      <c r="AA146" s="140">
        <v>0</v>
      </c>
      <c r="AB146" s="143">
        <f>Valores!$C$90</f>
        <v>2575.39</v>
      </c>
      <c r="AC146" s="145">
        <f>Valores!$C$31</f>
        <v>279.8</v>
      </c>
      <c r="AD146" s="140">
        <f t="shared" si="29"/>
        <v>0</v>
      </c>
      <c r="AE146" s="140">
        <f>Valores!$C$32</f>
        <v>279.8</v>
      </c>
      <c r="AF146" s="144">
        <v>0</v>
      </c>
      <c r="AG146" s="140">
        <f>INT(((AF146*Valores!$C$2)*100)+0.5)/100</f>
        <v>0</v>
      </c>
      <c r="AH146" s="140">
        <f>IF($H$5="NO",Valores!$C$60,Valores!$C$60/2)</f>
        <v>569.14</v>
      </c>
      <c r="AI146" s="140">
        <f>IF($H$5="NO",Valores!$C$62,Valores!$C$62/2)</f>
        <v>162.61000000000001</v>
      </c>
      <c r="AJ146" s="146">
        <f t="shared" si="30"/>
        <v>57972.618000000002</v>
      </c>
      <c r="AK146" s="154">
        <f>Valores!$C$37</f>
        <v>1465.56</v>
      </c>
      <c r="AL146" s="143">
        <f>Valores!$C$85</f>
        <v>2275</v>
      </c>
      <c r="AM146" s="143"/>
      <c r="AN146" s="145">
        <f>IF($H$4="NO",0,Valores!$C$53)</f>
        <v>170.34</v>
      </c>
      <c r="AO146" s="147">
        <f t="shared" si="28"/>
        <v>3910.9</v>
      </c>
      <c r="AP146" s="148">
        <f>AJ146*Valores!$C$69</f>
        <v>-6376.9879799999999</v>
      </c>
      <c r="AQ146" s="149">
        <f>AJ146*-Valores!$C$70</f>
        <v>0</v>
      </c>
      <c r="AR146" s="142">
        <f>AJ146*Valores!$C$71</f>
        <v>-2608.7678099999998</v>
      </c>
      <c r="AS146" s="142">
        <f>Valores!$C$95</f>
        <v>-193.38</v>
      </c>
      <c r="AT146" s="142">
        <f>IF($H$6=0,Valores!$C$96,(Valores!$C$96+$H$6*(Valores!$C$96)))</f>
        <v>-178</v>
      </c>
      <c r="AU146" s="146">
        <f t="shared" si="31"/>
        <v>52526.382210000003</v>
      </c>
      <c r="AV146" s="199">
        <f t="shared" si="24"/>
        <v>-6376.9879799999999</v>
      </c>
      <c r="AW146" s="142">
        <f>AJ146*Valores!$C$72</f>
        <v>-1565.2606860000001</v>
      </c>
      <c r="AX146" s="142">
        <f>AJ146*Valores!$C$73</f>
        <v>-173.91785400000001</v>
      </c>
      <c r="AY146" s="146">
        <f t="shared" si="32"/>
        <v>53767.351480000005</v>
      </c>
      <c r="AZ146" s="150"/>
      <c r="BA146" s="150"/>
      <c r="BB146" s="135" t="s">
        <v>4</v>
      </c>
    </row>
    <row r="147" spans="1:54" s="114" customFormat="1" ht="11.25" customHeight="1" x14ac:dyDescent="0.15">
      <c r="A147" s="134">
        <v>144</v>
      </c>
      <c r="B147" s="134"/>
      <c r="C147" s="135" t="s">
        <v>404</v>
      </c>
      <c r="D147" s="135"/>
      <c r="E147" s="135">
        <f t="shared" si="25"/>
        <v>29</v>
      </c>
      <c r="F147" s="136" t="s">
        <v>405</v>
      </c>
      <c r="G147" s="137">
        <v>1278</v>
      </c>
      <c r="H147" s="138">
        <f>INT((G147*Valores!$C$2*100)+0.5)/100</f>
        <v>17102.96</v>
      </c>
      <c r="I147" s="156">
        <v>0</v>
      </c>
      <c r="J147" s="140">
        <f>INT((I147*Valores!$C$2*100)+0.5)/100</f>
        <v>0</v>
      </c>
      <c r="K147" s="155">
        <v>0</v>
      </c>
      <c r="L147" s="140">
        <f>INT((K147*Valores!$C$2*100)+0.5)/100</f>
        <v>0</v>
      </c>
      <c r="M147" s="153">
        <v>0</v>
      </c>
      <c r="N147" s="140">
        <f>INT((M147*Valores!$C$2*100)+0.5)/100</f>
        <v>0</v>
      </c>
      <c r="O147" s="140">
        <f t="shared" si="26"/>
        <v>3860.4780000000001</v>
      </c>
      <c r="P147" s="140">
        <f t="shared" si="27"/>
        <v>0</v>
      </c>
      <c r="Q147" s="154">
        <f>Valores!$C$21</f>
        <v>11564.28</v>
      </c>
      <c r="R147" s="154">
        <f>Valores!$D$4</f>
        <v>6841.19</v>
      </c>
      <c r="S147" s="154">
        <f>Valores!$C$28</f>
        <v>6103.41</v>
      </c>
      <c r="T147" s="143">
        <f>IF($H$5="NO",Valores!$C$44,Valores!$C$44/2)</f>
        <v>2267.75</v>
      </c>
      <c r="U147" s="140">
        <f>Valores!$C$25</f>
        <v>6365.81</v>
      </c>
      <c r="V147" s="140">
        <f t="shared" si="23"/>
        <v>6365.81</v>
      </c>
      <c r="W147" s="140">
        <v>0</v>
      </c>
      <c r="X147" s="140">
        <v>0</v>
      </c>
      <c r="Y147" s="144">
        <v>0</v>
      </c>
      <c r="Z147" s="140">
        <f>Y147*Valores!$C$2</f>
        <v>0</v>
      </c>
      <c r="AA147" s="140">
        <v>0</v>
      </c>
      <c r="AB147" s="143">
        <f>Valores!$C$90</f>
        <v>2575.39</v>
      </c>
      <c r="AC147" s="145">
        <f>Valores!$C$31</f>
        <v>279.8</v>
      </c>
      <c r="AD147" s="140">
        <f t="shared" si="29"/>
        <v>0</v>
      </c>
      <c r="AE147" s="140">
        <f>Valores!$C$32</f>
        <v>279.8</v>
      </c>
      <c r="AF147" s="144">
        <v>0</v>
      </c>
      <c r="AG147" s="140">
        <f>INT(((AF147*Valores!$C$2)*100)+0.5)/100</f>
        <v>0</v>
      </c>
      <c r="AH147" s="140">
        <f>IF($H$5="NO",Valores!$C$60,Valores!$C$60/2)</f>
        <v>569.14</v>
      </c>
      <c r="AI147" s="140">
        <f>IF($H$5="NO",Valores!$C$62,Valores!$C$62/2)</f>
        <v>162.61000000000001</v>
      </c>
      <c r="AJ147" s="146">
        <f t="shared" si="30"/>
        <v>57972.618000000002</v>
      </c>
      <c r="AK147" s="154">
        <f>Valores!$C$37</f>
        <v>1465.56</v>
      </c>
      <c r="AL147" s="143">
        <f>Valores!$C$85</f>
        <v>2275</v>
      </c>
      <c r="AM147" s="143"/>
      <c r="AN147" s="145">
        <f>IF($H$4="NO",0,Valores!$C$53)</f>
        <v>170.34</v>
      </c>
      <c r="AO147" s="147">
        <f t="shared" si="28"/>
        <v>3910.9</v>
      </c>
      <c r="AP147" s="148">
        <f>AJ147*Valores!$C$69</f>
        <v>-6376.9879799999999</v>
      </c>
      <c r="AQ147" s="149">
        <f>AJ147*-Valores!$C$70</f>
        <v>0</v>
      </c>
      <c r="AR147" s="142">
        <f>AJ147*Valores!$C$71</f>
        <v>-2608.7678099999998</v>
      </c>
      <c r="AS147" s="142">
        <f>Valores!$C$95</f>
        <v>-193.38</v>
      </c>
      <c r="AT147" s="142">
        <f>IF($H$6=0,Valores!$C$96,(Valores!$C$96+$H$6*(Valores!$C$96)))</f>
        <v>-178</v>
      </c>
      <c r="AU147" s="146">
        <f t="shared" si="31"/>
        <v>52526.382210000003</v>
      </c>
      <c r="AV147" s="199">
        <f t="shared" si="24"/>
        <v>-6376.9879799999999</v>
      </c>
      <c r="AW147" s="142">
        <f>AJ147*Valores!$C$72</f>
        <v>-1565.2606860000001</v>
      </c>
      <c r="AX147" s="142">
        <f>AJ147*Valores!$C$73</f>
        <v>-173.91785400000001</v>
      </c>
      <c r="AY147" s="146">
        <f t="shared" si="32"/>
        <v>53767.351480000005</v>
      </c>
      <c r="AZ147" s="150"/>
      <c r="BA147" s="150">
        <v>20</v>
      </c>
      <c r="BB147" s="135" t="s">
        <v>4</v>
      </c>
    </row>
    <row r="148" spans="1:54" s="114" customFormat="1" ht="11.25" customHeight="1" x14ac:dyDescent="0.15">
      <c r="A148" s="152">
        <v>145</v>
      </c>
      <c r="B148" s="152" t="s">
        <v>139</v>
      </c>
      <c r="C148" s="135" t="s">
        <v>406</v>
      </c>
      <c r="D148" s="135"/>
      <c r="E148" s="135">
        <f t="shared" si="25"/>
        <v>31</v>
      </c>
      <c r="F148" s="136" t="s">
        <v>407</v>
      </c>
      <c r="G148" s="137">
        <v>1278</v>
      </c>
      <c r="H148" s="138">
        <f>INT((G148*Valores!$C$2*100)+0.5)/100</f>
        <v>17102.96</v>
      </c>
      <c r="I148" s="156">
        <v>0</v>
      </c>
      <c r="J148" s="140">
        <f>INT((I148*Valores!$C$2*100)+0.5)/100</f>
        <v>0</v>
      </c>
      <c r="K148" s="155">
        <v>0</v>
      </c>
      <c r="L148" s="140">
        <f>INT((K148*Valores!$C$2*100)+0.5)/100</f>
        <v>0</v>
      </c>
      <c r="M148" s="153">
        <v>0</v>
      </c>
      <c r="N148" s="140">
        <f>INT((M148*Valores!$C$2*100)+0.5)/100</f>
        <v>0</v>
      </c>
      <c r="O148" s="140">
        <f t="shared" si="26"/>
        <v>3860.4780000000001</v>
      </c>
      <c r="P148" s="140">
        <f t="shared" si="27"/>
        <v>0</v>
      </c>
      <c r="Q148" s="154">
        <f>Valores!$C$21</f>
        <v>11564.28</v>
      </c>
      <c r="R148" s="154">
        <f>Valores!$D$4</f>
        <v>6841.19</v>
      </c>
      <c r="S148" s="154">
        <f>Valores!$C$28</f>
        <v>6103.41</v>
      </c>
      <c r="T148" s="143">
        <f>IF($H$5="NO",Valores!$C$44,Valores!$C$44/2)</f>
        <v>2267.75</v>
      </c>
      <c r="U148" s="140">
        <f>Valores!$C$25</f>
        <v>6365.81</v>
      </c>
      <c r="V148" s="140">
        <f t="shared" si="23"/>
        <v>6365.81</v>
      </c>
      <c r="W148" s="140">
        <v>0</v>
      </c>
      <c r="X148" s="140">
        <v>0</v>
      </c>
      <c r="Y148" s="144">
        <v>0</v>
      </c>
      <c r="Z148" s="140">
        <f>Y148*Valores!$C$2</f>
        <v>0</v>
      </c>
      <c r="AA148" s="140">
        <v>0</v>
      </c>
      <c r="AB148" s="143">
        <f>Valores!$C$90</f>
        <v>2575.39</v>
      </c>
      <c r="AC148" s="145">
        <f>Valores!$C$31</f>
        <v>279.8</v>
      </c>
      <c r="AD148" s="140">
        <f t="shared" si="29"/>
        <v>0</v>
      </c>
      <c r="AE148" s="140">
        <f>Valores!$C$32</f>
        <v>279.8</v>
      </c>
      <c r="AF148" s="144">
        <v>94</v>
      </c>
      <c r="AG148" s="140">
        <f>INT(((AF148*Valores!$C$2)*100)+0.5)/100</f>
        <v>1257.96</v>
      </c>
      <c r="AH148" s="140">
        <f>IF($H$5="NO",Valores!$C$60,Valores!$C$60/2)</f>
        <v>569.14</v>
      </c>
      <c r="AI148" s="140">
        <f>IF($H$5="NO",Valores!$C$62,Valores!$C$62/2)</f>
        <v>162.61000000000001</v>
      </c>
      <c r="AJ148" s="146">
        <f t="shared" si="30"/>
        <v>59230.578000000001</v>
      </c>
      <c r="AK148" s="154">
        <f>Valores!$C$37</f>
        <v>1465.56</v>
      </c>
      <c r="AL148" s="143">
        <f>Valores!$C$85</f>
        <v>2275</v>
      </c>
      <c r="AM148" s="143"/>
      <c r="AN148" s="145">
        <f>IF($H$4="NO",0,Valores!$C$53)</f>
        <v>170.34</v>
      </c>
      <c r="AO148" s="147">
        <f t="shared" si="28"/>
        <v>3910.9</v>
      </c>
      <c r="AP148" s="148">
        <f>AJ148*Valores!$C$69</f>
        <v>-6515.3635800000002</v>
      </c>
      <c r="AQ148" s="149">
        <f>AJ148*-Valores!$C$70</f>
        <v>0</v>
      </c>
      <c r="AR148" s="142">
        <f>AJ148*Valores!$C$71</f>
        <v>-2665.37601</v>
      </c>
      <c r="AS148" s="142">
        <f>Valores!$C$95</f>
        <v>-193.38</v>
      </c>
      <c r="AT148" s="142">
        <f>IF($H$6=0,Valores!$C$96,(Valores!$C$96+$H$6*(Valores!$C$96)))</f>
        <v>-178</v>
      </c>
      <c r="AU148" s="146">
        <f t="shared" si="31"/>
        <v>53589.358410000001</v>
      </c>
      <c r="AV148" s="199">
        <f t="shared" si="24"/>
        <v>-6515.3635800000002</v>
      </c>
      <c r="AW148" s="142">
        <f>AJ148*Valores!$C$72</f>
        <v>-1599.225606</v>
      </c>
      <c r="AX148" s="142">
        <f>AJ148*Valores!$C$73</f>
        <v>-177.691734</v>
      </c>
      <c r="AY148" s="146">
        <f t="shared" si="32"/>
        <v>54849.197079999998</v>
      </c>
      <c r="AZ148" s="150"/>
      <c r="BA148" s="150">
        <v>20</v>
      </c>
      <c r="BB148" s="135" t="s">
        <v>4</v>
      </c>
    </row>
    <row r="149" spans="1:54" s="114" customFormat="1" ht="11.25" customHeight="1" x14ac:dyDescent="0.15">
      <c r="A149" s="134">
        <v>146</v>
      </c>
      <c r="B149" s="134"/>
      <c r="C149" s="135" t="s">
        <v>408</v>
      </c>
      <c r="D149" s="135"/>
      <c r="E149" s="135">
        <f t="shared" si="25"/>
        <v>26</v>
      </c>
      <c r="F149" s="136" t="s">
        <v>409</v>
      </c>
      <c r="G149" s="137">
        <v>1278</v>
      </c>
      <c r="H149" s="138">
        <f>INT((G149*Valores!$C$2*100)+0.5)/100</f>
        <v>17102.96</v>
      </c>
      <c r="I149" s="156">
        <v>0</v>
      </c>
      <c r="J149" s="140">
        <f>INT((I149*Valores!$C$2*100)+0.5)/100</f>
        <v>0</v>
      </c>
      <c r="K149" s="155">
        <v>0</v>
      </c>
      <c r="L149" s="140">
        <f>INT((K149*Valores!$C$2*100)+0.5)/100</f>
        <v>0</v>
      </c>
      <c r="M149" s="153">
        <v>0</v>
      </c>
      <c r="N149" s="140">
        <f>INT((M149*Valores!$C$2*100)+0.5)/100</f>
        <v>0</v>
      </c>
      <c r="O149" s="140">
        <f t="shared" si="26"/>
        <v>3860.4780000000001</v>
      </c>
      <c r="P149" s="140">
        <f t="shared" si="27"/>
        <v>0</v>
      </c>
      <c r="Q149" s="154">
        <f>Valores!$C$21</f>
        <v>11564.28</v>
      </c>
      <c r="R149" s="154">
        <f>Valores!$D$4</f>
        <v>6841.19</v>
      </c>
      <c r="S149" s="143">
        <f>Valores!$C$28</f>
        <v>6103.41</v>
      </c>
      <c r="T149" s="143">
        <f>IF($H$5="NO",Valores!$C$44,Valores!$C$44/2)</f>
        <v>2267.75</v>
      </c>
      <c r="U149" s="154">
        <f>Valores!$C$25</f>
        <v>6365.81</v>
      </c>
      <c r="V149" s="140">
        <f t="shared" si="23"/>
        <v>6365.81</v>
      </c>
      <c r="W149" s="140">
        <v>0</v>
      </c>
      <c r="X149" s="140">
        <v>0</v>
      </c>
      <c r="Y149" s="144">
        <v>0</v>
      </c>
      <c r="Z149" s="140">
        <f>Y149*Valores!$C$2</f>
        <v>0</v>
      </c>
      <c r="AA149" s="140">
        <v>0</v>
      </c>
      <c r="AB149" s="143">
        <f>Valores!$C$90</f>
        <v>2575.39</v>
      </c>
      <c r="AC149" s="145">
        <f>Valores!$C$31</f>
        <v>279.8</v>
      </c>
      <c r="AD149" s="140">
        <f t="shared" si="29"/>
        <v>0</v>
      </c>
      <c r="AE149" s="140">
        <f>Valores!$C$32</f>
        <v>279.8</v>
      </c>
      <c r="AF149" s="144">
        <v>0</v>
      </c>
      <c r="AG149" s="140">
        <f>INT(((AF149*Valores!$C$2)*100)+0.5)/100</f>
        <v>0</v>
      </c>
      <c r="AH149" s="140">
        <f>IF($H$5="NO",Valores!$C$60,Valores!$C$60/2)</f>
        <v>569.14</v>
      </c>
      <c r="AI149" s="140">
        <f>IF($H$5="NO",Valores!$C$62,Valores!$C$62/2)</f>
        <v>162.61000000000001</v>
      </c>
      <c r="AJ149" s="146">
        <f t="shared" si="30"/>
        <v>57972.618000000002</v>
      </c>
      <c r="AK149" s="154">
        <f>Valores!$C$37</f>
        <v>1465.56</v>
      </c>
      <c r="AL149" s="143">
        <f>Valores!$C$85</f>
        <v>2275</v>
      </c>
      <c r="AM149" s="143"/>
      <c r="AN149" s="145">
        <f>IF($H$4="NO",0,Valores!$C$53)</f>
        <v>170.34</v>
      </c>
      <c r="AO149" s="147">
        <f t="shared" si="28"/>
        <v>3910.9</v>
      </c>
      <c r="AP149" s="148">
        <f>AJ149*Valores!$C$69</f>
        <v>-6376.9879799999999</v>
      </c>
      <c r="AQ149" s="149">
        <f>AJ149*-Valores!$C$70</f>
        <v>0</v>
      </c>
      <c r="AR149" s="142">
        <f>AJ149*Valores!$C$71</f>
        <v>-2608.7678099999998</v>
      </c>
      <c r="AS149" s="142">
        <f>Valores!$C$95</f>
        <v>-193.38</v>
      </c>
      <c r="AT149" s="142">
        <f>IF($H$6=0,Valores!$C$96,(Valores!$C$96+$H$6*(Valores!$C$96)))</f>
        <v>-178</v>
      </c>
      <c r="AU149" s="146">
        <f t="shared" si="31"/>
        <v>52526.382210000003</v>
      </c>
      <c r="AV149" s="199">
        <f t="shared" si="24"/>
        <v>-6376.9879799999999</v>
      </c>
      <c r="AW149" s="142">
        <f>AJ149*Valores!$C$72</f>
        <v>-1565.2606860000001</v>
      </c>
      <c r="AX149" s="142">
        <f>AJ149*Valores!$C$73</f>
        <v>-173.91785400000001</v>
      </c>
      <c r="AY149" s="146">
        <f t="shared" si="32"/>
        <v>53767.351480000005</v>
      </c>
      <c r="AZ149" s="150"/>
      <c r="BA149" s="150">
        <v>22</v>
      </c>
      <c r="BB149" s="135" t="s">
        <v>4</v>
      </c>
    </row>
    <row r="150" spans="1:54" s="114" customFormat="1" ht="11.25" customHeight="1" x14ac:dyDescent="0.15">
      <c r="A150" s="134">
        <v>147</v>
      </c>
      <c r="B150" s="134"/>
      <c r="C150" s="135" t="s">
        <v>410</v>
      </c>
      <c r="D150" s="135"/>
      <c r="E150" s="135">
        <f t="shared" si="25"/>
        <v>26</v>
      </c>
      <c r="F150" s="136" t="s">
        <v>411</v>
      </c>
      <c r="G150" s="137">
        <v>1278</v>
      </c>
      <c r="H150" s="138">
        <f>INT((G150*Valores!$C$2*100)+0.5)/100</f>
        <v>17102.96</v>
      </c>
      <c r="I150" s="156">
        <v>0</v>
      </c>
      <c r="J150" s="140">
        <f>INT((I150*Valores!$C$2*100)+0.5)/100</f>
        <v>0</v>
      </c>
      <c r="K150" s="155">
        <v>0</v>
      </c>
      <c r="L150" s="140">
        <f>INT((K150*Valores!$C$2*100)+0.5)/100</f>
        <v>0</v>
      </c>
      <c r="M150" s="153">
        <v>0</v>
      </c>
      <c r="N150" s="140">
        <f>INT((M150*Valores!$C$2*100)+0.5)/100</f>
        <v>0</v>
      </c>
      <c r="O150" s="140">
        <f t="shared" si="26"/>
        <v>3850.7159999999994</v>
      </c>
      <c r="P150" s="140">
        <f t="shared" si="27"/>
        <v>0</v>
      </c>
      <c r="Q150" s="154">
        <f>Valores!$C$21</f>
        <v>11564.28</v>
      </c>
      <c r="R150" s="154">
        <f>Valores!$D$4</f>
        <v>6841.19</v>
      </c>
      <c r="S150" s="143">
        <v>0</v>
      </c>
      <c r="T150" s="143">
        <f>IF($H$5="NO",Valores!$C$44,Valores!$C$44/2)</f>
        <v>2267.75</v>
      </c>
      <c r="U150" s="154">
        <f>Valores!$C$26</f>
        <v>6300.73</v>
      </c>
      <c r="V150" s="140">
        <f t="shared" si="23"/>
        <v>6300.73</v>
      </c>
      <c r="W150" s="140">
        <v>0</v>
      </c>
      <c r="X150" s="140">
        <v>0</v>
      </c>
      <c r="Y150" s="144">
        <v>0</v>
      </c>
      <c r="Z150" s="140">
        <f>Y150*Valores!$C$2</f>
        <v>0</v>
      </c>
      <c r="AA150" s="140">
        <v>0</v>
      </c>
      <c r="AB150" s="143">
        <f>Valores!$C$90</f>
        <v>2575.39</v>
      </c>
      <c r="AC150" s="145">
        <f>Valores!$C$31</f>
        <v>279.8</v>
      </c>
      <c r="AD150" s="140">
        <f t="shared" si="29"/>
        <v>0</v>
      </c>
      <c r="AE150" s="140">
        <f>Valores!$C$32</f>
        <v>279.8</v>
      </c>
      <c r="AF150" s="144">
        <v>0</v>
      </c>
      <c r="AG150" s="140">
        <f>INT(((AF150*Valores!$C$2)*100)+0.5)/100</f>
        <v>0</v>
      </c>
      <c r="AH150" s="140">
        <f>IF($H$5="NO",Valores!$C$60,Valores!$C$60/2)</f>
        <v>569.14</v>
      </c>
      <c r="AI150" s="140">
        <f>IF($H$5="NO",Valores!$C$62,Valores!$C$62/2)</f>
        <v>162.61000000000001</v>
      </c>
      <c r="AJ150" s="146">
        <f t="shared" si="30"/>
        <v>51794.366000000009</v>
      </c>
      <c r="AK150" s="154">
        <f>Valores!$C$37</f>
        <v>1465.56</v>
      </c>
      <c r="AL150" s="143">
        <f>Valores!$C$85</f>
        <v>2275</v>
      </c>
      <c r="AM150" s="143"/>
      <c r="AN150" s="145">
        <f>IF($H$4="NO",0,Valores!$C$53)</f>
        <v>170.34</v>
      </c>
      <c r="AO150" s="147">
        <f t="shared" si="28"/>
        <v>3910.9</v>
      </c>
      <c r="AP150" s="148">
        <f>AJ150*Valores!$C$69</f>
        <v>-5697.3802600000008</v>
      </c>
      <c r="AQ150" s="149">
        <f>AJ150*-Valores!$C$70</f>
        <v>0</v>
      </c>
      <c r="AR150" s="142">
        <f>AJ150*Valores!$C$71</f>
        <v>-2330.7464700000005</v>
      </c>
      <c r="AS150" s="142">
        <f>Valores!$C$95</f>
        <v>-193.38</v>
      </c>
      <c r="AT150" s="142">
        <f>IF($H$6=0,Valores!$C$96,(Valores!$C$96+$H$6*(Valores!$C$96)))</f>
        <v>-178</v>
      </c>
      <c r="AU150" s="146">
        <f t="shared" si="31"/>
        <v>47305.75927000001</v>
      </c>
      <c r="AV150" s="199">
        <f t="shared" si="24"/>
        <v>-5697.3802600000008</v>
      </c>
      <c r="AW150" s="142">
        <f>AJ150*Valores!$C$72</f>
        <v>-1398.4478820000002</v>
      </c>
      <c r="AX150" s="142">
        <f>AJ150*Valores!$C$73</f>
        <v>-155.38309800000002</v>
      </c>
      <c r="AY150" s="146">
        <f t="shared" si="32"/>
        <v>48454.054760000006</v>
      </c>
      <c r="AZ150" s="150"/>
      <c r="BA150" s="150"/>
      <c r="BB150" s="135" t="s">
        <v>8</v>
      </c>
    </row>
    <row r="151" spans="1:54" s="114" customFormat="1" ht="11.25" customHeight="1" x14ac:dyDescent="0.15">
      <c r="A151" s="134">
        <v>148</v>
      </c>
      <c r="B151" s="134"/>
      <c r="C151" s="135" t="s">
        <v>412</v>
      </c>
      <c r="D151" s="135"/>
      <c r="E151" s="135">
        <f t="shared" si="25"/>
        <v>37</v>
      </c>
      <c r="F151" s="136" t="s">
        <v>413</v>
      </c>
      <c r="G151" s="137">
        <v>1278</v>
      </c>
      <c r="H151" s="138">
        <f>INT((G151*Valores!$C$2*100)+0.5)/100</f>
        <v>17102.96</v>
      </c>
      <c r="I151" s="156">
        <v>0</v>
      </c>
      <c r="J151" s="140">
        <f>INT((I151*Valores!$C$2*100)+0.5)/100</f>
        <v>0</v>
      </c>
      <c r="K151" s="155">
        <v>0</v>
      </c>
      <c r="L151" s="140">
        <f>INT((K151*Valores!$C$2*100)+0.5)/100</f>
        <v>0</v>
      </c>
      <c r="M151" s="153">
        <v>0</v>
      </c>
      <c r="N151" s="140">
        <f>INT((M151*Valores!$C$2*100)+0.5)/100</f>
        <v>0</v>
      </c>
      <c r="O151" s="140">
        <f t="shared" si="26"/>
        <v>3850.7159999999994</v>
      </c>
      <c r="P151" s="140">
        <f t="shared" si="27"/>
        <v>0</v>
      </c>
      <c r="Q151" s="154">
        <f>Valores!$C$21</f>
        <v>11564.28</v>
      </c>
      <c r="R151" s="154">
        <f>Valores!$D$4</f>
        <v>6841.19</v>
      </c>
      <c r="S151" s="143">
        <v>0</v>
      </c>
      <c r="T151" s="143">
        <f>IF($H$5="NO",Valores!$C$44,Valores!$C$44/2)</f>
        <v>2267.75</v>
      </c>
      <c r="U151" s="154">
        <f>Valores!$C$26</f>
        <v>6300.73</v>
      </c>
      <c r="V151" s="140">
        <f t="shared" si="23"/>
        <v>6300.73</v>
      </c>
      <c r="W151" s="140">
        <v>0</v>
      </c>
      <c r="X151" s="140">
        <v>0</v>
      </c>
      <c r="Y151" s="144">
        <v>0</v>
      </c>
      <c r="Z151" s="140">
        <f>Y151*Valores!$C$2</f>
        <v>0</v>
      </c>
      <c r="AA151" s="140">
        <v>0</v>
      </c>
      <c r="AB151" s="143">
        <f>Valores!$C$90</f>
        <v>2575.39</v>
      </c>
      <c r="AC151" s="145">
        <f>Valores!$C$31</f>
        <v>279.8</v>
      </c>
      <c r="AD151" s="140">
        <f t="shared" si="29"/>
        <v>0</v>
      </c>
      <c r="AE151" s="140">
        <f>Valores!$C$32</f>
        <v>279.8</v>
      </c>
      <c r="AF151" s="144">
        <v>0</v>
      </c>
      <c r="AG151" s="140">
        <f>INT(((AF151*Valores!$C$2)*100)+0.5)/100</f>
        <v>0</v>
      </c>
      <c r="AH151" s="140">
        <f>IF($H$5="NO",Valores!$C$60,Valores!$C$60/2)</f>
        <v>569.14</v>
      </c>
      <c r="AI151" s="140">
        <f>IF($H$5="NO",Valores!$C$62,Valores!$C$62/2)</f>
        <v>162.61000000000001</v>
      </c>
      <c r="AJ151" s="146">
        <f t="shared" si="30"/>
        <v>51794.366000000009</v>
      </c>
      <c r="AK151" s="154">
        <f>Valores!$C$37</f>
        <v>1465.56</v>
      </c>
      <c r="AL151" s="143">
        <f>Valores!$C$85</f>
        <v>2275</v>
      </c>
      <c r="AM151" s="143"/>
      <c r="AN151" s="145">
        <f>IF($H$4="NO",0,Valores!$C$53)</f>
        <v>170.34</v>
      </c>
      <c r="AO151" s="147">
        <f t="shared" si="28"/>
        <v>3910.9</v>
      </c>
      <c r="AP151" s="148">
        <f>AJ151*Valores!$C$69</f>
        <v>-5697.3802600000008</v>
      </c>
      <c r="AQ151" s="149">
        <f>AJ151*-Valores!$C$70</f>
        <v>0</v>
      </c>
      <c r="AR151" s="142">
        <f>AJ151*Valores!$C$71</f>
        <v>-2330.7464700000005</v>
      </c>
      <c r="AS151" s="142">
        <f>Valores!$C$95</f>
        <v>-193.38</v>
      </c>
      <c r="AT151" s="142">
        <f>IF($H$6=0,Valores!$C$96,(Valores!$C$96+$H$6*(Valores!$C$96)))</f>
        <v>-178</v>
      </c>
      <c r="AU151" s="146">
        <f t="shared" si="31"/>
        <v>47305.75927000001</v>
      </c>
      <c r="AV151" s="199">
        <f t="shared" si="24"/>
        <v>-5697.3802600000008</v>
      </c>
      <c r="AW151" s="142">
        <f>AJ151*Valores!$C$72</f>
        <v>-1398.4478820000002</v>
      </c>
      <c r="AX151" s="142">
        <f>AJ151*Valores!$C$73</f>
        <v>-155.38309800000002</v>
      </c>
      <c r="AY151" s="146">
        <f t="shared" si="32"/>
        <v>48454.054760000006</v>
      </c>
      <c r="AZ151" s="150"/>
      <c r="BA151" s="150"/>
      <c r="BB151" s="135" t="s">
        <v>8</v>
      </c>
    </row>
    <row r="152" spans="1:54" s="114" customFormat="1" ht="11.25" customHeight="1" x14ac:dyDescent="0.15">
      <c r="A152" s="134">
        <v>149</v>
      </c>
      <c r="B152" s="134"/>
      <c r="C152" s="135" t="s">
        <v>414</v>
      </c>
      <c r="D152" s="135"/>
      <c r="E152" s="135">
        <f t="shared" si="25"/>
        <v>27</v>
      </c>
      <c r="F152" s="136" t="s">
        <v>415</v>
      </c>
      <c r="G152" s="137">
        <v>1060</v>
      </c>
      <c r="H152" s="138">
        <f>INT((G152*Valores!$C$2*100)+0.5)/100</f>
        <v>14185.56</v>
      </c>
      <c r="I152" s="156">
        <v>0</v>
      </c>
      <c r="J152" s="140">
        <f>INT((I152*Valores!$C$2*100)+0.5)/100</f>
        <v>0</v>
      </c>
      <c r="K152" s="155">
        <v>0</v>
      </c>
      <c r="L152" s="140">
        <f>INT((K152*Valores!$C$2*100)+0.5)/100</f>
        <v>0</v>
      </c>
      <c r="M152" s="153">
        <v>0</v>
      </c>
      <c r="N152" s="140">
        <f>INT((M152*Valores!$C$2*100)+0.5)/100</f>
        <v>0</v>
      </c>
      <c r="O152" s="140">
        <f t="shared" si="26"/>
        <v>3422.8679999999999</v>
      </c>
      <c r="P152" s="140">
        <f t="shared" si="27"/>
        <v>0</v>
      </c>
      <c r="Q152" s="154">
        <f>Valores!$C$21</f>
        <v>11564.28</v>
      </c>
      <c r="R152" s="154">
        <f>Valores!$D$4</f>
        <v>6841.19</v>
      </c>
      <c r="S152" s="157">
        <f>Valores!$C$28</f>
        <v>6103.41</v>
      </c>
      <c r="T152" s="143">
        <f>IF($H$5="NO",Valores!$C$44,Valores!$C$44/2)</f>
        <v>2267.75</v>
      </c>
      <c r="U152" s="140">
        <f>Valores!$C$25</f>
        <v>6365.81</v>
      </c>
      <c r="V152" s="140">
        <f t="shared" si="23"/>
        <v>6365.81</v>
      </c>
      <c r="W152" s="140">
        <v>0</v>
      </c>
      <c r="X152" s="140">
        <v>0</v>
      </c>
      <c r="Y152" s="144">
        <v>0</v>
      </c>
      <c r="Z152" s="140">
        <f>Y152*Valores!$C$2</f>
        <v>0</v>
      </c>
      <c r="AA152" s="140">
        <v>0</v>
      </c>
      <c r="AB152" s="143">
        <f>Valores!$C$90</f>
        <v>2575.39</v>
      </c>
      <c r="AC152" s="145">
        <f>Valores!$C$31</f>
        <v>279.8</v>
      </c>
      <c r="AD152" s="140">
        <f t="shared" si="29"/>
        <v>0</v>
      </c>
      <c r="AE152" s="140">
        <f>Valores!$C$32</f>
        <v>279.8</v>
      </c>
      <c r="AF152" s="144">
        <v>0</v>
      </c>
      <c r="AG152" s="140">
        <f>INT(((AF152*Valores!$C$2)*100)+0.5)/100</f>
        <v>0</v>
      </c>
      <c r="AH152" s="140">
        <f>IF($H$5="NO",Valores!$C$60,Valores!$C$60/2)</f>
        <v>569.14</v>
      </c>
      <c r="AI152" s="140">
        <f>IF($H$5="NO",Valores!$C$62,Valores!$C$62/2)</f>
        <v>162.61000000000001</v>
      </c>
      <c r="AJ152" s="146">
        <f t="shared" si="30"/>
        <v>54617.608000000007</v>
      </c>
      <c r="AK152" s="154">
        <f>Valores!$C$37</f>
        <v>1465.56</v>
      </c>
      <c r="AL152" s="143">
        <f>Valores!$C$85</f>
        <v>2275</v>
      </c>
      <c r="AM152" s="143"/>
      <c r="AN152" s="145">
        <f>IF($H$4="NO",0,Valores!$C$53)</f>
        <v>170.34</v>
      </c>
      <c r="AO152" s="147">
        <f t="shared" si="28"/>
        <v>3910.9</v>
      </c>
      <c r="AP152" s="148">
        <f>AJ152*Valores!$C$69</f>
        <v>-6007.9368800000011</v>
      </c>
      <c r="AQ152" s="149">
        <f>AJ152*-Valores!$C$70</f>
        <v>0</v>
      </c>
      <c r="AR152" s="142">
        <f>AJ152*Valores!$C$71</f>
        <v>-2457.7923600000004</v>
      </c>
      <c r="AS152" s="142">
        <f>Valores!$C$95</f>
        <v>-193.38</v>
      </c>
      <c r="AT152" s="142">
        <f>IF($H$6=0,Valores!$C$96,(Valores!$C$96+$H$6*(Valores!$C$96)))</f>
        <v>-178</v>
      </c>
      <c r="AU152" s="146">
        <f t="shared" si="31"/>
        <v>49691.398760000004</v>
      </c>
      <c r="AV152" s="199">
        <f t="shared" si="24"/>
        <v>-6007.9368800000011</v>
      </c>
      <c r="AW152" s="142">
        <f>AJ152*Valores!$C$72</f>
        <v>-1474.6754160000003</v>
      </c>
      <c r="AX152" s="142">
        <f>AJ152*Valores!$C$73</f>
        <v>-163.85282400000003</v>
      </c>
      <c r="AY152" s="146">
        <f t="shared" si="32"/>
        <v>50882.042880000008</v>
      </c>
      <c r="AZ152" s="150"/>
      <c r="BA152" s="150"/>
      <c r="BB152" s="135" t="s">
        <v>4</v>
      </c>
    </row>
    <row r="153" spans="1:54" s="114" customFormat="1" ht="11.25" customHeight="1" x14ac:dyDescent="0.15">
      <c r="A153" s="152">
        <v>150</v>
      </c>
      <c r="B153" s="152" t="s">
        <v>139</v>
      </c>
      <c r="C153" s="135" t="s">
        <v>416</v>
      </c>
      <c r="D153" s="135"/>
      <c r="E153" s="135">
        <f t="shared" si="25"/>
        <v>23</v>
      </c>
      <c r="F153" s="136" t="s">
        <v>417</v>
      </c>
      <c r="G153" s="137">
        <v>1278</v>
      </c>
      <c r="H153" s="138">
        <f>INT((G153*Valores!$C$2*100)+0.5)/100</f>
        <v>17102.96</v>
      </c>
      <c r="I153" s="156">
        <v>0</v>
      </c>
      <c r="J153" s="140">
        <f>INT((I153*Valores!$C$2*100)+0.5)/100</f>
        <v>0</v>
      </c>
      <c r="K153" s="155">
        <v>0</v>
      </c>
      <c r="L153" s="140">
        <f>INT((K153*Valores!$C$2*100)+0.5)/100</f>
        <v>0</v>
      </c>
      <c r="M153" s="153">
        <v>0</v>
      </c>
      <c r="N153" s="140">
        <f>INT((M153*Valores!$C$2*100)+0.5)/100</f>
        <v>0</v>
      </c>
      <c r="O153" s="140">
        <f t="shared" si="26"/>
        <v>3850.7159999999994</v>
      </c>
      <c r="P153" s="140">
        <f t="shared" si="27"/>
        <v>0</v>
      </c>
      <c r="Q153" s="154">
        <f>Valores!$C$21</f>
        <v>11564.28</v>
      </c>
      <c r="R153" s="154">
        <f>Valores!$D$4</f>
        <v>6841.19</v>
      </c>
      <c r="S153" s="157">
        <f>Valores!$C$28</f>
        <v>6103.41</v>
      </c>
      <c r="T153" s="143">
        <f>IF($H$5="NO",Valores!$C$44,Valores!$C$44/2)</f>
        <v>2267.75</v>
      </c>
      <c r="U153" s="154">
        <f>Valores!$C$26</f>
        <v>6300.73</v>
      </c>
      <c r="V153" s="140">
        <f t="shared" si="23"/>
        <v>6300.73</v>
      </c>
      <c r="W153" s="140">
        <v>0</v>
      </c>
      <c r="X153" s="140">
        <v>0</v>
      </c>
      <c r="Y153" s="144">
        <v>0</v>
      </c>
      <c r="Z153" s="140">
        <f>Y153*Valores!$C$2</f>
        <v>0</v>
      </c>
      <c r="AA153" s="140">
        <v>0</v>
      </c>
      <c r="AB153" s="143">
        <f>Valores!$C$90</f>
        <v>2575.39</v>
      </c>
      <c r="AC153" s="145">
        <f>Valores!$C$31</f>
        <v>279.8</v>
      </c>
      <c r="AD153" s="140">
        <f t="shared" si="29"/>
        <v>0</v>
      </c>
      <c r="AE153" s="140">
        <f>Valores!$C$32</f>
        <v>279.8</v>
      </c>
      <c r="AF153" s="144">
        <v>0</v>
      </c>
      <c r="AG153" s="140">
        <f>INT(((AF153*Valores!$C$2)*100)+0.5)/100</f>
        <v>0</v>
      </c>
      <c r="AH153" s="140">
        <f>IF($H$5="NO",Valores!$C$60,Valores!$C$60/2)</f>
        <v>569.14</v>
      </c>
      <c r="AI153" s="140">
        <f>IF($H$5="NO",Valores!$C$62,Valores!$C$62/2)</f>
        <v>162.61000000000001</v>
      </c>
      <c r="AJ153" s="146">
        <f t="shared" si="30"/>
        <v>57897.775999999998</v>
      </c>
      <c r="AK153" s="154">
        <f>Valores!$C$37</f>
        <v>1465.56</v>
      </c>
      <c r="AL153" s="143">
        <f>Valores!$C$85</f>
        <v>2275</v>
      </c>
      <c r="AM153" s="143"/>
      <c r="AN153" s="145">
        <f>IF($H$4="NO",0,Valores!$C$53)</f>
        <v>170.34</v>
      </c>
      <c r="AO153" s="147">
        <f t="shared" si="28"/>
        <v>3910.9</v>
      </c>
      <c r="AP153" s="148">
        <f>AJ153*Valores!$C$69</f>
        <v>-6368.7553600000001</v>
      </c>
      <c r="AQ153" s="149">
        <f>AJ153*-Valores!$C$70</f>
        <v>0</v>
      </c>
      <c r="AR153" s="142">
        <f>AJ153*Valores!$C$71</f>
        <v>-2605.3999199999998</v>
      </c>
      <c r="AS153" s="142">
        <f>Valores!$C$95</f>
        <v>-193.38</v>
      </c>
      <c r="AT153" s="142">
        <f>IF($H$6=0,Valores!$C$96,(Valores!$C$96+$H$6*(Valores!$C$96)))</f>
        <v>-178</v>
      </c>
      <c r="AU153" s="146">
        <f t="shared" si="31"/>
        <v>52463.140719999996</v>
      </c>
      <c r="AV153" s="199">
        <f t="shared" si="24"/>
        <v>-6368.7553600000001</v>
      </c>
      <c r="AW153" s="142">
        <f>AJ153*Valores!$C$72</f>
        <v>-1563.2399519999999</v>
      </c>
      <c r="AX153" s="142">
        <f>AJ153*Valores!$C$73</f>
        <v>-173.69332800000001</v>
      </c>
      <c r="AY153" s="146">
        <f t="shared" si="32"/>
        <v>53702.987359999999</v>
      </c>
      <c r="AZ153" s="150"/>
      <c r="BA153" s="150">
        <v>22</v>
      </c>
      <c r="BB153" s="135" t="s">
        <v>4</v>
      </c>
    </row>
    <row r="154" spans="1:54" s="114" customFormat="1" ht="11.25" customHeight="1" x14ac:dyDescent="0.15">
      <c r="A154" s="134">
        <v>151</v>
      </c>
      <c r="B154" s="134"/>
      <c r="C154" s="135" t="s">
        <v>418</v>
      </c>
      <c r="D154" s="135"/>
      <c r="E154" s="135">
        <f t="shared" si="25"/>
        <v>18</v>
      </c>
      <c r="F154" s="136" t="s">
        <v>419</v>
      </c>
      <c r="G154" s="137">
        <v>1278</v>
      </c>
      <c r="H154" s="138">
        <f>INT((G154*Valores!$C$2*100)+0.5)/100</f>
        <v>17102.96</v>
      </c>
      <c r="I154" s="156">
        <v>0</v>
      </c>
      <c r="J154" s="140">
        <f>INT((I154*Valores!$C$2*100)+0.5)/100</f>
        <v>0</v>
      </c>
      <c r="K154" s="155">
        <v>0</v>
      </c>
      <c r="L154" s="140">
        <f>INT((K154*Valores!$C$2*100)+0.5)/100</f>
        <v>0</v>
      </c>
      <c r="M154" s="153">
        <v>0</v>
      </c>
      <c r="N154" s="140">
        <f>INT((M154*Valores!$C$2*100)+0.5)/100</f>
        <v>0</v>
      </c>
      <c r="O154" s="140">
        <f t="shared" si="26"/>
        <v>3860.4780000000001</v>
      </c>
      <c r="P154" s="140">
        <f t="shared" si="27"/>
        <v>0</v>
      </c>
      <c r="Q154" s="154">
        <f>Valores!$C$21</f>
        <v>11564.28</v>
      </c>
      <c r="R154" s="154">
        <f>Valores!$D$4</f>
        <v>6841.19</v>
      </c>
      <c r="S154" s="143">
        <f>Valores!$C$28</f>
        <v>6103.41</v>
      </c>
      <c r="T154" s="143">
        <f>IF($H$5="NO",Valores!$C$44,Valores!$C$44/2)</f>
        <v>2267.75</v>
      </c>
      <c r="U154" s="140">
        <f>Valores!$C$25</f>
        <v>6365.81</v>
      </c>
      <c r="V154" s="140">
        <f t="shared" si="23"/>
        <v>6365.81</v>
      </c>
      <c r="W154" s="140">
        <v>0</v>
      </c>
      <c r="X154" s="140">
        <v>0</v>
      </c>
      <c r="Y154" s="144">
        <v>0</v>
      </c>
      <c r="Z154" s="140">
        <f>Y154*Valores!$C$2</f>
        <v>0</v>
      </c>
      <c r="AA154" s="140">
        <v>0</v>
      </c>
      <c r="AB154" s="143">
        <f>Valores!$C$90</f>
        <v>2575.39</v>
      </c>
      <c r="AC154" s="145">
        <f>Valores!$C$31</f>
        <v>279.8</v>
      </c>
      <c r="AD154" s="140">
        <f t="shared" si="29"/>
        <v>0</v>
      </c>
      <c r="AE154" s="140">
        <f>Valores!$C$32</f>
        <v>279.8</v>
      </c>
      <c r="AF154" s="144">
        <v>0</v>
      </c>
      <c r="AG154" s="140">
        <f>INT(((AF154*Valores!$C$2)*100)+0.5)/100</f>
        <v>0</v>
      </c>
      <c r="AH154" s="140">
        <f>IF($H$5="NO",Valores!$C$60,Valores!$C$60/2)</f>
        <v>569.14</v>
      </c>
      <c r="AI154" s="140">
        <f>IF($H$5="NO",Valores!$C$62,Valores!$C$62/2)</f>
        <v>162.61000000000001</v>
      </c>
      <c r="AJ154" s="146">
        <f t="shared" si="30"/>
        <v>57972.618000000002</v>
      </c>
      <c r="AK154" s="154">
        <f>Valores!$C$37</f>
        <v>1465.56</v>
      </c>
      <c r="AL154" s="143">
        <f>Valores!$C$85</f>
        <v>2275</v>
      </c>
      <c r="AM154" s="143"/>
      <c r="AN154" s="145">
        <f>IF($H$4="NO",0,Valores!$C$53)</f>
        <v>170.34</v>
      </c>
      <c r="AO154" s="147">
        <f t="shared" si="28"/>
        <v>3910.9</v>
      </c>
      <c r="AP154" s="148">
        <f>AJ154*Valores!$C$69</f>
        <v>-6376.9879799999999</v>
      </c>
      <c r="AQ154" s="149">
        <f>AJ154*-Valores!$C$70</f>
        <v>0</v>
      </c>
      <c r="AR154" s="142">
        <f>AJ154*Valores!$C$71</f>
        <v>-2608.7678099999998</v>
      </c>
      <c r="AS154" s="142">
        <f>Valores!$C$95</f>
        <v>-193.38</v>
      </c>
      <c r="AT154" s="142">
        <f>IF($H$6=0,Valores!$C$96,(Valores!$C$96+$H$6*(Valores!$C$96)))</f>
        <v>-178</v>
      </c>
      <c r="AU154" s="146">
        <f t="shared" si="31"/>
        <v>52526.382210000003</v>
      </c>
      <c r="AV154" s="199">
        <f t="shared" si="24"/>
        <v>-6376.9879799999999</v>
      </c>
      <c r="AW154" s="142">
        <f>AJ154*Valores!$C$72</f>
        <v>-1565.2606860000001</v>
      </c>
      <c r="AX154" s="142">
        <f>AJ154*Valores!$C$73</f>
        <v>-173.91785400000001</v>
      </c>
      <c r="AY154" s="146">
        <f t="shared" si="32"/>
        <v>53767.351480000005</v>
      </c>
      <c r="AZ154" s="150"/>
      <c r="BA154" s="150">
        <v>25</v>
      </c>
      <c r="BB154" s="135" t="s">
        <v>4</v>
      </c>
    </row>
    <row r="155" spans="1:54" s="114" customFormat="1" ht="11.25" customHeight="1" x14ac:dyDescent="0.15">
      <c r="A155" s="134">
        <v>152</v>
      </c>
      <c r="B155" s="134"/>
      <c r="C155" s="135" t="s">
        <v>420</v>
      </c>
      <c r="D155" s="135"/>
      <c r="E155" s="135">
        <f t="shared" si="25"/>
        <v>13</v>
      </c>
      <c r="F155" s="136" t="s">
        <v>421</v>
      </c>
      <c r="G155" s="137">
        <v>1065</v>
      </c>
      <c r="H155" s="138">
        <f>INT((G155*Valores!$C$2*100)+0.5)/100</f>
        <v>14252.47</v>
      </c>
      <c r="I155" s="156">
        <v>0</v>
      </c>
      <c r="J155" s="140">
        <f>INT((I155*Valores!$C$2*100)+0.5)/100</f>
        <v>0</v>
      </c>
      <c r="K155" s="155">
        <v>0</v>
      </c>
      <c r="L155" s="140">
        <f>INT((K155*Valores!$C$2*100)+0.5)/100</f>
        <v>0</v>
      </c>
      <c r="M155" s="153">
        <v>0</v>
      </c>
      <c r="N155" s="140">
        <f>INT((M155*Valores!$C$2*100)+0.5)/100</f>
        <v>0</v>
      </c>
      <c r="O155" s="140">
        <f t="shared" si="26"/>
        <v>3392.7389999999996</v>
      </c>
      <c r="P155" s="140">
        <f t="shared" si="27"/>
        <v>0</v>
      </c>
      <c r="Q155" s="154">
        <f>Valores!$C$21</f>
        <v>11564.28</v>
      </c>
      <c r="R155" s="154">
        <f>Valores!$D$4</f>
        <v>6841.19</v>
      </c>
      <c r="S155" s="143">
        <f>Valores!$C$29</f>
        <v>5680.65</v>
      </c>
      <c r="T155" s="143">
        <f>IF($H$5="NO",Valores!$C$43,Valores!$C$43/2)</f>
        <v>1999.98</v>
      </c>
      <c r="U155" s="154">
        <f>Valores!$C$25</f>
        <v>6365.81</v>
      </c>
      <c r="V155" s="140">
        <f t="shared" si="23"/>
        <v>6365.81</v>
      </c>
      <c r="W155" s="140">
        <v>0</v>
      </c>
      <c r="X155" s="140">
        <v>0</v>
      </c>
      <c r="Y155" s="144">
        <v>0</v>
      </c>
      <c r="Z155" s="140">
        <f>Y155*Valores!$C$2</f>
        <v>0</v>
      </c>
      <c r="AA155" s="140">
        <v>0</v>
      </c>
      <c r="AB155" s="143">
        <f>Valores!$C$90</f>
        <v>2575.39</v>
      </c>
      <c r="AC155" s="145">
        <f>Valores!$C$31</f>
        <v>279.8</v>
      </c>
      <c r="AD155" s="140">
        <f t="shared" si="29"/>
        <v>0</v>
      </c>
      <c r="AE155" s="140">
        <f>Valores!$C$32</f>
        <v>279.8</v>
      </c>
      <c r="AF155" s="144">
        <v>0</v>
      </c>
      <c r="AG155" s="140">
        <f>INT(((AF155*Valores!$C$2)*100)+0.5)/100</f>
        <v>0</v>
      </c>
      <c r="AH155" s="140">
        <f>IF($H$5="NO",Valores!$C$60,Valores!$C$60/2)</f>
        <v>569.14</v>
      </c>
      <c r="AI155" s="140">
        <f>IF($H$5="NO",Valores!$C$62,Valores!$C$62/2)</f>
        <v>162.61000000000001</v>
      </c>
      <c r="AJ155" s="146">
        <f t="shared" si="30"/>
        <v>53963.859000000011</v>
      </c>
      <c r="AK155" s="154">
        <f>Valores!$C$37</f>
        <v>1465.56</v>
      </c>
      <c r="AL155" s="143">
        <f>Valores!$C$85</f>
        <v>2275</v>
      </c>
      <c r="AM155" s="143"/>
      <c r="AN155" s="145">
        <f>IF($H$4="NO",0,Valores!$C$53)</f>
        <v>170.34</v>
      </c>
      <c r="AO155" s="147">
        <f t="shared" si="28"/>
        <v>3910.9</v>
      </c>
      <c r="AP155" s="148">
        <f>AJ155*Valores!$C$69</f>
        <v>-5936.0244900000016</v>
      </c>
      <c r="AQ155" s="149">
        <f>AJ155*-Valores!$C$70</f>
        <v>0</v>
      </c>
      <c r="AR155" s="142">
        <f>AJ155*Valores!$C$71</f>
        <v>-2428.3736550000003</v>
      </c>
      <c r="AS155" s="142">
        <f>Valores!$C$95</f>
        <v>-193.38</v>
      </c>
      <c r="AT155" s="142">
        <f>IF($H$6=0,Valores!$C$96,(Valores!$C$96+$H$6*(Valores!$C$96)))</f>
        <v>-178</v>
      </c>
      <c r="AU155" s="146">
        <f t="shared" si="31"/>
        <v>49138.980855000009</v>
      </c>
      <c r="AV155" s="199">
        <f t="shared" si="24"/>
        <v>-5936.0244900000016</v>
      </c>
      <c r="AW155" s="142">
        <f>AJ155*Valores!$C$72</f>
        <v>-1457.0241930000002</v>
      </c>
      <c r="AX155" s="142">
        <f>AJ155*Valores!$C$73</f>
        <v>-161.89157700000004</v>
      </c>
      <c r="AY155" s="146">
        <f t="shared" si="32"/>
        <v>50319.81874000001</v>
      </c>
      <c r="AZ155" s="150"/>
      <c r="BA155" s="150">
        <v>25</v>
      </c>
      <c r="BB155" s="135" t="s">
        <v>4</v>
      </c>
    </row>
    <row r="156" spans="1:54" s="114" customFormat="1" ht="11.25" customHeight="1" x14ac:dyDescent="0.15">
      <c r="A156" s="134">
        <v>153</v>
      </c>
      <c r="B156" s="134"/>
      <c r="C156" s="135" t="s">
        <v>422</v>
      </c>
      <c r="D156" s="135"/>
      <c r="E156" s="135">
        <f t="shared" si="25"/>
        <v>16</v>
      </c>
      <c r="F156" s="136" t="s">
        <v>423</v>
      </c>
      <c r="G156" s="137">
        <v>947</v>
      </c>
      <c r="H156" s="138">
        <f>INT((G156*Valores!$C$2*100)+0.5)/100</f>
        <v>12673.32</v>
      </c>
      <c r="I156" s="156">
        <v>0</v>
      </c>
      <c r="J156" s="140">
        <f>INT((I156*Valores!$C$2*100)+0.5)/100</f>
        <v>0</v>
      </c>
      <c r="K156" s="155">
        <v>0</v>
      </c>
      <c r="L156" s="140">
        <f>INT((K156*Valores!$C$2*100)+0.5)/100</f>
        <v>0</v>
      </c>
      <c r="M156" s="153">
        <v>0</v>
      </c>
      <c r="N156" s="140">
        <f>INT((M156*Valores!$C$2*100)+0.5)/100</f>
        <v>0</v>
      </c>
      <c r="O156" s="140">
        <f t="shared" si="26"/>
        <v>3155.8665000000001</v>
      </c>
      <c r="P156" s="140">
        <f t="shared" si="27"/>
        <v>0</v>
      </c>
      <c r="Q156" s="154">
        <f>Valores!$C$21</f>
        <v>11564.28</v>
      </c>
      <c r="R156" s="154">
        <f>Valores!$D$4</f>
        <v>6841.19</v>
      </c>
      <c r="S156" s="143">
        <f>Valores!$C$29</f>
        <v>5680.65</v>
      </c>
      <c r="T156" s="143">
        <f>IF($H$5="NO",Valores!$C$43,Valores!$C$43/2)</f>
        <v>1999.98</v>
      </c>
      <c r="U156" s="154">
        <f>Valores!$C$25</f>
        <v>6365.81</v>
      </c>
      <c r="V156" s="140">
        <f t="shared" si="23"/>
        <v>6365.81</v>
      </c>
      <c r="W156" s="140">
        <v>0</v>
      </c>
      <c r="X156" s="140">
        <v>0</v>
      </c>
      <c r="Y156" s="144">
        <v>0</v>
      </c>
      <c r="Z156" s="140">
        <f>Y156*Valores!$C$2</f>
        <v>0</v>
      </c>
      <c r="AA156" s="140">
        <v>0</v>
      </c>
      <c r="AB156" s="143">
        <f>Valores!$C$90</f>
        <v>2575.39</v>
      </c>
      <c r="AC156" s="145">
        <f>Valores!$C$31</f>
        <v>279.8</v>
      </c>
      <c r="AD156" s="140">
        <f t="shared" si="29"/>
        <v>0</v>
      </c>
      <c r="AE156" s="140">
        <f>Valores!$C$32</f>
        <v>279.8</v>
      </c>
      <c r="AF156" s="144">
        <v>0</v>
      </c>
      <c r="AG156" s="140">
        <f>INT(((AF156*Valores!$C$2)*100)+0.5)/100</f>
        <v>0</v>
      </c>
      <c r="AH156" s="140">
        <f>IF($H$5="NO",Valores!$C$60,Valores!$C$60/2)</f>
        <v>569.14</v>
      </c>
      <c r="AI156" s="140">
        <f>IF($H$5="NO",Valores!$C$62,Valores!$C$62/2)</f>
        <v>162.61000000000001</v>
      </c>
      <c r="AJ156" s="146">
        <f t="shared" si="30"/>
        <v>52147.836500000012</v>
      </c>
      <c r="AK156" s="154">
        <f>Valores!$C$37</f>
        <v>1465.56</v>
      </c>
      <c r="AL156" s="143">
        <f>Valores!$C$85</f>
        <v>2275</v>
      </c>
      <c r="AM156" s="143"/>
      <c r="AN156" s="145">
        <f>IF($H$4="NO",0,Valores!$C$53)</f>
        <v>170.34</v>
      </c>
      <c r="AO156" s="147">
        <f t="shared" si="28"/>
        <v>3910.9</v>
      </c>
      <c r="AP156" s="148">
        <f>AJ156*Valores!$C$69</f>
        <v>-5736.2620150000012</v>
      </c>
      <c r="AQ156" s="149">
        <f>AJ156*-Valores!$C$70</f>
        <v>0</v>
      </c>
      <c r="AR156" s="142">
        <f>AJ156*Valores!$C$71</f>
        <v>-2346.6526425000006</v>
      </c>
      <c r="AS156" s="142">
        <f>Valores!$C$95</f>
        <v>-193.38</v>
      </c>
      <c r="AT156" s="142">
        <f>IF($H$6=0,Valores!$C$96,(Valores!$C$96+$H$6*(Valores!$C$96)))</f>
        <v>-178</v>
      </c>
      <c r="AU156" s="146">
        <f t="shared" si="31"/>
        <v>47604.441842500011</v>
      </c>
      <c r="AV156" s="199">
        <f t="shared" si="24"/>
        <v>-5736.2620150000012</v>
      </c>
      <c r="AW156" s="142">
        <f>AJ156*Valores!$C$72</f>
        <v>-1407.9915855000004</v>
      </c>
      <c r="AX156" s="142">
        <f>AJ156*Valores!$C$73</f>
        <v>-156.44350950000003</v>
      </c>
      <c r="AY156" s="146">
        <f t="shared" si="32"/>
        <v>48758.039390000013</v>
      </c>
      <c r="AZ156" s="150"/>
      <c r="BA156" s="150">
        <v>22</v>
      </c>
      <c r="BB156" s="135" t="s">
        <v>4</v>
      </c>
    </row>
    <row r="157" spans="1:54" s="114" customFormat="1" ht="11.25" customHeight="1" x14ac:dyDescent="0.15">
      <c r="A157" s="134">
        <v>154</v>
      </c>
      <c r="B157" s="134"/>
      <c r="C157" s="135" t="s">
        <v>424</v>
      </c>
      <c r="D157" s="135"/>
      <c r="E157" s="135">
        <f t="shared" si="25"/>
        <v>31</v>
      </c>
      <c r="F157" s="136" t="s">
        <v>425</v>
      </c>
      <c r="G157" s="137">
        <v>1800</v>
      </c>
      <c r="H157" s="138">
        <f>INT((G157*Valores!$C$2*100)+0.5)/100</f>
        <v>24088.68</v>
      </c>
      <c r="I157" s="156">
        <v>0</v>
      </c>
      <c r="J157" s="140">
        <f>INT((I157*Valores!$C$2*100)+0.5)/100</f>
        <v>0</v>
      </c>
      <c r="K157" s="155">
        <v>0</v>
      </c>
      <c r="L157" s="140">
        <f>INT((K157*Valores!$C$2*100)+0.5)/100</f>
        <v>0</v>
      </c>
      <c r="M157" s="153">
        <v>0</v>
      </c>
      <c r="N157" s="140">
        <f>INT((M157*Valores!$C$2*100)+0.5)/100</f>
        <v>0</v>
      </c>
      <c r="O157" s="140">
        <f t="shared" si="26"/>
        <v>5068.9590000000007</v>
      </c>
      <c r="P157" s="140">
        <f t="shared" si="27"/>
        <v>0</v>
      </c>
      <c r="Q157" s="154">
        <f>Valores!$C$15</f>
        <v>13989.51</v>
      </c>
      <c r="R157" s="154">
        <f>Valores!$D$4</f>
        <v>6841.19</v>
      </c>
      <c r="S157" s="154">
        <f>Valores!$C$28</f>
        <v>6103.41</v>
      </c>
      <c r="T157" s="143">
        <f>IF($H$5="NO",Valores!$C$45,Valores!$C$45/2)</f>
        <v>3338.57</v>
      </c>
      <c r="U157" s="140">
        <f>Valores!$C$25</f>
        <v>6365.81</v>
      </c>
      <c r="V157" s="140">
        <f t="shared" si="23"/>
        <v>6365.81</v>
      </c>
      <c r="W157" s="140">
        <v>0</v>
      </c>
      <c r="X157" s="140">
        <v>0</v>
      </c>
      <c r="Y157" s="144">
        <v>0</v>
      </c>
      <c r="Z157" s="140">
        <f>Y157*Valores!$C$2</f>
        <v>0</v>
      </c>
      <c r="AA157" s="140">
        <v>0</v>
      </c>
      <c r="AB157" s="143">
        <f>Valores!$C$92</f>
        <v>5150.78</v>
      </c>
      <c r="AC157" s="145">
        <f>Valores!$C$31</f>
        <v>279.8</v>
      </c>
      <c r="AD157" s="140">
        <f t="shared" si="29"/>
        <v>0</v>
      </c>
      <c r="AE157" s="140">
        <f>Valores!$C$32</f>
        <v>279.8</v>
      </c>
      <c r="AF157" s="144">
        <v>0</v>
      </c>
      <c r="AG157" s="140">
        <f>INT(((AF157*Valores!$C$2)*100)+0.5)/100</f>
        <v>0</v>
      </c>
      <c r="AH157" s="140">
        <f>IF($H$5="NO",Valores!$C$60,Valores!$C$60/2)</f>
        <v>569.14</v>
      </c>
      <c r="AI157" s="140">
        <f>IF($H$5="NO",Valores!$C$62,Valores!$C$62/2)</f>
        <v>162.61000000000001</v>
      </c>
      <c r="AJ157" s="146">
        <f t="shared" si="30"/>
        <v>72238.25900000002</v>
      </c>
      <c r="AK157" s="154">
        <f>Valores!$C$37</f>
        <v>1465.56</v>
      </c>
      <c r="AL157" s="143">
        <f>Valores!$C$87</f>
        <v>4550</v>
      </c>
      <c r="AM157" s="143"/>
      <c r="AN157" s="145">
        <f>IF($H$4="NO",0,Valores!$C$53)</f>
        <v>170.34</v>
      </c>
      <c r="AO157" s="147">
        <f t="shared" si="28"/>
        <v>6185.9</v>
      </c>
      <c r="AP157" s="148">
        <f>AJ157*Valores!$C$69</f>
        <v>-7946.2084900000018</v>
      </c>
      <c r="AQ157" s="149">
        <f>AJ157*-Valores!$C$70</f>
        <v>0</v>
      </c>
      <c r="AR157" s="142">
        <f>AJ157*Valores!$C$71</f>
        <v>-3250.7216550000007</v>
      </c>
      <c r="AS157" s="142">
        <f>Valores!$C$95</f>
        <v>-193.38</v>
      </c>
      <c r="AT157" s="142">
        <f>IF($H$6=0,Valores!$C$96,(Valores!$C$96+$H$6*(Valores!$C$96)))</f>
        <v>-178</v>
      </c>
      <c r="AU157" s="146">
        <f t="shared" si="31"/>
        <v>66855.848855000018</v>
      </c>
      <c r="AV157" s="199">
        <f t="shared" si="24"/>
        <v>-7946.2084900000018</v>
      </c>
      <c r="AW157" s="142">
        <f>AJ157*Valores!$C$72</f>
        <v>-1950.4329930000006</v>
      </c>
      <c r="AX157" s="142">
        <f>AJ157*Valores!$C$73</f>
        <v>-216.71477700000005</v>
      </c>
      <c r="AY157" s="146">
        <f t="shared" si="32"/>
        <v>68310.802740000014</v>
      </c>
      <c r="AZ157" s="150"/>
      <c r="BA157" s="150"/>
      <c r="BB157" s="135" t="s">
        <v>4</v>
      </c>
    </row>
    <row r="158" spans="1:54" s="114" customFormat="1" ht="11.25" customHeight="1" x14ac:dyDescent="0.15">
      <c r="A158" s="152">
        <v>155</v>
      </c>
      <c r="B158" s="152" t="s">
        <v>139</v>
      </c>
      <c r="C158" s="135" t="s">
        <v>426</v>
      </c>
      <c r="D158" s="135"/>
      <c r="E158" s="135">
        <f t="shared" si="25"/>
        <v>19</v>
      </c>
      <c r="F158" s="136" t="s">
        <v>427</v>
      </c>
      <c r="G158" s="137">
        <v>1278</v>
      </c>
      <c r="H158" s="138">
        <f>INT((G158*Valores!$C$2*100)+0.5)/100</f>
        <v>17102.96</v>
      </c>
      <c r="I158" s="156">
        <v>0</v>
      </c>
      <c r="J158" s="140">
        <f>INT((I158*Valores!$C$2*100)+0.5)/100</f>
        <v>0</v>
      </c>
      <c r="K158" s="155">
        <v>0</v>
      </c>
      <c r="L158" s="140">
        <f>INT((K158*Valores!$C$2*100)+0.5)/100</f>
        <v>0</v>
      </c>
      <c r="M158" s="153">
        <v>0</v>
      </c>
      <c r="N158" s="140">
        <f>INT((M158*Valores!$C$2*100)+0.5)/100</f>
        <v>0</v>
      </c>
      <c r="O158" s="140">
        <f t="shared" si="26"/>
        <v>3860.4780000000001</v>
      </c>
      <c r="P158" s="140">
        <f t="shared" si="27"/>
        <v>0</v>
      </c>
      <c r="Q158" s="154">
        <f>Valores!$C$15</f>
        <v>13989.51</v>
      </c>
      <c r="R158" s="154">
        <f>Valores!$D$4</f>
        <v>6841.19</v>
      </c>
      <c r="S158" s="154">
        <f>Valores!$C$28</f>
        <v>6103.41</v>
      </c>
      <c r="T158" s="143">
        <f>IF($H$5="NO",Valores!$C$44,Valores!$C$44/2)</f>
        <v>2267.75</v>
      </c>
      <c r="U158" s="140">
        <f>Valores!$C$25</f>
        <v>6365.81</v>
      </c>
      <c r="V158" s="140">
        <f t="shared" si="23"/>
        <v>6365.81</v>
      </c>
      <c r="W158" s="140">
        <v>0</v>
      </c>
      <c r="X158" s="140">
        <v>0</v>
      </c>
      <c r="Y158" s="144">
        <v>0</v>
      </c>
      <c r="Z158" s="140">
        <f>Y158*Valores!$C$2</f>
        <v>0</v>
      </c>
      <c r="AA158" s="140">
        <v>0</v>
      </c>
      <c r="AB158" s="143">
        <f>Valores!$C$90</f>
        <v>2575.39</v>
      </c>
      <c r="AC158" s="145">
        <f>Valores!$C$31</f>
        <v>279.8</v>
      </c>
      <c r="AD158" s="140">
        <f t="shared" si="29"/>
        <v>0</v>
      </c>
      <c r="AE158" s="140">
        <f>Valores!$C$32</f>
        <v>279.8</v>
      </c>
      <c r="AF158" s="144">
        <v>0</v>
      </c>
      <c r="AG158" s="140">
        <f>INT(((AF158*Valores!$C$2)*100)+0.5)/100</f>
        <v>0</v>
      </c>
      <c r="AH158" s="140">
        <f>IF($H$5="NO",Valores!$C$60,Valores!$C$60/2)</f>
        <v>569.14</v>
      </c>
      <c r="AI158" s="140">
        <f>IF($H$5="NO",Valores!$C$62,Valores!$C$62/2)</f>
        <v>162.61000000000001</v>
      </c>
      <c r="AJ158" s="146">
        <f t="shared" si="30"/>
        <v>60397.847999999998</v>
      </c>
      <c r="AK158" s="154">
        <f>Valores!$C$37</f>
        <v>1465.56</v>
      </c>
      <c r="AL158" s="143">
        <f>Valores!$C$85</f>
        <v>2275</v>
      </c>
      <c r="AM158" s="143"/>
      <c r="AN158" s="145">
        <f>IF($H$4="NO",0,Valores!$C$53)</f>
        <v>170.34</v>
      </c>
      <c r="AO158" s="147">
        <f t="shared" si="28"/>
        <v>3910.9</v>
      </c>
      <c r="AP158" s="148">
        <f>AJ158*Valores!$C$69</f>
        <v>-6643.7632800000001</v>
      </c>
      <c r="AQ158" s="149">
        <f>AJ158*-Valores!$C$70</f>
        <v>0</v>
      </c>
      <c r="AR158" s="142">
        <f>AJ158*Valores!$C$71</f>
        <v>-2717.9031599999998</v>
      </c>
      <c r="AS158" s="142">
        <f>Valores!$C$95</f>
        <v>-193.38</v>
      </c>
      <c r="AT158" s="142">
        <f>IF($H$6=0,Valores!$C$96,(Valores!$C$96+$H$6*(Valores!$C$96)))</f>
        <v>-178</v>
      </c>
      <c r="AU158" s="146">
        <f t="shared" si="31"/>
        <v>54575.701560000001</v>
      </c>
      <c r="AV158" s="199">
        <f t="shared" si="24"/>
        <v>-6643.7632800000001</v>
      </c>
      <c r="AW158" s="142">
        <f>AJ158*Valores!$C$72</f>
        <v>-1630.741896</v>
      </c>
      <c r="AX158" s="142">
        <f>AJ158*Valores!$C$73</f>
        <v>-181.193544</v>
      </c>
      <c r="AY158" s="146">
        <f t="shared" si="32"/>
        <v>55853.049279999999</v>
      </c>
      <c r="AZ158" s="150"/>
      <c r="BA158" s="150">
        <v>27</v>
      </c>
      <c r="BB158" s="135" t="s">
        <v>4</v>
      </c>
    </row>
    <row r="159" spans="1:54" s="114" customFormat="1" ht="11.25" customHeight="1" x14ac:dyDescent="0.15">
      <c r="A159" s="134">
        <v>156</v>
      </c>
      <c r="B159" s="134"/>
      <c r="C159" s="135" t="s">
        <v>428</v>
      </c>
      <c r="D159" s="135"/>
      <c r="E159" s="135">
        <f t="shared" si="25"/>
        <v>28</v>
      </c>
      <c r="F159" s="136" t="s">
        <v>429</v>
      </c>
      <c r="G159" s="137">
        <v>1214</v>
      </c>
      <c r="H159" s="138">
        <f>INT((G159*Valores!$C$2*100)+0.5)/100</f>
        <v>16246.48</v>
      </c>
      <c r="I159" s="156">
        <v>0</v>
      </c>
      <c r="J159" s="140">
        <f>INT((I159*Valores!$C$2*100)+0.5)/100</f>
        <v>0</v>
      </c>
      <c r="K159" s="155">
        <v>0</v>
      </c>
      <c r="L159" s="140">
        <f>INT((K159*Valores!$C$2*100)+0.5)/100</f>
        <v>0</v>
      </c>
      <c r="M159" s="153">
        <v>0</v>
      </c>
      <c r="N159" s="140">
        <f>INT((M159*Valores!$C$2*100)+0.5)/100</f>
        <v>0</v>
      </c>
      <c r="O159" s="140">
        <f t="shared" si="26"/>
        <v>3732.0059999999999</v>
      </c>
      <c r="P159" s="140">
        <f t="shared" si="27"/>
        <v>0</v>
      </c>
      <c r="Q159" s="154">
        <f>Valores!$C$21</f>
        <v>11564.28</v>
      </c>
      <c r="R159" s="154">
        <f>Valores!$D$4</f>
        <v>6841.19</v>
      </c>
      <c r="S159" s="140">
        <f>Valores!$C$28</f>
        <v>6103.41</v>
      </c>
      <c r="T159" s="143">
        <f>IF($H$5="NO",Valores!$C$44,Valores!$C$44/2)</f>
        <v>2267.75</v>
      </c>
      <c r="U159" s="140">
        <f>Valores!$C$25</f>
        <v>6365.81</v>
      </c>
      <c r="V159" s="140">
        <f t="shared" si="23"/>
        <v>6365.81</v>
      </c>
      <c r="W159" s="140">
        <v>0</v>
      </c>
      <c r="X159" s="140">
        <v>0</v>
      </c>
      <c r="Y159" s="144">
        <v>0</v>
      </c>
      <c r="Z159" s="140">
        <f>Y159*Valores!$C$2</f>
        <v>0</v>
      </c>
      <c r="AA159" s="140">
        <v>0</v>
      </c>
      <c r="AB159" s="143">
        <f>Valores!$C$90</f>
        <v>2575.39</v>
      </c>
      <c r="AC159" s="145">
        <f>Valores!$C$31</f>
        <v>279.8</v>
      </c>
      <c r="AD159" s="140">
        <f t="shared" si="29"/>
        <v>0</v>
      </c>
      <c r="AE159" s="140">
        <f>Valores!$C$32</f>
        <v>279.8</v>
      </c>
      <c r="AF159" s="144">
        <v>0</v>
      </c>
      <c r="AG159" s="140">
        <f>INT(((AF159*Valores!$C$2)*100)+0.5)/100</f>
        <v>0</v>
      </c>
      <c r="AH159" s="140">
        <f>IF($H$5="NO",Valores!$C$60,Valores!$C$60/2)</f>
        <v>569.14</v>
      </c>
      <c r="AI159" s="140">
        <f>IF($H$5="NO",Valores!$C$62,Valores!$C$62/2)</f>
        <v>162.61000000000001</v>
      </c>
      <c r="AJ159" s="146">
        <f t="shared" si="30"/>
        <v>56987.666000000012</v>
      </c>
      <c r="AK159" s="154">
        <f>Valores!$C$37</f>
        <v>1465.56</v>
      </c>
      <c r="AL159" s="143">
        <f>Valores!$C$85</f>
        <v>2275</v>
      </c>
      <c r="AM159" s="143"/>
      <c r="AN159" s="145">
        <f>IF($H$4="NO",0,Valores!$C$53)</f>
        <v>170.34</v>
      </c>
      <c r="AO159" s="147">
        <f t="shared" si="28"/>
        <v>3910.9</v>
      </c>
      <c r="AP159" s="148">
        <f>AJ159*Valores!$C$69</f>
        <v>-6268.6432600000016</v>
      </c>
      <c r="AQ159" s="149">
        <f>AJ159*-Valores!$C$70</f>
        <v>0</v>
      </c>
      <c r="AR159" s="142">
        <f>AJ159*Valores!$C$71</f>
        <v>-2564.4449700000005</v>
      </c>
      <c r="AS159" s="142">
        <f>Valores!$C$95</f>
        <v>-193.38</v>
      </c>
      <c r="AT159" s="142">
        <f>IF($H$6=0,Valores!$C$96,(Valores!$C$96+$H$6*(Valores!$C$96)))</f>
        <v>-178</v>
      </c>
      <c r="AU159" s="146">
        <f t="shared" si="31"/>
        <v>51694.097770000008</v>
      </c>
      <c r="AV159" s="199">
        <f t="shared" si="24"/>
        <v>-6268.6432600000016</v>
      </c>
      <c r="AW159" s="142">
        <f>AJ159*Valores!$C$72</f>
        <v>-1538.6669820000004</v>
      </c>
      <c r="AX159" s="142">
        <f>AJ159*Valores!$C$73</f>
        <v>-170.96299800000003</v>
      </c>
      <c r="AY159" s="146">
        <f t="shared" si="32"/>
        <v>52920.292760000011</v>
      </c>
      <c r="AZ159" s="150"/>
      <c r="BA159" s="150"/>
      <c r="BB159" s="135" t="s">
        <v>4</v>
      </c>
    </row>
    <row r="160" spans="1:54" s="114" customFormat="1" ht="11.25" customHeight="1" x14ac:dyDescent="0.15">
      <c r="A160" s="134">
        <v>157</v>
      </c>
      <c r="B160" s="134"/>
      <c r="C160" s="135" t="s">
        <v>430</v>
      </c>
      <c r="D160" s="135"/>
      <c r="E160" s="135">
        <f t="shared" si="25"/>
        <v>25</v>
      </c>
      <c r="F160" s="136" t="s">
        <v>431</v>
      </c>
      <c r="G160" s="137">
        <f>1106+78</f>
        <v>1184</v>
      </c>
      <c r="H160" s="138">
        <f>INT((G160*Valores!$C$2*100)+0.5)/100</f>
        <v>15845</v>
      </c>
      <c r="I160" s="156">
        <v>0</v>
      </c>
      <c r="J160" s="140">
        <f>INT((I160*Valores!$C$2*100)+0.5)/100</f>
        <v>0</v>
      </c>
      <c r="K160" s="155">
        <v>0</v>
      </c>
      <c r="L160" s="140">
        <f>INT((K160*Valores!$C$2*100)+0.5)/100</f>
        <v>0</v>
      </c>
      <c r="M160" s="153">
        <v>0</v>
      </c>
      <c r="N160" s="140">
        <f>INT((M160*Valores!$C$2*100)+0.5)/100</f>
        <v>0</v>
      </c>
      <c r="O160" s="140">
        <f t="shared" si="26"/>
        <v>3662.0219999999999</v>
      </c>
      <c r="P160" s="140">
        <f t="shared" si="27"/>
        <v>0</v>
      </c>
      <c r="Q160" s="154">
        <f>Valores!$C$21</f>
        <v>11564.28</v>
      </c>
      <c r="R160" s="154">
        <f>Valores!$D$4</f>
        <v>6841.19</v>
      </c>
      <c r="S160" s="140">
        <v>0</v>
      </c>
      <c r="T160" s="143">
        <f>IF($H$5="NO",Valores!$C$44,Valores!$C$44/2)</f>
        <v>2267.75</v>
      </c>
      <c r="U160" s="154">
        <f>Valores!$C$26</f>
        <v>6300.73</v>
      </c>
      <c r="V160" s="140">
        <f t="shared" si="23"/>
        <v>6300.73</v>
      </c>
      <c r="W160" s="140">
        <v>0</v>
      </c>
      <c r="X160" s="140">
        <v>0</v>
      </c>
      <c r="Y160" s="144">
        <v>0</v>
      </c>
      <c r="Z160" s="140">
        <f>Y160*Valores!$C$2</f>
        <v>0</v>
      </c>
      <c r="AA160" s="140">
        <v>0</v>
      </c>
      <c r="AB160" s="143">
        <f>Valores!$C$90</f>
        <v>2575.39</v>
      </c>
      <c r="AC160" s="145">
        <f>Valores!$C$31</f>
        <v>279.8</v>
      </c>
      <c r="AD160" s="140">
        <f t="shared" si="29"/>
        <v>0</v>
      </c>
      <c r="AE160" s="140">
        <f>Valores!$C$32</f>
        <v>279.8</v>
      </c>
      <c r="AF160" s="144">
        <v>0</v>
      </c>
      <c r="AG160" s="140">
        <f>INT(((AF160*Valores!$C$2)*100)+0.5)/100</f>
        <v>0</v>
      </c>
      <c r="AH160" s="140">
        <f>IF($H$5="NO",Valores!$C$60,Valores!$C$60/2)</f>
        <v>569.14</v>
      </c>
      <c r="AI160" s="140">
        <f>IF($H$5="NO",Valores!$C$62,Valores!$C$62/2)</f>
        <v>162.61000000000001</v>
      </c>
      <c r="AJ160" s="146">
        <f t="shared" si="30"/>
        <v>50347.712000000014</v>
      </c>
      <c r="AK160" s="154">
        <f>Valores!$C$37</f>
        <v>1465.56</v>
      </c>
      <c r="AL160" s="143">
        <f>Valores!$C$85</f>
        <v>2275</v>
      </c>
      <c r="AM160" s="143"/>
      <c r="AN160" s="145">
        <f>IF($H$4="NO",0,Valores!$C$53)</f>
        <v>170.34</v>
      </c>
      <c r="AO160" s="147">
        <f t="shared" si="28"/>
        <v>3910.9</v>
      </c>
      <c r="AP160" s="148">
        <f>AJ160*Valores!$C$69</f>
        <v>-5538.2483200000015</v>
      </c>
      <c r="AQ160" s="149">
        <f>AJ160*-Valores!$C$70</f>
        <v>0</v>
      </c>
      <c r="AR160" s="142">
        <f>AJ160*Valores!$C$71</f>
        <v>-2265.6470400000007</v>
      </c>
      <c r="AS160" s="142">
        <f>Valores!$C$95</f>
        <v>-193.38</v>
      </c>
      <c r="AT160" s="142">
        <f>IF($H$6=0,Valores!$C$96,(Valores!$C$96+$H$6*(Valores!$C$96)))</f>
        <v>-178</v>
      </c>
      <c r="AU160" s="146">
        <f t="shared" si="31"/>
        <v>46083.336640000009</v>
      </c>
      <c r="AV160" s="199">
        <f t="shared" si="24"/>
        <v>-5538.2483200000015</v>
      </c>
      <c r="AW160" s="142">
        <f>AJ160*Valores!$C$72</f>
        <v>-1359.3882240000003</v>
      </c>
      <c r="AX160" s="142">
        <f>AJ160*Valores!$C$73</f>
        <v>-151.04313600000003</v>
      </c>
      <c r="AY160" s="146">
        <f t="shared" si="32"/>
        <v>47209.932320000014</v>
      </c>
      <c r="AZ160" s="150"/>
      <c r="BA160" s="150"/>
      <c r="BB160" s="135" t="s">
        <v>8</v>
      </c>
    </row>
    <row r="161" spans="1:54" s="114" customFormat="1" ht="11.25" customHeight="1" x14ac:dyDescent="0.15">
      <c r="A161" s="134">
        <v>158</v>
      </c>
      <c r="B161" s="134"/>
      <c r="C161" s="135" t="s">
        <v>432</v>
      </c>
      <c r="D161" s="135"/>
      <c r="E161" s="135">
        <f t="shared" si="25"/>
        <v>24</v>
      </c>
      <c r="F161" s="136" t="s">
        <v>433</v>
      </c>
      <c r="G161" s="137">
        <v>971</v>
      </c>
      <c r="H161" s="138">
        <f>INT((G161*Valores!$C$2*100)+0.5)/100</f>
        <v>12994.5</v>
      </c>
      <c r="I161" s="156">
        <v>0</v>
      </c>
      <c r="J161" s="140">
        <f>INT((I161*Valores!$C$2*100)+0.5)/100</f>
        <v>0</v>
      </c>
      <c r="K161" s="155">
        <v>0</v>
      </c>
      <c r="L161" s="140">
        <f>INT((K161*Valores!$C$2*100)+0.5)/100</f>
        <v>0</v>
      </c>
      <c r="M161" s="153">
        <v>0</v>
      </c>
      <c r="N161" s="140">
        <f>INT((M161*Valores!$C$2*100)+0.5)/100</f>
        <v>0</v>
      </c>
      <c r="O161" s="140">
        <f t="shared" si="26"/>
        <v>3204.0435000000002</v>
      </c>
      <c r="P161" s="140">
        <f t="shared" si="27"/>
        <v>0</v>
      </c>
      <c r="Q161" s="154">
        <f>Valores!$C$21</f>
        <v>11564.28</v>
      </c>
      <c r="R161" s="154">
        <f>Valores!$D$4</f>
        <v>6841.19</v>
      </c>
      <c r="S161" s="154">
        <f>Valores!$C$29</f>
        <v>5680.65</v>
      </c>
      <c r="T161" s="143">
        <f>IF($H$5="NO",Valores!$C$43,Valores!$C$43/2)</f>
        <v>1999.98</v>
      </c>
      <c r="U161" s="140">
        <f>Valores!$C$25</f>
        <v>6365.81</v>
      </c>
      <c r="V161" s="140">
        <f t="shared" si="23"/>
        <v>6365.81</v>
      </c>
      <c r="W161" s="140">
        <v>0</v>
      </c>
      <c r="X161" s="140">
        <v>0</v>
      </c>
      <c r="Y161" s="144">
        <v>0</v>
      </c>
      <c r="Z161" s="140">
        <f>Y161*Valores!$C$2</f>
        <v>0</v>
      </c>
      <c r="AA161" s="140">
        <v>0</v>
      </c>
      <c r="AB161" s="143">
        <f>Valores!$C$90</f>
        <v>2575.39</v>
      </c>
      <c r="AC161" s="145">
        <f>Valores!$C$31</f>
        <v>279.8</v>
      </c>
      <c r="AD161" s="140">
        <f t="shared" si="29"/>
        <v>0</v>
      </c>
      <c r="AE161" s="140">
        <f>Valores!$C$31</f>
        <v>279.8</v>
      </c>
      <c r="AF161" s="144">
        <v>0</v>
      </c>
      <c r="AG161" s="140">
        <f>INT(((AF161*Valores!$C$2)*100)+0.5)/100</f>
        <v>0</v>
      </c>
      <c r="AH161" s="140">
        <f>IF($H$5="NO",Valores!$C$60,Valores!$C$60/2)</f>
        <v>569.14</v>
      </c>
      <c r="AI161" s="140">
        <f>IF($H$5="NO",Valores!$C$62,Valores!$C$62/2)</f>
        <v>162.61000000000001</v>
      </c>
      <c r="AJ161" s="146">
        <f t="shared" si="30"/>
        <v>52517.193500000008</v>
      </c>
      <c r="AK161" s="154">
        <f>Valores!$C$37</f>
        <v>1465.56</v>
      </c>
      <c r="AL161" s="143">
        <f>Valores!$C$85</f>
        <v>2275</v>
      </c>
      <c r="AM161" s="143"/>
      <c r="AN161" s="145">
        <f>(IF($H$4="NO",0,Valores!$C$55))</f>
        <v>155.18</v>
      </c>
      <c r="AO161" s="147">
        <f t="shared" si="28"/>
        <v>3895.74</v>
      </c>
      <c r="AP161" s="148">
        <f>AJ161*Valores!$C$69</f>
        <v>-5776.8912850000006</v>
      </c>
      <c r="AQ161" s="149">
        <f>AJ161*-Valores!$C$70</f>
        <v>0</v>
      </c>
      <c r="AR161" s="142">
        <f>AJ161*Valores!$C$71</f>
        <v>-2363.2737075000005</v>
      </c>
      <c r="AS161" s="142">
        <f>Valores!$C$95</f>
        <v>-193.38</v>
      </c>
      <c r="AT161" s="142">
        <f>IF($H$6=0,Valores!$C$96,(Valores!$C$96+$H$6*(Valores!$C$96)))</f>
        <v>-178</v>
      </c>
      <c r="AU161" s="146">
        <f t="shared" si="31"/>
        <v>47901.388507500007</v>
      </c>
      <c r="AV161" s="199">
        <f t="shared" si="24"/>
        <v>-5776.8912850000006</v>
      </c>
      <c r="AW161" s="142">
        <f>AJ161*Valores!$C$72</f>
        <v>-1417.9642245000002</v>
      </c>
      <c r="AX161" s="142">
        <f>AJ161*Valores!$C$73</f>
        <v>-157.55158050000003</v>
      </c>
      <c r="AY161" s="146">
        <f t="shared" si="32"/>
        <v>49060.526410000006</v>
      </c>
      <c r="AZ161" s="150">
        <v>12</v>
      </c>
      <c r="BA161" s="150">
        <v>12</v>
      </c>
      <c r="BB161" s="135" t="s">
        <v>4</v>
      </c>
    </row>
    <row r="162" spans="1:54" s="114" customFormat="1" ht="11.25" customHeight="1" x14ac:dyDescent="0.15">
      <c r="A162" s="134">
        <v>159</v>
      </c>
      <c r="B162" s="134"/>
      <c r="C162" s="135" t="s">
        <v>432</v>
      </c>
      <c r="D162" s="135"/>
      <c r="E162" s="135">
        <f t="shared" si="25"/>
        <v>35</v>
      </c>
      <c r="F162" s="136" t="s">
        <v>434</v>
      </c>
      <c r="G162" s="137">
        <v>971</v>
      </c>
      <c r="H162" s="138">
        <f>INT((G162*Valores!$C$2*100)+0.5)/100</f>
        <v>12994.5</v>
      </c>
      <c r="I162" s="156">
        <v>0</v>
      </c>
      <c r="J162" s="140">
        <f>INT((I162*Valores!$C$2*100)+0.5)/100</f>
        <v>0</v>
      </c>
      <c r="K162" s="155">
        <v>0</v>
      </c>
      <c r="L162" s="140">
        <f>INT((K162*Valores!$C$2*100)+0.5)/100</f>
        <v>0</v>
      </c>
      <c r="M162" s="153">
        <v>0</v>
      </c>
      <c r="N162" s="140">
        <f>INT((M162*Valores!$C$2*100)+0.5)/100</f>
        <v>0</v>
      </c>
      <c r="O162" s="140">
        <f t="shared" si="26"/>
        <v>4207.7880000000005</v>
      </c>
      <c r="P162" s="140">
        <f t="shared" si="27"/>
        <v>0</v>
      </c>
      <c r="Q162" s="154">
        <f>Valores!$C$21</f>
        <v>11564.28</v>
      </c>
      <c r="R162" s="154">
        <f>Valores!$D$4</f>
        <v>6841.19</v>
      </c>
      <c r="S162" s="154">
        <f>Valores!$C$29</f>
        <v>5680.65</v>
      </c>
      <c r="T162" s="143">
        <f>IF($H$5="NO",Valores!$C$45,Valores!$C$45/2)</f>
        <v>3338.57</v>
      </c>
      <c r="U162" s="140">
        <f>Valores!$C$25</f>
        <v>6365.81</v>
      </c>
      <c r="V162" s="140">
        <f t="shared" si="23"/>
        <v>6365.81</v>
      </c>
      <c r="W162" s="140">
        <v>0</v>
      </c>
      <c r="X162" s="140">
        <v>0</v>
      </c>
      <c r="Y162" s="139">
        <v>400</v>
      </c>
      <c r="Z162" s="140">
        <f>Y162*Valores!$C$2</f>
        <v>5353.04</v>
      </c>
      <c r="AA162" s="154">
        <f>SUM(L162,J162,H162,T162)*Valores!$C$3</f>
        <v>2449.9604999999997</v>
      </c>
      <c r="AB162" s="143">
        <f>Valores!$C$90</f>
        <v>2575.39</v>
      </c>
      <c r="AC162" s="145">
        <f>Valores!$C$31</f>
        <v>279.8</v>
      </c>
      <c r="AD162" s="140">
        <f t="shared" si="29"/>
        <v>0</v>
      </c>
      <c r="AE162" s="140">
        <f>Valores!$C$31</f>
        <v>279.8</v>
      </c>
      <c r="AF162" s="144">
        <v>94</v>
      </c>
      <c r="AG162" s="140">
        <f>INT(((AF162*Valores!$C$2)*100)+0.5)/100</f>
        <v>1257.96</v>
      </c>
      <c r="AH162" s="140">
        <f>IF($H$5="NO",Valores!$C$60,Valores!$C$60/2)</f>
        <v>569.14</v>
      </c>
      <c r="AI162" s="140">
        <f>IF($H$5="NO",Valores!$C$62,Valores!$C$62/2)</f>
        <v>162.61000000000001</v>
      </c>
      <c r="AJ162" s="146">
        <f t="shared" si="30"/>
        <v>63920.488500000007</v>
      </c>
      <c r="AK162" s="154">
        <f>Valores!$C$37</f>
        <v>1465.56</v>
      </c>
      <c r="AL162" s="143">
        <f>Valores!$C$85</f>
        <v>2275</v>
      </c>
      <c r="AM162" s="143"/>
      <c r="AN162" s="145">
        <f>(IF($H$4="NO",0,Valores!$C$55))</f>
        <v>155.18</v>
      </c>
      <c r="AO162" s="147">
        <f t="shared" si="28"/>
        <v>3895.74</v>
      </c>
      <c r="AP162" s="148">
        <f>AJ162*Valores!$C$69</f>
        <v>-7031.2537350000011</v>
      </c>
      <c r="AQ162" s="149">
        <f>AJ162*-Valores!$C$70</f>
        <v>0</v>
      </c>
      <c r="AR162" s="142">
        <f>AJ162*Valores!$C$71</f>
        <v>-2876.4219825</v>
      </c>
      <c r="AS162" s="142">
        <f>Valores!$C$95</f>
        <v>-193.38</v>
      </c>
      <c r="AT162" s="142">
        <f>IF($H$6=0,Valores!$C$96,(Valores!$C$96+$H$6*(Valores!$C$96)))</f>
        <v>-178</v>
      </c>
      <c r="AU162" s="146">
        <f t="shared" si="31"/>
        <v>57537.172782500005</v>
      </c>
      <c r="AV162" s="199">
        <f t="shared" si="24"/>
        <v>-7031.2537350000011</v>
      </c>
      <c r="AW162" s="142">
        <f>AJ162*Valores!$C$72</f>
        <v>-1725.8531895000001</v>
      </c>
      <c r="AX162" s="142">
        <f>AJ162*Valores!$C$73</f>
        <v>-191.76146550000001</v>
      </c>
      <c r="AY162" s="146">
        <f t="shared" si="32"/>
        <v>58867.360110000009</v>
      </c>
      <c r="AZ162" s="150">
        <v>12</v>
      </c>
      <c r="BA162" s="150">
        <v>18</v>
      </c>
      <c r="BB162" s="135" t="s">
        <v>4</v>
      </c>
    </row>
    <row r="163" spans="1:54" s="114" customFormat="1" ht="11.25" customHeight="1" x14ac:dyDescent="0.15">
      <c r="A163" s="134">
        <v>161</v>
      </c>
      <c r="B163" s="134"/>
      <c r="C163" s="135" t="s">
        <v>435</v>
      </c>
      <c r="D163" s="135"/>
      <c r="E163" s="135">
        <f t="shared" si="25"/>
        <v>21</v>
      </c>
      <c r="F163" s="136" t="s">
        <v>436</v>
      </c>
      <c r="G163" s="137">
        <v>810</v>
      </c>
      <c r="H163" s="138">
        <f>INT((G163*Valores!$C$2*100)+0.5)/100</f>
        <v>10839.91</v>
      </c>
      <c r="I163" s="156">
        <v>0</v>
      </c>
      <c r="J163" s="140">
        <f>INT((I163*Valores!$C$2*100)+0.5)/100</f>
        <v>0</v>
      </c>
      <c r="K163" s="155">
        <v>0</v>
      </c>
      <c r="L163" s="140">
        <f>INT((K163*Valores!$C$2*100)+0.5)/100</f>
        <v>0</v>
      </c>
      <c r="M163" s="153">
        <v>0</v>
      </c>
      <c r="N163" s="140">
        <f>INT((M163*Valores!$C$2*100)+0.5)/100</f>
        <v>0</v>
      </c>
      <c r="O163" s="140">
        <f t="shared" si="26"/>
        <v>2871.0929999999998</v>
      </c>
      <c r="P163" s="140">
        <f t="shared" si="27"/>
        <v>0</v>
      </c>
      <c r="Q163" s="154">
        <f>Valores!$C$21</f>
        <v>11564.28</v>
      </c>
      <c r="R163" s="154">
        <f>Valores!$D$4</f>
        <v>6841.19</v>
      </c>
      <c r="S163" s="154">
        <f>Valores!$C$29</f>
        <v>5680.65</v>
      </c>
      <c r="T163" s="143">
        <f>IF($H$5="NO",Valores!$C$43,Valores!$C$43/2)</f>
        <v>1999.98</v>
      </c>
      <c r="U163" s="154">
        <f>Valores!$C$26</f>
        <v>6300.73</v>
      </c>
      <c r="V163" s="140">
        <f t="shared" si="23"/>
        <v>6300.73</v>
      </c>
      <c r="W163" s="140">
        <v>0</v>
      </c>
      <c r="X163" s="140">
        <v>0</v>
      </c>
      <c r="Y163" s="144">
        <v>0</v>
      </c>
      <c r="Z163" s="140">
        <f>Y163*Valores!$C$2</f>
        <v>0</v>
      </c>
      <c r="AA163" s="140">
        <v>0</v>
      </c>
      <c r="AB163" s="143">
        <f>Valores!$C$90</f>
        <v>2575.39</v>
      </c>
      <c r="AC163" s="145">
        <f>Valores!$C$31</f>
        <v>279.8</v>
      </c>
      <c r="AD163" s="140">
        <f t="shared" si="29"/>
        <v>0</v>
      </c>
      <c r="AE163" s="140">
        <f>Valores!$C$32</f>
        <v>279.8</v>
      </c>
      <c r="AF163" s="144">
        <v>0</v>
      </c>
      <c r="AG163" s="140">
        <f>INT(((AF163*Valores!$C$2)*100)+0.5)/100</f>
        <v>0</v>
      </c>
      <c r="AH163" s="140">
        <f>IF($H$5="NO",Valores!$C$60,Valores!$C$60/2)</f>
        <v>569.14</v>
      </c>
      <c r="AI163" s="140">
        <f>IF($H$5="NO",Valores!$C$62,Valores!$C$62/2)</f>
        <v>162.61000000000001</v>
      </c>
      <c r="AJ163" s="146">
        <f t="shared" si="30"/>
        <v>49964.573000000011</v>
      </c>
      <c r="AK163" s="154">
        <f>Valores!$C$37</f>
        <v>1465.56</v>
      </c>
      <c r="AL163" s="143">
        <f>Valores!$C$85</f>
        <v>2275</v>
      </c>
      <c r="AM163" s="143"/>
      <c r="AN163" s="145">
        <f>IF($H$4="NO",0,Valores!$C$53)</f>
        <v>170.34</v>
      </c>
      <c r="AO163" s="147">
        <f t="shared" si="28"/>
        <v>3910.9</v>
      </c>
      <c r="AP163" s="148">
        <f>AJ163*Valores!$C$69</f>
        <v>-5496.1030300000011</v>
      </c>
      <c r="AQ163" s="149">
        <f>AJ163*-Valores!$C$70</f>
        <v>0</v>
      </c>
      <c r="AR163" s="142">
        <f>AJ163*Valores!$C$71</f>
        <v>-2248.4057850000004</v>
      </c>
      <c r="AS163" s="142">
        <f>Valores!$C$95</f>
        <v>-193.38</v>
      </c>
      <c r="AT163" s="142">
        <f>IF($H$6=0,Valores!$C$96,(Valores!$C$96+$H$6*(Valores!$C$96)))</f>
        <v>-178</v>
      </c>
      <c r="AU163" s="146">
        <f t="shared" si="31"/>
        <v>45759.584185000007</v>
      </c>
      <c r="AV163" s="199">
        <f t="shared" si="24"/>
        <v>-5496.1030300000011</v>
      </c>
      <c r="AW163" s="142">
        <f>AJ163*Valores!$C$72</f>
        <v>-1349.0434710000002</v>
      </c>
      <c r="AX163" s="142">
        <f>AJ163*Valores!$C$73</f>
        <v>-149.89371900000003</v>
      </c>
      <c r="AY163" s="146">
        <f t="shared" si="32"/>
        <v>46880.43278000001</v>
      </c>
      <c r="AZ163" s="150"/>
      <c r="BA163" s="150"/>
      <c r="BB163" s="135" t="s">
        <v>4</v>
      </c>
    </row>
    <row r="164" spans="1:54" s="114" customFormat="1" ht="11.25" customHeight="1" x14ac:dyDescent="0.15">
      <c r="A164" s="134">
        <v>162</v>
      </c>
      <c r="B164" s="134"/>
      <c r="C164" s="135" t="s">
        <v>437</v>
      </c>
      <c r="D164" s="135"/>
      <c r="E164" s="135">
        <f t="shared" si="25"/>
        <v>9</v>
      </c>
      <c r="F164" s="136" t="s">
        <v>438</v>
      </c>
      <c r="G164" s="137">
        <v>1065</v>
      </c>
      <c r="H164" s="138">
        <f>INT((G164*Valores!$C$2*100)+0.5)/100</f>
        <v>14252.47</v>
      </c>
      <c r="I164" s="156">
        <v>0</v>
      </c>
      <c r="J164" s="140">
        <f>INT((I164*Valores!$C$2*100)+0.5)/100</f>
        <v>0</v>
      </c>
      <c r="K164" s="155">
        <v>0</v>
      </c>
      <c r="L164" s="140">
        <f>INT((K164*Valores!$C$2*100)+0.5)/100</f>
        <v>0</v>
      </c>
      <c r="M164" s="153">
        <v>0</v>
      </c>
      <c r="N164" s="140">
        <f>INT((M164*Valores!$C$2*100)+0.5)/100</f>
        <v>0</v>
      </c>
      <c r="O164" s="140">
        <f t="shared" si="26"/>
        <v>3392.7389999999996</v>
      </c>
      <c r="P164" s="140">
        <f t="shared" si="27"/>
        <v>0</v>
      </c>
      <c r="Q164" s="154">
        <f>Valores!$C$21</f>
        <v>11564.28</v>
      </c>
      <c r="R164" s="154">
        <f>Valores!$D$4</f>
        <v>6841.19</v>
      </c>
      <c r="S164" s="143">
        <f>Valores!$C$29</f>
        <v>5680.65</v>
      </c>
      <c r="T164" s="143">
        <f>IF($H$5="NO",Valores!$C$43,Valores!$C$43/2)</f>
        <v>1999.98</v>
      </c>
      <c r="U164" s="154">
        <f>Valores!$C$25</f>
        <v>6365.81</v>
      </c>
      <c r="V164" s="140">
        <f t="shared" si="23"/>
        <v>6365.81</v>
      </c>
      <c r="W164" s="140">
        <v>0</v>
      </c>
      <c r="X164" s="140">
        <v>0</v>
      </c>
      <c r="Y164" s="144">
        <v>0</v>
      </c>
      <c r="Z164" s="140">
        <f>Y164*Valores!$C$2</f>
        <v>0</v>
      </c>
      <c r="AA164" s="140">
        <v>0</v>
      </c>
      <c r="AB164" s="143">
        <f>Valores!$C$90</f>
        <v>2575.39</v>
      </c>
      <c r="AC164" s="145">
        <f>Valores!$C$31</f>
        <v>279.8</v>
      </c>
      <c r="AD164" s="140">
        <f t="shared" si="29"/>
        <v>0</v>
      </c>
      <c r="AE164" s="140">
        <f>Valores!$C$32</f>
        <v>279.8</v>
      </c>
      <c r="AF164" s="144">
        <v>0</v>
      </c>
      <c r="AG164" s="140">
        <f>INT(((AF164*Valores!$C$2)*100)+0.5)/100</f>
        <v>0</v>
      </c>
      <c r="AH164" s="140">
        <f>IF($H$5="NO",Valores!$C$60,Valores!$C$60/2)</f>
        <v>569.14</v>
      </c>
      <c r="AI164" s="140">
        <f>IF($H$5="NO",Valores!$C$62,Valores!$C$62/2)</f>
        <v>162.61000000000001</v>
      </c>
      <c r="AJ164" s="146">
        <f t="shared" si="30"/>
        <v>53963.859000000011</v>
      </c>
      <c r="AK164" s="154">
        <f>Valores!$C$37</f>
        <v>1465.56</v>
      </c>
      <c r="AL164" s="143">
        <f>Valores!$C$85</f>
        <v>2275</v>
      </c>
      <c r="AM164" s="143"/>
      <c r="AN164" s="145">
        <f>IF($H$4="NO",0,Valores!$C$53)</f>
        <v>170.34</v>
      </c>
      <c r="AO164" s="147">
        <f t="shared" si="28"/>
        <v>3910.9</v>
      </c>
      <c r="AP164" s="148">
        <f>AJ164*Valores!$C$69</f>
        <v>-5936.0244900000016</v>
      </c>
      <c r="AQ164" s="149">
        <f>AJ164*-Valores!$C$70</f>
        <v>0</v>
      </c>
      <c r="AR164" s="142">
        <f>AJ164*Valores!$C$71</f>
        <v>-2428.3736550000003</v>
      </c>
      <c r="AS164" s="142">
        <f>Valores!$C$95</f>
        <v>-193.38</v>
      </c>
      <c r="AT164" s="142">
        <f>IF($H$6=0,Valores!$C$96,(Valores!$C$96+$H$6*(Valores!$C$96)))</f>
        <v>-178</v>
      </c>
      <c r="AU164" s="146">
        <f t="shared" si="31"/>
        <v>49138.980855000009</v>
      </c>
      <c r="AV164" s="199">
        <f t="shared" si="24"/>
        <v>-5936.0244900000016</v>
      </c>
      <c r="AW164" s="142">
        <f>AJ164*Valores!$C$72</f>
        <v>-1457.0241930000002</v>
      </c>
      <c r="AX164" s="142">
        <f>AJ164*Valores!$C$73</f>
        <v>-161.89157700000004</v>
      </c>
      <c r="AY164" s="146">
        <f t="shared" si="32"/>
        <v>50319.81874000001</v>
      </c>
      <c r="AZ164" s="150"/>
      <c r="BA164" s="150">
        <v>27</v>
      </c>
      <c r="BB164" s="135" t="s">
        <v>4</v>
      </c>
    </row>
    <row r="165" spans="1:54" s="114" customFormat="1" ht="11.25" customHeight="1" x14ac:dyDescent="0.15">
      <c r="A165" s="134">
        <v>163</v>
      </c>
      <c r="B165" s="134"/>
      <c r="C165" s="135" t="s">
        <v>437</v>
      </c>
      <c r="D165" s="135"/>
      <c r="E165" s="135">
        <f t="shared" si="25"/>
        <v>33</v>
      </c>
      <c r="F165" s="136" t="s">
        <v>439</v>
      </c>
      <c r="G165" s="137">
        <v>1065</v>
      </c>
      <c r="H165" s="138">
        <f>INT((G165*Valores!$C$2*100)+0.5)/100</f>
        <v>14252.47</v>
      </c>
      <c r="I165" s="156">
        <v>0</v>
      </c>
      <c r="J165" s="140">
        <f>INT((I165*Valores!$C$2*100)+0.5)/100</f>
        <v>0</v>
      </c>
      <c r="K165" s="155">
        <v>0</v>
      </c>
      <c r="L165" s="140">
        <f>INT((K165*Valores!$C$2*100)+0.5)/100</f>
        <v>0</v>
      </c>
      <c r="M165" s="153">
        <v>0</v>
      </c>
      <c r="N165" s="140">
        <f>INT((M165*Valores!$C$2*100)+0.5)/100</f>
        <v>0</v>
      </c>
      <c r="O165" s="140">
        <f t="shared" si="26"/>
        <v>3392.7389999999996</v>
      </c>
      <c r="P165" s="140">
        <f t="shared" si="27"/>
        <v>0</v>
      </c>
      <c r="Q165" s="154">
        <f>Valores!$C$21</f>
        <v>11564.28</v>
      </c>
      <c r="R165" s="154">
        <f>Valores!$D$4</f>
        <v>6841.19</v>
      </c>
      <c r="S165" s="143">
        <f>Valores!$C$29</f>
        <v>5680.65</v>
      </c>
      <c r="T165" s="143">
        <f>IF($H$5="NO",Valores!$C$43,Valores!$C$43/2)</f>
        <v>1999.98</v>
      </c>
      <c r="U165" s="140">
        <f>Valores!$C$25</f>
        <v>6365.81</v>
      </c>
      <c r="V165" s="140">
        <f t="shared" si="23"/>
        <v>6365.81</v>
      </c>
      <c r="W165" s="140">
        <v>0</v>
      </c>
      <c r="X165" s="140">
        <v>0</v>
      </c>
      <c r="Y165" s="144">
        <v>0</v>
      </c>
      <c r="Z165" s="140">
        <f>Y165*Valores!$C$2</f>
        <v>0</v>
      </c>
      <c r="AA165" s="140">
        <v>0</v>
      </c>
      <c r="AB165" s="143">
        <f>Valores!$C$90</f>
        <v>2575.39</v>
      </c>
      <c r="AC165" s="145">
        <f>Valores!$C$31</f>
        <v>279.8</v>
      </c>
      <c r="AD165" s="140">
        <f t="shared" si="29"/>
        <v>0</v>
      </c>
      <c r="AE165" s="140">
        <f>Valores!$C$32</f>
        <v>279.8</v>
      </c>
      <c r="AF165" s="144">
        <v>94</v>
      </c>
      <c r="AG165" s="140">
        <f>INT(((AF165*Valores!$C$2)*100)+0.5)/100</f>
        <v>1257.96</v>
      </c>
      <c r="AH165" s="140">
        <f>IF($H$5="NO",Valores!$C$60,Valores!$C$60/2)</f>
        <v>569.14</v>
      </c>
      <c r="AI165" s="140">
        <f>IF($H$5="NO",Valores!$C$62,Valores!$C$62/2)</f>
        <v>162.61000000000001</v>
      </c>
      <c r="AJ165" s="146">
        <f t="shared" si="30"/>
        <v>55221.81900000001</v>
      </c>
      <c r="AK165" s="154">
        <f>Valores!$C$37</f>
        <v>1465.56</v>
      </c>
      <c r="AL165" s="143">
        <f>Valores!$C$85</f>
        <v>2275</v>
      </c>
      <c r="AM165" s="143"/>
      <c r="AN165" s="145">
        <f>IF($H$4="NO",0,Valores!$C$53)</f>
        <v>170.34</v>
      </c>
      <c r="AO165" s="147">
        <f t="shared" si="28"/>
        <v>3910.9</v>
      </c>
      <c r="AP165" s="148">
        <f>AJ165*Valores!$C$69</f>
        <v>-6074.400090000001</v>
      </c>
      <c r="AQ165" s="149">
        <f>AJ165*-Valores!$C$70</f>
        <v>0</v>
      </c>
      <c r="AR165" s="142">
        <f>AJ165*Valores!$C$71</f>
        <v>-2484.9818550000005</v>
      </c>
      <c r="AS165" s="142">
        <f>Valores!$C$95</f>
        <v>-193.38</v>
      </c>
      <c r="AT165" s="142">
        <f>IF($H$6=0,Valores!$C$96,(Valores!$C$96+$H$6*(Valores!$C$96)))</f>
        <v>-178</v>
      </c>
      <c r="AU165" s="146">
        <f t="shared" si="31"/>
        <v>50201.957055000006</v>
      </c>
      <c r="AV165" s="199">
        <f t="shared" si="24"/>
        <v>-6074.400090000001</v>
      </c>
      <c r="AW165" s="142">
        <f>AJ165*Valores!$C$72</f>
        <v>-1490.9891130000003</v>
      </c>
      <c r="AX165" s="142">
        <f>AJ165*Valores!$C$73</f>
        <v>-165.66545700000003</v>
      </c>
      <c r="AY165" s="146">
        <f t="shared" si="32"/>
        <v>51401.66434000001</v>
      </c>
      <c r="AZ165" s="150"/>
      <c r="BA165" s="150">
        <v>27</v>
      </c>
      <c r="BB165" s="135" t="s">
        <v>4</v>
      </c>
    </row>
    <row r="166" spans="1:54" s="114" customFormat="1" ht="11.25" customHeight="1" x14ac:dyDescent="0.15">
      <c r="A166" s="134">
        <v>164</v>
      </c>
      <c r="B166" s="134"/>
      <c r="C166" s="135" t="s">
        <v>440</v>
      </c>
      <c r="D166" s="135"/>
      <c r="E166" s="135">
        <f t="shared" si="25"/>
        <v>30</v>
      </c>
      <c r="F166" s="136" t="s">
        <v>441</v>
      </c>
      <c r="G166" s="137">
        <v>98</v>
      </c>
      <c r="H166" s="138">
        <f>INT((G166*Valores!$C$2*100)+0.5)/100</f>
        <v>1311.49</v>
      </c>
      <c r="I166" s="156">
        <v>2686</v>
      </c>
      <c r="J166" s="140">
        <f>INT((I166*Valores!$C$2*100)+0.5)/100</f>
        <v>35945.660000000003</v>
      </c>
      <c r="K166" s="155">
        <v>0</v>
      </c>
      <c r="L166" s="140">
        <f>INT((K166*Valores!$C$2*100)+0.5)/100</f>
        <v>0</v>
      </c>
      <c r="M166" s="153">
        <v>0</v>
      </c>
      <c r="N166" s="140">
        <f>INT((M166*Valores!$C$2*100)+0.5)/100</f>
        <v>0</v>
      </c>
      <c r="O166" s="140">
        <f t="shared" si="26"/>
        <v>8449.4025000000001</v>
      </c>
      <c r="P166" s="140">
        <f t="shared" si="27"/>
        <v>0</v>
      </c>
      <c r="Q166" s="157">
        <f>Valores!$C$15</f>
        <v>13989.51</v>
      </c>
      <c r="R166" s="154">
        <f>Valores!$D$4</f>
        <v>6841.19</v>
      </c>
      <c r="S166" s="154">
        <f>Valores!$C$28</f>
        <v>6103.41</v>
      </c>
      <c r="T166" s="143">
        <f>IF($H$5="NO",Valores!$C$45,Valores!$C$45/2)</f>
        <v>3338.57</v>
      </c>
      <c r="U166" s="140">
        <f>Valores!$C$25</f>
        <v>6365.81</v>
      </c>
      <c r="V166" s="140">
        <f t="shared" si="23"/>
        <v>6365.81</v>
      </c>
      <c r="W166" s="140">
        <v>0</v>
      </c>
      <c r="X166" s="140">
        <v>0</v>
      </c>
      <c r="Y166" s="139">
        <v>700</v>
      </c>
      <c r="Z166" s="140">
        <f>Y166*Valores!$C$2</f>
        <v>9367.82</v>
      </c>
      <c r="AA166" s="154">
        <f>SUM(L166,J166,H166,T166)*Valores!$C$3</f>
        <v>6089.3580000000002</v>
      </c>
      <c r="AB166" s="143">
        <f>Valores!$C$92</f>
        <v>5150.78</v>
      </c>
      <c r="AC166" s="145">
        <f>Valores!$C$31</f>
        <v>279.8</v>
      </c>
      <c r="AD166" s="140">
        <f t="shared" si="29"/>
        <v>0</v>
      </c>
      <c r="AE166" s="140">
        <f>Valores!$C$32</f>
        <v>279.8</v>
      </c>
      <c r="AF166" s="144">
        <v>94</v>
      </c>
      <c r="AG166" s="140">
        <f>INT(((AF166*Valores!$C$2)*100)+0.5)/100</f>
        <v>1257.96</v>
      </c>
      <c r="AH166" s="140">
        <f>IF($H$5="NO",Valores!$C$60,Valores!$C$60/2)</f>
        <v>569.14</v>
      </c>
      <c r="AI166" s="140">
        <f>IF($H$5="NO",Valores!$C$62,Valores!$C$62/2)</f>
        <v>162.61000000000001</v>
      </c>
      <c r="AJ166" s="146">
        <f t="shared" si="30"/>
        <v>105502.31050000004</v>
      </c>
      <c r="AK166" s="154">
        <f>Valores!$C$37</f>
        <v>1465.56</v>
      </c>
      <c r="AL166" s="143">
        <f>Valores!$C$87</f>
        <v>4550</v>
      </c>
      <c r="AM166" s="143"/>
      <c r="AN166" s="145">
        <f>IF($H$4="NO",0,224.5)</f>
        <v>224.5</v>
      </c>
      <c r="AO166" s="147">
        <f t="shared" si="28"/>
        <v>6240.0599999999995</v>
      </c>
      <c r="AP166" s="148">
        <f>AJ166*Valores!$C$69</f>
        <v>-11605.254155000004</v>
      </c>
      <c r="AQ166" s="149">
        <f>AJ166*-Valores!$C$70</f>
        <v>0</v>
      </c>
      <c r="AR166" s="142">
        <f>AJ166*Valores!$C$71</f>
        <v>-4747.6039725000019</v>
      </c>
      <c r="AS166" s="142">
        <f>Valores!$C$95</f>
        <v>-193.38</v>
      </c>
      <c r="AT166" s="142">
        <f>IF($H$6=0,Valores!$C$96,(Valores!$C$96+$H$6*(Valores!$C$96)))</f>
        <v>-178</v>
      </c>
      <c r="AU166" s="146">
        <f t="shared" si="31"/>
        <v>95018.132372500026</v>
      </c>
      <c r="AV166" s="199">
        <f t="shared" si="24"/>
        <v>-11605.254155000004</v>
      </c>
      <c r="AW166" s="142">
        <f>AJ166*Valores!$C$72</f>
        <v>-2848.562383500001</v>
      </c>
      <c r="AX166" s="142">
        <f>AJ166*Valores!$C$73</f>
        <v>-316.50693150000012</v>
      </c>
      <c r="AY166" s="146">
        <f t="shared" si="32"/>
        <v>96972.047030000031</v>
      </c>
      <c r="AZ166" s="150"/>
      <c r="BA166" s="150">
        <v>45</v>
      </c>
      <c r="BB166" s="135" t="s">
        <v>4</v>
      </c>
    </row>
    <row r="167" spans="1:54" s="114" customFormat="1" ht="11.25" customHeight="1" x14ac:dyDescent="0.15">
      <c r="A167" s="152">
        <v>165</v>
      </c>
      <c r="B167" s="152" t="s">
        <v>139</v>
      </c>
      <c r="C167" s="135" t="s">
        <v>442</v>
      </c>
      <c r="D167" s="135"/>
      <c r="E167" s="135">
        <f t="shared" si="25"/>
        <v>30</v>
      </c>
      <c r="F167" s="136" t="s">
        <v>443</v>
      </c>
      <c r="G167" s="137">
        <v>93</v>
      </c>
      <c r="H167" s="138">
        <f>INT((G167*Valores!$C$2*100)+0.5)/100</f>
        <v>1244.58</v>
      </c>
      <c r="I167" s="139">
        <v>2547</v>
      </c>
      <c r="J167" s="140">
        <f>INT((I167*Valores!$C$2*100)+0.5)/100</f>
        <v>34085.480000000003</v>
      </c>
      <c r="K167" s="155">
        <v>0</v>
      </c>
      <c r="L167" s="140">
        <f>INT((K167*Valores!$C$2*100)+0.5)/100</f>
        <v>0</v>
      </c>
      <c r="M167" s="153">
        <v>0</v>
      </c>
      <c r="N167" s="140">
        <f>INT((M167*Valores!$C$2*100)+0.5)/100</f>
        <v>0</v>
      </c>
      <c r="O167" s="140">
        <f t="shared" si="26"/>
        <v>8160.3389999999999</v>
      </c>
      <c r="P167" s="140">
        <f t="shared" si="27"/>
        <v>0</v>
      </c>
      <c r="Q167" s="157">
        <f>Valores!$C$21</f>
        <v>11564.28</v>
      </c>
      <c r="R167" s="154">
        <f>Valores!$D$4</f>
        <v>6841.19</v>
      </c>
      <c r="S167" s="154">
        <f>Valores!$C$28</f>
        <v>6103.41</v>
      </c>
      <c r="T167" s="143">
        <f>IF($H$5="NO",Valores!$C$45,Valores!$C$45/2)</f>
        <v>3338.57</v>
      </c>
      <c r="U167" s="140">
        <f>Valores!$C$25</f>
        <v>6365.81</v>
      </c>
      <c r="V167" s="140">
        <f t="shared" si="23"/>
        <v>6365.81</v>
      </c>
      <c r="W167" s="140">
        <v>0</v>
      </c>
      <c r="X167" s="140">
        <v>0</v>
      </c>
      <c r="Y167" s="139">
        <v>700</v>
      </c>
      <c r="Z167" s="140">
        <f>Y167*Valores!$C$2</f>
        <v>9367.82</v>
      </c>
      <c r="AA167" s="154">
        <f>SUM(L167,J167,H167,T167)*Valores!$C$3</f>
        <v>5800.2945000000009</v>
      </c>
      <c r="AB167" s="143">
        <f>Valores!$C$92</f>
        <v>5150.78</v>
      </c>
      <c r="AC167" s="145">
        <f>Valores!$C$31</f>
        <v>279.8</v>
      </c>
      <c r="AD167" s="140">
        <f t="shared" si="29"/>
        <v>0</v>
      </c>
      <c r="AE167" s="140">
        <f>Valores!$C$32</f>
        <v>279.8</v>
      </c>
      <c r="AF167" s="144">
        <v>94</v>
      </c>
      <c r="AG167" s="140">
        <f>INT(((AF167*Valores!$C$2)*100)+0.5)/100</f>
        <v>1257.96</v>
      </c>
      <c r="AH167" s="140">
        <f>IF($H$5="NO",Valores!$C$60,Valores!$C$60/2)</f>
        <v>569.14</v>
      </c>
      <c r="AI167" s="140">
        <f>IF($H$5="NO",Valores!$C$62,Valores!$C$62/2)</f>
        <v>162.61000000000001</v>
      </c>
      <c r="AJ167" s="146">
        <f t="shared" si="30"/>
        <v>100571.86350000004</v>
      </c>
      <c r="AK167" s="154">
        <f>Valores!$C$37</f>
        <v>1465.56</v>
      </c>
      <c r="AL167" s="143">
        <f>Valores!$C$87</f>
        <v>4550</v>
      </c>
      <c r="AM167" s="143"/>
      <c r="AN167" s="145">
        <f>IF($H$4="NO",0,224.5)</f>
        <v>224.5</v>
      </c>
      <c r="AO167" s="147">
        <f t="shared" si="28"/>
        <v>6240.0599999999995</v>
      </c>
      <c r="AP167" s="148">
        <f>AJ167*Valores!$C$69</f>
        <v>-11062.904985000005</v>
      </c>
      <c r="AQ167" s="149">
        <f>AJ167*-Valores!$C$70</f>
        <v>0</v>
      </c>
      <c r="AR167" s="142">
        <f>AJ167*Valores!$C$71</f>
        <v>-4525.7338575000012</v>
      </c>
      <c r="AS167" s="142">
        <f>Valores!$C$95</f>
        <v>-193.38</v>
      </c>
      <c r="AT167" s="142">
        <f>IF($H$6=0,Valores!$C$96,(Valores!$C$96+$H$6*(Valores!$C$96)))</f>
        <v>-178</v>
      </c>
      <c r="AU167" s="146">
        <f t="shared" si="31"/>
        <v>90851.904657500025</v>
      </c>
      <c r="AV167" s="199">
        <f t="shared" si="24"/>
        <v>-11062.904985000005</v>
      </c>
      <c r="AW167" s="142">
        <f>AJ167*Valores!$C$72</f>
        <v>-2715.440314500001</v>
      </c>
      <c r="AX167" s="142">
        <f>AJ167*Valores!$C$73</f>
        <v>-301.71559050000013</v>
      </c>
      <c r="AY167" s="146">
        <f t="shared" si="32"/>
        <v>92731.862610000026</v>
      </c>
      <c r="AZ167" s="150"/>
      <c r="BA167" s="150">
        <v>45</v>
      </c>
      <c r="BB167" s="135" t="s">
        <v>4</v>
      </c>
    </row>
    <row r="168" spans="1:54" s="114" customFormat="1" ht="11.25" customHeight="1" x14ac:dyDescent="0.15">
      <c r="A168" s="134">
        <v>166</v>
      </c>
      <c r="B168" s="134"/>
      <c r="C168" s="135" t="s">
        <v>444</v>
      </c>
      <c r="D168" s="135"/>
      <c r="E168" s="135">
        <f t="shared" si="25"/>
        <v>30</v>
      </c>
      <c r="F168" s="136" t="s">
        <v>445</v>
      </c>
      <c r="G168" s="137">
        <v>89</v>
      </c>
      <c r="H168" s="138">
        <f>INT((G168*Valores!$C$2*100)+0.5)/100</f>
        <v>1191.05</v>
      </c>
      <c r="I168" s="156">
        <v>2251</v>
      </c>
      <c r="J168" s="140">
        <f>INT((I168*Valores!$C$2*100)+0.5)/100</f>
        <v>30124.23</v>
      </c>
      <c r="K168" s="155">
        <v>0</v>
      </c>
      <c r="L168" s="140">
        <f>INT((K168*Valores!$C$2*100)+0.5)/100</f>
        <v>0</v>
      </c>
      <c r="M168" s="153">
        <v>0</v>
      </c>
      <c r="N168" s="140">
        <f>INT((M168*Valores!$C$2*100)+0.5)/100</f>
        <v>0</v>
      </c>
      <c r="O168" s="140">
        <f t="shared" si="26"/>
        <v>7558.1219999999994</v>
      </c>
      <c r="P168" s="140">
        <f t="shared" si="27"/>
        <v>0</v>
      </c>
      <c r="Q168" s="157">
        <f>Valores!$C$21</f>
        <v>11564.28</v>
      </c>
      <c r="R168" s="154">
        <f>Valores!$D$4</f>
        <v>6841.19</v>
      </c>
      <c r="S168" s="154">
        <f>Valores!$C$28</f>
        <v>6103.41</v>
      </c>
      <c r="T168" s="143">
        <f>IF($H$5="NO",Valores!$C$45,Valores!$C$45/2)</f>
        <v>3338.57</v>
      </c>
      <c r="U168" s="140">
        <f>Valores!$C$25</f>
        <v>6365.81</v>
      </c>
      <c r="V168" s="140">
        <f t="shared" si="23"/>
        <v>6365.81</v>
      </c>
      <c r="W168" s="140">
        <v>0</v>
      </c>
      <c r="X168" s="140">
        <v>0</v>
      </c>
      <c r="Y168" s="139">
        <v>700</v>
      </c>
      <c r="Z168" s="140">
        <f>Y168*Valores!$C$2</f>
        <v>9367.82</v>
      </c>
      <c r="AA168" s="154">
        <f>SUM(L168,J168,H168,T168)*Valores!$C$3</f>
        <v>5198.0774999999994</v>
      </c>
      <c r="AB168" s="143">
        <f>Valores!$C$92</f>
        <v>5150.78</v>
      </c>
      <c r="AC168" s="145">
        <f>Valores!$C$31</f>
        <v>279.8</v>
      </c>
      <c r="AD168" s="140">
        <f t="shared" si="29"/>
        <v>0</v>
      </c>
      <c r="AE168" s="140">
        <f>Valores!$C$32</f>
        <v>279.8</v>
      </c>
      <c r="AF168" s="144">
        <v>94</v>
      </c>
      <c r="AG168" s="140">
        <f>INT(((AF168*Valores!$C$2)*100)+0.5)/100</f>
        <v>1257.96</v>
      </c>
      <c r="AH168" s="140">
        <f>IF($H$5="NO",Valores!$C$60,Valores!$C$60/2)</f>
        <v>569.14</v>
      </c>
      <c r="AI168" s="140">
        <f>IF($H$5="NO",Valores!$C$62,Valores!$C$62/2)</f>
        <v>162.61000000000001</v>
      </c>
      <c r="AJ168" s="146">
        <f t="shared" si="30"/>
        <v>95352.649500000029</v>
      </c>
      <c r="AK168" s="154">
        <f>Valores!$C$37</f>
        <v>1465.56</v>
      </c>
      <c r="AL168" s="143">
        <f>Valores!$C$87</f>
        <v>4550</v>
      </c>
      <c r="AM168" s="143"/>
      <c r="AN168" s="145">
        <f>IF($H$4="NO",0,224.5)</f>
        <v>224.5</v>
      </c>
      <c r="AO168" s="147">
        <f t="shared" si="28"/>
        <v>6240.0599999999995</v>
      </c>
      <c r="AP168" s="148">
        <f>AJ168*Valores!$C$69</f>
        <v>-10488.791445000003</v>
      </c>
      <c r="AQ168" s="149">
        <f>AJ168*-Valores!$C$70</f>
        <v>0</v>
      </c>
      <c r="AR168" s="142">
        <f>AJ168*Valores!$C$71</f>
        <v>-4290.8692275000012</v>
      </c>
      <c r="AS168" s="142">
        <f>Valores!$C$95</f>
        <v>-193.38</v>
      </c>
      <c r="AT168" s="142">
        <f>IF($H$6=0,Valores!$C$96,(Valores!$C$96+$H$6*(Valores!$C$96)))</f>
        <v>-178</v>
      </c>
      <c r="AU168" s="146">
        <f t="shared" si="31"/>
        <v>86441.66882750002</v>
      </c>
      <c r="AV168" s="199">
        <f t="shared" si="24"/>
        <v>-10488.791445000003</v>
      </c>
      <c r="AW168" s="142">
        <f>AJ168*Valores!$C$72</f>
        <v>-2574.5215365000008</v>
      </c>
      <c r="AX168" s="142">
        <f>AJ168*Valores!$C$73</f>
        <v>-286.05794850000007</v>
      </c>
      <c r="AY168" s="146">
        <f t="shared" si="32"/>
        <v>88243.338570000022</v>
      </c>
      <c r="AZ168" s="150"/>
      <c r="BA168" s="150">
        <v>45</v>
      </c>
      <c r="BB168" s="135" t="s">
        <v>4</v>
      </c>
    </row>
    <row r="169" spans="1:54" s="114" customFormat="1" ht="11.25" customHeight="1" x14ac:dyDescent="0.15">
      <c r="A169" s="134">
        <v>167</v>
      </c>
      <c r="B169" s="134"/>
      <c r="C169" s="135" t="s">
        <v>446</v>
      </c>
      <c r="D169" s="135"/>
      <c r="E169" s="135">
        <f t="shared" si="25"/>
        <v>31</v>
      </c>
      <c r="F169" s="136" t="s">
        <v>447</v>
      </c>
      <c r="G169" s="137">
        <v>83</v>
      </c>
      <c r="H169" s="138">
        <f>INT((G169*Valores!$C$2*100)+0.5)/100</f>
        <v>1110.76</v>
      </c>
      <c r="I169" s="156">
        <v>2352</v>
      </c>
      <c r="J169" s="140">
        <f>INT((I169*Valores!$C$2*100)+0.5)/100</f>
        <v>31475.88</v>
      </c>
      <c r="K169" s="155">
        <v>0</v>
      </c>
      <c r="L169" s="140">
        <f>INT((K169*Valores!$C$2*100)+0.5)/100</f>
        <v>0</v>
      </c>
      <c r="M169" s="153">
        <v>0</v>
      </c>
      <c r="N169" s="140">
        <f>INT((M169*Valores!$C$2*100)+0.5)/100</f>
        <v>0</v>
      </c>
      <c r="O169" s="140">
        <f t="shared" si="26"/>
        <v>7748.8259999999991</v>
      </c>
      <c r="P169" s="140">
        <f t="shared" si="27"/>
        <v>0</v>
      </c>
      <c r="Q169" s="154">
        <f>Valores!$C$21</f>
        <v>11564.28</v>
      </c>
      <c r="R169" s="154">
        <f>Valores!$D$4</f>
        <v>6841.19</v>
      </c>
      <c r="S169" s="140">
        <v>0</v>
      </c>
      <c r="T169" s="143">
        <f>IF($H$5="NO",Valores!$C$45,Valores!$C$45/2)</f>
        <v>3338.57</v>
      </c>
      <c r="U169" s="140">
        <f>Valores!$C$25</f>
        <v>6365.81</v>
      </c>
      <c r="V169" s="140">
        <f t="shared" si="23"/>
        <v>6365.81</v>
      </c>
      <c r="W169" s="140">
        <v>0</v>
      </c>
      <c r="X169" s="140">
        <v>0</v>
      </c>
      <c r="Y169" s="139">
        <v>700</v>
      </c>
      <c r="Z169" s="140">
        <f>Y169*Valores!$C$2</f>
        <v>9367.82</v>
      </c>
      <c r="AA169" s="154">
        <f>SUM(L169,J169,H169,T169)*Valores!$C$3</f>
        <v>5388.7815000000001</v>
      </c>
      <c r="AB169" s="143">
        <f>Valores!$C$92</f>
        <v>5150.78</v>
      </c>
      <c r="AC169" s="145">
        <f>Valores!$C$31</f>
        <v>279.8</v>
      </c>
      <c r="AD169" s="140">
        <f t="shared" si="29"/>
        <v>0</v>
      </c>
      <c r="AE169" s="140">
        <f>Valores!$C$32</f>
        <v>279.8</v>
      </c>
      <c r="AF169" s="144">
        <v>94</v>
      </c>
      <c r="AG169" s="140">
        <f>INT(((AF169*Valores!$C$2)*100)+0.5)/100</f>
        <v>1257.96</v>
      </c>
      <c r="AH169" s="140">
        <f>IF($H$5="NO",Valores!$C$60,Valores!$C$60/2)</f>
        <v>569.14</v>
      </c>
      <c r="AI169" s="140">
        <f>IF($H$5="NO",Valores!$C$62,Valores!$C$62/2)</f>
        <v>162.61000000000001</v>
      </c>
      <c r="AJ169" s="146">
        <f t="shared" si="30"/>
        <v>90902.007500000007</v>
      </c>
      <c r="AK169" s="154">
        <f>Valores!$C$37</f>
        <v>1465.56</v>
      </c>
      <c r="AL169" s="143">
        <f>Valores!$C$87</f>
        <v>4550</v>
      </c>
      <c r="AM169" s="143"/>
      <c r="AN169" s="145">
        <v>0</v>
      </c>
      <c r="AO169" s="147">
        <f t="shared" si="28"/>
        <v>6015.5599999999995</v>
      </c>
      <c r="AP169" s="148">
        <f>AJ169*Valores!$C$69</f>
        <v>-9999.2208250000003</v>
      </c>
      <c r="AQ169" s="149">
        <f>AJ169*-Valores!$C$70</f>
        <v>0</v>
      </c>
      <c r="AR169" s="142">
        <f>AJ169*Valores!$C$71</f>
        <v>-4090.5903375000003</v>
      </c>
      <c r="AS169" s="142">
        <f>Valores!$C$95</f>
        <v>-193.38</v>
      </c>
      <c r="AT169" s="142">
        <f>IF($H$6=0,Valores!$C$96,(Valores!$C$96+$H$6*(Valores!$C$96)))</f>
        <v>-178</v>
      </c>
      <c r="AU169" s="146">
        <f t="shared" si="31"/>
        <v>82456.376337500013</v>
      </c>
      <c r="AV169" s="199">
        <f t="shared" si="24"/>
        <v>-9999.2208250000003</v>
      </c>
      <c r="AW169" s="142">
        <f>AJ169*Valores!$C$72</f>
        <v>-2454.3542025000002</v>
      </c>
      <c r="AX169" s="142">
        <f>AJ169*Valores!$C$73</f>
        <v>-272.70602250000002</v>
      </c>
      <c r="AY169" s="146">
        <f t="shared" si="32"/>
        <v>84191.28645</v>
      </c>
      <c r="AZ169" s="150"/>
      <c r="BA169" s="150">
        <v>45</v>
      </c>
      <c r="BB169" s="135" t="s">
        <v>8</v>
      </c>
    </row>
    <row r="170" spans="1:54" s="114" customFormat="1" ht="11.25" customHeight="1" x14ac:dyDescent="0.15">
      <c r="A170" s="134">
        <v>168</v>
      </c>
      <c r="B170" s="134"/>
      <c r="C170" s="135" t="s">
        <v>448</v>
      </c>
      <c r="D170" s="135"/>
      <c r="E170" s="135">
        <f t="shared" si="25"/>
        <v>31</v>
      </c>
      <c r="F170" s="136" t="s">
        <v>449</v>
      </c>
      <c r="G170" s="137">
        <v>83</v>
      </c>
      <c r="H170" s="138">
        <f>INT((G170*Valores!$C$2*100)+0.5)/100</f>
        <v>1110.76</v>
      </c>
      <c r="I170" s="156">
        <v>2092</v>
      </c>
      <c r="J170" s="140">
        <f>INT((I170*Valores!$C$2*100)+0.5)/100</f>
        <v>27996.400000000001</v>
      </c>
      <c r="K170" s="155">
        <v>0</v>
      </c>
      <c r="L170" s="140">
        <f>INT((K170*Valores!$C$2*100)+0.5)/100</f>
        <v>0</v>
      </c>
      <c r="M170" s="153">
        <v>0</v>
      </c>
      <c r="N170" s="140">
        <f>INT((M170*Valores!$C$2*100)+0.5)/100</f>
        <v>0</v>
      </c>
      <c r="O170" s="140">
        <f t="shared" si="26"/>
        <v>7226.9039999999986</v>
      </c>
      <c r="P170" s="140">
        <f t="shared" si="27"/>
        <v>0</v>
      </c>
      <c r="Q170" s="154">
        <f>Valores!$C$21</f>
        <v>11564.28</v>
      </c>
      <c r="R170" s="154">
        <f>Valores!$D$4</f>
        <v>6841.19</v>
      </c>
      <c r="S170" s="140">
        <v>0</v>
      </c>
      <c r="T170" s="143">
        <f>IF($H$5="NO",Valores!$C$45,Valores!$C$45/2)</f>
        <v>3338.57</v>
      </c>
      <c r="U170" s="140">
        <f>Valores!$C$25</f>
        <v>6365.81</v>
      </c>
      <c r="V170" s="140">
        <f t="shared" si="23"/>
        <v>6365.81</v>
      </c>
      <c r="W170" s="140">
        <v>0</v>
      </c>
      <c r="X170" s="140">
        <v>0</v>
      </c>
      <c r="Y170" s="139">
        <v>700</v>
      </c>
      <c r="Z170" s="140">
        <f>Y170*Valores!$C$2</f>
        <v>9367.82</v>
      </c>
      <c r="AA170" s="154">
        <f>SUM(L170,J170,H170,T170)*Valores!$C$3</f>
        <v>4866.8594999999996</v>
      </c>
      <c r="AB170" s="143">
        <f>Valores!$C$92</f>
        <v>5150.78</v>
      </c>
      <c r="AC170" s="145">
        <f>Valores!$C$31</f>
        <v>279.8</v>
      </c>
      <c r="AD170" s="140">
        <f t="shared" si="29"/>
        <v>0</v>
      </c>
      <c r="AE170" s="140">
        <f>Valores!$C$32</f>
        <v>279.8</v>
      </c>
      <c r="AF170" s="144">
        <v>94</v>
      </c>
      <c r="AG170" s="140">
        <f>INT(((AF170*Valores!$C$2)*100)+0.5)/100</f>
        <v>1257.96</v>
      </c>
      <c r="AH170" s="140">
        <f>IF($H$5="NO",Valores!$C$60,Valores!$C$60/2)</f>
        <v>569.14</v>
      </c>
      <c r="AI170" s="140">
        <f>IF($H$5="NO",Valores!$C$62,Valores!$C$62/2)</f>
        <v>162.61000000000001</v>
      </c>
      <c r="AJ170" s="146">
        <f t="shared" si="30"/>
        <v>86378.683500000014</v>
      </c>
      <c r="AK170" s="154">
        <f>Valores!$C$37</f>
        <v>1465.56</v>
      </c>
      <c r="AL170" s="143">
        <f>Valores!$C$87</f>
        <v>4550</v>
      </c>
      <c r="AM170" s="143"/>
      <c r="AN170" s="145">
        <v>0</v>
      </c>
      <c r="AO170" s="147">
        <f t="shared" si="28"/>
        <v>6015.5599999999995</v>
      </c>
      <c r="AP170" s="148">
        <f>AJ170*Valores!$C$69</f>
        <v>-9501.6551850000014</v>
      </c>
      <c r="AQ170" s="149">
        <f>AJ170*-Valores!$C$70</f>
        <v>0</v>
      </c>
      <c r="AR170" s="142">
        <f>AJ170*Valores!$C$71</f>
        <v>-3887.0407575000004</v>
      </c>
      <c r="AS170" s="142">
        <f>Valores!$C$95</f>
        <v>-193.38</v>
      </c>
      <c r="AT170" s="142">
        <f>IF($H$6=0,Valores!$C$96,(Valores!$C$96+$H$6*(Valores!$C$96)))</f>
        <v>-178</v>
      </c>
      <c r="AU170" s="146">
        <f t="shared" si="31"/>
        <v>78634.167557500012</v>
      </c>
      <c r="AV170" s="199">
        <f t="shared" si="24"/>
        <v>-9501.6551850000014</v>
      </c>
      <c r="AW170" s="142">
        <f>AJ170*Valores!$C$72</f>
        <v>-2332.2244545000003</v>
      </c>
      <c r="AX170" s="142">
        <f>AJ170*Valores!$C$73</f>
        <v>-259.13605050000007</v>
      </c>
      <c r="AY170" s="146">
        <f t="shared" si="32"/>
        <v>80301.227810000011</v>
      </c>
      <c r="AZ170" s="150"/>
      <c r="BA170" s="150">
        <v>45</v>
      </c>
      <c r="BB170" s="135" t="s">
        <v>8</v>
      </c>
    </row>
    <row r="171" spans="1:54" s="114" customFormat="1" ht="11.25" customHeight="1" x14ac:dyDescent="0.15">
      <c r="A171" s="134">
        <v>169</v>
      </c>
      <c r="B171" s="134"/>
      <c r="C171" s="135" t="s">
        <v>450</v>
      </c>
      <c r="D171" s="135"/>
      <c r="E171" s="135">
        <f t="shared" si="25"/>
        <v>31</v>
      </c>
      <c r="F171" s="136" t="s">
        <v>451</v>
      </c>
      <c r="G171" s="137">
        <v>82</v>
      </c>
      <c r="H171" s="138">
        <f>INT((G171*Valores!$C$2*100)+0.5)/100</f>
        <v>1097.3699999999999</v>
      </c>
      <c r="I171" s="156">
        <v>1941</v>
      </c>
      <c r="J171" s="140">
        <f>INT((I171*Valores!$C$2*100)+0.5)/100</f>
        <v>25975.63</v>
      </c>
      <c r="K171" s="155">
        <v>0</v>
      </c>
      <c r="L171" s="140">
        <f>INT((K171*Valores!$C$2*100)+0.5)/100</f>
        <v>0</v>
      </c>
      <c r="M171" s="153">
        <v>0</v>
      </c>
      <c r="N171" s="140">
        <f>INT((M171*Valores!$C$2*100)+0.5)/100</f>
        <v>0</v>
      </c>
      <c r="O171" s="140">
        <f t="shared" si="26"/>
        <v>6921.78</v>
      </c>
      <c r="P171" s="140">
        <f t="shared" si="27"/>
        <v>0</v>
      </c>
      <c r="Q171" s="154">
        <f>Valores!$C$21</f>
        <v>11564.28</v>
      </c>
      <c r="R171" s="154">
        <f>Valores!$D$4</f>
        <v>6841.19</v>
      </c>
      <c r="S171" s="140">
        <v>0</v>
      </c>
      <c r="T171" s="143">
        <f>IF($H$5="NO",Valores!$C$45,Valores!$C$45/2)</f>
        <v>3338.57</v>
      </c>
      <c r="U171" s="140">
        <f>Valores!$C$25</f>
        <v>6365.81</v>
      </c>
      <c r="V171" s="140">
        <f t="shared" si="23"/>
        <v>6365.81</v>
      </c>
      <c r="W171" s="140">
        <v>0</v>
      </c>
      <c r="X171" s="140">
        <v>0</v>
      </c>
      <c r="Y171" s="139">
        <v>700</v>
      </c>
      <c r="Z171" s="140">
        <f>Y171*Valores!$C$2</f>
        <v>9367.82</v>
      </c>
      <c r="AA171" s="154">
        <f>SUM(L171,J171,H171,T171)*Valores!$C$3</f>
        <v>4561.7354999999998</v>
      </c>
      <c r="AB171" s="143">
        <f>Valores!$C$92</f>
        <v>5150.78</v>
      </c>
      <c r="AC171" s="145">
        <f>Valores!$C$31</f>
        <v>279.8</v>
      </c>
      <c r="AD171" s="140">
        <f t="shared" si="29"/>
        <v>0</v>
      </c>
      <c r="AE171" s="140">
        <f>Valores!$C$32</f>
        <v>279.8</v>
      </c>
      <c r="AF171" s="144">
        <v>94</v>
      </c>
      <c r="AG171" s="140">
        <f>INT(((AF171*Valores!$C$2)*100)+0.5)/100</f>
        <v>1257.96</v>
      </c>
      <c r="AH171" s="140">
        <f>IF($H$5="NO",Valores!$C$60,Valores!$C$60/2)</f>
        <v>569.14</v>
      </c>
      <c r="AI171" s="140">
        <f>IF($H$5="NO",Valores!$C$62,Valores!$C$62/2)</f>
        <v>162.61000000000001</v>
      </c>
      <c r="AJ171" s="146">
        <f t="shared" si="30"/>
        <v>83734.275500000018</v>
      </c>
      <c r="AK171" s="154">
        <f>Valores!$C$37</f>
        <v>1465.56</v>
      </c>
      <c r="AL171" s="143">
        <f>Valores!$C$87</f>
        <v>4550</v>
      </c>
      <c r="AM171" s="143"/>
      <c r="AN171" s="145">
        <v>0</v>
      </c>
      <c r="AO171" s="147">
        <f t="shared" si="28"/>
        <v>6015.5599999999995</v>
      </c>
      <c r="AP171" s="148">
        <f>AJ171*Valores!$C$69</f>
        <v>-9210.7703050000018</v>
      </c>
      <c r="AQ171" s="149">
        <f>AJ171*-Valores!$C$70</f>
        <v>0</v>
      </c>
      <c r="AR171" s="142">
        <f>AJ171*Valores!$C$71</f>
        <v>-3768.0423975000008</v>
      </c>
      <c r="AS171" s="142">
        <f>Valores!$C$95</f>
        <v>-193.38</v>
      </c>
      <c r="AT171" s="142">
        <f>IF($H$6=0,Valores!$C$96,(Valores!$C$96+$H$6*(Valores!$C$96)))</f>
        <v>-178</v>
      </c>
      <c r="AU171" s="146">
        <f t="shared" si="31"/>
        <v>76399.642797500012</v>
      </c>
      <c r="AV171" s="199">
        <f t="shared" si="24"/>
        <v>-9210.7703050000018</v>
      </c>
      <c r="AW171" s="142">
        <f>AJ171*Valores!$C$72</f>
        <v>-2260.8254385000005</v>
      </c>
      <c r="AX171" s="142">
        <f>AJ171*Valores!$C$73</f>
        <v>-251.20282650000007</v>
      </c>
      <c r="AY171" s="146">
        <f t="shared" si="32"/>
        <v>78027.036930000017</v>
      </c>
      <c r="AZ171" s="150"/>
      <c r="BA171" s="150">
        <v>45</v>
      </c>
      <c r="BB171" s="135" t="s">
        <v>8</v>
      </c>
    </row>
    <row r="172" spans="1:54" s="114" customFormat="1" ht="11.25" customHeight="1" x14ac:dyDescent="0.15">
      <c r="A172" s="152">
        <v>170</v>
      </c>
      <c r="B172" s="152" t="s">
        <v>139</v>
      </c>
      <c r="C172" s="135" t="s">
        <v>452</v>
      </c>
      <c r="D172" s="135"/>
      <c r="E172" s="135">
        <f t="shared" si="25"/>
        <v>30</v>
      </c>
      <c r="F172" s="136" t="s">
        <v>453</v>
      </c>
      <c r="G172" s="137">
        <v>79</v>
      </c>
      <c r="H172" s="138">
        <f>INT((G172*Valores!$C$2*100)+0.5)/100</f>
        <v>1057.23</v>
      </c>
      <c r="I172" s="156">
        <v>2161</v>
      </c>
      <c r="J172" s="140">
        <f>INT((I172*Valores!$C$2*100)+0.5)/100</f>
        <v>28919.8</v>
      </c>
      <c r="K172" s="155">
        <v>0</v>
      </c>
      <c r="L172" s="140">
        <f>INT((K172*Valores!$C$2*100)+0.5)/100</f>
        <v>0</v>
      </c>
      <c r="M172" s="153">
        <v>0</v>
      </c>
      <c r="N172" s="140">
        <f>INT((M172*Valores!$C$2*100)+0.5)/100</f>
        <v>0</v>
      </c>
      <c r="O172" s="140">
        <f t="shared" si="26"/>
        <v>7357.3844999999992</v>
      </c>
      <c r="P172" s="140">
        <f t="shared" si="27"/>
        <v>0</v>
      </c>
      <c r="Q172" s="154">
        <f>Valores!$C$21</f>
        <v>11564.28</v>
      </c>
      <c r="R172" s="154">
        <f>Valores!$D$4</f>
        <v>6841.19</v>
      </c>
      <c r="S172" s="140">
        <v>0</v>
      </c>
      <c r="T172" s="143">
        <f>IF($H$5="NO",Valores!$C$45,Valores!$C$45/2)</f>
        <v>3338.57</v>
      </c>
      <c r="U172" s="140">
        <f>Valores!$C$25</f>
        <v>6365.81</v>
      </c>
      <c r="V172" s="140">
        <f t="shared" si="23"/>
        <v>6365.81</v>
      </c>
      <c r="W172" s="140">
        <v>0</v>
      </c>
      <c r="X172" s="140">
        <v>0</v>
      </c>
      <c r="Y172" s="139">
        <v>700</v>
      </c>
      <c r="Z172" s="140">
        <f>Y172*Valores!$C$2</f>
        <v>9367.82</v>
      </c>
      <c r="AA172" s="154">
        <f>SUM(L172,J172,H172,T172)*Valores!$C$3</f>
        <v>4997.3399999999992</v>
      </c>
      <c r="AB172" s="143">
        <f>Valores!$C$92</f>
        <v>5150.78</v>
      </c>
      <c r="AC172" s="145">
        <f>Valores!$C$31</f>
        <v>279.8</v>
      </c>
      <c r="AD172" s="140">
        <f t="shared" si="29"/>
        <v>0</v>
      </c>
      <c r="AE172" s="140">
        <f>Valores!$C$32</f>
        <v>279.8</v>
      </c>
      <c r="AF172" s="144">
        <v>94</v>
      </c>
      <c r="AG172" s="140">
        <f>INT(((AF172*Valores!$C$2)*100)+0.5)/100</f>
        <v>1257.96</v>
      </c>
      <c r="AH172" s="140">
        <f>IF($H$5="NO",Valores!$C$60,Valores!$C$60/2)</f>
        <v>569.14</v>
      </c>
      <c r="AI172" s="140">
        <f>IF($H$5="NO",Valores!$C$62,Valores!$C$62/2)</f>
        <v>162.61000000000001</v>
      </c>
      <c r="AJ172" s="146">
        <f t="shared" si="30"/>
        <v>87509.514500000005</v>
      </c>
      <c r="AK172" s="154">
        <f>Valores!$C$37</f>
        <v>1465.56</v>
      </c>
      <c r="AL172" s="143">
        <f>Valores!$C$87</f>
        <v>4550</v>
      </c>
      <c r="AM172" s="143"/>
      <c r="AN172" s="145">
        <v>0</v>
      </c>
      <c r="AO172" s="147">
        <f t="shared" si="28"/>
        <v>6015.5599999999995</v>
      </c>
      <c r="AP172" s="148">
        <f>AJ172*Valores!$C$69</f>
        <v>-9626.0465949999998</v>
      </c>
      <c r="AQ172" s="149">
        <f>AJ172*-Valores!$C$70</f>
        <v>0</v>
      </c>
      <c r="AR172" s="142">
        <f>AJ172*Valores!$C$71</f>
        <v>-3937.9281525000001</v>
      </c>
      <c r="AS172" s="142">
        <f>Valores!$C$95</f>
        <v>-193.38</v>
      </c>
      <c r="AT172" s="142">
        <f>IF($H$6=0,Valores!$C$96,(Valores!$C$96+$H$6*(Valores!$C$96)))</f>
        <v>-178</v>
      </c>
      <c r="AU172" s="146">
        <f t="shared" si="31"/>
        <v>79589.719752500008</v>
      </c>
      <c r="AV172" s="199">
        <f t="shared" si="24"/>
        <v>-9626.0465949999998</v>
      </c>
      <c r="AW172" s="142">
        <f>AJ172*Valores!$C$72</f>
        <v>-2362.7568915000002</v>
      </c>
      <c r="AX172" s="142">
        <f>AJ172*Valores!$C$73</f>
        <v>-262.52854350000001</v>
      </c>
      <c r="AY172" s="146">
        <f t="shared" si="32"/>
        <v>81273.742469999997</v>
      </c>
      <c r="AZ172" s="150"/>
      <c r="BA172" s="150">
        <v>45</v>
      </c>
      <c r="BB172" s="135" t="s">
        <v>8</v>
      </c>
    </row>
    <row r="173" spans="1:54" s="114" customFormat="1" ht="11.25" customHeight="1" x14ac:dyDescent="0.15">
      <c r="A173" s="134">
        <v>171</v>
      </c>
      <c r="B173" s="134"/>
      <c r="C173" s="135" t="s">
        <v>454</v>
      </c>
      <c r="D173" s="135"/>
      <c r="E173" s="135">
        <f t="shared" si="25"/>
        <v>28</v>
      </c>
      <c r="F173" s="136" t="s">
        <v>455</v>
      </c>
      <c r="G173" s="137">
        <v>98</v>
      </c>
      <c r="H173" s="138">
        <f>INT((G173*Valores!$C$2*100)+0.5)/100</f>
        <v>1311.49</v>
      </c>
      <c r="I173" s="156">
        <v>2686</v>
      </c>
      <c r="J173" s="140">
        <f>INT((I173*Valores!$C$2*100)+0.5)/100</f>
        <v>35945.660000000003</v>
      </c>
      <c r="K173" s="155">
        <v>0</v>
      </c>
      <c r="L173" s="140">
        <f>INT((K173*Valores!$C$2*100)+0.5)/100</f>
        <v>0</v>
      </c>
      <c r="M173" s="153">
        <v>0</v>
      </c>
      <c r="N173" s="140">
        <f>INT((M173*Valores!$C$2*100)+0.5)/100</f>
        <v>0</v>
      </c>
      <c r="O173" s="140">
        <f t="shared" si="26"/>
        <v>8449.4025000000001</v>
      </c>
      <c r="P173" s="140">
        <f t="shared" si="27"/>
        <v>0</v>
      </c>
      <c r="Q173" s="140">
        <f>Valores!$C$21</f>
        <v>11564.28</v>
      </c>
      <c r="R173" s="154">
        <f>Valores!$D$4</f>
        <v>6841.19</v>
      </c>
      <c r="S173" s="140">
        <v>0</v>
      </c>
      <c r="T173" s="143">
        <f>IF($H$5="NO",Valores!$C$45,Valores!$C$45/2)</f>
        <v>3338.57</v>
      </c>
      <c r="U173" s="140">
        <f>Valores!$C$25</f>
        <v>6365.81</v>
      </c>
      <c r="V173" s="140">
        <f t="shared" si="23"/>
        <v>6365.81</v>
      </c>
      <c r="W173" s="140">
        <v>0</v>
      </c>
      <c r="X173" s="140">
        <v>0</v>
      </c>
      <c r="Y173" s="139">
        <v>700</v>
      </c>
      <c r="Z173" s="140">
        <f>Y173*Valores!$C$2</f>
        <v>9367.82</v>
      </c>
      <c r="AA173" s="154">
        <f>SUM(L173,J173,H173,T173)*Valores!$C$3</f>
        <v>6089.3580000000002</v>
      </c>
      <c r="AB173" s="143">
        <f>Valores!$C$92</f>
        <v>5150.78</v>
      </c>
      <c r="AC173" s="145">
        <f>Valores!$C$31</f>
        <v>279.8</v>
      </c>
      <c r="AD173" s="140">
        <f t="shared" si="29"/>
        <v>0</v>
      </c>
      <c r="AE173" s="140">
        <f>Valores!$C$32</f>
        <v>279.8</v>
      </c>
      <c r="AF173" s="144">
        <v>0</v>
      </c>
      <c r="AG173" s="140">
        <f>INT(((AF173*Valores!$C$2)*100)+0.5)/100</f>
        <v>0</v>
      </c>
      <c r="AH173" s="140">
        <f>IF($H$5="NO",Valores!$C$60,Valores!$C$60/2)</f>
        <v>569.14</v>
      </c>
      <c r="AI173" s="140">
        <f>IF($H$5="NO",Valores!$C$62,Valores!$C$62/2)</f>
        <v>162.61000000000001</v>
      </c>
      <c r="AJ173" s="146">
        <f t="shared" si="30"/>
        <v>95715.710500000016</v>
      </c>
      <c r="AK173" s="154">
        <f>Valores!$C$37</f>
        <v>1465.56</v>
      </c>
      <c r="AL173" s="143">
        <f>Valores!$C$87</f>
        <v>4550</v>
      </c>
      <c r="AM173" s="143"/>
      <c r="AN173" s="145">
        <v>0</v>
      </c>
      <c r="AO173" s="147">
        <f t="shared" si="28"/>
        <v>6015.5599999999995</v>
      </c>
      <c r="AP173" s="148">
        <f>AJ173*Valores!$C$69</f>
        <v>-10528.728155000003</v>
      </c>
      <c r="AQ173" s="149">
        <f>AJ173*-Valores!$C$70</f>
        <v>0</v>
      </c>
      <c r="AR173" s="142">
        <f>AJ173*Valores!$C$71</f>
        <v>-4307.2069725000001</v>
      </c>
      <c r="AS173" s="142">
        <f>Valores!$C$95</f>
        <v>-193.38</v>
      </c>
      <c r="AT173" s="142">
        <f>IF($H$6=0,Valores!$C$96,(Valores!$C$96+$H$6*(Valores!$C$96)))</f>
        <v>-178</v>
      </c>
      <c r="AU173" s="146">
        <f t="shared" si="31"/>
        <v>86523.955372500015</v>
      </c>
      <c r="AV173" s="199">
        <f t="shared" si="24"/>
        <v>-10528.728155000003</v>
      </c>
      <c r="AW173" s="142">
        <f>AJ173*Valores!$C$72</f>
        <v>-2584.3241835000003</v>
      </c>
      <c r="AX173" s="142">
        <f>AJ173*Valores!$C$73</f>
        <v>-287.14713150000006</v>
      </c>
      <c r="AY173" s="146">
        <f t="shared" si="32"/>
        <v>88331.071030000006</v>
      </c>
      <c r="AZ173" s="150"/>
      <c r="BA173" s="150"/>
      <c r="BB173" s="135" t="s">
        <v>8</v>
      </c>
    </row>
    <row r="174" spans="1:54" s="114" customFormat="1" ht="11.25" customHeight="1" x14ac:dyDescent="0.15">
      <c r="A174" s="134">
        <v>172</v>
      </c>
      <c r="B174" s="134"/>
      <c r="C174" s="135" t="s">
        <v>456</v>
      </c>
      <c r="D174" s="135"/>
      <c r="E174" s="135">
        <f t="shared" si="25"/>
        <v>28</v>
      </c>
      <c r="F174" s="136" t="s">
        <v>457</v>
      </c>
      <c r="G174" s="137">
        <v>93</v>
      </c>
      <c r="H174" s="138">
        <f>INT((G174*Valores!$C$2*100)+0.5)/100</f>
        <v>1244.58</v>
      </c>
      <c r="I174" s="156">
        <v>2547</v>
      </c>
      <c r="J174" s="140">
        <f>INT((I174*Valores!$C$2*100)+0.5)/100</f>
        <v>34085.480000000003</v>
      </c>
      <c r="K174" s="155">
        <v>0</v>
      </c>
      <c r="L174" s="140">
        <f>INT((K174*Valores!$C$2*100)+0.5)/100</f>
        <v>0</v>
      </c>
      <c r="M174" s="153">
        <v>0</v>
      </c>
      <c r="N174" s="140">
        <f>INT((M174*Valores!$C$2*100)+0.5)/100</f>
        <v>0</v>
      </c>
      <c r="O174" s="140">
        <f t="shared" si="26"/>
        <v>8160.3389999999999</v>
      </c>
      <c r="P174" s="140">
        <f t="shared" si="27"/>
        <v>0</v>
      </c>
      <c r="Q174" s="157">
        <f>Valores!$C$21</f>
        <v>11564.28</v>
      </c>
      <c r="R174" s="154">
        <f>Valores!$D$4</f>
        <v>6841.19</v>
      </c>
      <c r="S174" s="140">
        <v>0</v>
      </c>
      <c r="T174" s="143">
        <f>IF($H$5="NO",Valores!$C$45,Valores!$C$45/2)</f>
        <v>3338.57</v>
      </c>
      <c r="U174" s="140">
        <f>Valores!$C$25</f>
        <v>6365.81</v>
      </c>
      <c r="V174" s="140">
        <f t="shared" si="23"/>
        <v>6365.81</v>
      </c>
      <c r="W174" s="140">
        <v>0</v>
      </c>
      <c r="X174" s="140">
        <v>0</v>
      </c>
      <c r="Y174" s="139">
        <v>700</v>
      </c>
      <c r="Z174" s="140">
        <f>Y174*Valores!$C$2</f>
        <v>9367.82</v>
      </c>
      <c r="AA174" s="154">
        <f>SUM(L174,J174,H174,T174)*Valores!$C$3</f>
        <v>5800.2945000000009</v>
      </c>
      <c r="AB174" s="143">
        <f>Valores!$C$92</f>
        <v>5150.78</v>
      </c>
      <c r="AC174" s="145">
        <f>Valores!$C$31</f>
        <v>279.8</v>
      </c>
      <c r="AD174" s="140">
        <f t="shared" si="29"/>
        <v>0</v>
      </c>
      <c r="AE174" s="140">
        <f>Valores!$C$32</f>
        <v>279.8</v>
      </c>
      <c r="AF174" s="144">
        <v>0</v>
      </c>
      <c r="AG174" s="140">
        <f>INT(((AF174*Valores!$C$2)*100)+0.5)/100</f>
        <v>0</v>
      </c>
      <c r="AH174" s="140">
        <f>IF($H$5="NO",Valores!$C$60,Valores!$C$60/2)</f>
        <v>569.14</v>
      </c>
      <c r="AI174" s="140">
        <f>IF($H$5="NO",Valores!$C$62,Valores!$C$62/2)</f>
        <v>162.61000000000001</v>
      </c>
      <c r="AJ174" s="146">
        <f t="shared" si="30"/>
        <v>93210.493500000026</v>
      </c>
      <c r="AK174" s="154">
        <f>Valores!$C$37</f>
        <v>1465.56</v>
      </c>
      <c r="AL174" s="143">
        <f>Valores!$C$87</f>
        <v>4550</v>
      </c>
      <c r="AM174" s="143"/>
      <c r="AN174" s="145">
        <v>0</v>
      </c>
      <c r="AO174" s="147">
        <f t="shared" si="28"/>
        <v>6015.5599999999995</v>
      </c>
      <c r="AP174" s="148">
        <f>AJ174*Valores!$C$69</f>
        <v>-10253.154285000002</v>
      </c>
      <c r="AQ174" s="149">
        <f>AJ174*-Valores!$C$70</f>
        <v>0</v>
      </c>
      <c r="AR174" s="142">
        <f>AJ174*Valores!$C$71</f>
        <v>-4194.4722075000009</v>
      </c>
      <c r="AS174" s="142">
        <f>Valores!$C$95</f>
        <v>-193.38</v>
      </c>
      <c r="AT174" s="142">
        <f>IF($H$6=0,Valores!$C$96,(Valores!$C$96+$H$6*(Valores!$C$96)))</f>
        <v>-178</v>
      </c>
      <c r="AU174" s="146">
        <f t="shared" si="31"/>
        <v>84407.047007500019</v>
      </c>
      <c r="AV174" s="199">
        <f t="shared" si="24"/>
        <v>-10253.154285000002</v>
      </c>
      <c r="AW174" s="142">
        <f>AJ174*Valores!$C$72</f>
        <v>-2516.6833245000007</v>
      </c>
      <c r="AX174" s="142">
        <f>AJ174*Valores!$C$73</f>
        <v>-279.63148050000007</v>
      </c>
      <c r="AY174" s="146">
        <f t="shared" si="32"/>
        <v>86176.584410000025</v>
      </c>
      <c r="AZ174" s="150"/>
      <c r="BA174" s="150"/>
      <c r="BB174" s="135" t="s">
        <v>4</v>
      </c>
    </row>
    <row r="175" spans="1:54" s="114" customFormat="1" ht="11.25" customHeight="1" x14ac:dyDescent="0.15">
      <c r="A175" s="134">
        <v>173</v>
      </c>
      <c r="B175" s="134"/>
      <c r="C175" s="135" t="s">
        <v>458</v>
      </c>
      <c r="D175" s="135"/>
      <c r="E175" s="135">
        <f t="shared" si="25"/>
        <v>27</v>
      </c>
      <c r="F175" s="136" t="s">
        <v>459</v>
      </c>
      <c r="G175" s="137">
        <v>1278</v>
      </c>
      <c r="H175" s="138">
        <f>INT((G175*Valores!$C$2*100)+0.5)/100</f>
        <v>17102.96</v>
      </c>
      <c r="I175" s="156">
        <v>0</v>
      </c>
      <c r="J175" s="140">
        <f>INT((I175*Valores!$C$2*100)+0.5)/100</f>
        <v>0</v>
      </c>
      <c r="K175" s="155">
        <v>0</v>
      </c>
      <c r="L175" s="140">
        <f>INT((K175*Valores!$C$2*100)+0.5)/100</f>
        <v>0</v>
      </c>
      <c r="M175" s="153">
        <v>0</v>
      </c>
      <c r="N175" s="140">
        <f>INT((M175*Valores!$C$2*100)+0.5)/100</f>
        <v>0</v>
      </c>
      <c r="O175" s="140">
        <f t="shared" si="26"/>
        <v>5827.7519999999995</v>
      </c>
      <c r="P175" s="140">
        <f t="shared" si="27"/>
        <v>0</v>
      </c>
      <c r="Q175" s="154">
        <f>Valores!$C$21</f>
        <v>11564.28</v>
      </c>
      <c r="R175" s="154">
        <f>Valores!$D$4</f>
        <v>6841.19</v>
      </c>
      <c r="S175" s="140">
        <v>0</v>
      </c>
      <c r="T175" s="143">
        <f>IF($H$5="NO",Valores!$C$45,Valores!$C$45/2)</f>
        <v>3338.57</v>
      </c>
      <c r="U175" s="140">
        <f>Valores!$C$25</f>
        <v>6365.81</v>
      </c>
      <c r="V175" s="140">
        <f t="shared" ref="V175:V238" si="33">U175*(1+$J$2)</f>
        <v>6365.81</v>
      </c>
      <c r="W175" s="140">
        <v>0</v>
      </c>
      <c r="X175" s="140">
        <v>0</v>
      </c>
      <c r="Y175" s="139">
        <v>900</v>
      </c>
      <c r="Z175" s="140">
        <f>Y175*Valores!$C$2</f>
        <v>12044.34</v>
      </c>
      <c r="AA175" s="154">
        <f>SUM(L175,J175,H175,T175)*Valores!$C$3</f>
        <v>3066.2294999999999</v>
      </c>
      <c r="AB175" s="143">
        <f>Valores!$C$92</f>
        <v>5150.78</v>
      </c>
      <c r="AC175" s="145">
        <f>Valores!$C$31</f>
        <v>279.8</v>
      </c>
      <c r="AD175" s="140">
        <f t="shared" si="29"/>
        <v>0</v>
      </c>
      <c r="AE175" s="140">
        <f>Valores!$C$32</f>
        <v>279.8</v>
      </c>
      <c r="AF175" s="144">
        <v>94</v>
      </c>
      <c r="AG175" s="140">
        <f>INT(((AF175*Valores!$C$2)*100)+0.5)/100</f>
        <v>1257.96</v>
      </c>
      <c r="AH175" s="140">
        <f>IF($H$5="NO",Valores!$C$60,Valores!$C$60/2)</f>
        <v>569.14</v>
      </c>
      <c r="AI175" s="140">
        <f>IF($H$5="NO",Valores!$C$62,Valores!$C$62/2)</f>
        <v>162.61000000000001</v>
      </c>
      <c r="AJ175" s="146">
        <f t="shared" si="30"/>
        <v>73851.2215</v>
      </c>
      <c r="AK175" s="154">
        <f>Valores!$C$37</f>
        <v>1465.56</v>
      </c>
      <c r="AL175" s="143">
        <f>Valores!$C$87</f>
        <v>4550</v>
      </c>
      <c r="AM175" s="143"/>
      <c r="AN175" s="145">
        <f>IF($H$4="NO",0,Valores!$C$52)</f>
        <v>327.60000000000002</v>
      </c>
      <c r="AO175" s="147">
        <f t="shared" si="28"/>
        <v>6343.16</v>
      </c>
      <c r="AP175" s="148">
        <f>AJ175*Valores!$C$69</f>
        <v>-8123.6343649999999</v>
      </c>
      <c r="AQ175" s="149">
        <f>AJ175*-Valores!$C$70</f>
        <v>0</v>
      </c>
      <c r="AR175" s="142">
        <f>AJ175*Valores!$C$71</f>
        <v>-3323.3049674999997</v>
      </c>
      <c r="AS175" s="142">
        <f>Valores!$C$95</f>
        <v>-193.38</v>
      </c>
      <c r="AT175" s="142">
        <f>IF($H$6=0,Valores!$C$96,(Valores!$C$96+$H$6*(Valores!$C$96)))</f>
        <v>-178</v>
      </c>
      <c r="AU175" s="146">
        <f t="shared" si="31"/>
        <v>68376.0621675</v>
      </c>
      <c r="AV175" s="199">
        <f t="shared" si="24"/>
        <v>-8123.6343649999999</v>
      </c>
      <c r="AW175" s="142">
        <f>AJ175*Valores!$C$72</f>
        <v>-1993.9829804999999</v>
      </c>
      <c r="AX175" s="142">
        <f>AJ175*Valores!$C$73</f>
        <v>-221.5536645</v>
      </c>
      <c r="AY175" s="146">
        <f t="shared" si="32"/>
        <v>69855.210489999998</v>
      </c>
      <c r="AZ175" s="150"/>
      <c r="BA175" s="150">
        <v>36</v>
      </c>
      <c r="BB175" s="135" t="s">
        <v>4</v>
      </c>
    </row>
    <row r="176" spans="1:54" s="114" customFormat="1" ht="11.25" customHeight="1" x14ac:dyDescent="0.15">
      <c r="A176" s="134">
        <v>174</v>
      </c>
      <c r="B176" s="134"/>
      <c r="C176" s="135" t="s">
        <v>460</v>
      </c>
      <c r="D176" s="135"/>
      <c r="E176" s="135">
        <f t="shared" si="25"/>
        <v>27</v>
      </c>
      <c r="F176" s="136" t="s">
        <v>461</v>
      </c>
      <c r="G176" s="137">
        <v>217</v>
      </c>
      <c r="H176" s="138">
        <f>INT((G176*Valores!$C$2*100)+0.5)/100</f>
        <v>2904.02</v>
      </c>
      <c r="I176" s="156">
        <f>2245</f>
        <v>2245</v>
      </c>
      <c r="J176" s="140">
        <f>INT((I176*Valores!$C$2*100)+0.5)/100</f>
        <v>30043.94</v>
      </c>
      <c r="K176" s="155">
        <v>0</v>
      </c>
      <c r="L176" s="140">
        <f>INT((K176*Valores!$C$2*100)+0.5)/100</f>
        <v>0</v>
      </c>
      <c r="M176" s="153">
        <v>1300</v>
      </c>
      <c r="N176" s="140">
        <f>INT((M176*Valores!$C$2*100)+0.5)/100</f>
        <v>17397.38</v>
      </c>
      <c r="O176" s="140">
        <f t="shared" si="26"/>
        <v>9007.4579999999987</v>
      </c>
      <c r="P176" s="140">
        <f t="shared" si="27"/>
        <v>0</v>
      </c>
      <c r="Q176" s="154">
        <f>Valores!$C$16</f>
        <v>14032.86</v>
      </c>
      <c r="R176" s="154">
        <f>Valores!$D$4</f>
        <v>6841.19</v>
      </c>
      <c r="S176" s="154">
        <f>Valores!$C$28</f>
        <v>6103.41</v>
      </c>
      <c r="T176" s="143">
        <f>IF($H$5="NO",Valores!$C$45,Valores!$C$45/2)</f>
        <v>3338.57</v>
      </c>
      <c r="U176" s="140">
        <f>Valores!$C$25</f>
        <v>6365.81</v>
      </c>
      <c r="V176" s="140">
        <f t="shared" si="33"/>
        <v>6365.81</v>
      </c>
      <c r="W176" s="140">
        <v>0</v>
      </c>
      <c r="X176" s="140">
        <v>0</v>
      </c>
      <c r="Y176" s="144">
        <v>0</v>
      </c>
      <c r="Z176" s="140">
        <f>Y176*Valores!$C$2</f>
        <v>0</v>
      </c>
      <c r="AA176" s="140">
        <v>0</v>
      </c>
      <c r="AB176" s="143">
        <f>Valores!$C$92</f>
        <v>5150.78</v>
      </c>
      <c r="AC176" s="145">
        <f>Valores!$C$31</f>
        <v>279.8</v>
      </c>
      <c r="AD176" s="140">
        <f t="shared" si="29"/>
        <v>0</v>
      </c>
      <c r="AE176" s="140">
        <f>Valores!$C$32</f>
        <v>279.8</v>
      </c>
      <c r="AF176" s="144">
        <v>0</v>
      </c>
      <c r="AG176" s="140">
        <f>INT(((AF176*Valores!$C$2)*100)+0.5)/100</f>
        <v>0</v>
      </c>
      <c r="AH176" s="140">
        <f>IF($H$5="NO",Valores!$C$60,Valores!$C$60/2)</f>
        <v>569.14</v>
      </c>
      <c r="AI176" s="140">
        <f>IF($H$5="NO",Valores!$C$62,Valores!$C$62/2)</f>
        <v>162.61000000000001</v>
      </c>
      <c r="AJ176" s="146">
        <f t="shared" si="30"/>
        <v>102476.76800000001</v>
      </c>
      <c r="AK176" s="154">
        <f>Valores!$C$37</f>
        <v>1465.56</v>
      </c>
      <c r="AL176" s="143">
        <f>Valores!$C$87</f>
        <v>4550</v>
      </c>
      <c r="AM176" s="143"/>
      <c r="AN176" s="145">
        <f>IF($H$4="NO",0,Valores!$C$52)</f>
        <v>327.60000000000002</v>
      </c>
      <c r="AO176" s="147">
        <f t="shared" si="28"/>
        <v>6343.16</v>
      </c>
      <c r="AP176" s="148">
        <f>AJ176*Valores!$C$69</f>
        <v>-11272.444480000002</v>
      </c>
      <c r="AQ176" s="149">
        <f>AJ176*-Valores!$C$70</f>
        <v>0</v>
      </c>
      <c r="AR176" s="142">
        <f>AJ176*Valores!$C$71</f>
        <v>-4611.4545600000001</v>
      </c>
      <c r="AS176" s="142">
        <f>Valores!$C$95</f>
        <v>-193.38</v>
      </c>
      <c r="AT176" s="142">
        <f>IF($H$6=0,Valores!$C$96,(Valores!$C$96+$H$6*(Valores!$C$96)))</f>
        <v>-178</v>
      </c>
      <c r="AU176" s="146">
        <f t="shared" si="31"/>
        <v>92564.648960000006</v>
      </c>
      <c r="AV176" s="199">
        <f t="shared" si="24"/>
        <v>-11272.444480000002</v>
      </c>
      <c r="AW176" s="142">
        <f>AJ176*Valores!$C$72</f>
        <v>-2766.8727360000003</v>
      </c>
      <c r="AX176" s="142">
        <f>AJ176*Valores!$C$73</f>
        <v>-307.43030400000004</v>
      </c>
      <c r="AY176" s="146">
        <f t="shared" si="32"/>
        <v>94473.18048000001</v>
      </c>
      <c r="AZ176" s="150"/>
      <c r="BA176" s="150">
        <v>45</v>
      </c>
      <c r="BB176" s="135" t="s">
        <v>4</v>
      </c>
    </row>
    <row r="177" spans="1:54" s="114" customFormat="1" ht="11.25" customHeight="1" x14ac:dyDescent="0.15">
      <c r="A177" s="152">
        <v>175</v>
      </c>
      <c r="B177" s="152" t="s">
        <v>139</v>
      </c>
      <c r="C177" s="135" t="s">
        <v>462</v>
      </c>
      <c r="D177" s="135"/>
      <c r="E177" s="135">
        <f t="shared" si="25"/>
        <v>27</v>
      </c>
      <c r="F177" s="136" t="s">
        <v>463</v>
      </c>
      <c r="G177" s="137">
        <v>185</v>
      </c>
      <c r="H177" s="138">
        <f>INT((G177*Valores!$C$2*100)+0.5)/100</f>
        <v>2475.7800000000002</v>
      </c>
      <c r="I177" s="156">
        <f>1835</f>
        <v>1835</v>
      </c>
      <c r="J177" s="140">
        <f>INT((I177*Valores!$C$2*100)+0.5)/100</f>
        <v>24557.07</v>
      </c>
      <c r="K177" s="155">
        <v>0</v>
      </c>
      <c r="L177" s="140">
        <f>INT((K177*Valores!$C$2*100)+0.5)/100</f>
        <v>0</v>
      </c>
      <c r="M177" s="153">
        <v>1300</v>
      </c>
      <c r="N177" s="140">
        <f>INT((M177*Valores!$C$2*100)+0.5)/100</f>
        <v>17397.38</v>
      </c>
      <c r="O177" s="140">
        <f t="shared" si="26"/>
        <v>8120.191499999999</v>
      </c>
      <c r="P177" s="140">
        <f t="shared" si="27"/>
        <v>0</v>
      </c>
      <c r="Q177" s="154">
        <f>Valores!$C$16</f>
        <v>14032.86</v>
      </c>
      <c r="R177" s="154">
        <f>Valores!$D$4</f>
        <v>6841.19</v>
      </c>
      <c r="S177" s="154">
        <f>Valores!$C$28</f>
        <v>6103.41</v>
      </c>
      <c r="T177" s="143">
        <f>IF($H$5="NO",Valores!$C$45,Valores!$C$45/2)</f>
        <v>3338.57</v>
      </c>
      <c r="U177" s="140">
        <f>Valores!$C$25</f>
        <v>6365.81</v>
      </c>
      <c r="V177" s="140">
        <f t="shared" si="33"/>
        <v>6365.81</v>
      </c>
      <c r="W177" s="140">
        <v>0</v>
      </c>
      <c r="X177" s="140">
        <v>0</v>
      </c>
      <c r="Y177" s="144">
        <v>0</v>
      </c>
      <c r="Z177" s="140">
        <f>Y177*Valores!$C$2</f>
        <v>0</v>
      </c>
      <c r="AA177" s="140">
        <v>0</v>
      </c>
      <c r="AB177" s="143">
        <f>Valores!$C$92</f>
        <v>5150.78</v>
      </c>
      <c r="AC177" s="145">
        <f>Valores!$C$31</f>
        <v>279.8</v>
      </c>
      <c r="AD177" s="140">
        <f t="shared" si="29"/>
        <v>0</v>
      </c>
      <c r="AE177" s="140">
        <f>Valores!$C$32</f>
        <v>279.8</v>
      </c>
      <c r="AF177" s="144">
        <v>0</v>
      </c>
      <c r="AG177" s="140">
        <f>INT(((AF177*Valores!$C$2)*100)+0.5)/100</f>
        <v>0</v>
      </c>
      <c r="AH177" s="140">
        <f>IF($H$5="NO",Valores!$C$60,Valores!$C$60/2)</f>
        <v>569.14</v>
      </c>
      <c r="AI177" s="140">
        <f>IF($H$5="NO",Valores!$C$62,Valores!$C$62/2)</f>
        <v>162.61000000000001</v>
      </c>
      <c r="AJ177" s="146">
        <f t="shared" si="30"/>
        <v>95674.391500000012</v>
      </c>
      <c r="AK177" s="154">
        <f>Valores!$C$37</f>
        <v>1465.56</v>
      </c>
      <c r="AL177" s="143">
        <f>Valores!$C$87</f>
        <v>4550</v>
      </c>
      <c r="AM177" s="143"/>
      <c r="AN177" s="145">
        <f>IF($H$4="NO",0,Valores!$C$52)</f>
        <v>327.60000000000002</v>
      </c>
      <c r="AO177" s="147">
        <f t="shared" si="28"/>
        <v>6343.16</v>
      </c>
      <c r="AP177" s="148">
        <f>AJ177*Valores!$C$69</f>
        <v>-10524.183065000001</v>
      </c>
      <c r="AQ177" s="149">
        <f>AJ177*-Valores!$C$70</f>
        <v>0</v>
      </c>
      <c r="AR177" s="142">
        <f>AJ177*Valores!$C$71</f>
        <v>-4305.3476175000005</v>
      </c>
      <c r="AS177" s="142">
        <f>Valores!$C$95</f>
        <v>-193.38</v>
      </c>
      <c r="AT177" s="142">
        <f>IF($H$6=0,Valores!$C$96,(Valores!$C$96+$H$6*(Valores!$C$96)))</f>
        <v>-178</v>
      </c>
      <c r="AU177" s="146">
        <f t="shared" si="31"/>
        <v>86816.640817500011</v>
      </c>
      <c r="AV177" s="199">
        <f t="shared" si="24"/>
        <v>-10524.183065000001</v>
      </c>
      <c r="AW177" s="142">
        <f>AJ177*Valores!$C$72</f>
        <v>-2583.2085705000004</v>
      </c>
      <c r="AX177" s="142">
        <f>AJ177*Valores!$C$73</f>
        <v>-287.02317450000004</v>
      </c>
      <c r="AY177" s="146">
        <f t="shared" si="32"/>
        <v>88623.136690000014</v>
      </c>
      <c r="AZ177" s="150"/>
      <c r="BA177" s="150">
        <v>45</v>
      </c>
      <c r="BB177" s="135" t="s">
        <v>4</v>
      </c>
    </row>
    <row r="178" spans="1:54" s="114" customFormat="1" ht="11.25" customHeight="1" x14ac:dyDescent="0.15">
      <c r="A178" s="134">
        <v>176</v>
      </c>
      <c r="B178" s="134"/>
      <c r="C178" s="135" t="s">
        <v>464</v>
      </c>
      <c r="D178" s="135"/>
      <c r="E178" s="135">
        <f t="shared" si="25"/>
        <v>27</v>
      </c>
      <c r="F178" s="136" t="s">
        <v>465</v>
      </c>
      <c r="G178" s="137">
        <v>160</v>
      </c>
      <c r="H178" s="138">
        <f>INT((G178*Valores!$C$2*100)+0.5)/100</f>
        <v>2141.2199999999998</v>
      </c>
      <c r="I178" s="156">
        <f>1484</f>
        <v>1484</v>
      </c>
      <c r="J178" s="140">
        <f>INT((I178*Valores!$C$2*100)+0.5)/100</f>
        <v>19859.78</v>
      </c>
      <c r="K178" s="155">
        <v>0</v>
      </c>
      <c r="L178" s="140">
        <f>INT((K178*Valores!$C$2*100)+0.5)/100</f>
        <v>0</v>
      </c>
      <c r="M178" s="153">
        <v>1300</v>
      </c>
      <c r="N178" s="140">
        <f>INT((M178*Valores!$C$2*100)+0.5)/100</f>
        <v>17397.38</v>
      </c>
      <c r="O178" s="140">
        <f t="shared" si="26"/>
        <v>7365.4139999999998</v>
      </c>
      <c r="P178" s="140">
        <f t="shared" si="27"/>
        <v>0</v>
      </c>
      <c r="Q178" s="154">
        <f>Valores!$C$16</f>
        <v>14032.86</v>
      </c>
      <c r="R178" s="154">
        <f>Valores!$D$4</f>
        <v>6841.19</v>
      </c>
      <c r="S178" s="154">
        <f>Valores!$C$28</f>
        <v>6103.41</v>
      </c>
      <c r="T178" s="143">
        <f>IF($H$5="NO",Valores!$C$45,Valores!$C$45/2)</f>
        <v>3338.57</v>
      </c>
      <c r="U178" s="140">
        <f>Valores!$C$25</f>
        <v>6365.81</v>
      </c>
      <c r="V178" s="140">
        <f t="shared" si="33"/>
        <v>6365.81</v>
      </c>
      <c r="W178" s="140">
        <v>0</v>
      </c>
      <c r="X178" s="140">
        <v>0</v>
      </c>
      <c r="Y178" s="144">
        <v>0</v>
      </c>
      <c r="Z178" s="140">
        <f>Y178*Valores!$C$2</f>
        <v>0</v>
      </c>
      <c r="AA178" s="140">
        <v>0</v>
      </c>
      <c r="AB178" s="143">
        <f>Valores!$C$92</f>
        <v>5150.78</v>
      </c>
      <c r="AC178" s="145">
        <f>Valores!$C$31</f>
        <v>279.8</v>
      </c>
      <c r="AD178" s="140">
        <f t="shared" si="29"/>
        <v>0</v>
      </c>
      <c r="AE178" s="140">
        <f>Valores!$C$32</f>
        <v>279.8</v>
      </c>
      <c r="AF178" s="144">
        <v>0</v>
      </c>
      <c r="AG178" s="140">
        <f>INT(((AF178*Valores!$C$2)*100)+0.5)/100</f>
        <v>0</v>
      </c>
      <c r="AH178" s="140">
        <f>IF($H$5="NO",Valores!$C$60,Valores!$C$60/2)</f>
        <v>569.14</v>
      </c>
      <c r="AI178" s="140">
        <f>IF($H$5="NO",Valores!$C$62,Valores!$C$62/2)</f>
        <v>162.61000000000001</v>
      </c>
      <c r="AJ178" s="146">
        <f t="shared" si="30"/>
        <v>89887.76400000001</v>
      </c>
      <c r="AK178" s="154">
        <f>Valores!$C$37</f>
        <v>1465.56</v>
      </c>
      <c r="AL178" s="143">
        <f>Valores!$C$87</f>
        <v>4550</v>
      </c>
      <c r="AM178" s="143"/>
      <c r="AN178" s="145">
        <f>IF($H$4="NO",0,Valores!$C$52)</f>
        <v>327.60000000000002</v>
      </c>
      <c r="AO178" s="147">
        <f t="shared" si="28"/>
        <v>6343.16</v>
      </c>
      <c r="AP178" s="148">
        <f>AJ178*Valores!$C$69</f>
        <v>-9887.6540400000013</v>
      </c>
      <c r="AQ178" s="149">
        <f>AJ178*-Valores!$C$70</f>
        <v>0</v>
      </c>
      <c r="AR178" s="142">
        <f>AJ178*Valores!$C$71</f>
        <v>-4044.9493800000005</v>
      </c>
      <c r="AS178" s="142">
        <f>Valores!$C$95</f>
        <v>-193.38</v>
      </c>
      <c r="AT178" s="142">
        <f>IF($H$6=0,Valores!$C$96,(Valores!$C$96+$H$6*(Valores!$C$96)))</f>
        <v>-178</v>
      </c>
      <c r="AU178" s="146">
        <f t="shared" si="31"/>
        <v>81926.94058000001</v>
      </c>
      <c r="AV178" s="199">
        <f t="shared" si="24"/>
        <v>-9887.6540400000013</v>
      </c>
      <c r="AW178" s="142">
        <f>AJ178*Valores!$C$72</f>
        <v>-2426.9696280000003</v>
      </c>
      <c r="AX178" s="142">
        <f>AJ178*Valores!$C$73</f>
        <v>-269.66329200000001</v>
      </c>
      <c r="AY178" s="146">
        <f t="shared" si="32"/>
        <v>83646.637040000016</v>
      </c>
      <c r="AZ178" s="150"/>
      <c r="BA178" s="150">
        <v>45</v>
      </c>
      <c r="BB178" s="135" t="s">
        <v>4</v>
      </c>
    </row>
    <row r="179" spans="1:54" s="114" customFormat="1" ht="11.25" customHeight="1" x14ac:dyDescent="0.15">
      <c r="A179" s="134">
        <v>177</v>
      </c>
      <c r="B179" s="134"/>
      <c r="C179" s="135" t="s">
        <v>466</v>
      </c>
      <c r="D179" s="135"/>
      <c r="E179" s="135">
        <f t="shared" si="25"/>
        <v>29</v>
      </c>
      <c r="F179" s="136" t="s">
        <v>467</v>
      </c>
      <c r="G179" s="137">
        <v>178</v>
      </c>
      <c r="H179" s="138">
        <f>INT((G179*Valores!$C$2*100)+0.5)/100</f>
        <v>2382.1</v>
      </c>
      <c r="I179" s="156">
        <f>1842</f>
        <v>1842</v>
      </c>
      <c r="J179" s="140">
        <f>INT((I179*Valores!$C$2*100)+0.5)/100</f>
        <v>24650.75</v>
      </c>
      <c r="K179" s="155">
        <v>0</v>
      </c>
      <c r="L179" s="140">
        <f>INT((K179*Valores!$C$2*100)+0.5)/100</f>
        <v>0</v>
      </c>
      <c r="M179" s="153">
        <v>1300</v>
      </c>
      <c r="N179" s="140">
        <f>INT((M179*Valores!$C$2*100)+0.5)/100</f>
        <v>17397.38</v>
      </c>
      <c r="O179" s="140">
        <f t="shared" si="26"/>
        <v>8120.191499999999</v>
      </c>
      <c r="P179" s="140">
        <f t="shared" si="27"/>
        <v>0</v>
      </c>
      <c r="Q179" s="154">
        <f>Valores!$C$16</f>
        <v>14032.86</v>
      </c>
      <c r="R179" s="154">
        <f>Valores!$D$4</f>
        <v>6841.19</v>
      </c>
      <c r="S179" s="140">
        <f>Valores!$C$28</f>
        <v>6103.41</v>
      </c>
      <c r="T179" s="143">
        <f>IF($H$5="NO",Valores!$C$45,Valores!$C$45/2)</f>
        <v>3338.57</v>
      </c>
      <c r="U179" s="140">
        <f>Valores!$C$25</f>
        <v>6365.81</v>
      </c>
      <c r="V179" s="140">
        <f t="shared" si="33"/>
        <v>6365.81</v>
      </c>
      <c r="W179" s="140">
        <v>0</v>
      </c>
      <c r="X179" s="140">
        <v>0</v>
      </c>
      <c r="Y179" s="144">
        <v>0</v>
      </c>
      <c r="Z179" s="140">
        <f>Y179*Valores!$C$2</f>
        <v>0</v>
      </c>
      <c r="AA179" s="140">
        <v>0</v>
      </c>
      <c r="AB179" s="143">
        <f>Valores!$C$92</f>
        <v>5150.78</v>
      </c>
      <c r="AC179" s="145">
        <f>Valores!$C$31</f>
        <v>279.8</v>
      </c>
      <c r="AD179" s="140">
        <f t="shared" si="29"/>
        <v>0</v>
      </c>
      <c r="AE179" s="140">
        <f>Valores!$C$32</f>
        <v>279.8</v>
      </c>
      <c r="AF179" s="144">
        <v>0</v>
      </c>
      <c r="AG179" s="140">
        <f>INT(((AF179*Valores!$C$2)*100)+0.5)/100</f>
        <v>0</v>
      </c>
      <c r="AH179" s="140">
        <f>IF($H$5="NO",Valores!$C$60,Valores!$C$60/2)</f>
        <v>569.14</v>
      </c>
      <c r="AI179" s="140">
        <f>IF($H$5="NO",Valores!$C$62,Valores!$C$62/2)</f>
        <v>162.61000000000001</v>
      </c>
      <c r="AJ179" s="146">
        <f t="shared" si="30"/>
        <v>95674.391500000012</v>
      </c>
      <c r="AK179" s="154">
        <f>Valores!$C$37</f>
        <v>1465.56</v>
      </c>
      <c r="AL179" s="143">
        <f>Valores!$C$87</f>
        <v>4550</v>
      </c>
      <c r="AM179" s="143"/>
      <c r="AN179" s="145">
        <f>IF($H$4="NO",0,Valores!$C$52)</f>
        <v>327.60000000000002</v>
      </c>
      <c r="AO179" s="147">
        <f t="shared" si="28"/>
        <v>6343.16</v>
      </c>
      <c r="AP179" s="148">
        <f>AJ179*Valores!$C$69</f>
        <v>-10524.183065000001</v>
      </c>
      <c r="AQ179" s="149">
        <f>AJ179*-Valores!$C$70</f>
        <v>0</v>
      </c>
      <c r="AR179" s="142">
        <f>AJ179*Valores!$C$71</f>
        <v>-4305.3476175000005</v>
      </c>
      <c r="AS179" s="142">
        <f>Valores!$C$95</f>
        <v>-193.38</v>
      </c>
      <c r="AT179" s="142">
        <f>IF($H$6=0,Valores!$C$96,(Valores!$C$96+$H$6*(Valores!$C$96)))</f>
        <v>-178</v>
      </c>
      <c r="AU179" s="146">
        <f t="shared" si="31"/>
        <v>86816.640817500011</v>
      </c>
      <c r="AV179" s="199">
        <f t="shared" si="24"/>
        <v>-10524.183065000001</v>
      </c>
      <c r="AW179" s="142">
        <f>AJ179*Valores!$C$72</f>
        <v>-2583.2085705000004</v>
      </c>
      <c r="AX179" s="142">
        <f>AJ179*Valores!$C$73</f>
        <v>-287.02317450000004</v>
      </c>
      <c r="AY179" s="146">
        <f t="shared" si="32"/>
        <v>88623.136690000014</v>
      </c>
      <c r="AZ179" s="150"/>
      <c r="BA179" s="150">
        <v>45</v>
      </c>
      <c r="BB179" s="135" t="s">
        <v>4</v>
      </c>
    </row>
    <row r="180" spans="1:54" s="114" customFormat="1" ht="11.25" customHeight="1" x14ac:dyDescent="0.15">
      <c r="A180" s="134">
        <v>178</v>
      </c>
      <c r="B180" s="134"/>
      <c r="C180" s="135" t="s">
        <v>468</v>
      </c>
      <c r="D180" s="135"/>
      <c r="E180" s="135">
        <f t="shared" si="25"/>
        <v>28</v>
      </c>
      <c r="F180" s="136" t="s">
        <v>469</v>
      </c>
      <c r="G180" s="137">
        <v>1278</v>
      </c>
      <c r="H180" s="138">
        <f>INT((G180*Valores!$C$2*100)+0.5)/100</f>
        <v>17102.96</v>
      </c>
      <c r="I180" s="156">
        <v>0</v>
      </c>
      <c r="J180" s="140">
        <f>INT((I180*Valores!$C$2*100)+0.5)/100</f>
        <v>0</v>
      </c>
      <c r="K180" s="155">
        <v>0</v>
      </c>
      <c r="L180" s="140">
        <f>INT((K180*Valores!$C$2*100)+0.5)/100</f>
        <v>0</v>
      </c>
      <c r="M180" s="153">
        <v>1200</v>
      </c>
      <c r="N180" s="140">
        <f>INT((M180*Valores!$C$2*100)+0.5)/100</f>
        <v>16059.12</v>
      </c>
      <c r="O180" s="140">
        <f t="shared" si="26"/>
        <v>6429.9690000000001</v>
      </c>
      <c r="P180" s="140">
        <f t="shared" si="27"/>
        <v>0</v>
      </c>
      <c r="Q180" s="154">
        <f>Valores!$C$21</f>
        <v>11564.28</v>
      </c>
      <c r="R180" s="154">
        <f>Valores!$D$4</f>
        <v>6841.19</v>
      </c>
      <c r="S180" s="154">
        <f>Valores!$C$28</f>
        <v>6103.41</v>
      </c>
      <c r="T180" s="143">
        <f>IF($H$5="NO",Valores!$C$45,Valores!$C$45/2)</f>
        <v>3338.57</v>
      </c>
      <c r="U180" s="140">
        <f>Valores!$C$25</f>
        <v>6365.81</v>
      </c>
      <c r="V180" s="140">
        <f t="shared" si="33"/>
        <v>6365.81</v>
      </c>
      <c r="W180" s="140">
        <v>0</v>
      </c>
      <c r="X180" s="140">
        <v>0</v>
      </c>
      <c r="Y180" s="144">
        <v>0</v>
      </c>
      <c r="Z180" s="140">
        <f>Y180*Valores!$C$2</f>
        <v>0</v>
      </c>
      <c r="AA180" s="140">
        <v>0</v>
      </c>
      <c r="AB180" s="143">
        <f>Valores!$C$92</f>
        <v>5150.78</v>
      </c>
      <c r="AC180" s="145">
        <f>Valores!$C$31</f>
        <v>279.8</v>
      </c>
      <c r="AD180" s="140">
        <f t="shared" si="29"/>
        <v>0</v>
      </c>
      <c r="AE180" s="140">
        <f>Valores!$C$32</f>
        <v>279.8</v>
      </c>
      <c r="AF180" s="144">
        <v>0</v>
      </c>
      <c r="AG180" s="140">
        <f>INT(((AF180*Valores!$C$2)*100)+0.5)/100</f>
        <v>0</v>
      </c>
      <c r="AH180" s="140">
        <f>IF($H$5="NO",Valores!$C$60,Valores!$C$60/2)</f>
        <v>569.14</v>
      </c>
      <c r="AI180" s="140">
        <f>IF($H$5="NO",Valores!$C$62,Valores!$C$62/2)</f>
        <v>162.61000000000001</v>
      </c>
      <c r="AJ180" s="146">
        <f t="shared" si="30"/>
        <v>80247.439000000013</v>
      </c>
      <c r="AK180" s="154">
        <f>Valores!$C$37</f>
        <v>1465.56</v>
      </c>
      <c r="AL180" s="143">
        <f>Valores!$C$87</f>
        <v>4550</v>
      </c>
      <c r="AM180" s="143"/>
      <c r="AN180" s="145">
        <f>IF($H$4="NO",0,Valores!$C$52)</f>
        <v>327.60000000000002</v>
      </c>
      <c r="AO180" s="147">
        <f t="shared" si="28"/>
        <v>6343.16</v>
      </c>
      <c r="AP180" s="148">
        <f>AJ180*Valores!$C$69</f>
        <v>-8827.2182900000007</v>
      </c>
      <c r="AQ180" s="149">
        <f>AJ180*-Valores!$C$70</f>
        <v>0</v>
      </c>
      <c r="AR180" s="142">
        <f>AJ180*Valores!$C$71</f>
        <v>-3611.1347550000005</v>
      </c>
      <c r="AS180" s="142">
        <f>Valores!$C$95</f>
        <v>-193.38</v>
      </c>
      <c r="AT180" s="142">
        <f>IF($H$6=0,Valores!$C$96,(Valores!$C$96+$H$6*(Valores!$C$96)))</f>
        <v>-178</v>
      </c>
      <c r="AU180" s="146">
        <f t="shared" si="31"/>
        <v>73780.865955000016</v>
      </c>
      <c r="AV180" s="199">
        <f t="shared" si="24"/>
        <v>-8827.2182900000007</v>
      </c>
      <c r="AW180" s="142">
        <f>AJ180*Valores!$C$72</f>
        <v>-2166.6808530000003</v>
      </c>
      <c r="AX180" s="142">
        <f>AJ180*Valores!$C$73</f>
        <v>-240.74231700000004</v>
      </c>
      <c r="AY180" s="146">
        <f t="shared" si="32"/>
        <v>75355.957540000018</v>
      </c>
      <c r="AZ180" s="150"/>
      <c r="BA180" s="150"/>
      <c r="BB180" s="135" t="s">
        <v>4</v>
      </c>
    </row>
    <row r="181" spans="1:54" s="114" customFormat="1" ht="11.25" customHeight="1" x14ac:dyDescent="0.15">
      <c r="A181" s="134">
        <v>179</v>
      </c>
      <c r="B181" s="134"/>
      <c r="C181" s="135" t="s">
        <v>470</v>
      </c>
      <c r="D181" s="135"/>
      <c r="E181" s="135">
        <f t="shared" si="25"/>
        <v>29</v>
      </c>
      <c r="F181" s="136" t="s">
        <v>471</v>
      </c>
      <c r="G181" s="137">
        <v>971</v>
      </c>
      <c r="H181" s="138">
        <f>INT((G181*Valores!$C$2*100)+0.5)/100</f>
        <v>12994.5</v>
      </c>
      <c r="I181" s="156">
        <v>0</v>
      </c>
      <c r="J181" s="140">
        <f>INT((I181*Valores!$C$2*100)+0.5)/100</f>
        <v>0</v>
      </c>
      <c r="K181" s="155">
        <v>0</v>
      </c>
      <c r="L181" s="140">
        <f>INT((K181*Valores!$C$2*100)+0.5)/100</f>
        <v>0</v>
      </c>
      <c r="M181" s="153">
        <v>660</v>
      </c>
      <c r="N181" s="140">
        <f>INT((M181*Valores!$C$2*100)+0.5)/100</f>
        <v>8832.52</v>
      </c>
      <c r="O181" s="140">
        <f t="shared" si="26"/>
        <v>4729.71</v>
      </c>
      <c r="P181" s="140">
        <f t="shared" si="27"/>
        <v>0</v>
      </c>
      <c r="Q181" s="154">
        <f>Valores!$C$21</f>
        <v>11564.28</v>
      </c>
      <c r="R181" s="154">
        <f>Valores!$D$4</f>
        <v>6841.19</v>
      </c>
      <c r="S181" s="154">
        <f>Valores!$C$28</f>
        <v>6103.41</v>
      </c>
      <c r="T181" s="143">
        <f>IF($H$5="NO",Valores!$C$45,Valores!$C$45/2)</f>
        <v>3338.57</v>
      </c>
      <c r="U181" s="140">
        <f>Valores!$C$25</f>
        <v>6365.81</v>
      </c>
      <c r="V181" s="140">
        <f t="shared" si="33"/>
        <v>6365.81</v>
      </c>
      <c r="W181" s="140">
        <v>0</v>
      </c>
      <c r="X181" s="140">
        <v>0</v>
      </c>
      <c r="Y181" s="144">
        <v>0</v>
      </c>
      <c r="Z181" s="140">
        <f>Y181*Valores!$C$2</f>
        <v>0</v>
      </c>
      <c r="AA181" s="140">
        <v>0</v>
      </c>
      <c r="AB181" s="143">
        <f>Valores!$C$92</f>
        <v>5150.78</v>
      </c>
      <c r="AC181" s="145">
        <f>Valores!$C$31</f>
        <v>279.8</v>
      </c>
      <c r="AD181" s="140">
        <f t="shared" si="29"/>
        <v>0</v>
      </c>
      <c r="AE181" s="140">
        <f>Valores!$C$32</f>
        <v>279.8</v>
      </c>
      <c r="AF181" s="144">
        <v>0</v>
      </c>
      <c r="AG181" s="140">
        <f>INT(((AF181*Valores!$C$2)*100)+0.5)/100</f>
        <v>0</v>
      </c>
      <c r="AH181" s="140">
        <f>IF($H$5="NO",Valores!$C$60,Valores!$C$60/2)</f>
        <v>569.14</v>
      </c>
      <c r="AI181" s="140">
        <f>IF($H$5="NO",Valores!$C$62,Valores!$C$62/2)</f>
        <v>162.61000000000001</v>
      </c>
      <c r="AJ181" s="146">
        <f t="shared" si="30"/>
        <v>67212.12000000001</v>
      </c>
      <c r="AK181" s="154">
        <f>Valores!$C$37</f>
        <v>1465.56</v>
      </c>
      <c r="AL181" s="143">
        <f>Valores!$C$87</f>
        <v>4550</v>
      </c>
      <c r="AM181" s="143"/>
      <c r="AN181" s="145">
        <f>IF($H$4="NO",0,Valores!$C$52)</f>
        <v>327.60000000000002</v>
      </c>
      <c r="AO181" s="147">
        <f t="shared" si="28"/>
        <v>6343.16</v>
      </c>
      <c r="AP181" s="148">
        <f>AJ181*Valores!$C$69</f>
        <v>-7393.3332000000009</v>
      </c>
      <c r="AQ181" s="149">
        <f>AJ181*-Valores!$C$70</f>
        <v>0</v>
      </c>
      <c r="AR181" s="142">
        <f>AJ181*Valores!$C$71</f>
        <v>-3024.5454000000004</v>
      </c>
      <c r="AS181" s="142">
        <f>Valores!$C$95</f>
        <v>-193.38</v>
      </c>
      <c r="AT181" s="142">
        <f>IF($H$6=0,Valores!$C$96,(Valores!$C$96+$H$6*(Valores!$C$96)))</f>
        <v>-178</v>
      </c>
      <c r="AU181" s="146">
        <f t="shared" si="31"/>
        <v>62766.021400000012</v>
      </c>
      <c r="AV181" s="199">
        <f t="shared" si="24"/>
        <v>-7393.3332000000009</v>
      </c>
      <c r="AW181" s="142">
        <f>AJ181*Valores!$C$72</f>
        <v>-1814.7272400000002</v>
      </c>
      <c r="AX181" s="142">
        <f>AJ181*Valores!$C$73</f>
        <v>-201.63636000000002</v>
      </c>
      <c r="AY181" s="146">
        <f t="shared" si="32"/>
        <v>64145.583200000008</v>
      </c>
      <c r="AZ181" s="150"/>
      <c r="BA181" s="150">
        <v>18</v>
      </c>
      <c r="BB181" s="135" t="s">
        <v>4</v>
      </c>
    </row>
    <row r="182" spans="1:54" s="114" customFormat="1" ht="11.25" customHeight="1" x14ac:dyDescent="0.15">
      <c r="A182" s="152">
        <v>180</v>
      </c>
      <c r="B182" s="152" t="s">
        <v>139</v>
      </c>
      <c r="C182" s="135" t="s">
        <v>472</v>
      </c>
      <c r="D182" s="135"/>
      <c r="E182" s="135">
        <f t="shared" si="25"/>
        <v>22</v>
      </c>
      <c r="F182" s="136" t="s">
        <v>473</v>
      </c>
      <c r="G182" s="137">
        <v>213</v>
      </c>
      <c r="H182" s="138">
        <f>INT((G182*Valores!$C$2*100)+0.5)/100</f>
        <v>2850.49</v>
      </c>
      <c r="I182" s="156">
        <f>1835</f>
        <v>1835</v>
      </c>
      <c r="J182" s="140">
        <f>INT((I182*Valores!$C$2*100)+0.5)/100</f>
        <v>24557.07</v>
      </c>
      <c r="K182" s="155">
        <v>0</v>
      </c>
      <c r="L182" s="140">
        <f>INT((K182*Valores!$C$2*100)+0.5)/100</f>
        <v>0</v>
      </c>
      <c r="M182" s="153">
        <v>1300</v>
      </c>
      <c r="N182" s="140">
        <f>INT((M182*Valores!$C$2*100)+0.5)/100</f>
        <v>17397.38</v>
      </c>
      <c r="O182" s="140">
        <f t="shared" si="26"/>
        <v>8176.3979999999992</v>
      </c>
      <c r="P182" s="140">
        <f t="shared" si="27"/>
        <v>0</v>
      </c>
      <c r="Q182" s="154">
        <f>Valores!$C$16</f>
        <v>14032.86</v>
      </c>
      <c r="R182" s="154">
        <f>Valores!$D$4</f>
        <v>6841.19</v>
      </c>
      <c r="S182" s="154">
        <f>Valores!$C$28</f>
        <v>6103.41</v>
      </c>
      <c r="T182" s="143">
        <f>IF($H$5="NO",Valores!$C$45,Valores!$C$45/2)</f>
        <v>3338.57</v>
      </c>
      <c r="U182" s="140">
        <f>Valores!$C$25</f>
        <v>6365.81</v>
      </c>
      <c r="V182" s="140">
        <f t="shared" si="33"/>
        <v>6365.81</v>
      </c>
      <c r="W182" s="140">
        <v>0</v>
      </c>
      <c r="X182" s="140">
        <v>0</v>
      </c>
      <c r="Y182" s="144">
        <v>0</v>
      </c>
      <c r="Z182" s="140">
        <f>Y182*Valores!$C$2</f>
        <v>0</v>
      </c>
      <c r="AA182" s="140">
        <v>0</v>
      </c>
      <c r="AB182" s="143">
        <f>Valores!$C$92</f>
        <v>5150.78</v>
      </c>
      <c r="AC182" s="145">
        <f>Valores!$C$31</f>
        <v>279.8</v>
      </c>
      <c r="AD182" s="140">
        <f t="shared" si="29"/>
        <v>0</v>
      </c>
      <c r="AE182" s="140">
        <f>Valores!$C$32</f>
        <v>279.8</v>
      </c>
      <c r="AF182" s="144">
        <v>0</v>
      </c>
      <c r="AG182" s="140">
        <f>INT(((AF182*Valores!$C$2)*100)+0.5)/100</f>
        <v>0</v>
      </c>
      <c r="AH182" s="140">
        <f>IF($H$5="NO",Valores!$C$60,Valores!$C$60/2)</f>
        <v>569.14</v>
      </c>
      <c r="AI182" s="140">
        <f>IF($H$5="NO",Valores!$C$62,Valores!$C$62/2)</f>
        <v>162.61000000000001</v>
      </c>
      <c r="AJ182" s="146">
        <f t="shared" si="30"/>
        <v>96105.308000000019</v>
      </c>
      <c r="AK182" s="154">
        <f>Valores!$C$37</f>
        <v>1465.56</v>
      </c>
      <c r="AL182" s="143">
        <f>Valores!$C$87</f>
        <v>4550</v>
      </c>
      <c r="AM182" s="143"/>
      <c r="AN182" s="145">
        <f>IF($H$4="NO",0,Valores!$C$52)</f>
        <v>327.60000000000002</v>
      </c>
      <c r="AO182" s="147">
        <f t="shared" si="28"/>
        <v>6343.16</v>
      </c>
      <c r="AP182" s="148">
        <f>AJ182*Valores!$C$69</f>
        <v>-10571.583880000002</v>
      </c>
      <c r="AQ182" s="149">
        <f>AJ182*-Valores!$C$70</f>
        <v>0</v>
      </c>
      <c r="AR182" s="142">
        <f>AJ182*Valores!$C$71</f>
        <v>-4324.7388600000004</v>
      </c>
      <c r="AS182" s="142">
        <f>Valores!$C$95</f>
        <v>-193.38</v>
      </c>
      <c r="AT182" s="142">
        <f>IF($H$6=0,Valores!$C$96,(Valores!$C$96+$H$6*(Valores!$C$96)))</f>
        <v>-178</v>
      </c>
      <c r="AU182" s="146">
        <f t="shared" si="31"/>
        <v>87180.765260000015</v>
      </c>
      <c r="AV182" s="199">
        <f t="shared" si="24"/>
        <v>-10571.583880000002</v>
      </c>
      <c r="AW182" s="142">
        <f>AJ182*Valores!$C$72</f>
        <v>-2594.8433160000004</v>
      </c>
      <c r="AX182" s="142">
        <f>AJ182*Valores!$C$73</f>
        <v>-288.31592400000005</v>
      </c>
      <c r="AY182" s="146">
        <f t="shared" si="32"/>
        <v>88993.724880000023</v>
      </c>
      <c r="AZ182" s="150"/>
      <c r="BA182" s="150">
        <v>45</v>
      </c>
      <c r="BB182" s="135" t="s">
        <v>4</v>
      </c>
    </row>
    <row r="183" spans="1:54" s="114" customFormat="1" ht="11.25" customHeight="1" x14ac:dyDescent="0.15">
      <c r="A183" s="134">
        <v>181</v>
      </c>
      <c r="B183" s="134"/>
      <c r="C183" s="135" t="s">
        <v>474</v>
      </c>
      <c r="D183" s="135"/>
      <c r="E183" s="135">
        <f t="shared" si="25"/>
        <v>26</v>
      </c>
      <c r="F183" s="136" t="s">
        <v>475</v>
      </c>
      <c r="G183" s="137">
        <v>185</v>
      </c>
      <c r="H183" s="138">
        <f>INT((G183*Valores!$C$2*100)+0.5)/100</f>
        <v>2475.7800000000002</v>
      </c>
      <c r="I183" s="156">
        <f>1835</f>
        <v>1835</v>
      </c>
      <c r="J183" s="140">
        <f>INT((I183*Valores!$C$2*100)+0.5)/100</f>
        <v>24557.07</v>
      </c>
      <c r="K183" s="155">
        <v>0</v>
      </c>
      <c r="L183" s="140">
        <f>INT((K183*Valores!$C$2*100)+0.5)/100</f>
        <v>0</v>
      </c>
      <c r="M183" s="153">
        <v>1300</v>
      </c>
      <c r="N183" s="140">
        <f>INT((M183*Valores!$C$2*100)+0.5)/100</f>
        <v>17397.38</v>
      </c>
      <c r="O183" s="140">
        <f t="shared" si="26"/>
        <v>8120.191499999999</v>
      </c>
      <c r="P183" s="140">
        <f t="shared" si="27"/>
        <v>0</v>
      </c>
      <c r="Q183" s="154">
        <f>Valores!$C$16</f>
        <v>14032.86</v>
      </c>
      <c r="R183" s="154">
        <f>Valores!$D$4</f>
        <v>6841.19</v>
      </c>
      <c r="S183" s="154">
        <f>Valores!$C$28</f>
        <v>6103.41</v>
      </c>
      <c r="T183" s="143">
        <f>IF($H$5="NO",Valores!$C$45,Valores!$C$45/2)</f>
        <v>3338.57</v>
      </c>
      <c r="U183" s="140">
        <f>Valores!$C$25</f>
        <v>6365.81</v>
      </c>
      <c r="V183" s="140">
        <f t="shared" si="33"/>
        <v>6365.81</v>
      </c>
      <c r="W183" s="140">
        <v>0</v>
      </c>
      <c r="X183" s="140">
        <v>0</v>
      </c>
      <c r="Y183" s="144">
        <v>0</v>
      </c>
      <c r="Z183" s="140">
        <f>Y183*Valores!$C$2</f>
        <v>0</v>
      </c>
      <c r="AA183" s="140">
        <v>0</v>
      </c>
      <c r="AB183" s="143">
        <f>Valores!$C$92</f>
        <v>5150.78</v>
      </c>
      <c r="AC183" s="145">
        <f>Valores!$C$31</f>
        <v>279.8</v>
      </c>
      <c r="AD183" s="140">
        <f t="shared" si="29"/>
        <v>0</v>
      </c>
      <c r="AE183" s="140">
        <f>Valores!$C$32</f>
        <v>279.8</v>
      </c>
      <c r="AF183" s="144">
        <v>0</v>
      </c>
      <c r="AG183" s="140">
        <f>INT(((AF183*Valores!$C$2)*100)+0.5)/100</f>
        <v>0</v>
      </c>
      <c r="AH183" s="140">
        <f>IF($H$5="NO",Valores!$C$60,Valores!$C$60/2)</f>
        <v>569.14</v>
      </c>
      <c r="AI183" s="140">
        <f>IF($H$5="NO",Valores!$C$62,Valores!$C$62/2)</f>
        <v>162.61000000000001</v>
      </c>
      <c r="AJ183" s="146">
        <f t="shared" si="30"/>
        <v>95674.391500000012</v>
      </c>
      <c r="AK183" s="154">
        <f>Valores!$C$37</f>
        <v>1465.56</v>
      </c>
      <c r="AL183" s="143">
        <f>Valores!$C$87</f>
        <v>4550</v>
      </c>
      <c r="AM183" s="143"/>
      <c r="AN183" s="145">
        <f>IF($H$4="NO",0,Valores!$C$52)</f>
        <v>327.60000000000002</v>
      </c>
      <c r="AO183" s="147">
        <f t="shared" si="28"/>
        <v>6343.16</v>
      </c>
      <c r="AP183" s="148">
        <f>AJ183*Valores!$C$69</f>
        <v>-10524.183065000001</v>
      </c>
      <c r="AQ183" s="149">
        <f>AJ183*-Valores!$C$70</f>
        <v>0</v>
      </c>
      <c r="AR183" s="142">
        <f>AJ183*Valores!$C$71</f>
        <v>-4305.3476175000005</v>
      </c>
      <c r="AS183" s="142">
        <f>Valores!$C$95</f>
        <v>-193.38</v>
      </c>
      <c r="AT183" s="142">
        <f>IF($H$6=0,Valores!$C$96,(Valores!$C$96+$H$6*(Valores!$C$96)))</f>
        <v>-178</v>
      </c>
      <c r="AU183" s="146">
        <f t="shared" si="31"/>
        <v>86816.640817500011</v>
      </c>
      <c r="AV183" s="199">
        <f t="shared" si="24"/>
        <v>-10524.183065000001</v>
      </c>
      <c r="AW183" s="142">
        <f>AJ183*Valores!$C$72</f>
        <v>-2583.2085705000004</v>
      </c>
      <c r="AX183" s="142">
        <f>AJ183*Valores!$C$73</f>
        <v>-287.02317450000004</v>
      </c>
      <c r="AY183" s="146">
        <f t="shared" si="32"/>
        <v>88623.136690000014</v>
      </c>
      <c r="AZ183" s="150"/>
      <c r="BA183" s="150">
        <v>45</v>
      </c>
      <c r="BB183" s="135" t="s">
        <v>4</v>
      </c>
    </row>
    <row r="184" spans="1:54" s="114" customFormat="1" ht="11.25" customHeight="1" x14ac:dyDescent="0.15">
      <c r="A184" s="134">
        <v>182</v>
      </c>
      <c r="B184" s="134"/>
      <c r="C184" s="135" t="s">
        <v>476</v>
      </c>
      <c r="D184" s="135"/>
      <c r="E184" s="135">
        <f t="shared" si="25"/>
        <v>26</v>
      </c>
      <c r="F184" s="136" t="s">
        <v>477</v>
      </c>
      <c r="G184" s="137">
        <v>160</v>
      </c>
      <c r="H184" s="138">
        <f>INT((G184*Valores!$C$2*100)+0.5)/100</f>
        <v>2141.2199999999998</v>
      </c>
      <c r="I184" s="156">
        <f>1484</f>
        <v>1484</v>
      </c>
      <c r="J184" s="140">
        <f>INT((I184*Valores!$C$2*100)+0.5)/100</f>
        <v>19859.78</v>
      </c>
      <c r="K184" s="155">
        <v>0</v>
      </c>
      <c r="L184" s="140">
        <f>INT((K184*Valores!$C$2*100)+0.5)/100</f>
        <v>0</v>
      </c>
      <c r="M184" s="153">
        <v>1300</v>
      </c>
      <c r="N184" s="140">
        <f>INT((M184*Valores!$C$2*100)+0.5)/100</f>
        <v>17397.38</v>
      </c>
      <c r="O184" s="140">
        <f t="shared" si="26"/>
        <v>7365.4139999999998</v>
      </c>
      <c r="P184" s="140">
        <f t="shared" si="27"/>
        <v>0</v>
      </c>
      <c r="Q184" s="154">
        <f>Valores!$C$16</f>
        <v>14032.86</v>
      </c>
      <c r="R184" s="154">
        <f>Valores!$D$4</f>
        <v>6841.19</v>
      </c>
      <c r="S184" s="140">
        <f>Valores!$C$28</f>
        <v>6103.41</v>
      </c>
      <c r="T184" s="143">
        <f>IF($H$5="NO",Valores!$C$45,Valores!$C$45/2)</f>
        <v>3338.57</v>
      </c>
      <c r="U184" s="140">
        <f>Valores!$C$25</f>
        <v>6365.81</v>
      </c>
      <c r="V184" s="140">
        <f t="shared" si="33"/>
        <v>6365.81</v>
      </c>
      <c r="W184" s="140">
        <v>0</v>
      </c>
      <c r="X184" s="140">
        <v>0</v>
      </c>
      <c r="Y184" s="144">
        <v>0</v>
      </c>
      <c r="Z184" s="140">
        <f>Y184*Valores!$C$2</f>
        <v>0</v>
      </c>
      <c r="AA184" s="140">
        <v>0</v>
      </c>
      <c r="AB184" s="143">
        <f>Valores!$C$92</f>
        <v>5150.78</v>
      </c>
      <c r="AC184" s="145">
        <f>Valores!$C$31</f>
        <v>279.8</v>
      </c>
      <c r="AD184" s="140">
        <f t="shared" si="29"/>
        <v>0</v>
      </c>
      <c r="AE184" s="140">
        <f>Valores!$C$32</f>
        <v>279.8</v>
      </c>
      <c r="AF184" s="144">
        <v>0</v>
      </c>
      <c r="AG184" s="140">
        <f>INT(((AF184*Valores!$C$2)*100)+0.5)/100</f>
        <v>0</v>
      </c>
      <c r="AH184" s="140">
        <f>IF($H$5="NO",Valores!$C$60,Valores!$C$60/2)</f>
        <v>569.14</v>
      </c>
      <c r="AI184" s="140">
        <f>IF($H$5="NO",Valores!$C$62,Valores!$C$62/2)</f>
        <v>162.61000000000001</v>
      </c>
      <c r="AJ184" s="146">
        <f t="shared" si="30"/>
        <v>89887.76400000001</v>
      </c>
      <c r="AK184" s="154">
        <f>Valores!$C$37</f>
        <v>1465.56</v>
      </c>
      <c r="AL184" s="143">
        <f>Valores!$C$87</f>
        <v>4550</v>
      </c>
      <c r="AM184" s="143"/>
      <c r="AN184" s="145">
        <f>IF($H$4="NO",0,Valores!$C$52)</f>
        <v>327.60000000000002</v>
      </c>
      <c r="AO184" s="147">
        <f t="shared" si="28"/>
        <v>6343.16</v>
      </c>
      <c r="AP184" s="148">
        <f>AJ184*Valores!$C$69</f>
        <v>-9887.6540400000013</v>
      </c>
      <c r="AQ184" s="149">
        <f>AJ184*-Valores!$C$70</f>
        <v>0</v>
      </c>
      <c r="AR184" s="142">
        <f>AJ184*Valores!$C$71</f>
        <v>-4044.9493800000005</v>
      </c>
      <c r="AS184" s="142">
        <f>Valores!$C$95</f>
        <v>-193.38</v>
      </c>
      <c r="AT184" s="142">
        <f>IF($H$6=0,Valores!$C$96,(Valores!$C$96+$H$6*(Valores!$C$96)))</f>
        <v>-178</v>
      </c>
      <c r="AU184" s="146">
        <f t="shared" si="31"/>
        <v>81926.94058000001</v>
      </c>
      <c r="AV184" s="199">
        <f t="shared" si="24"/>
        <v>-9887.6540400000013</v>
      </c>
      <c r="AW184" s="142">
        <f>AJ184*Valores!$C$72</f>
        <v>-2426.9696280000003</v>
      </c>
      <c r="AX184" s="142">
        <f>AJ184*Valores!$C$73</f>
        <v>-269.66329200000001</v>
      </c>
      <c r="AY184" s="146">
        <f t="shared" si="32"/>
        <v>83646.637040000016</v>
      </c>
      <c r="AZ184" s="150"/>
      <c r="BA184" s="150">
        <v>45</v>
      </c>
      <c r="BB184" s="135" t="s">
        <v>4</v>
      </c>
    </row>
    <row r="185" spans="1:54" s="114" customFormat="1" ht="11.25" customHeight="1" x14ac:dyDescent="0.15">
      <c r="A185" s="134">
        <v>183</v>
      </c>
      <c r="B185" s="134"/>
      <c r="C185" s="135" t="s">
        <v>478</v>
      </c>
      <c r="D185" s="135"/>
      <c r="E185" s="135">
        <f t="shared" si="25"/>
        <v>22</v>
      </c>
      <c r="F185" s="136" t="s">
        <v>479</v>
      </c>
      <c r="G185" s="137">
        <v>1278</v>
      </c>
      <c r="H185" s="138">
        <f>INT((G185*Valores!$C$2*100)+0.5)/100</f>
        <v>17102.96</v>
      </c>
      <c r="I185" s="156">
        <v>0</v>
      </c>
      <c r="J185" s="140">
        <f>INT((I185*Valores!$C$2*100)+0.5)/100</f>
        <v>0</v>
      </c>
      <c r="K185" s="155">
        <v>0</v>
      </c>
      <c r="L185" s="140">
        <f>INT((K185*Valores!$C$2*100)+0.5)/100</f>
        <v>0</v>
      </c>
      <c r="M185" s="153">
        <v>1200</v>
      </c>
      <c r="N185" s="140">
        <f>INT((M185*Valores!$C$2*100)+0.5)/100</f>
        <v>16059.12</v>
      </c>
      <c r="O185" s="140">
        <f t="shared" si="26"/>
        <v>6429.9690000000001</v>
      </c>
      <c r="P185" s="140">
        <f t="shared" si="27"/>
        <v>0</v>
      </c>
      <c r="Q185" s="154">
        <f>Valores!$C$21</f>
        <v>11564.28</v>
      </c>
      <c r="R185" s="154">
        <f>Valores!$D$4</f>
        <v>6841.19</v>
      </c>
      <c r="S185" s="154">
        <f>Valores!$C$28</f>
        <v>6103.41</v>
      </c>
      <c r="T185" s="143">
        <f>IF($H$5="NO",Valores!$C$45,Valores!$C$45/2)</f>
        <v>3338.57</v>
      </c>
      <c r="U185" s="140">
        <f>Valores!$C$25</f>
        <v>6365.81</v>
      </c>
      <c r="V185" s="140">
        <f t="shared" si="33"/>
        <v>6365.81</v>
      </c>
      <c r="W185" s="140">
        <v>0</v>
      </c>
      <c r="X185" s="140">
        <v>0</v>
      </c>
      <c r="Y185" s="144">
        <v>0</v>
      </c>
      <c r="Z185" s="140">
        <f>Y185*Valores!$C$2</f>
        <v>0</v>
      </c>
      <c r="AA185" s="140">
        <v>0</v>
      </c>
      <c r="AB185" s="143">
        <f>Valores!$C$92</f>
        <v>5150.78</v>
      </c>
      <c r="AC185" s="145">
        <f>Valores!$C$31</f>
        <v>279.8</v>
      </c>
      <c r="AD185" s="140">
        <f t="shared" si="29"/>
        <v>0</v>
      </c>
      <c r="AE185" s="140">
        <f>Valores!$C$32</f>
        <v>279.8</v>
      </c>
      <c r="AF185" s="144">
        <v>0</v>
      </c>
      <c r="AG185" s="140">
        <f>INT(((AF185*Valores!$C$2)*100)+0.5)/100</f>
        <v>0</v>
      </c>
      <c r="AH185" s="140">
        <f>IF($H$5="NO",Valores!$C$60,Valores!$C$60/2)</f>
        <v>569.14</v>
      </c>
      <c r="AI185" s="140">
        <f>IF($H$5="NO",Valores!$C$62,Valores!$C$62/2)</f>
        <v>162.61000000000001</v>
      </c>
      <c r="AJ185" s="146">
        <f t="shared" si="30"/>
        <v>80247.439000000013</v>
      </c>
      <c r="AK185" s="154">
        <f>Valores!$C$37</f>
        <v>1465.56</v>
      </c>
      <c r="AL185" s="143">
        <f>Valores!$C$87</f>
        <v>4550</v>
      </c>
      <c r="AM185" s="143"/>
      <c r="AN185" s="145">
        <f>IF($H$4="NO",0,Valores!$C$52)</f>
        <v>327.60000000000002</v>
      </c>
      <c r="AO185" s="147">
        <f t="shared" si="28"/>
        <v>6343.16</v>
      </c>
      <c r="AP185" s="148">
        <f>AJ185*Valores!$C$69</f>
        <v>-8827.2182900000007</v>
      </c>
      <c r="AQ185" s="149">
        <f>AJ185*-Valores!$C$70</f>
        <v>0</v>
      </c>
      <c r="AR185" s="142">
        <f>AJ185*Valores!$C$71</f>
        <v>-3611.1347550000005</v>
      </c>
      <c r="AS185" s="142">
        <f>Valores!$C$95</f>
        <v>-193.38</v>
      </c>
      <c r="AT185" s="142">
        <f>IF($H$6=0,Valores!$C$96,(Valores!$C$96+$H$6*(Valores!$C$96)))</f>
        <v>-178</v>
      </c>
      <c r="AU185" s="146">
        <f t="shared" si="31"/>
        <v>73780.865955000016</v>
      </c>
      <c r="AV185" s="199">
        <f t="shared" si="24"/>
        <v>-8827.2182900000007</v>
      </c>
      <c r="AW185" s="142">
        <f>AJ185*Valores!$C$72</f>
        <v>-2166.6808530000003</v>
      </c>
      <c r="AX185" s="142">
        <f>AJ185*Valores!$C$73</f>
        <v>-240.74231700000004</v>
      </c>
      <c r="AY185" s="146">
        <f t="shared" si="32"/>
        <v>75355.957540000018</v>
      </c>
      <c r="AZ185" s="150"/>
      <c r="BA185" s="150"/>
      <c r="BB185" s="135" t="s">
        <v>4</v>
      </c>
    </row>
    <row r="186" spans="1:54" s="114" customFormat="1" ht="11.25" customHeight="1" x14ac:dyDescent="0.15">
      <c r="A186" s="134">
        <v>184</v>
      </c>
      <c r="B186" s="134"/>
      <c r="C186" s="135" t="s">
        <v>480</v>
      </c>
      <c r="D186" s="135"/>
      <c r="E186" s="135">
        <f t="shared" si="25"/>
        <v>28</v>
      </c>
      <c r="F186" s="136" t="s">
        <v>481</v>
      </c>
      <c r="G186" s="137">
        <v>971</v>
      </c>
      <c r="H186" s="138">
        <f>INT((G186*Valores!$C$2*100)+0.5)/100</f>
        <v>12994.5</v>
      </c>
      <c r="I186" s="156">
        <v>0</v>
      </c>
      <c r="J186" s="140">
        <f>INT((I186*Valores!$C$2*100)+0.5)/100</f>
        <v>0</v>
      </c>
      <c r="K186" s="155">
        <v>0</v>
      </c>
      <c r="L186" s="140">
        <f>INT((K186*Valores!$C$2*100)+0.5)/100</f>
        <v>0</v>
      </c>
      <c r="M186" s="153">
        <v>660</v>
      </c>
      <c r="N186" s="140">
        <f>INT((M186*Valores!$C$2*100)+0.5)/100</f>
        <v>8832.52</v>
      </c>
      <c r="O186" s="140">
        <f t="shared" si="26"/>
        <v>4729.71</v>
      </c>
      <c r="P186" s="140">
        <f t="shared" si="27"/>
        <v>0</v>
      </c>
      <c r="Q186" s="154">
        <f>Valores!$C$21</f>
        <v>11564.28</v>
      </c>
      <c r="R186" s="154">
        <f>Valores!$D$4</f>
        <v>6841.19</v>
      </c>
      <c r="S186" s="154">
        <f>Valores!$C$29</f>
        <v>5680.65</v>
      </c>
      <c r="T186" s="143">
        <f>IF($H$5="NO",Valores!$C$45,Valores!$C$45/2)</f>
        <v>3338.57</v>
      </c>
      <c r="U186" s="140">
        <f>Valores!$C$25</f>
        <v>6365.81</v>
      </c>
      <c r="V186" s="140">
        <f t="shared" si="33"/>
        <v>6365.81</v>
      </c>
      <c r="W186" s="140">
        <v>0</v>
      </c>
      <c r="X186" s="140">
        <v>0</v>
      </c>
      <c r="Y186" s="144">
        <v>0</v>
      </c>
      <c r="Z186" s="140">
        <f>Y186*Valores!$C$2</f>
        <v>0</v>
      </c>
      <c r="AA186" s="140">
        <v>0</v>
      </c>
      <c r="AB186" s="143">
        <f>Valores!$C$92</f>
        <v>5150.78</v>
      </c>
      <c r="AC186" s="145">
        <f>Valores!$C$31</f>
        <v>279.8</v>
      </c>
      <c r="AD186" s="140">
        <f t="shared" si="29"/>
        <v>0</v>
      </c>
      <c r="AE186" s="140">
        <f>Valores!$C$32</f>
        <v>279.8</v>
      </c>
      <c r="AF186" s="144">
        <v>0</v>
      </c>
      <c r="AG186" s="140">
        <f>INT(((AF186*Valores!$C$2)*100)+0.5)/100</f>
        <v>0</v>
      </c>
      <c r="AH186" s="140">
        <f>IF($H$5="NO",Valores!$C$60,Valores!$C$60/2)</f>
        <v>569.14</v>
      </c>
      <c r="AI186" s="140">
        <f>IF($H$5="NO",Valores!$C$62,Valores!$C$62/2)</f>
        <v>162.61000000000001</v>
      </c>
      <c r="AJ186" s="146">
        <f t="shared" si="30"/>
        <v>66789.360000000015</v>
      </c>
      <c r="AK186" s="154">
        <f>Valores!$C$37</f>
        <v>1465.56</v>
      </c>
      <c r="AL186" s="143">
        <f>Valores!$C$87</f>
        <v>4550</v>
      </c>
      <c r="AM186" s="143"/>
      <c r="AN186" s="145">
        <f>IF($H$4="NO",0,Valores!$C$52)</f>
        <v>327.60000000000002</v>
      </c>
      <c r="AO186" s="147">
        <f t="shared" si="28"/>
        <v>6343.16</v>
      </c>
      <c r="AP186" s="148">
        <f>AJ186*Valores!$C$69</f>
        <v>-7346.8296000000018</v>
      </c>
      <c r="AQ186" s="149">
        <f>AJ186*-Valores!$C$70</f>
        <v>0</v>
      </c>
      <c r="AR186" s="142">
        <f>AJ186*Valores!$C$71</f>
        <v>-3005.5212000000006</v>
      </c>
      <c r="AS186" s="142">
        <f>Valores!$C$95</f>
        <v>-193.38</v>
      </c>
      <c r="AT186" s="142">
        <f>IF($H$6=0,Valores!$C$96,(Valores!$C$96+$H$6*(Valores!$C$96)))</f>
        <v>-178</v>
      </c>
      <c r="AU186" s="146">
        <f t="shared" si="31"/>
        <v>62408.789200000014</v>
      </c>
      <c r="AV186" s="199">
        <f t="shared" si="24"/>
        <v>-7346.8296000000018</v>
      </c>
      <c r="AW186" s="142">
        <f>AJ186*Valores!$C$72</f>
        <v>-1803.3127200000004</v>
      </c>
      <c r="AX186" s="142">
        <f>AJ186*Valores!$C$73</f>
        <v>-200.36808000000005</v>
      </c>
      <c r="AY186" s="146">
        <f t="shared" si="32"/>
        <v>63782.009600000019</v>
      </c>
      <c r="AZ186" s="150"/>
      <c r="BA186" s="150">
        <v>18</v>
      </c>
      <c r="BB186" s="135" t="s">
        <v>4</v>
      </c>
    </row>
    <row r="187" spans="1:54" s="114" customFormat="1" ht="11.25" customHeight="1" x14ac:dyDescent="0.15">
      <c r="A187" s="152">
        <v>185</v>
      </c>
      <c r="B187" s="152" t="s">
        <v>139</v>
      </c>
      <c r="C187" s="135" t="s">
        <v>482</v>
      </c>
      <c r="D187" s="135"/>
      <c r="E187" s="135">
        <f t="shared" si="25"/>
        <v>23</v>
      </c>
      <c r="F187" s="136" t="s">
        <v>483</v>
      </c>
      <c r="G187" s="137">
        <v>179</v>
      </c>
      <c r="H187" s="138">
        <f>INT((G187*Valores!$C$2*100)+0.5)/100</f>
        <v>2395.4899999999998</v>
      </c>
      <c r="I187" s="156">
        <f>1323</f>
        <v>1323</v>
      </c>
      <c r="J187" s="140">
        <f>INT((I187*Valores!$C$2*100)+0.5)/100</f>
        <v>17705.18</v>
      </c>
      <c r="K187" s="155">
        <v>0</v>
      </c>
      <c r="L187" s="140">
        <f>INT((K187*Valores!$C$2*100)+0.5)/100</f>
        <v>0</v>
      </c>
      <c r="M187" s="153">
        <v>1300</v>
      </c>
      <c r="N187" s="140">
        <f>INT((M187*Valores!$C$2*100)+0.5)/100</f>
        <v>17397.38</v>
      </c>
      <c r="O187" s="140">
        <f t="shared" si="26"/>
        <v>7080.3644999999997</v>
      </c>
      <c r="P187" s="140">
        <f t="shared" si="27"/>
        <v>0</v>
      </c>
      <c r="Q187" s="154">
        <f>Valores!$C$16</f>
        <v>14032.86</v>
      </c>
      <c r="R187" s="154">
        <f>Valores!$D$4</f>
        <v>6841.19</v>
      </c>
      <c r="S187" s="154">
        <f>Valores!$C$28</f>
        <v>6103.41</v>
      </c>
      <c r="T187" s="143">
        <f>IF($H$5="NO",Valores!$C$45,Valores!$C$45/2)</f>
        <v>3338.57</v>
      </c>
      <c r="U187" s="140">
        <f>Valores!$C$25</f>
        <v>6365.81</v>
      </c>
      <c r="V187" s="140">
        <f t="shared" si="33"/>
        <v>6365.81</v>
      </c>
      <c r="W187" s="140">
        <v>0</v>
      </c>
      <c r="X187" s="140">
        <v>0</v>
      </c>
      <c r="Y187" s="144">
        <v>0</v>
      </c>
      <c r="Z187" s="140">
        <f>Y187*Valores!$C$2</f>
        <v>0</v>
      </c>
      <c r="AA187" s="140">
        <v>0</v>
      </c>
      <c r="AB187" s="143">
        <f>Valores!$C$92</f>
        <v>5150.78</v>
      </c>
      <c r="AC187" s="145">
        <f>Valores!$C$31</f>
        <v>279.8</v>
      </c>
      <c r="AD187" s="140">
        <f t="shared" si="29"/>
        <v>0</v>
      </c>
      <c r="AE187" s="140">
        <f>Valores!$C$32</f>
        <v>279.8</v>
      </c>
      <c r="AF187" s="144">
        <v>0</v>
      </c>
      <c r="AG187" s="140">
        <f>INT(((AF187*Valores!$C$2)*100)+0.5)/100</f>
        <v>0</v>
      </c>
      <c r="AH187" s="140">
        <f>IF($H$5="NO",Valores!$C$60,Valores!$C$60/2)</f>
        <v>569.14</v>
      </c>
      <c r="AI187" s="140">
        <f>IF($H$5="NO",Valores!$C$62,Valores!$C$62/2)</f>
        <v>162.61000000000001</v>
      </c>
      <c r="AJ187" s="146">
        <f t="shared" si="30"/>
        <v>87702.384500000015</v>
      </c>
      <c r="AK187" s="154">
        <f>Valores!$C$37</f>
        <v>1465.56</v>
      </c>
      <c r="AL187" s="143">
        <f>Valores!$C$87</f>
        <v>4550</v>
      </c>
      <c r="AM187" s="143"/>
      <c r="AN187" s="145">
        <v>0</v>
      </c>
      <c r="AO187" s="147">
        <f t="shared" si="28"/>
        <v>6015.5599999999995</v>
      </c>
      <c r="AP187" s="148">
        <f>AJ187*Valores!$C$69</f>
        <v>-9647.2622950000023</v>
      </c>
      <c r="AQ187" s="149">
        <f>AJ187*-Valores!$C$70</f>
        <v>0</v>
      </c>
      <c r="AR187" s="142">
        <f>AJ187*Valores!$C$71</f>
        <v>-3946.6073025000005</v>
      </c>
      <c r="AS187" s="142">
        <f>Valores!$C$95</f>
        <v>-193.38</v>
      </c>
      <c r="AT187" s="142">
        <f>IF($H$6=0,Valores!$C$96,(Valores!$C$96+$H$6*(Valores!$C$96)))</f>
        <v>-178</v>
      </c>
      <c r="AU187" s="146">
        <f t="shared" si="31"/>
        <v>79752.694902500007</v>
      </c>
      <c r="AV187" s="199">
        <f t="shared" si="24"/>
        <v>-9647.2622950000023</v>
      </c>
      <c r="AW187" s="142">
        <f>AJ187*Valores!$C$72</f>
        <v>-2367.9643815000004</v>
      </c>
      <c r="AX187" s="142">
        <f>AJ187*Valores!$C$73</f>
        <v>-263.10715350000004</v>
      </c>
      <c r="AY187" s="146">
        <f t="shared" si="32"/>
        <v>81439.610670000009</v>
      </c>
      <c r="AZ187" s="150"/>
      <c r="BA187" s="150">
        <v>45</v>
      </c>
      <c r="BB187" s="135" t="s">
        <v>4</v>
      </c>
    </row>
    <row r="188" spans="1:54" s="114" customFormat="1" ht="11.25" customHeight="1" x14ac:dyDescent="0.15">
      <c r="A188" s="134">
        <v>186</v>
      </c>
      <c r="B188" s="134"/>
      <c r="C188" s="135" t="s">
        <v>484</v>
      </c>
      <c r="D188" s="135"/>
      <c r="E188" s="135">
        <f t="shared" si="25"/>
        <v>26</v>
      </c>
      <c r="F188" s="136" t="s">
        <v>485</v>
      </c>
      <c r="G188" s="137">
        <v>64</v>
      </c>
      <c r="H188" s="138">
        <f>INT((G188*Valores!$C$2*100)+0.5)/100</f>
        <v>856.49</v>
      </c>
      <c r="I188" s="156">
        <v>1354</v>
      </c>
      <c r="J188" s="140">
        <f>INT((I188*Valores!$C$2*100)+0.5)/100</f>
        <v>18120.04</v>
      </c>
      <c r="K188" s="155">
        <v>0</v>
      </c>
      <c r="L188" s="140">
        <f>INT((K188*Valores!$C$2*100)+0.5)/100</f>
        <v>0</v>
      </c>
      <c r="M188" s="153">
        <v>1200</v>
      </c>
      <c r="N188" s="140">
        <f>INT((M188*Valores!$C$2*100)+0.5)/100</f>
        <v>16059.12</v>
      </c>
      <c r="O188" s="140">
        <f t="shared" si="26"/>
        <v>6701.2425000000003</v>
      </c>
      <c r="P188" s="140">
        <f t="shared" si="27"/>
        <v>0</v>
      </c>
      <c r="Q188" s="154">
        <f>Valores!$C$21</f>
        <v>11564.28</v>
      </c>
      <c r="R188" s="154">
        <f>Valores!$D$4</f>
        <v>6841.19</v>
      </c>
      <c r="S188" s="140">
        <v>0</v>
      </c>
      <c r="T188" s="143">
        <f>IF($H$5="NO",Valores!$C$45,Valores!$C$45/2)</f>
        <v>3338.57</v>
      </c>
      <c r="U188" s="154">
        <f>Valores!$C$26</f>
        <v>6300.73</v>
      </c>
      <c r="V188" s="140">
        <f t="shared" si="33"/>
        <v>6300.73</v>
      </c>
      <c r="W188" s="140">
        <v>0</v>
      </c>
      <c r="X188" s="140">
        <v>0</v>
      </c>
      <c r="Y188" s="144">
        <v>0</v>
      </c>
      <c r="Z188" s="140">
        <f>Y188*Valores!$C$2</f>
        <v>0</v>
      </c>
      <c r="AA188" s="140">
        <v>0</v>
      </c>
      <c r="AB188" s="143">
        <f>Valores!$C$92</f>
        <v>5150.78</v>
      </c>
      <c r="AC188" s="145">
        <f>Valores!$C$31</f>
        <v>279.8</v>
      </c>
      <c r="AD188" s="140">
        <f t="shared" si="29"/>
        <v>0</v>
      </c>
      <c r="AE188" s="140">
        <f>Valores!$C$32</f>
        <v>279.8</v>
      </c>
      <c r="AF188" s="144">
        <v>0</v>
      </c>
      <c r="AG188" s="140">
        <f>INT(((AF188*Valores!$C$2)*100)+0.5)/100</f>
        <v>0</v>
      </c>
      <c r="AH188" s="140">
        <f>IF($H$5="NO",Valores!$C$60,Valores!$C$60/2)</f>
        <v>569.14</v>
      </c>
      <c r="AI188" s="140">
        <f>IF($H$5="NO",Valores!$C$62,Valores!$C$62/2)</f>
        <v>162.61000000000001</v>
      </c>
      <c r="AJ188" s="146">
        <f t="shared" si="30"/>
        <v>76223.79250000001</v>
      </c>
      <c r="AK188" s="154">
        <f>Valores!$C$37</f>
        <v>1465.56</v>
      </c>
      <c r="AL188" s="143">
        <f>Valores!$C$87</f>
        <v>4550</v>
      </c>
      <c r="AM188" s="143"/>
      <c r="AN188" s="145">
        <v>0</v>
      </c>
      <c r="AO188" s="147">
        <f t="shared" si="28"/>
        <v>6015.5599999999995</v>
      </c>
      <c r="AP188" s="148">
        <f>AJ188*Valores!$C$69</f>
        <v>-8384.6171750000012</v>
      </c>
      <c r="AQ188" s="149">
        <f>AJ188*-Valores!$C$70</f>
        <v>0</v>
      </c>
      <c r="AR188" s="142">
        <f>AJ188*Valores!$C$71</f>
        <v>-3430.0706625000003</v>
      </c>
      <c r="AS188" s="142">
        <f>Valores!$C$95</f>
        <v>-193.38</v>
      </c>
      <c r="AT188" s="142">
        <f>IF($H$6=0,Valores!$C$96,(Valores!$C$96+$H$6*(Valores!$C$96)))</f>
        <v>-178</v>
      </c>
      <c r="AU188" s="146">
        <f t="shared" si="31"/>
        <v>70053.284662500009</v>
      </c>
      <c r="AV188" s="199">
        <f t="shared" si="24"/>
        <v>-8384.6171750000012</v>
      </c>
      <c r="AW188" s="142">
        <f>AJ188*Valores!$C$72</f>
        <v>-2058.0423975000003</v>
      </c>
      <c r="AX188" s="142">
        <f>AJ188*Valores!$C$73</f>
        <v>-228.67137750000003</v>
      </c>
      <c r="AY188" s="146">
        <f t="shared" si="32"/>
        <v>71568.021550000005</v>
      </c>
      <c r="AZ188" s="150"/>
      <c r="BA188" s="150">
        <v>30</v>
      </c>
      <c r="BB188" s="135" t="s">
        <v>8</v>
      </c>
    </row>
    <row r="189" spans="1:54" s="114" customFormat="1" ht="11.25" customHeight="1" x14ac:dyDescent="0.15">
      <c r="A189" s="134">
        <v>187</v>
      </c>
      <c r="B189" s="134"/>
      <c r="C189" s="135" t="s">
        <v>486</v>
      </c>
      <c r="D189" s="135"/>
      <c r="E189" s="135">
        <f t="shared" si="25"/>
        <v>26</v>
      </c>
      <c r="F189" s="136" t="s">
        <v>487</v>
      </c>
      <c r="G189" s="137">
        <v>55</v>
      </c>
      <c r="H189" s="138">
        <f>INT((G189*Valores!$C$2*100)+0.5)/100</f>
        <v>736.04</v>
      </c>
      <c r="I189" s="156">
        <v>1279</v>
      </c>
      <c r="J189" s="140">
        <f>INT((I189*Valores!$C$2*100)+0.5)/100</f>
        <v>17116.349999999999</v>
      </c>
      <c r="K189" s="155">
        <v>0</v>
      </c>
      <c r="L189" s="140">
        <f>INT((K189*Valores!$C$2*100)+0.5)/100</f>
        <v>0</v>
      </c>
      <c r="M189" s="153">
        <v>1200</v>
      </c>
      <c r="N189" s="140">
        <f>INT((M189*Valores!$C$2*100)+0.5)/100</f>
        <v>16059.12</v>
      </c>
      <c r="O189" s="140">
        <f t="shared" si="26"/>
        <v>6542.3834999999999</v>
      </c>
      <c r="P189" s="140">
        <f t="shared" si="27"/>
        <v>0</v>
      </c>
      <c r="Q189" s="154">
        <f>Valores!$C$21</f>
        <v>11564.28</v>
      </c>
      <c r="R189" s="154">
        <f>Valores!$D$4</f>
        <v>6841.19</v>
      </c>
      <c r="S189" s="140">
        <v>0</v>
      </c>
      <c r="T189" s="143">
        <f>IF($H$5="NO",Valores!$C$45,Valores!$C$45/2)</f>
        <v>3338.57</v>
      </c>
      <c r="U189" s="140">
        <f>Valores!$C$25</f>
        <v>6365.81</v>
      </c>
      <c r="V189" s="140">
        <f t="shared" si="33"/>
        <v>6365.81</v>
      </c>
      <c r="W189" s="140">
        <v>0</v>
      </c>
      <c r="X189" s="140">
        <v>0</v>
      </c>
      <c r="Y189" s="144">
        <v>0</v>
      </c>
      <c r="Z189" s="140">
        <f>Y189*Valores!$C$2</f>
        <v>0</v>
      </c>
      <c r="AA189" s="140">
        <v>0</v>
      </c>
      <c r="AB189" s="143">
        <f>Valores!$C$92</f>
        <v>5150.78</v>
      </c>
      <c r="AC189" s="145">
        <f>Valores!$C$31</f>
        <v>279.8</v>
      </c>
      <c r="AD189" s="140">
        <f t="shared" si="29"/>
        <v>0</v>
      </c>
      <c r="AE189" s="140">
        <f>Valores!$C$32</f>
        <v>279.8</v>
      </c>
      <c r="AF189" s="144">
        <v>0</v>
      </c>
      <c r="AG189" s="140">
        <f>INT(((AF189*Valores!$C$2)*100)+0.5)/100</f>
        <v>0</v>
      </c>
      <c r="AH189" s="140">
        <f>IF($H$5="NO",Valores!$C$60,Valores!$C$60/2)</f>
        <v>569.14</v>
      </c>
      <c r="AI189" s="140">
        <f>IF($H$5="NO",Valores!$C$62,Valores!$C$62/2)</f>
        <v>162.61000000000001</v>
      </c>
      <c r="AJ189" s="146">
        <f t="shared" si="30"/>
        <v>75005.873500000016</v>
      </c>
      <c r="AK189" s="154">
        <f>Valores!$C$37</f>
        <v>1465.56</v>
      </c>
      <c r="AL189" s="143">
        <f>Valores!$C$87</f>
        <v>4550</v>
      </c>
      <c r="AM189" s="143"/>
      <c r="AN189" s="145">
        <v>0</v>
      </c>
      <c r="AO189" s="147">
        <f t="shared" si="28"/>
        <v>6015.5599999999995</v>
      </c>
      <c r="AP189" s="148">
        <f>AJ189*Valores!$C$69</f>
        <v>-8250.6460850000021</v>
      </c>
      <c r="AQ189" s="149">
        <f>AJ189*-Valores!$C$70</f>
        <v>0</v>
      </c>
      <c r="AR189" s="142">
        <f>AJ189*Valores!$C$71</f>
        <v>-3375.2643075000005</v>
      </c>
      <c r="AS189" s="142">
        <f>Valores!$C$95</f>
        <v>-193.38</v>
      </c>
      <c r="AT189" s="142">
        <f>IF($H$6=0,Valores!$C$96,(Valores!$C$96+$H$6*(Valores!$C$96)))</f>
        <v>-178</v>
      </c>
      <c r="AU189" s="146">
        <f t="shared" si="31"/>
        <v>69024.143107500015</v>
      </c>
      <c r="AV189" s="199">
        <f t="shared" si="24"/>
        <v>-8250.6460850000021</v>
      </c>
      <c r="AW189" s="142">
        <f>AJ189*Valores!$C$72</f>
        <v>-2025.1585845000004</v>
      </c>
      <c r="AX189" s="142">
        <f>AJ189*Valores!$C$73</f>
        <v>-225.01762050000005</v>
      </c>
      <c r="AY189" s="146">
        <f t="shared" si="32"/>
        <v>70520.611210000003</v>
      </c>
      <c r="AZ189" s="150"/>
      <c r="BA189" s="150">
        <v>30</v>
      </c>
      <c r="BB189" s="135" t="s">
        <v>8</v>
      </c>
    </row>
    <row r="190" spans="1:54" s="114" customFormat="1" ht="11.25" customHeight="1" x14ac:dyDescent="0.15">
      <c r="A190" s="134">
        <v>188</v>
      </c>
      <c r="B190" s="134"/>
      <c r="C190" s="135" t="s">
        <v>488</v>
      </c>
      <c r="D190" s="135"/>
      <c r="E190" s="135">
        <f t="shared" si="25"/>
        <v>24</v>
      </c>
      <c r="F190" s="136" t="s">
        <v>489</v>
      </c>
      <c r="G190" s="137">
        <v>1027</v>
      </c>
      <c r="H190" s="138">
        <f>INT((G190*Valores!$C$2*100)+0.5)/100</f>
        <v>13743.93</v>
      </c>
      <c r="I190" s="156">
        <v>0</v>
      </c>
      <c r="J190" s="140">
        <f>INT((I190*Valores!$C$2*100)+0.5)/100</f>
        <v>0</v>
      </c>
      <c r="K190" s="155">
        <v>0</v>
      </c>
      <c r="L190" s="140">
        <f>INT((K190*Valores!$C$2*100)+0.5)/100</f>
        <v>0</v>
      </c>
      <c r="M190" s="153">
        <v>1200</v>
      </c>
      <c r="N190" s="140">
        <f>INT((M190*Valores!$C$2*100)+0.5)/100</f>
        <v>16059.12</v>
      </c>
      <c r="O190" s="140">
        <f t="shared" si="26"/>
        <v>5916.3525</v>
      </c>
      <c r="P190" s="140">
        <f t="shared" si="27"/>
        <v>0</v>
      </c>
      <c r="Q190" s="154">
        <f>Valores!$C$21</f>
        <v>11564.28</v>
      </c>
      <c r="R190" s="154">
        <f>Valores!$D$4</f>
        <v>6841.19</v>
      </c>
      <c r="S190" s="140">
        <v>0</v>
      </c>
      <c r="T190" s="143">
        <f>IF($H$5="NO",Valores!$C$45,Valores!$C$45/2)</f>
        <v>3338.57</v>
      </c>
      <c r="U190" s="154">
        <f>Valores!$C$26</f>
        <v>6300.73</v>
      </c>
      <c r="V190" s="140">
        <f t="shared" si="33"/>
        <v>6300.73</v>
      </c>
      <c r="W190" s="140">
        <v>0</v>
      </c>
      <c r="X190" s="140">
        <v>0</v>
      </c>
      <c r="Y190" s="144">
        <v>0</v>
      </c>
      <c r="Z190" s="140">
        <f>Y190*Valores!$C$2</f>
        <v>0</v>
      </c>
      <c r="AA190" s="140">
        <v>0</v>
      </c>
      <c r="AB190" s="143">
        <f>Valores!$C$92</f>
        <v>5150.78</v>
      </c>
      <c r="AC190" s="145">
        <f>Valores!$C$31</f>
        <v>279.8</v>
      </c>
      <c r="AD190" s="140">
        <f t="shared" si="29"/>
        <v>0</v>
      </c>
      <c r="AE190" s="140">
        <f>Valores!$C$32</f>
        <v>279.8</v>
      </c>
      <c r="AF190" s="144">
        <v>0</v>
      </c>
      <c r="AG190" s="140">
        <f>INT(((AF190*Valores!$C$2)*100)+0.5)/100</f>
        <v>0</v>
      </c>
      <c r="AH190" s="140">
        <f>IF($H$5="NO",Valores!$C$60,Valores!$C$60/2)</f>
        <v>569.14</v>
      </c>
      <c r="AI190" s="140">
        <f>IF($H$5="NO",Valores!$C$62,Valores!$C$62/2)</f>
        <v>162.61000000000001</v>
      </c>
      <c r="AJ190" s="146">
        <f t="shared" si="30"/>
        <v>70206.30250000002</v>
      </c>
      <c r="AK190" s="154">
        <f>Valores!$C$37</f>
        <v>1465.56</v>
      </c>
      <c r="AL190" s="143">
        <f>Valores!$C$87</f>
        <v>4550</v>
      </c>
      <c r="AM190" s="143"/>
      <c r="AN190" s="145">
        <v>0</v>
      </c>
      <c r="AO190" s="147">
        <f t="shared" si="28"/>
        <v>6015.5599999999995</v>
      </c>
      <c r="AP190" s="148">
        <f>AJ190*Valores!$C$69</f>
        <v>-7722.6932750000024</v>
      </c>
      <c r="AQ190" s="149">
        <f>AJ190*-Valores!$C$70</f>
        <v>0</v>
      </c>
      <c r="AR190" s="142">
        <f>AJ190*Valores!$C$71</f>
        <v>-3159.2836125000008</v>
      </c>
      <c r="AS190" s="142">
        <f>Valores!$C$95</f>
        <v>-193.38</v>
      </c>
      <c r="AT190" s="142">
        <f>IF($H$6=0,Valores!$C$96,(Valores!$C$96+$H$6*(Valores!$C$96)))</f>
        <v>-178</v>
      </c>
      <c r="AU190" s="146">
        <f t="shared" si="31"/>
        <v>64968.505612500019</v>
      </c>
      <c r="AV190" s="199">
        <f t="shared" si="24"/>
        <v>-7722.6932750000024</v>
      </c>
      <c r="AW190" s="142">
        <f>AJ190*Valores!$C$72</f>
        <v>-1895.5701675000005</v>
      </c>
      <c r="AX190" s="142">
        <f>AJ190*Valores!$C$73</f>
        <v>-210.61890750000006</v>
      </c>
      <c r="AY190" s="146">
        <f t="shared" si="32"/>
        <v>66392.980150000018</v>
      </c>
      <c r="AZ190" s="150"/>
      <c r="BA190" s="150">
        <v>30</v>
      </c>
      <c r="BB190" s="135" t="s">
        <v>8</v>
      </c>
    </row>
    <row r="191" spans="1:54" s="114" customFormat="1" ht="11.25" customHeight="1" x14ac:dyDescent="0.15">
      <c r="A191" s="134">
        <v>189</v>
      </c>
      <c r="B191" s="134"/>
      <c r="C191" s="135" t="s">
        <v>490</v>
      </c>
      <c r="D191" s="135"/>
      <c r="E191" s="135">
        <f t="shared" si="25"/>
        <v>24</v>
      </c>
      <c r="F191" s="136" t="s">
        <v>491</v>
      </c>
      <c r="G191" s="137">
        <v>1278</v>
      </c>
      <c r="H191" s="138">
        <f>INT((G191*Valores!$C$2*100)+0.5)/100</f>
        <v>17102.96</v>
      </c>
      <c r="I191" s="156">
        <v>0</v>
      </c>
      <c r="J191" s="140">
        <f>INT((I191*Valores!$C$2*100)+0.5)/100</f>
        <v>0</v>
      </c>
      <c r="K191" s="155">
        <v>0</v>
      </c>
      <c r="L191" s="140">
        <f>INT((K191*Valores!$C$2*100)+0.5)/100</f>
        <v>0</v>
      </c>
      <c r="M191" s="153">
        <v>1200</v>
      </c>
      <c r="N191" s="140">
        <f>INT((M191*Valores!$C$2*100)+0.5)/100</f>
        <v>16059.12</v>
      </c>
      <c r="O191" s="140">
        <f t="shared" si="26"/>
        <v>6429.9690000000001</v>
      </c>
      <c r="P191" s="140">
        <f t="shared" si="27"/>
        <v>0</v>
      </c>
      <c r="Q191" s="154">
        <f>Valores!$C$21</f>
        <v>11564.28</v>
      </c>
      <c r="R191" s="154">
        <f>Valores!$D$4</f>
        <v>6841.19</v>
      </c>
      <c r="S191" s="154">
        <f>Valores!$C$28</f>
        <v>6103.41</v>
      </c>
      <c r="T191" s="143">
        <f>IF($H$5="NO",Valores!$C$45,Valores!$C$45/2)</f>
        <v>3338.57</v>
      </c>
      <c r="U191" s="140">
        <f>Valores!$C$25</f>
        <v>6365.81</v>
      </c>
      <c r="V191" s="140">
        <f t="shared" si="33"/>
        <v>6365.81</v>
      </c>
      <c r="W191" s="140">
        <v>0</v>
      </c>
      <c r="X191" s="140">
        <v>0</v>
      </c>
      <c r="Y191" s="144">
        <v>0</v>
      </c>
      <c r="Z191" s="140">
        <f>Y191*Valores!$C$2</f>
        <v>0</v>
      </c>
      <c r="AA191" s="140">
        <v>0</v>
      </c>
      <c r="AB191" s="143">
        <f>Valores!$C$92</f>
        <v>5150.78</v>
      </c>
      <c r="AC191" s="145">
        <f>Valores!$C$31</f>
        <v>279.8</v>
      </c>
      <c r="AD191" s="140">
        <f t="shared" si="29"/>
        <v>0</v>
      </c>
      <c r="AE191" s="140">
        <f>Valores!$C$32</f>
        <v>279.8</v>
      </c>
      <c r="AF191" s="144">
        <v>0</v>
      </c>
      <c r="AG191" s="140">
        <f>INT(((AF191*Valores!$C$2)*100)+0.5)/100</f>
        <v>0</v>
      </c>
      <c r="AH191" s="140">
        <f>IF($H$5="NO",Valores!$C$60,Valores!$C$60/2)</f>
        <v>569.14</v>
      </c>
      <c r="AI191" s="140">
        <f>IF($H$5="NO",Valores!$C$62,Valores!$C$62/2)</f>
        <v>162.61000000000001</v>
      </c>
      <c r="AJ191" s="146">
        <f t="shared" si="30"/>
        <v>80247.439000000013</v>
      </c>
      <c r="AK191" s="154">
        <f>Valores!$C$37</f>
        <v>1465.56</v>
      </c>
      <c r="AL191" s="143">
        <f>Valores!$C$87</f>
        <v>4550</v>
      </c>
      <c r="AM191" s="143"/>
      <c r="AN191" s="145">
        <f>IF($H$4="NO",0,Valores!$C$52)</f>
        <v>327.60000000000002</v>
      </c>
      <c r="AO191" s="147">
        <f t="shared" si="28"/>
        <v>6343.16</v>
      </c>
      <c r="AP191" s="148">
        <f>AJ191*Valores!$C$69</f>
        <v>-8827.2182900000007</v>
      </c>
      <c r="AQ191" s="149">
        <f>AJ191*-Valores!$C$70</f>
        <v>0</v>
      </c>
      <c r="AR191" s="142">
        <f>AJ191*Valores!$C$71</f>
        <v>-3611.1347550000005</v>
      </c>
      <c r="AS191" s="142">
        <f>Valores!$C$95</f>
        <v>-193.38</v>
      </c>
      <c r="AT191" s="142">
        <f>IF($H$6=0,Valores!$C$96,(Valores!$C$96+$H$6*(Valores!$C$96)))</f>
        <v>-178</v>
      </c>
      <c r="AU191" s="146">
        <f t="shared" si="31"/>
        <v>73780.865955000016</v>
      </c>
      <c r="AV191" s="199">
        <f t="shared" si="24"/>
        <v>-8827.2182900000007</v>
      </c>
      <c r="AW191" s="142">
        <f>AJ191*Valores!$C$72</f>
        <v>-2166.6808530000003</v>
      </c>
      <c r="AX191" s="142">
        <f>AJ191*Valores!$C$73</f>
        <v>-240.74231700000004</v>
      </c>
      <c r="AY191" s="146">
        <f t="shared" si="32"/>
        <v>75355.957540000018</v>
      </c>
      <c r="AZ191" s="150"/>
      <c r="BA191" s="150">
        <v>36</v>
      </c>
      <c r="BB191" s="135" t="s">
        <v>4</v>
      </c>
    </row>
    <row r="192" spans="1:54" s="114" customFormat="1" ht="11.25" customHeight="1" x14ac:dyDescent="0.15">
      <c r="A192" s="152">
        <v>190</v>
      </c>
      <c r="B192" s="152" t="s">
        <v>139</v>
      </c>
      <c r="C192" s="135" t="s">
        <v>492</v>
      </c>
      <c r="D192" s="135"/>
      <c r="E192" s="135">
        <f t="shared" si="25"/>
        <v>38</v>
      </c>
      <c r="F192" s="136" t="s">
        <v>493</v>
      </c>
      <c r="G192" s="137">
        <v>1065</v>
      </c>
      <c r="H192" s="138">
        <f>INT((G192*Valores!$C$2*100)+0.5)/100</f>
        <v>14252.47</v>
      </c>
      <c r="I192" s="156">
        <v>0</v>
      </c>
      <c r="J192" s="140">
        <f>INT((I192*Valores!$C$2*100)+0.5)/100</f>
        <v>0</v>
      </c>
      <c r="K192" s="155">
        <v>0</v>
      </c>
      <c r="L192" s="140">
        <f>INT((K192*Valores!$C$2*100)+0.5)/100</f>
        <v>0</v>
      </c>
      <c r="M192" s="153">
        <v>600</v>
      </c>
      <c r="N192" s="140">
        <f>INT((M192*Valores!$C$2*100)+0.5)/100</f>
        <v>8029.56</v>
      </c>
      <c r="O192" s="140">
        <f t="shared" si="26"/>
        <v>4797.9614999999994</v>
      </c>
      <c r="P192" s="140">
        <f t="shared" si="27"/>
        <v>0</v>
      </c>
      <c r="Q192" s="154">
        <f>Valores!$C$21</f>
        <v>11564.28</v>
      </c>
      <c r="R192" s="154">
        <f>Valores!$D$4</f>
        <v>6841.19</v>
      </c>
      <c r="S192" s="140">
        <v>0</v>
      </c>
      <c r="T192" s="143">
        <f>IF($H$5="NO",Valores!$C$45,Valores!$C$45/2)</f>
        <v>3338.57</v>
      </c>
      <c r="U192" s="140">
        <f>Valores!$C$25</f>
        <v>6365.81</v>
      </c>
      <c r="V192" s="140">
        <f t="shared" si="33"/>
        <v>6365.81</v>
      </c>
      <c r="W192" s="140">
        <v>0</v>
      </c>
      <c r="X192" s="140">
        <v>0</v>
      </c>
      <c r="Y192" s="144">
        <v>0</v>
      </c>
      <c r="Z192" s="140">
        <f>Y192*Valores!$C$2</f>
        <v>0</v>
      </c>
      <c r="AA192" s="140">
        <v>0</v>
      </c>
      <c r="AB192" s="143">
        <f>Valores!$C$92</f>
        <v>5150.78</v>
      </c>
      <c r="AC192" s="145">
        <f>Valores!$C$31</f>
        <v>279.8</v>
      </c>
      <c r="AD192" s="140">
        <f t="shared" si="29"/>
        <v>0</v>
      </c>
      <c r="AE192" s="140">
        <f>Valores!$C$32</f>
        <v>279.8</v>
      </c>
      <c r="AF192" s="144">
        <v>0</v>
      </c>
      <c r="AG192" s="140">
        <f>INT(((AF192*Valores!$C$2)*100)+0.5)/100</f>
        <v>0</v>
      </c>
      <c r="AH192" s="140">
        <f>IF($H$5="NO",Valores!$C$60,Valores!$C$60/2)</f>
        <v>569.14</v>
      </c>
      <c r="AI192" s="140">
        <f>IF($H$5="NO",Valores!$C$62,Valores!$C$62/2)</f>
        <v>162.61000000000001</v>
      </c>
      <c r="AJ192" s="146">
        <f t="shared" si="30"/>
        <v>61631.9715</v>
      </c>
      <c r="AK192" s="154">
        <f>Valores!$C$37</f>
        <v>1465.56</v>
      </c>
      <c r="AL192" s="143">
        <f>Valores!$C$87</f>
        <v>4550</v>
      </c>
      <c r="AM192" s="143"/>
      <c r="AN192" s="145">
        <f>IF($H$4="NO",0,Valores!$C$52)</f>
        <v>327.60000000000002</v>
      </c>
      <c r="AO192" s="147">
        <f t="shared" si="28"/>
        <v>6343.16</v>
      </c>
      <c r="AP192" s="148">
        <f>AJ192*Valores!$C$69</f>
        <v>-6779.5168649999996</v>
      </c>
      <c r="AQ192" s="149">
        <f>AJ192*-Valores!$C$70</f>
        <v>0</v>
      </c>
      <c r="AR192" s="142">
        <f>AJ192*Valores!$C$71</f>
        <v>-2773.4387174999997</v>
      </c>
      <c r="AS192" s="142">
        <f>Valores!$C$95</f>
        <v>-193.38</v>
      </c>
      <c r="AT192" s="142">
        <f>IF($H$6=0,Valores!$C$96,(Valores!$C$96+$H$6*(Valores!$C$96)))</f>
        <v>-178</v>
      </c>
      <c r="AU192" s="146">
        <f t="shared" si="31"/>
        <v>58050.7959175</v>
      </c>
      <c r="AV192" s="199">
        <f t="shared" si="24"/>
        <v>-6779.5168649999996</v>
      </c>
      <c r="AW192" s="142">
        <f>AJ192*Valores!$C$72</f>
        <v>-1664.0632304999999</v>
      </c>
      <c r="AX192" s="142">
        <f>AJ192*Valores!$C$73</f>
        <v>-184.8959145</v>
      </c>
      <c r="AY192" s="146">
        <f t="shared" si="32"/>
        <v>59346.655490000005</v>
      </c>
      <c r="AZ192" s="150"/>
      <c r="BA192" s="150"/>
      <c r="BB192" s="135" t="s">
        <v>4</v>
      </c>
    </row>
    <row r="193" spans="1:54" s="114" customFormat="1" ht="12" customHeight="1" x14ac:dyDescent="0.15">
      <c r="A193" s="134">
        <v>191</v>
      </c>
      <c r="B193" s="134"/>
      <c r="C193" s="135" t="s">
        <v>494</v>
      </c>
      <c r="D193" s="135"/>
      <c r="E193" s="135">
        <f t="shared" si="25"/>
        <v>26</v>
      </c>
      <c r="F193" s="136" t="s">
        <v>495</v>
      </c>
      <c r="G193" s="137">
        <v>971</v>
      </c>
      <c r="H193" s="138">
        <f>INT((G193*Valores!$C$2*100)+0.5)/100</f>
        <v>12994.5</v>
      </c>
      <c r="I193" s="156">
        <v>0</v>
      </c>
      <c r="J193" s="140">
        <f>INT((I193*Valores!$C$2*100)+0.5)/100</f>
        <v>0</v>
      </c>
      <c r="K193" s="155">
        <v>0</v>
      </c>
      <c r="L193" s="140">
        <f>INT((K193*Valores!$C$2*100)+0.5)/100</f>
        <v>0</v>
      </c>
      <c r="M193" s="153">
        <v>660</v>
      </c>
      <c r="N193" s="140">
        <f>INT((M193*Valores!$C$2*100)+0.5)/100</f>
        <v>8832.52</v>
      </c>
      <c r="O193" s="140">
        <f t="shared" si="26"/>
        <v>4569.0870000000004</v>
      </c>
      <c r="P193" s="140">
        <f t="shared" si="27"/>
        <v>0</v>
      </c>
      <c r="Q193" s="154">
        <f>Valores!$C$21</f>
        <v>11564.28</v>
      </c>
      <c r="R193" s="154">
        <f>Valores!$D$4</f>
        <v>6841.19</v>
      </c>
      <c r="S193" s="154">
        <f>Valores!$C$29</f>
        <v>5680.65</v>
      </c>
      <c r="T193" s="143">
        <f>IF($H$5="NO",Valores!$C$44,Valores!$C$44/2)</f>
        <v>2267.75</v>
      </c>
      <c r="U193" s="140">
        <f>Valores!$C$25</f>
        <v>6365.81</v>
      </c>
      <c r="V193" s="140">
        <f t="shared" si="33"/>
        <v>6365.81</v>
      </c>
      <c r="W193" s="140">
        <v>0</v>
      </c>
      <c r="X193" s="140">
        <v>0</v>
      </c>
      <c r="Y193" s="144">
        <v>0</v>
      </c>
      <c r="Z193" s="140">
        <f>Y193*Valores!$C$2</f>
        <v>0</v>
      </c>
      <c r="AA193" s="140">
        <v>0</v>
      </c>
      <c r="AB193" s="143">
        <f>Valores!$C$90</f>
        <v>2575.39</v>
      </c>
      <c r="AC193" s="145">
        <f>Valores!$C$31</f>
        <v>279.8</v>
      </c>
      <c r="AD193" s="140">
        <f t="shared" si="29"/>
        <v>0</v>
      </c>
      <c r="AE193" s="140">
        <f>Valores!$C$32</f>
        <v>279.8</v>
      </c>
      <c r="AF193" s="144">
        <v>0</v>
      </c>
      <c r="AG193" s="140">
        <f>INT(((AF193*Valores!$C$2)*100)+0.5)/100</f>
        <v>0</v>
      </c>
      <c r="AH193" s="140">
        <f>IF($H$5="NO",Valores!$C$60,Valores!$C$60/2)</f>
        <v>569.14</v>
      </c>
      <c r="AI193" s="140">
        <f>IF($H$5="NO",Valores!$C$62,Valores!$C$62/2)</f>
        <v>162.61000000000001</v>
      </c>
      <c r="AJ193" s="146">
        <f t="shared" si="30"/>
        <v>62982.527000000009</v>
      </c>
      <c r="AK193" s="154">
        <f>Valores!$C$37</f>
        <v>1465.56</v>
      </c>
      <c r="AL193" s="143">
        <f>Valores!$C$85</f>
        <v>2275</v>
      </c>
      <c r="AM193" s="143"/>
      <c r="AN193" s="145">
        <v>0</v>
      </c>
      <c r="AO193" s="147">
        <f t="shared" si="28"/>
        <v>3740.56</v>
      </c>
      <c r="AP193" s="148">
        <f>AJ193*Valores!$C$69</f>
        <v>-6928.0779700000012</v>
      </c>
      <c r="AQ193" s="149">
        <f>AJ193*-Valores!$C$70</f>
        <v>0</v>
      </c>
      <c r="AR193" s="142">
        <f>AJ193*Valores!$C$71</f>
        <v>-2834.2137150000003</v>
      </c>
      <c r="AS193" s="142">
        <f>Valores!$C$95</f>
        <v>-193.38</v>
      </c>
      <c r="AT193" s="142">
        <f>IF($H$6=0,Valores!$C$96,(Valores!$C$96+$H$6*(Valores!$C$96)))</f>
        <v>-178</v>
      </c>
      <c r="AU193" s="146">
        <f t="shared" si="31"/>
        <v>56589.415315000006</v>
      </c>
      <c r="AV193" s="199">
        <f t="shared" si="24"/>
        <v>-6928.0779700000012</v>
      </c>
      <c r="AW193" s="142">
        <f>AJ193*Valores!$C$72</f>
        <v>-1700.5282290000002</v>
      </c>
      <c r="AX193" s="142">
        <f>AJ193*Valores!$C$73</f>
        <v>-188.94758100000004</v>
      </c>
      <c r="AY193" s="146">
        <f t="shared" si="32"/>
        <v>57905.533220000012</v>
      </c>
      <c r="AZ193" s="150"/>
      <c r="BA193" s="150">
        <v>18</v>
      </c>
      <c r="BB193" s="135" t="s">
        <v>4</v>
      </c>
    </row>
    <row r="194" spans="1:54" s="114" customFormat="1" ht="11.25" customHeight="1" x14ac:dyDescent="0.15">
      <c r="A194" s="134">
        <v>192</v>
      </c>
      <c r="B194" s="134"/>
      <c r="C194" s="135" t="s">
        <v>496</v>
      </c>
      <c r="D194" s="135">
        <v>1</v>
      </c>
      <c r="E194" s="135">
        <f t="shared" si="25"/>
        <v>36</v>
      </c>
      <c r="F194" s="136" t="str">
        <f t="shared" ref="F194:F229" si="34">CONCATENATE("Hora Cátedra Enseñanza Superior ",D194," hs")</f>
        <v>Hora Cátedra Enseñanza Superior 1 hs</v>
      </c>
      <c r="G194" s="137">
        <f t="shared" ref="G194:G229" si="35">99*D194</f>
        <v>99</v>
      </c>
      <c r="H194" s="138">
        <f>INT((G194*Valores!$C$2*100)+0.5)/100</f>
        <v>1324.88</v>
      </c>
      <c r="I194" s="156">
        <v>0</v>
      </c>
      <c r="J194" s="140">
        <f>INT((I194*Valores!$C$2*100)+0.5)/100</f>
        <v>0</v>
      </c>
      <c r="K194" s="155">
        <v>0</v>
      </c>
      <c r="L194" s="140">
        <f>INT((K194*Valores!$C$2*100)+0.5)/100</f>
        <v>0</v>
      </c>
      <c r="M194" s="153">
        <v>0</v>
      </c>
      <c r="N194" s="140">
        <f>INT((M194*Valores!$C$2*100)+0.5)/100</f>
        <v>0</v>
      </c>
      <c r="O194" s="140">
        <f t="shared" si="26"/>
        <v>234.47550000000001</v>
      </c>
      <c r="P194" s="140">
        <f t="shared" si="27"/>
        <v>0</v>
      </c>
      <c r="Q194" s="154">
        <f>Valores!$C$14*D194</f>
        <v>453.84</v>
      </c>
      <c r="R194" s="154">
        <f>IF(D194&lt;15,(Valores!$E$4*D194),Valores!$D$4)</f>
        <v>456.08</v>
      </c>
      <c r="S194" s="140">
        <v>0</v>
      </c>
      <c r="T194" s="143">
        <f>IF($H$5="NO",IF(Valores!$C$47*D194&gt;Valores!$C$45,Valores!$C$45,Valores!$C$47*D194),IF(Valores!$C$47*D194&gt;Valores!$C$45,Valores!$C$45,Valores!$C$47*D194)/2)</f>
        <v>95.55</v>
      </c>
      <c r="U194" s="154">
        <f>Valores!$C$24*D194</f>
        <v>142.74</v>
      </c>
      <c r="V194" s="140">
        <f t="shared" si="33"/>
        <v>142.74</v>
      </c>
      <c r="W194" s="140">
        <v>0</v>
      </c>
      <c r="X194" s="140">
        <v>0</v>
      </c>
      <c r="Y194" s="160">
        <v>0</v>
      </c>
      <c r="Z194" s="140">
        <f>Y194*Valores!$C$2</f>
        <v>0</v>
      </c>
      <c r="AA194" s="140">
        <v>0</v>
      </c>
      <c r="AB194" s="143">
        <f>IF(Valores!$C$93*D194&gt;Valores!$C$92,Valores!$C$92,Valores!$C$93*D194)</f>
        <v>131.29</v>
      </c>
      <c r="AC194" s="145">
        <f>IF((Valores!$C$34)*D194&gt;Valores!$F$34,Valores!$F$34,(Valores!$C$34)*D194)</f>
        <v>11.21</v>
      </c>
      <c r="AD194" s="140">
        <f t="shared" si="29"/>
        <v>0</v>
      </c>
      <c r="AE194" s="140">
        <f>IF(Valores!$C$35*D194&gt;Valores!$F$35,Valores!$F$35,Valores!$C$35*D194)</f>
        <v>9.34</v>
      </c>
      <c r="AF194" s="144">
        <v>0</v>
      </c>
      <c r="AG194" s="140">
        <f>INT(((AF194*Valores!$C$2)*100)+0.5)/100</f>
        <v>0</v>
      </c>
      <c r="AH194" s="140">
        <f>IF($H$5="NO",IF(Valores!$D$60*'Escala Docente'!D194&gt;Valores!$F$60,Valores!$F$60,Valores!$D$60*'Escala Docente'!D194),IF(Valores!$D$60*'Escala Docente'!D194&gt;Valores!$F$60,Valores!$F$60,Valores!$D$60*'Escala Docente'!D194)/2)</f>
        <v>37.94</v>
      </c>
      <c r="AI194" s="140">
        <f>IF($H$5="NO",IF(Valores!$D$62*D194&gt;Valores!$F$62,Valores!$F$62,Valores!$D$62*D194),IF(Valores!$D$62*D194&gt;Valores!$F$62,Valores!$F$62,Valores!$D$62*D194)/2)</f>
        <v>10.850666666666667</v>
      </c>
      <c r="AJ194" s="146">
        <f t="shared" si="30"/>
        <v>2908.1961666666675</v>
      </c>
      <c r="AK194" s="154">
        <f>IF(Valores!$C$38*D194&gt;Valores!$F$38,Valores!$F$38,Valores!$C$38*D194)</f>
        <v>97.7</v>
      </c>
      <c r="AL194" s="143">
        <f>IF(Valores!$C$88*D194&gt;Valores!$C$87,Valores!$C$87,Valores!$C$88*D194)</f>
        <v>113.74999999999999</v>
      </c>
      <c r="AM194" s="143"/>
      <c r="AN194" s="145">
        <f>IF($H$4="NO",0,IF(Valores!$C$58*D194&gt;Valores!$F$58,Valores!$F$58,Valores!$C$58*D194))</f>
        <v>14.195</v>
      </c>
      <c r="AO194" s="147">
        <f t="shared" si="28"/>
        <v>225.64499999999998</v>
      </c>
      <c r="AP194" s="148">
        <f>AJ194*Valores!$C$69</f>
        <v>-319.90157833333342</v>
      </c>
      <c r="AQ194" s="149">
        <f>AJ194*-Valores!$C$70</f>
        <v>0</v>
      </c>
      <c r="AR194" s="142">
        <f>AJ194*Valores!$C$71</f>
        <v>-130.86882750000004</v>
      </c>
      <c r="AS194" s="142">
        <f>Valores!$C$95</f>
        <v>-193.38</v>
      </c>
      <c r="AT194" s="142">
        <f>IF($H$6=0,Valores!$C$96,(Valores!$C$96+$H$6*(Valores!$C$96)))</f>
        <v>-178</v>
      </c>
      <c r="AU194" s="146">
        <f t="shared" si="31"/>
        <v>2311.690760833334</v>
      </c>
      <c r="AV194" s="199">
        <f t="shared" si="24"/>
        <v>-319.90157833333342</v>
      </c>
      <c r="AW194" s="142">
        <f>AJ194*Valores!$C$72</f>
        <v>-78.52129650000002</v>
      </c>
      <c r="AX194" s="142">
        <f>AJ194*Valores!$C$73</f>
        <v>-8.724588500000003</v>
      </c>
      <c r="AY194" s="146">
        <f t="shared" si="32"/>
        <v>2726.6937033333343</v>
      </c>
      <c r="AZ194" s="150"/>
      <c r="BA194" s="150">
        <f t="shared" ref="BA194:BA225" si="36">1*D194</f>
        <v>1</v>
      </c>
      <c r="BB194" s="135" t="s">
        <v>4</v>
      </c>
    </row>
    <row r="195" spans="1:54" s="114" customFormat="1" ht="11.25" customHeight="1" x14ac:dyDescent="0.15">
      <c r="A195" s="134">
        <v>193</v>
      </c>
      <c r="B195" s="134"/>
      <c r="C195" s="135" t="s">
        <v>496</v>
      </c>
      <c r="D195" s="135">
        <v>2</v>
      </c>
      <c r="E195" s="135">
        <f t="shared" si="25"/>
        <v>36</v>
      </c>
      <c r="F195" s="136" t="str">
        <f t="shared" si="34"/>
        <v>Hora Cátedra Enseñanza Superior 2 hs</v>
      </c>
      <c r="G195" s="137">
        <f t="shared" si="35"/>
        <v>198</v>
      </c>
      <c r="H195" s="138">
        <f>INT((G195*Valores!$C$2*100)+0.5)/100</f>
        <v>2649.75</v>
      </c>
      <c r="I195" s="156">
        <v>0</v>
      </c>
      <c r="J195" s="140">
        <f>INT((I195*Valores!$C$2*100)+0.5)/100</f>
        <v>0</v>
      </c>
      <c r="K195" s="155">
        <v>0</v>
      </c>
      <c r="L195" s="140">
        <f>INT((K195*Valores!$C$2*100)+0.5)/100</f>
        <v>0</v>
      </c>
      <c r="M195" s="153">
        <v>0</v>
      </c>
      <c r="N195" s="140">
        <f>INT((M195*Valores!$C$2*100)+0.5)/100</f>
        <v>0</v>
      </c>
      <c r="O195" s="140">
        <f t="shared" si="26"/>
        <v>468.94949999999994</v>
      </c>
      <c r="P195" s="140">
        <f t="shared" si="27"/>
        <v>0</v>
      </c>
      <c r="Q195" s="154">
        <f>Valores!$C$14*D195</f>
        <v>907.68</v>
      </c>
      <c r="R195" s="154">
        <f>IF(D195&lt;15,(Valores!$E$4*D195),Valores!$D$4)</f>
        <v>912.16</v>
      </c>
      <c r="S195" s="140">
        <v>0</v>
      </c>
      <c r="T195" s="143">
        <f>IF($H$5="NO",IF(Valores!$C$47*D195&gt;Valores!$C$45,Valores!$C$45,Valores!$C$47*D195),IF(Valores!$C$47*D195&gt;Valores!$C$45,Valores!$C$45,Valores!$C$47*D195)/2)</f>
        <v>191.1</v>
      </c>
      <c r="U195" s="154">
        <f>Valores!$C$24*D195</f>
        <v>285.48</v>
      </c>
      <c r="V195" s="140">
        <f t="shared" si="33"/>
        <v>285.48</v>
      </c>
      <c r="W195" s="140">
        <v>0</v>
      </c>
      <c r="X195" s="140">
        <v>0</v>
      </c>
      <c r="Y195" s="160">
        <v>0</v>
      </c>
      <c r="Z195" s="140">
        <f>Y195*Valores!$C$2</f>
        <v>0</v>
      </c>
      <c r="AA195" s="140">
        <v>0</v>
      </c>
      <c r="AB195" s="143">
        <f>IF(Valores!$C$93*D195&gt;Valores!$C$92,Valores!$C$92,Valores!$C$93*D195)</f>
        <v>262.58</v>
      </c>
      <c r="AC195" s="145">
        <f>IF((Valores!$C$34)*D195&gt;Valores!$F$34,Valores!$F$34,(Valores!$C$34)*D195)</f>
        <v>22.42</v>
      </c>
      <c r="AD195" s="140">
        <f t="shared" si="29"/>
        <v>0</v>
      </c>
      <c r="AE195" s="140">
        <f>IF(Valores!$C$35*D195&gt;Valores!$F$35,Valores!$F$35,Valores!$C$35*D195)</f>
        <v>18.68</v>
      </c>
      <c r="AF195" s="144">
        <v>0</v>
      </c>
      <c r="AG195" s="140">
        <f>INT(((AF195*Valores!$C$2)*100)+0.5)/100</f>
        <v>0</v>
      </c>
      <c r="AH195" s="140">
        <f>IF($H$5="NO",IF(Valores!$D$60*'Escala Docente'!D195&gt;Valores!$F$60,Valores!$F$60,Valores!$D$60*'Escala Docente'!D195),IF(Valores!$D$60*'Escala Docente'!D195&gt;Valores!$F$60,Valores!$F$60,Valores!$D$60*'Escala Docente'!D195)/2)</f>
        <v>75.88</v>
      </c>
      <c r="AI195" s="140">
        <f>IF($H$5="NO",IF(Valores!$D$62*D195&gt;Valores!$F$62,Valores!$F$62,Valores!$D$62*D195),IF(Valores!$D$62*D195&gt;Valores!$F$62,Valores!$F$62,Valores!$D$62*D195)/2)</f>
        <v>21.701333333333334</v>
      </c>
      <c r="AJ195" s="146">
        <f t="shared" si="30"/>
        <v>5816.3808333333345</v>
      </c>
      <c r="AK195" s="154">
        <f>IF(Valores!$C$38*D195&gt;Valores!$F$38,Valores!$F$38,Valores!$C$38*D195)</f>
        <v>195.4</v>
      </c>
      <c r="AL195" s="143">
        <f>IF(Valores!$C$88*D195&gt;Valores!$C$87,Valores!$C$87,Valores!$C$88*D195)</f>
        <v>227.49999999999997</v>
      </c>
      <c r="AM195" s="143"/>
      <c r="AN195" s="145">
        <f>IF($H$4="NO",0,IF(Valores!$C$58*D195&gt;Valores!$F$58,Valores!$F$58,Valores!$C$58*D195))</f>
        <v>28.39</v>
      </c>
      <c r="AO195" s="147">
        <f t="shared" si="28"/>
        <v>451.28999999999996</v>
      </c>
      <c r="AP195" s="148">
        <f>AJ195*Valores!$C$69</f>
        <v>-639.80189166666685</v>
      </c>
      <c r="AQ195" s="149">
        <f>AJ195*-Valores!$C$70</f>
        <v>0</v>
      </c>
      <c r="AR195" s="142">
        <f>AJ195*Valores!$C$71</f>
        <v>-261.73713750000002</v>
      </c>
      <c r="AS195" s="142">
        <f>Valores!$C$95</f>
        <v>-193.38</v>
      </c>
      <c r="AT195" s="142">
        <f>IF($H$6=0,Valores!$C$96,(Valores!$C$96+$H$6*(Valores!$C$96)))</f>
        <v>-178</v>
      </c>
      <c r="AU195" s="146">
        <f t="shared" si="31"/>
        <v>4994.7518041666681</v>
      </c>
      <c r="AV195" s="199">
        <f t="shared" si="24"/>
        <v>-639.80189166666685</v>
      </c>
      <c r="AW195" s="142">
        <f>AJ195*Valores!$C$72</f>
        <v>-157.04228250000003</v>
      </c>
      <c r="AX195" s="142">
        <f>AJ195*Valores!$C$73</f>
        <v>-17.449142500000004</v>
      </c>
      <c r="AY195" s="146">
        <f t="shared" si="32"/>
        <v>5453.3775166666674</v>
      </c>
      <c r="AZ195" s="150"/>
      <c r="BA195" s="150">
        <f t="shared" si="36"/>
        <v>2</v>
      </c>
      <c r="BB195" s="135" t="s">
        <v>4</v>
      </c>
    </row>
    <row r="196" spans="1:54" s="114" customFormat="1" ht="11.25" customHeight="1" x14ac:dyDescent="0.15">
      <c r="A196" s="134">
        <v>194</v>
      </c>
      <c r="B196" s="134"/>
      <c r="C196" s="135" t="s">
        <v>496</v>
      </c>
      <c r="D196" s="135">
        <v>3</v>
      </c>
      <c r="E196" s="135">
        <f t="shared" si="25"/>
        <v>36</v>
      </c>
      <c r="F196" s="136" t="str">
        <f t="shared" si="34"/>
        <v>Hora Cátedra Enseñanza Superior 3 hs</v>
      </c>
      <c r="G196" s="137">
        <f t="shared" si="35"/>
        <v>297</v>
      </c>
      <c r="H196" s="138">
        <f>INT((G196*Valores!$C$2*100)+0.5)/100</f>
        <v>3974.63</v>
      </c>
      <c r="I196" s="156">
        <v>0</v>
      </c>
      <c r="J196" s="140">
        <f>INT((I196*Valores!$C$2*100)+0.5)/100</f>
        <v>0</v>
      </c>
      <c r="K196" s="155">
        <v>0</v>
      </c>
      <c r="L196" s="140">
        <f>INT((K196*Valores!$C$2*100)+0.5)/100</f>
        <v>0</v>
      </c>
      <c r="M196" s="153">
        <v>0</v>
      </c>
      <c r="N196" s="140">
        <f>INT((M196*Valores!$C$2*100)+0.5)/100</f>
        <v>0</v>
      </c>
      <c r="O196" s="140">
        <f t="shared" si="26"/>
        <v>703.42499999999995</v>
      </c>
      <c r="P196" s="140">
        <f t="shared" si="27"/>
        <v>0</v>
      </c>
      <c r="Q196" s="154">
        <f>Valores!$C$14*D196</f>
        <v>1361.52</v>
      </c>
      <c r="R196" s="154">
        <f>IF(D196&lt;15,(Valores!$E$4*D196),Valores!$D$4)</f>
        <v>1368.24</v>
      </c>
      <c r="S196" s="140">
        <v>0</v>
      </c>
      <c r="T196" s="143">
        <f>IF($H$5="NO",IF(Valores!$C$47*D196&gt;Valores!$C$45,Valores!$C$45,Valores!$C$47*D196),IF(Valores!$C$47*D196&gt;Valores!$C$45,Valores!$C$45,Valores!$C$47*D196)/2)</f>
        <v>286.64999999999998</v>
      </c>
      <c r="U196" s="154">
        <f>Valores!$C$24*D196</f>
        <v>428.22</v>
      </c>
      <c r="V196" s="140">
        <f t="shared" si="33"/>
        <v>428.22</v>
      </c>
      <c r="W196" s="140">
        <v>0</v>
      </c>
      <c r="X196" s="140">
        <v>0</v>
      </c>
      <c r="Y196" s="160">
        <v>0</v>
      </c>
      <c r="Z196" s="140">
        <f>Y196*Valores!$C$2</f>
        <v>0</v>
      </c>
      <c r="AA196" s="140">
        <v>0</v>
      </c>
      <c r="AB196" s="143">
        <f>IF(Valores!$C$93*D196&gt;Valores!$C$92,Valores!$C$92,Valores!$C$93*D196)</f>
        <v>393.87</v>
      </c>
      <c r="AC196" s="145">
        <f>IF((Valores!$C$34)*D196&gt;Valores!$F$34,Valores!$F$34,(Valores!$C$34)*D196)</f>
        <v>33.630000000000003</v>
      </c>
      <c r="AD196" s="140">
        <f t="shared" si="29"/>
        <v>0</v>
      </c>
      <c r="AE196" s="140">
        <f>IF(Valores!$C$35*D196&gt;Valores!$F$35,Valores!$F$35,Valores!$C$35*D196)</f>
        <v>28.02</v>
      </c>
      <c r="AF196" s="144">
        <v>0</v>
      </c>
      <c r="AG196" s="140">
        <f>INT(((AF196*Valores!$C$2)*100)+0.5)/100</f>
        <v>0</v>
      </c>
      <c r="AH196" s="140">
        <f>IF($H$5="NO",IF(Valores!$D$60*'Escala Docente'!D196&gt;Valores!$F$60,Valores!$F$60,Valores!$D$60*'Escala Docente'!D196),IF(Valores!$D$60*'Escala Docente'!D196&gt;Valores!$F$60,Valores!$F$60,Valores!$D$60*'Escala Docente'!D196)/2)</f>
        <v>113.82</v>
      </c>
      <c r="AI196" s="140">
        <f>IF($H$5="NO",IF(Valores!$D$62*D196&gt;Valores!$F$62,Valores!$F$62,Valores!$D$62*D196),IF(Valores!$D$62*D196&gt;Valores!$F$62,Valores!$F$62,Valores!$D$62*D196)/2)</f>
        <v>32.552</v>
      </c>
      <c r="AJ196" s="146">
        <f t="shared" si="30"/>
        <v>8724.5770000000011</v>
      </c>
      <c r="AK196" s="154">
        <f>IF(Valores!$C$38*D196&gt;Valores!$F$38,Valores!$F$38,Valores!$C$38*D196)</f>
        <v>293.10000000000002</v>
      </c>
      <c r="AL196" s="143">
        <f>IF(Valores!$C$88*D196&gt;Valores!$C$87,Valores!$C$87,Valores!$C$88*D196)</f>
        <v>341.24999999999994</v>
      </c>
      <c r="AM196" s="143"/>
      <c r="AN196" s="145">
        <f>IF($H$4="NO",0,IF(Valores!$C$58*D196&gt;Valores!$F$58,Valores!$F$58,Valores!$C$58*D196))</f>
        <v>42.585000000000001</v>
      </c>
      <c r="AO196" s="147">
        <f t="shared" si="28"/>
        <v>676.93499999999995</v>
      </c>
      <c r="AP196" s="148">
        <f>AJ196*Valores!$C$69</f>
        <v>-959.70347000000015</v>
      </c>
      <c r="AQ196" s="149">
        <f>AJ196*-Valores!$C$70</f>
        <v>0</v>
      </c>
      <c r="AR196" s="142">
        <f>AJ196*Valores!$C$71</f>
        <v>-392.60596500000003</v>
      </c>
      <c r="AS196" s="142">
        <f>Valores!$C$95</f>
        <v>-193.38</v>
      </c>
      <c r="AT196" s="142">
        <f>IF($H$6=0,Valores!$C$96,(Valores!$C$96+$H$6*(Valores!$C$96)))</f>
        <v>-178</v>
      </c>
      <c r="AU196" s="146">
        <f t="shared" si="31"/>
        <v>7677.8225650000004</v>
      </c>
      <c r="AV196" s="199">
        <f t="shared" si="24"/>
        <v>-959.70347000000015</v>
      </c>
      <c r="AW196" s="142">
        <f>AJ196*Valores!$C$72</f>
        <v>-235.56357900000003</v>
      </c>
      <c r="AX196" s="142">
        <f>AJ196*Valores!$C$73</f>
        <v>-26.173731000000004</v>
      </c>
      <c r="AY196" s="146">
        <f t="shared" si="32"/>
        <v>8180.0712199999998</v>
      </c>
      <c r="AZ196" s="150"/>
      <c r="BA196" s="150">
        <f t="shared" si="36"/>
        <v>3</v>
      </c>
      <c r="BB196" s="135" t="s">
        <v>4</v>
      </c>
    </row>
    <row r="197" spans="1:54" s="114" customFormat="1" ht="11.25" customHeight="1" x14ac:dyDescent="0.15">
      <c r="A197" s="152">
        <v>195</v>
      </c>
      <c r="B197" s="152" t="s">
        <v>139</v>
      </c>
      <c r="C197" s="135" t="s">
        <v>496</v>
      </c>
      <c r="D197" s="135">
        <v>4</v>
      </c>
      <c r="E197" s="135">
        <f t="shared" si="25"/>
        <v>36</v>
      </c>
      <c r="F197" s="136" t="str">
        <f t="shared" si="34"/>
        <v>Hora Cátedra Enseñanza Superior 4 hs</v>
      </c>
      <c r="G197" s="137">
        <f t="shared" si="35"/>
        <v>396</v>
      </c>
      <c r="H197" s="138">
        <f>INT((G197*Valores!$C$2*100)+0.5)/100</f>
        <v>5299.51</v>
      </c>
      <c r="I197" s="156">
        <v>0</v>
      </c>
      <c r="J197" s="140">
        <f>INT((I197*Valores!$C$2*100)+0.5)/100</f>
        <v>0</v>
      </c>
      <c r="K197" s="155">
        <v>0</v>
      </c>
      <c r="L197" s="140">
        <f>INT((K197*Valores!$C$2*100)+0.5)/100</f>
        <v>0</v>
      </c>
      <c r="M197" s="153">
        <v>0</v>
      </c>
      <c r="N197" s="140">
        <f>INT((M197*Valores!$C$2*100)+0.5)/100</f>
        <v>0</v>
      </c>
      <c r="O197" s="140">
        <f t="shared" si="26"/>
        <v>937.90049999999997</v>
      </c>
      <c r="P197" s="140">
        <f t="shared" si="27"/>
        <v>0</v>
      </c>
      <c r="Q197" s="154">
        <f>Valores!$C$14*D197</f>
        <v>1815.36</v>
      </c>
      <c r="R197" s="154">
        <f>IF(D197&lt;15,(Valores!$E$4*D197),Valores!$D$4)</f>
        <v>1824.32</v>
      </c>
      <c r="S197" s="140">
        <v>0</v>
      </c>
      <c r="T197" s="143">
        <f>IF($H$5="NO",IF(Valores!$C$47*D197&gt;Valores!$C$45,Valores!$C$45,Valores!$C$47*D197),IF(Valores!$C$47*D197&gt;Valores!$C$45,Valores!$C$45,Valores!$C$47*D197)/2)</f>
        <v>382.2</v>
      </c>
      <c r="U197" s="154">
        <f>Valores!$C$24*D197</f>
        <v>570.96</v>
      </c>
      <c r="V197" s="140">
        <f t="shared" si="33"/>
        <v>570.96</v>
      </c>
      <c r="W197" s="140">
        <v>0</v>
      </c>
      <c r="X197" s="140">
        <v>0</v>
      </c>
      <c r="Y197" s="160">
        <v>0</v>
      </c>
      <c r="Z197" s="140">
        <f>Y197*Valores!$C$2</f>
        <v>0</v>
      </c>
      <c r="AA197" s="140">
        <v>0</v>
      </c>
      <c r="AB197" s="143">
        <f>IF(Valores!$C$93*D197&gt;Valores!$C$92,Valores!$C$92,Valores!$C$93*D197)</f>
        <v>525.16</v>
      </c>
      <c r="AC197" s="145">
        <f>IF((Valores!$C$34)*D197&gt;Valores!$F$34,Valores!$F$34,(Valores!$C$34)*D197)</f>
        <v>44.84</v>
      </c>
      <c r="AD197" s="140">
        <f t="shared" si="29"/>
        <v>0</v>
      </c>
      <c r="AE197" s="140">
        <f>IF(Valores!$C$35*D197&gt;Valores!$F$35,Valores!$F$35,Valores!$C$35*D197)</f>
        <v>37.36</v>
      </c>
      <c r="AF197" s="144">
        <v>0</v>
      </c>
      <c r="AG197" s="140">
        <f>INT(((AF197*Valores!$C$2)*100)+0.5)/100</f>
        <v>0</v>
      </c>
      <c r="AH197" s="140">
        <f>IF($H$5="NO",IF(Valores!$D$60*'Escala Docente'!D197&gt;Valores!$F$60,Valores!$F$60,Valores!$D$60*'Escala Docente'!D197),IF(Valores!$D$60*'Escala Docente'!D197&gt;Valores!$F$60,Valores!$F$60,Valores!$D$60*'Escala Docente'!D197)/2)</f>
        <v>151.76</v>
      </c>
      <c r="AI197" s="140">
        <f>IF($H$5="NO",IF(Valores!$D$62*D197&gt;Valores!$F$62,Valores!$F$62,Valores!$D$62*D197),IF(Valores!$D$62*D197&gt;Valores!$F$62,Valores!$F$62,Valores!$D$62*D197)/2)</f>
        <v>43.402666666666669</v>
      </c>
      <c r="AJ197" s="146">
        <f t="shared" si="30"/>
        <v>11632.77316666667</v>
      </c>
      <c r="AK197" s="154">
        <f>IF(Valores!$C$38*D197&gt;Valores!$F$38,Valores!$F$38,Valores!$C$38*D197)</f>
        <v>390.8</v>
      </c>
      <c r="AL197" s="143">
        <f>IF(Valores!$C$88*D197&gt;Valores!$C$87,Valores!$C$87,Valores!$C$88*D197)</f>
        <v>454.99999999999994</v>
      </c>
      <c r="AM197" s="143"/>
      <c r="AN197" s="145">
        <f>IF($H$4="NO",0,IF(Valores!$C$58*D197&gt;Valores!$F$58,Valores!$F$58,Valores!$C$58*D197))</f>
        <v>56.78</v>
      </c>
      <c r="AO197" s="147">
        <f t="shared" si="28"/>
        <v>902.57999999999993</v>
      </c>
      <c r="AP197" s="148">
        <f>AJ197*Valores!$C$69</f>
        <v>-1279.6050483333336</v>
      </c>
      <c r="AQ197" s="149">
        <f>AJ197*-Valores!$C$70</f>
        <v>0</v>
      </c>
      <c r="AR197" s="142">
        <f>AJ197*Valores!$C$71</f>
        <v>-523.47479250000015</v>
      </c>
      <c r="AS197" s="142">
        <f>Valores!$C$95</f>
        <v>-193.38</v>
      </c>
      <c r="AT197" s="142">
        <f>IF($H$6=0,Valores!$C$96,(Valores!$C$96+$H$6*(Valores!$C$96)))</f>
        <v>-178</v>
      </c>
      <c r="AU197" s="146">
        <f t="shared" si="31"/>
        <v>10360.893325833336</v>
      </c>
      <c r="AV197" s="199">
        <f t="shared" si="24"/>
        <v>-1279.6050483333336</v>
      </c>
      <c r="AW197" s="142">
        <f>AJ197*Valores!$C$72</f>
        <v>-314.08487550000007</v>
      </c>
      <c r="AX197" s="142">
        <f>AJ197*Valores!$C$73</f>
        <v>-34.898319500000007</v>
      </c>
      <c r="AY197" s="146">
        <f t="shared" si="32"/>
        <v>10906.764923333336</v>
      </c>
      <c r="AZ197" s="150"/>
      <c r="BA197" s="150">
        <f t="shared" si="36"/>
        <v>4</v>
      </c>
      <c r="BB197" s="135" t="s">
        <v>4</v>
      </c>
    </row>
    <row r="198" spans="1:54" s="114" customFormat="1" ht="11.25" customHeight="1" x14ac:dyDescent="0.15">
      <c r="A198" s="134">
        <v>196</v>
      </c>
      <c r="B198" s="134"/>
      <c r="C198" s="135" t="s">
        <v>496</v>
      </c>
      <c r="D198" s="135">
        <v>5</v>
      </c>
      <c r="E198" s="135">
        <f t="shared" si="25"/>
        <v>36</v>
      </c>
      <c r="F198" s="136" t="str">
        <f t="shared" si="34"/>
        <v>Hora Cátedra Enseñanza Superior 5 hs</v>
      </c>
      <c r="G198" s="137">
        <f t="shared" si="35"/>
        <v>495</v>
      </c>
      <c r="H198" s="138">
        <f>INT((G198*Valores!$C$2*100)+0.5)/100</f>
        <v>6624.39</v>
      </c>
      <c r="I198" s="156">
        <v>0</v>
      </c>
      <c r="J198" s="140">
        <f>INT((I198*Valores!$C$2*100)+0.5)/100</f>
        <v>0</v>
      </c>
      <c r="K198" s="155">
        <v>0</v>
      </c>
      <c r="L198" s="140">
        <f>INT((K198*Valores!$C$2*100)+0.5)/100</f>
        <v>0</v>
      </c>
      <c r="M198" s="153">
        <v>0</v>
      </c>
      <c r="N198" s="140">
        <f>INT((M198*Valores!$C$2*100)+0.5)/100</f>
        <v>0</v>
      </c>
      <c r="O198" s="140">
        <f t="shared" si="26"/>
        <v>1172.376</v>
      </c>
      <c r="P198" s="140">
        <f t="shared" si="27"/>
        <v>0</v>
      </c>
      <c r="Q198" s="154">
        <f>Valores!$C$14*D198</f>
        <v>2269.1999999999998</v>
      </c>
      <c r="R198" s="154">
        <f>IF(D198&lt;15,(Valores!$E$4*D198),Valores!$D$4)</f>
        <v>2280.4</v>
      </c>
      <c r="S198" s="140">
        <v>0</v>
      </c>
      <c r="T198" s="143">
        <f>IF($H$5="NO",IF(Valores!$C$47*D198&gt;Valores!$C$45,Valores!$C$45,Valores!$C$47*D198),IF(Valores!$C$47*D198&gt;Valores!$C$45,Valores!$C$45,Valores!$C$47*D198)/2)</f>
        <v>477.75</v>
      </c>
      <c r="U198" s="154">
        <f>Valores!$C$24*D198</f>
        <v>713.7</v>
      </c>
      <c r="V198" s="140">
        <f t="shared" si="33"/>
        <v>713.7</v>
      </c>
      <c r="W198" s="140">
        <v>0</v>
      </c>
      <c r="X198" s="140">
        <v>0</v>
      </c>
      <c r="Y198" s="160">
        <v>0</v>
      </c>
      <c r="Z198" s="140">
        <f>Y198*Valores!$C$2</f>
        <v>0</v>
      </c>
      <c r="AA198" s="140">
        <v>0</v>
      </c>
      <c r="AB198" s="143">
        <f>IF(Valores!$C$93*D198&gt;Valores!$C$92,Valores!$C$92,Valores!$C$93*D198)</f>
        <v>656.44999999999993</v>
      </c>
      <c r="AC198" s="145">
        <f>IF((Valores!$C$34)*D198&gt;Valores!$F$34,Valores!$F$34,(Valores!$C$34)*D198)</f>
        <v>56.050000000000004</v>
      </c>
      <c r="AD198" s="140">
        <f t="shared" si="29"/>
        <v>0</v>
      </c>
      <c r="AE198" s="140">
        <f>IF(Valores!$C$35*D198&gt;Valores!$F$35,Valores!$F$35,Valores!$C$35*D198)</f>
        <v>46.7</v>
      </c>
      <c r="AF198" s="144">
        <v>0</v>
      </c>
      <c r="AG198" s="140">
        <f>INT(((AF198*Valores!$C$2)*100)+0.5)/100</f>
        <v>0</v>
      </c>
      <c r="AH198" s="140">
        <f>IF($H$5="NO",IF(Valores!$D$60*'Escala Docente'!D198&gt;Valores!$F$60,Valores!$F$60,Valores!$D$60*'Escala Docente'!D198),IF(Valores!$D$60*'Escala Docente'!D198&gt;Valores!$F$60,Valores!$F$60,Valores!$D$60*'Escala Docente'!D198)/2)</f>
        <v>189.7</v>
      </c>
      <c r="AI198" s="140">
        <f>IF($H$5="NO",IF(Valores!$D$62*D198&gt;Valores!$F$62,Valores!$F$62,Valores!$D$62*D198),IF(Valores!$D$62*D198&gt;Valores!$F$62,Valores!$F$62,Valores!$D$62*D198)/2)</f>
        <v>54.253333333333337</v>
      </c>
      <c r="AJ198" s="146">
        <f t="shared" si="30"/>
        <v>14540.969333333336</v>
      </c>
      <c r="AK198" s="154">
        <f>IF(Valores!$C$38*D198&gt;Valores!$F$38,Valores!$F$38,Valores!$C$38*D198)</f>
        <v>488.5</v>
      </c>
      <c r="AL198" s="143">
        <f>IF(Valores!$C$88*D198&gt;Valores!$C$87,Valores!$C$87,Valores!$C$88*D198)</f>
        <v>568.74999999999989</v>
      </c>
      <c r="AM198" s="143"/>
      <c r="AN198" s="145">
        <f>IF($H$4="NO",0,IF(Valores!$C$58*D198&gt;Valores!$F$58,Valores!$F$58,Valores!$C$58*D198))</f>
        <v>70.974999999999994</v>
      </c>
      <c r="AO198" s="147">
        <f t="shared" si="28"/>
        <v>1128.2249999999999</v>
      </c>
      <c r="AP198" s="148">
        <f>AJ198*Valores!$C$69</f>
        <v>-1599.506626666667</v>
      </c>
      <c r="AQ198" s="149">
        <f>AJ198*-Valores!$C$70</f>
        <v>0</v>
      </c>
      <c r="AR198" s="142">
        <f>AJ198*Valores!$C$71</f>
        <v>-654.3436200000001</v>
      </c>
      <c r="AS198" s="142">
        <f>Valores!$C$95</f>
        <v>-193.38</v>
      </c>
      <c r="AT198" s="142">
        <f>IF($H$6=0,Valores!$C$96,(Valores!$C$96+$H$6*(Valores!$C$96)))</f>
        <v>-178</v>
      </c>
      <c r="AU198" s="146">
        <f t="shared" si="31"/>
        <v>13043.964086666669</v>
      </c>
      <c r="AV198" s="199">
        <f t="shared" si="24"/>
        <v>-1599.506626666667</v>
      </c>
      <c r="AW198" s="142">
        <f>AJ198*Valores!$C$72</f>
        <v>-392.60617200000007</v>
      </c>
      <c r="AX198" s="142">
        <f>AJ198*Valores!$C$73</f>
        <v>-43.62290800000001</v>
      </c>
      <c r="AY198" s="146">
        <f t="shared" si="32"/>
        <v>13633.45862666667</v>
      </c>
      <c r="AZ198" s="150"/>
      <c r="BA198" s="150">
        <f t="shared" si="36"/>
        <v>5</v>
      </c>
      <c r="BB198" s="135" t="s">
        <v>4</v>
      </c>
    </row>
    <row r="199" spans="1:54" s="114" customFormat="1" ht="11.25" customHeight="1" x14ac:dyDescent="0.15">
      <c r="A199" s="134">
        <v>197</v>
      </c>
      <c r="B199" s="134"/>
      <c r="C199" s="135" t="s">
        <v>496</v>
      </c>
      <c r="D199" s="135">
        <v>6</v>
      </c>
      <c r="E199" s="135">
        <f t="shared" si="25"/>
        <v>36</v>
      </c>
      <c r="F199" s="136" t="str">
        <f t="shared" si="34"/>
        <v>Hora Cátedra Enseñanza Superior 6 hs</v>
      </c>
      <c r="G199" s="137">
        <f t="shared" si="35"/>
        <v>594</v>
      </c>
      <c r="H199" s="138">
        <f>INT((G199*Valores!$C$2*100)+0.5)/100</f>
        <v>7949.26</v>
      </c>
      <c r="I199" s="156">
        <v>0</v>
      </c>
      <c r="J199" s="140">
        <f>INT((I199*Valores!$C$2*100)+0.5)/100</f>
        <v>0</v>
      </c>
      <c r="K199" s="155">
        <v>0</v>
      </c>
      <c r="L199" s="140">
        <f>INT((K199*Valores!$C$2*100)+0.5)/100</f>
        <v>0</v>
      </c>
      <c r="M199" s="153">
        <v>0</v>
      </c>
      <c r="N199" s="140">
        <f>INT((M199*Valores!$C$2*100)+0.5)/100</f>
        <v>0</v>
      </c>
      <c r="O199" s="140">
        <f t="shared" si="26"/>
        <v>1406.85</v>
      </c>
      <c r="P199" s="140">
        <f t="shared" si="27"/>
        <v>0</v>
      </c>
      <c r="Q199" s="154">
        <f>Valores!$C$14*D199</f>
        <v>2723.04</v>
      </c>
      <c r="R199" s="154">
        <f>IF(D199&lt;15,(Valores!$E$4*D199),Valores!$D$4)</f>
        <v>2736.48</v>
      </c>
      <c r="S199" s="140">
        <v>0</v>
      </c>
      <c r="T199" s="143">
        <f>IF($H$5="NO",IF(Valores!$C$47*D199&gt;Valores!$C$45,Valores!$C$45,Valores!$C$47*D199),IF(Valores!$C$47*D199&gt;Valores!$C$45,Valores!$C$45,Valores!$C$47*D199)/2)</f>
        <v>573.29999999999995</v>
      </c>
      <c r="U199" s="154">
        <f>Valores!$C$24*D199</f>
        <v>856.44</v>
      </c>
      <c r="V199" s="140">
        <f t="shared" si="33"/>
        <v>856.44</v>
      </c>
      <c r="W199" s="140">
        <v>0</v>
      </c>
      <c r="X199" s="140">
        <v>0</v>
      </c>
      <c r="Y199" s="160">
        <v>0</v>
      </c>
      <c r="Z199" s="140">
        <f>Y199*Valores!$C$2</f>
        <v>0</v>
      </c>
      <c r="AA199" s="140">
        <v>0</v>
      </c>
      <c r="AB199" s="143">
        <f>IF(Valores!$C$93*D199&gt;Valores!$C$92,Valores!$C$92,Valores!$C$93*D199)</f>
        <v>787.74</v>
      </c>
      <c r="AC199" s="145">
        <f>IF((Valores!$C$34)*D199&gt;Valores!$F$34,Valores!$F$34,(Valores!$C$34)*D199)</f>
        <v>67.260000000000005</v>
      </c>
      <c r="AD199" s="140">
        <f t="shared" si="29"/>
        <v>0</v>
      </c>
      <c r="AE199" s="140">
        <f>IF(Valores!$C$35*D199&gt;Valores!$F$35,Valores!$F$35,Valores!$C$35*D199)</f>
        <v>56.04</v>
      </c>
      <c r="AF199" s="144">
        <v>0</v>
      </c>
      <c r="AG199" s="140">
        <f>INT(((AF199*Valores!$C$2)*100)+0.5)/100</f>
        <v>0</v>
      </c>
      <c r="AH199" s="140">
        <f>IF($H$5="NO",IF(Valores!$D$60*'Escala Docente'!D199&gt;Valores!$F$60,Valores!$F$60,Valores!$D$60*'Escala Docente'!D199),IF(Valores!$D$60*'Escala Docente'!D199&gt;Valores!$F$60,Valores!$F$60,Valores!$D$60*'Escala Docente'!D199)/2)</f>
        <v>227.64</v>
      </c>
      <c r="AI199" s="140">
        <f>IF($H$5="NO",IF(Valores!$D$62*D199&gt;Valores!$F$62,Valores!$F$62,Valores!$D$62*D199),IF(Valores!$D$62*D199&gt;Valores!$F$62,Valores!$F$62,Valores!$D$62*D199)/2)</f>
        <v>65.103999999999999</v>
      </c>
      <c r="AJ199" s="146">
        <f t="shared" si="30"/>
        <v>17449.154000000002</v>
      </c>
      <c r="AK199" s="154">
        <f>IF(Valores!$C$38*D199&gt;Valores!$F$38,Valores!$F$38,Valores!$C$38*D199)</f>
        <v>586.20000000000005</v>
      </c>
      <c r="AL199" s="143">
        <f>IF(Valores!$C$88*D199&gt;Valores!$C$87,Valores!$C$87,Valores!$C$88*D199)</f>
        <v>682.49999999999989</v>
      </c>
      <c r="AM199" s="143"/>
      <c r="AN199" s="145">
        <f>IF($H$4="NO",0,IF(Valores!$C$58*D199&gt;Valores!$F$58,Valores!$F$58,Valores!$C$58*D199))</f>
        <v>85.17</v>
      </c>
      <c r="AO199" s="147">
        <f t="shared" si="28"/>
        <v>1353.87</v>
      </c>
      <c r="AP199" s="148">
        <f>AJ199*Valores!$C$69</f>
        <v>-1919.4069400000003</v>
      </c>
      <c r="AQ199" s="149">
        <f>AJ199*-Valores!$C$70</f>
        <v>0</v>
      </c>
      <c r="AR199" s="142">
        <f>AJ199*Valores!$C$71</f>
        <v>-785.21193000000005</v>
      </c>
      <c r="AS199" s="142">
        <f>Valores!$C$95</f>
        <v>-193.38</v>
      </c>
      <c r="AT199" s="142">
        <f>IF($H$6=0,Valores!$C$96,(Valores!$C$96+$H$6*(Valores!$C$96)))</f>
        <v>-178</v>
      </c>
      <c r="AU199" s="146">
        <f t="shared" si="31"/>
        <v>15727.025130000002</v>
      </c>
      <c r="AV199" s="199">
        <f t="shared" si="24"/>
        <v>-1919.4069400000003</v>
      </c>
      <c r="AW199" s="142">
        <f>AJ199*Valores!$C$72</f>
        <v>-471.12715800000007</v>
      </c>
      <c r="AX199" s="142">
        <f>AJ199*Valores!$C$73</f>
        <v>-52.347462000000007</v>
      </c>
      <c r="AY199" s="146">
        <f t="shared" si="32"/>
        <v>16360.14244</v>
      </c>
      <c r="AZ199" s="150"/>
      <c r="BA199" s="150">
        <f t="shared" si="36"/>
        <v>6</v>
      </c>
      <c r="BB199" s="135" t="s">
        <v>4</v>
      </c>
    </row>
    <row r="200" spans="1:54" s="114" customFormat="1" ht="11.25" customHeight="1" x14ac:dyDescent="0.15">
      <c r="A200" s="134">
        <v>198</v>
      </c>
      <c r="B200" s="134"/>
      <c r="C200" s="135" t="s">
        <v>496</v>
      </c>
      <c r="D200" s="135">
        <v>7</v>
      </c>
      <c r="E200" s="135">
        <f t="shared" ref="E200:E263" si="37">LEN(F200)</f>
        <v>36</v>
      </c>
      <c r="F200" s="136" t="str">
        <f t="shared" si="34"/>
        <v>Hora Cátedra Enseñanza Superior 7 hs</v>
      </c>
      <c r="G200" s="137">
        <f t="shared" si="35"/>
        <v>693</v>
      </c>
      <c r="H200" s="138">
        <f>INT((G200*Valores!$C$2*100)+0.5)/100</f>
        <v>9274.14</v>
      </c>
      <c r="I200" s="156">
        <v>0</v>
      </c>
      <c r="J200" s="140">
        <f>INT((I200*Valores!$C$2*100)+0.5)/100</f>
        <v>0</v>
      </c>
      <c r="K200" s="155">
        <v>0</v>
      </c>
      <c r="L200" s="140">
        <f>INT((K200*Valores!$C$2*100)+0.5)/100</f>
        <v>0</v>
      </c>
      <c r="M200" s="153">
        <v>0</v>
      </c>
      <c r="N200" s="140">
        <f>INT((M200*Valores!$C$2*100)+0.5)/100</f>
        <v>0</v>
      </c>
      <c r="O200" s="140">
        <f t="shared" ref="O200:O263" si="38">IF($J$2=0,IF(C200&lt;&gt;"13-930",(SUM(H200,J200,L200,N200,Z200,U200,T200)*$O$2),0),0)</f>
        <v>1641.3254999999999</v>
      </c>
      <c r="P200" s="140">
        <f t="shared" ref="P200:P263" si="39">SUM(H200,J200,L200,N200,Z200,T200)*$J$2</f>
        <v>0</v>
      </c>
      <c r="Q200" s="154">
        <f>Valores!$C$14*D200</f>
        <v>3176.8799999999997</v>
      </c>
      <c r="R200" s="154">
        <f>IF(D200&lt;15,(Valores!$E$4*D200),Valores!$D$4)</f>
        <v>3192.56</v>
      </c>
      <c r="S200" s="140">
        <v>0</v>
      </c>
      <c r="T200" s="143">
        <f>IF($H$5="NO",IF(Valores!$C$47*D200&gt;Valores!$C$45,Valores!$C$45,Valores!$C$47*D200),IF(Valores!$C$47*D200&gt;Valores!$C$45,Valores!$C$45,Valores!$C$47*D200)/2)</f>
        <v>668.85</v>
      </c>
      <c r="U200" s="154">
        <f>Valores!$C$24*D200</f>
        <v>999.18000000000006</v>
      </c>
      <c r="V200" s="140">
        <f t="shared" si="33"/>
        <v>999.18000000000006</v>
      </c>
      <c r="W200" s="140">
        <v>0</v>
      </c>
      <c r="X200" s="140">
        <v>0</v>
      </c>
      <c r="Y200" s="160">
        <v>0</v>
      </c>
      <c r="Z200" s="140">
        <f>Y200*Valores!$C$2</f>
        <v>0</v>
      </c>
      <c r="AA200" s="140">
        <v>0</v>
      </c>
      <c r="AB200" s="143">
        <f>IF(Valores!$C$93*D200&gt;Valores!$C$92,Valores!$C$92,Valores!$C$93*D200)</f>
        <v>919.03</v>
      </c>
      <c r="AC200" s="145">
        <f>IF((Valores!$C$34)*D200&gt;Valores!$F$34,Valores!$F$34,(Valores!$C$34)*D200)</f>
        <v>78.47</v>
      </c>
      <c r="AD200" s="140">
        <f t="shared" si="29"/>
        <v>0</v>
      </c>
      <c r="AE200" s="140">
        <f>IF(Valores!$C$35*D200&gt;Valores!$F$35,Valores!$F$35,Valores!$C$35*D200)</f>
        <v>65.38</v>
      </c>
      <c r="AF200" s="144">
        <v>0</v>
      </c>
      <c r="AG200" s="140">
        <f>INT(((AF200*Valores!$C$2)*100)+0.5)/100</f>
        <v>0</v>
      </c>
      <c r="AH200" s="140">
        <f>IF($H$5="NO",IF(Valores!$D$60*'Escala Docente'!D200&gt;Valores!$F$60,Valores!$F$60,Valores!$D$60*'Escala Docente'!D200),IF(Valores!$D$60*'Escala Docente'!D200&gt;Valores!$F$60,Valores!$F$60,Valores!$D$60*'Escala Docente'!D200)/2)</f>
        <v>265.58</v>
      </c>
      <c r="AI200" s="140">
        <f>IF($H$5="NO",IF(Valores!$D$62*D200&gt;Valores!$F$62,Valores!$F$62,Valores!$D$62*D200),IF(Valores!$D$62*D200&gt;Valores!$F$62,Valores!$F$62,Valores!$D$62*D200)/2)</f>
        <v>75.954666666666668</v>
      </c>
      <c r="AJ200" s="146">
        <f t="shared" si="30"/>
        <v>20357.350166666667</v>
      </c>
      <c r="AK200" s="154">
        <f>IF(Valores!$C$38*D200&gt;Valores!$F$38,Valores!$F$38,Valores!$C$38*D200)</f>
        <v>683.9</v>
      </c>
      <c r="AL200" s="143">
        <f>IF(Valores!$C$88*D200&gt;Valores!$C$87,Valores!$C$87,Valores!$C$88*D200)</f>
        <v>796.24999999999989</v>
      </c>
      <c r="AM200" s="143"/>
      <c r="AN200" s="145">
        <f>IF($H$4="NO",0,IF(Valores!$C$58*D200&gt;Valores!$F$58,Valores!$F$58,Valores!$C$58*D200))</f>
        <v>99.365000000000009</v>
      </c>
      <c r="AO200" s="147">
        <f t="shared" si="28"/>
        <v>1579.5149999999999</v>
      </c>
      <c r="AP200" s="148">
        <f>AJ200*Valores!$C$69</f>
        <v>-2239.3085183333333</v>
      </c>
      <c r="AQ200" s="149">
        <f>AJ200*-Valores!$C$70</f>
        <v>0</v>
      </c>
      <c r="AR200" s="142">
        <f>AJ200*Valores!$C$71</f>
        <v>-916.0807575</v>
      </c>
      <c r="AS200" s="142">
        <f>Valores!$C$95</f>
        <v>-193.38</v>
      </c>
      <c r="AT200" s="142">
        <f>IF($H$6=0,Valores!$C$96,(Valores!$C$96+$H$6*(Valores!$C$96)))</f>
        <v>-178</v>
      </c>
      <c r="AU200" s="146">
        <f t="shared" si="31"/>
        <v>18410.095890833334</v>
      </c>
      <c r="AV200" s="199">
        <f t="shared" ref="AV200:AV263" si="40">AP200</f>
        <v>-2239.3085183333333</v>
      </c>
      <c r="AW200" s="142">
        <f>AJ200*Valores!$C$72</f>
        <v>-549.64845449999996</v>
      </c>
      <c r="AX200" s="142">
        <f>AJ200*Valores!$C$73</f>
        <v>-61.072050500000003</v>
      </c>
      <c r="AY200" s="146">
        <f t="shared" si="32"/>
        <v>19086.836143333334</v>
      </c>
      <c r="AZ200" s="150"/>
      <c r="BA200" s="150">
        <f t="shared" si="36"/>
        <v>7</v>
      </c>
      <c r="BB200" s="135" t="s">
        <v>4</v>
      </c>
    </row>
    <row r="201" spans="1:54" s="114" customFormat="1" ht="11.25" customHeight="1" x14ac:dyDescent="0.15">
      <c r="A201" s="134">
        <v>199</v>
      </c>
      <c r="B201" s="134"/>
      <c r="C201" s="135" t="s">
        <v>496</v>
      </c>
      <c r="D201" s="135">
        <v>8</v>
      </c>
      <c r="E201" s="135">
        <f t="shared" si="37"/>
        <v>36</v>
      </c>
      <c r="F201" s="136" t="str">
        <f t="shared" si="34"/>
        <v>Hora Cátedra Enseñanza Superior 8 hs</v>
      </c>
      <c r="G201" s="137">
        <f t="shared" si="35"/>
        <v>792</v>
      </c>
      <c r="H201" s="138">
        <f>INT((G201*Valores!$C$2*100)+0.5)/100</f>
        <v>10599.02</v>
      </c>
      <c r="I201" s="156">
        <v>0</v>
      </c>
      <c r="J201" s="140">
        <f>INT((I201*Valores!$C$2*100)+0.5)/100</f>
        <v>0</v>
      </c>
      <c r="K201" s="155">
        <v>0</v>
      </c>
      <c r="L201" s="140">
        <f>INT((K201*Valores!$C$2*100)+0.5)/100</f>
        <v>0</v>
      </c>
      <c r="M201" s="153">
        <v>0</v>
      </c>
      <c r="N201" s="140">
        <f>INT((M201*Valores!$C$2*100)+0.5)/100</f>
        <v>0</v>
      </c>
      <c r="O201" s="140">
        <f t="shared" si="38"/>
        <v>1875.8009999999999</v>
      </c>
      <c r="P201" s="140">
        <f t="shared" si="39"/>
        <v>0</v>
      </c>
      <c r="Q201" s="154">
        <f>Valores!$C$14*D201</f>
        <v>3630.72</v>
      </c>
      <c r="R201" s="154">
        <f>IF(D201&lt;15,(Valores!$E$4*D201),Valores!$D$4)</f>
        <v>3648.64</v>
      </c>
      <c r="S201" s="140">
        <v>0</v>
      </c>
      <c r="T201" s="143">
        <f>IF($H$5="NO",IF(Valores!$C$47*D201&gt;Valores!$C$45,Valores!$C$45,Valores!$C$47*D201),IF(Valores!$C$47*D201&gt;Valores!$C$45,Valores!$C$45,Valores!$C$47*D201)/2)</f>
        <v>764.4</v>
      </c>
      <c r="U201" s="154">
        <f>Valores!$C$24*D201</f>
        <v>1141.92</v>
      </c>
      <c r="V201" s="140">
        <f t="shared" si="33"/>
        <v>1141.92</v>
      </c>
      <c r="W201" s="140">
        <v>0</v>
      </c>
      <c r="X201" s="140">
        <v>0</v>
      </c>
      <c r="Y201" s="160">
        <v>0</v>
      </c>
      <c r="Z201" s="140">
        <f>Y201*Valores!$C$2</f>
        <v>0</v>
      </c>
      <c r="AA201" s="140">
        <v>0</v>
      </c>
      <c r="AB201" s="143">
        <f>IF(Valores!$C$93*D201&gt;Valores!$C$92,Valores!$C$92,Valores!$C$93*D201)</f>
        <v>1050.32</v>
      </c>
      <c r="AC201" s="145">
        <f>IF((Valores!$C$34)*D201&gt;Valores!$F$34,Valores!$F$34,(Valores!$C$34)*D201)</f>
        <v>89.68</v>
      </c>
      <c r="AD201" s="140">
        <f t="shared" ref="AD201:AD264" si="41">SUM(H201,J201,L201,Z201,T201)*$H$3/100</f>
        <v>0</v>
      </c>
      <c r="AE201" s="140">
        <f>IF(Valores!$C$35*D201&gt;Valores!$F$35,Valores!$F$35,Valores!$C$35*D201)</f>
        <v>74.72</v>
      </c>
      <c r="AF201" s="144">
        <v>0</v>
      </c>
      <c r="AG201" s="140">
        <f>INT(((AF201*Valores!$C$2)*100)+0.5)/100</f>
        <v>0</v>
      </c>
      <c r="AH201" s="140">
        <f>IF($H$5="NO",IF(Valores!$D$60*'Escala Docente'!D201&gt;Valores!$F$60,Valores!$F$60,Valores!$D$60*'Escala Docente'!D201),IF(Valores!$D$60*'Escala Docente'!D201&gt;Valores!$F$60,Valores!$F$60,Valores!$D$60*'Escala Docente'!D201)/2)</f>
        <v>303.52</v>
      </c>
      <c r="AI201" s="140">
        <f>IF($H$5="NO",IF(Valores!$D$62*D201&gt;Valores!$F$62,Valores!$F$62,Valores!$D$62*D201),IF(Valores!$D$62*D201&gt;Valores!$F$62,Valores!$F$62,Valores!$D$62*D201)/2)</f>
        <v>86.805333333333337</v>
      </c>
      <c r="AJ201" s="146">
        <f t="shared" ref="AJ201:AJ264" si="42">SUM(H201,J201,L201,N201,O201,P201,Q201,R201,S201,V201,W201,X201,Z201,AA201,AC201,AD201,AE201,AG201,T201,AH201,AI201,AB201)</f>
        <v>23265.546333333339</v>
      </c>
      <c r="AK201" s="154">
        <f>IF(Valores!$C$38*D201&gt;Valores!$F$38,Valores!$F$38,Valores!$C$38*D201)</f>
        <v>781.6</v>
      </c>
      <c r="AL201" s="143">
        <f>IF(Valores!$C$88*D201&gt;Valores!$C$87,Valores!$C$87,Valores!$C$88*D201)</f>
        <v>909.99999999999989</v>
      </c>
      <c r="AM201" s="143"/>
      <c r="AN201" s="145">
        <f>IF($H$4="NO",0,IF(Valores!$C$58*D201&gt;Valores!$F$58,Valores!$F$58,Valores!$C$58*D201))</f>
        <v>113.56</v>
      </c>
      <c r="AO201" s="147">
        <f t="shared" ref="AO201:AO264" si="43">IF($H$4="SI",SUM(AK201:AN201),SUM(AK201:AL201))</f>
        <v>1805.1599999999999</v>
      </c>
      <c r="AP201" s="148">
        <f>AJ201*Valores!$C$69</f>
        <v>-2559.2100966666671</v>
      </c>
      <c r="AQ201" s="149">
        <f>AJ201*-Valores!$C$70</f>
        <v>0</v>
      </c>
      <c r="AR201" s="142">
        <f>AJ201*Valores!$C$71</f>
        <v>-1046.9495850000003</v>
      </c>
      <c r="AS201" s="142">
        <f>Valores!$C$95</f>
        <v>-193.38</v>
      </c>
      <c r="AT201" s="142">
        <f>IF($H$6=0,Valores!$C$96,(Valores!$C$96+$H$6*(Valores!$C$96)))</f>
        <v>-178</v>
      </c>
      <c r="AU201" s="146">
        <f t="shared" si="31"/>
        <v>21093.16665166667</v>
      </c>
      <c r="AV201" s="199">
        <f t="shared" si="40"/>
        <v>-2559.2100966666671</v>
      </c>
      <c r="AW201" s="142">
        <f>AJ201*Valores!$C$72</f>
        <v>-628.16975100000013</v>
      </c>
      <c r="AX201" s="142">
        <f>AJ201*Valores!$C$73</f>
        <v>-69.796639000000013</v>
      </c>
      <c r="AY201" s="146">
        <f t="shared" si="32"/>
        <v>21813.529846666672</v>
      </c>
      <c r="AZ201" s="150"/>
      <c r="BA201" s="150">
        <f t="shared" si="36"/>
        <v>8</v>
      </c>
      <c r="BB201" s="135" t="s">
        <v>4</v>
      </c>
    </row>
    <row r="202" spans="1:54" s="114" customFormat="1" ht="11.25" customHeight="1" x14ac:dyDescent="0.15">
      <c r="A202" s="152">
        <v>200</v>
      </c>
      <c r="B202" s="152" t="s">
        <v>139</v>
      </c>
      <c r="C202" s="135" t="s">
        <v>496</v>
      </c>
      <c r="D202" s="135">
        <v>9</v>
      </c>
      <c r="E202" s="135">
        <f t="shared" si="37"/>
        <v>36</v>
      </c>
      <c r="F202" s="136" t="str">
        <f t="shared" si="34"/>
        <v>Hora Cátedra Enseñanza Superior 9 hs</v>
      </c>
      <c r="G202" s="137">
        <f t="shared" si="35"/>
        <v>891</v>
      </c>
      <c r="H202" s="138">
        <f>INT((G202*Valores!$C$2*100)+0.5)/100</f>
        <v>11923.9</v>
      </c>
      <c r="I202" s="156">
        <v>0</v>
      </c>
      <c r="J202" s="140">
        <f>INT((I202*Valores!$C$2*100)+0.5)/100</f>
        <v>0</v>
      </c>
      <c r="K202" s="155">
        <v>0</v>
      </c>
      <c r="L202" s="140">
        <f>INT((K202*Valores!$C$2*100)+0.5)/100</f>
        <v>0</v>
      </c>
      <c r="M202" s="153">
        <v>0</v>
      </c>
      <c r="N202" s="140">
        <f>INT((M202*Valores!$C$2*100)+0.5)/100</f>
        <v>0</v>
      </c>
      <c r="O202" s="140">
        <f t="shared" si="38"/>
        <v>2110.2764999999999</v>
      </c>
      <c r="P202" s="140">
        <f t="shared" si="39"/>
        <v>0</v>
      </c>
      <c r="Q202" s="154">
        <f>Valores!$C$14*D202</f>
        <v>4084.56</v>
      </c>
      <c r="R202" s="154">
        <f>IF(D202&lt;15,(Valores!$E$4*D202),Valores!$D$4)</f>
        <v>4104.72</v>
      </c>
      <c r="S202" s="140">
        <v>0</v>
      </c>
      <c r="T202" s="143">
        <f>IF($H$5="NO",IF(Valores!$C$47*D202&gt;Valores!$C$45,Valores!$C$45,Valores!$C$47*D202),IF(Valores!$C$47*D202&gt;Valores!$C$45,Valores!$C$45,Valores!$C$47*D202)/2)</f>
        <v>859.94999999999993</v>
      </c>
      <c r="U202" s="154">
        <f>Valores!$C$24*D202</f>
        <v>1284.6600000000001</v>
      </c>
      <c r="V202" s="140">
        <f t="shared" si="33"/>
        <v>1284.6600000000001</v>
      </c>
      <c r="W202" s="140">
        <v>0</v>
      </c>
      <c r="X202" s="140">
        <v>0</v>
      </c>
      <c r="Y202" s="160">
        <v>0</v>
      </c>
      <c r="Z202" s="140">
        <f>Y202*Valores!$C$2</f>
        <v>0</v>
      </c>
      <c r="AA202" s="140">
        <v>0</v>
      </c>
      <c r="AB202" s="143">
        <f>IF(Valores!$C$93*D202&gt;Valores!$C$92,Valores!$C$92,Valores!$C$93*D202)</f>
        <v>1181.6099999999999</v>
      </c>
      <c r="AC202" s="145">
        <f>IF((Valores!$C$34)*D202&gt;Valores!$F$34,Valores!$F$34,(Valores!$C$34)*D202)</f>
        <v>100.89000000000001</v>
      </c>
      <c r="AD202" s="140">
        <f t="shared" si="41"/>
        <v>0</v>
      </c>
      <c r="AE202" s="140">
        <f>IF(Valores!$C$35*D202&gt;Valores!$F$35,Valores!$F$35,Valores!$C$35*D202)</f>
        <v>84.06</v>
      </c>
      <c r="AF202" s="144">
        <v>0</v>
      </c>
      <c r="AG202" s="140">
        <f>INT(((AF202*Valores!$C$2)*100)+0.5)/100</f>
        <v>0</v>
      </c>
      <c r="AH202" s="140">
        <f>IF($H$5="NO",IF(Valores!$D$60*'Escala Docente'!D202&gt;Valores!$F$60,Valores!$F$60,Valores!$D$60*'Escala Docente'!D202),IF(Valores!$D$60*'Escala Docente'!D202&gt;Valores!$F$60,Valores!$F$60,Valores!$D$60*'Escala Docente'!D202)/2)</f>
        <v>341.46</v>
      </c>
      <c r="AI202" s="140">
        <f>IF($H$5="NO",IF(Valores!$D$62*D202&gt;Valores!$F$62,Valores!$F$62,Valores!$D$62*D202),IF(Valores!$D$62*D202&gt;Valores!$F$62,Valores!$F$62,Valores!$D$62*D202)/2)</f>
        <v>97.656000000000006</v>
      </c>
      <c r="AJ202" s="146">
        <f t="shared" si="42"/>
        <v>26173.7425</v>
      </c>
      <c r="AK202" s="154">
        <f>IF(Valores!$C$38*D202&gt;Valores!$F$38,Valores!$F$38,Valores!$C$38*D202)</f>
        <v>879.30000000000007</v>
      </c>
      <c r="AL202" s="143">
        <f>IF(Valores!$C$88*D202&gt;Valores!$C$87,Valores!$C$87,Valores!$C$88*D202)</f>
        <v>1023.7499999999999</v>
      </c>
      <c r="AM202" s="143"/>
      <c r="AN202" s="145">
        <f>IF($H$4="NO",0,IF(Valores!$C$58*D202&gt;Valores!$F$58,Valores!$F$58,Valores!$C$58*D202))</f>
        <v>127.755</v>
      </c>
      <c r="AO202" s="147">
        <f t="shared" si="43"/>
        <v>2030.8049999999998</v>
      </c>
      <c r="AP202" s="148">
        <f>AJ202*Valores!$C$69</f>
        <v>-2879.1116750000001</v>
      </c>
      <c r="AQ202" s="149">
        <f>AJ202*-Valores!$C$70</f>
        <v>0</v>
      </c>
      <c r="AR202" s="142">
        <f>AJ202*Valores!$C$71</f>
        <v>-1177.8184125</v>
      </c>
      <c r="AS202" s="142">
        <f>Valores!$C$95</f>
        <v>-193.38</v>
      </c>
      <c r="AT202" s="142">
        <f>IF($H$6=0,Valores!$C$96,(Valores!$C$96+$H$6*(Valores!$C$96)))</f>
        <v>-178</v>
      </c>
      <c r="AU202" s="146">
        <f t="shared" ref="AU202:AU265" si="44">AJ202+SUM(AO202:AT202)</f>
        <v>23776.237412499999</v>
      </c>
      <c r="AV202" s="199">
        <f t="shared" si="40"/>
        <v>-2879.1116750000001</v>
      </c>
      <c r="AW202" s="142">
        <f>AJ202*Valores!$C$72</f>
        <v>-706.69104749999997</v>
      </c>
      <c r="AX202" s="142">
        <f>AJ202*Valores!$C$73</f>
        <v>-78.521227500000009</v>
      </c>
      <c r="AY202" s="146">
        <f t="shared" ref="AY202:AY265" si="45">AJ202+AO202+SUM(AV202:AX202)</f>
        <v>24540.223550000002</v>
      </c>
      <c r="AZ202" s="150"/>
      <c r="BA202" s="150">
        <f t="shared" si="36"/>
        <v>9</v>
      </c>
      <c r="BB202" s="135" t="s">
        <v>4</v>
      </c>
    </row>
    <row r="203" spans="1:54" s="114" customFormat="1" ht="11.25" customHeight="1" x14ac:dyDescent="0.15">
      <c r="A203" s="134">
        <v>201</v>
      </c>
      <c r="B203" s="134"/>
      <c r="C203" s="135" t="s">
        <v>496</v>
      </c>
      <c r="D203" s="135">
        <v>10</v>
      </c>
      <c r="E203" s="135">
        <f t="shared" si="37"/>
        <v>37</v>
      </c>
      <c r="F203" s="136" t="str">
        <f t="shared" si="34"/>
        <v>Hora Cátedra Enseñanza Superior 10 hs</v>
      </c>
      <c r="G203" s="137">
        <f t="shared" si="35"/>
        <v>990</v>
      </c>
      <c r="H203" s="138">
        <f>INT((G203*Valores!$C$2*100)+0.5)/100</f>
        <v>13248.77</v>
      </c>
      <c r="I203" s="156">
        <v>0</v>
      </c>
      <c r="J203" s="140">
        <f>INT((I203*Valores!$C$2*100)+0.5)/100</f>
        <v>0</v>
      </c>
      <c r="K203" s="155">
        <v>0</v>
      </c>
      <c r="L203" s="140">
        <f>INT((K203*Valores!$C$2*100)+0.5)/100</f>
        <v>0</v>
      </c>
      <c r="M203" s="153">
        <v>0</v>
      </c>
      <c r="N203" s="140">
        <f>INT((M203*Valores!$C$2*100)+0.5)/100</f>
        <v>0</v>
      </c>
      <c r="O203" s="140">
        <f t="shared" si="38"/>
        <v>2344.7505000000001</v>
      </c>
      <c r="P203" s="140">
        <f t="shared" si="39"/>
        <v>0</v>
      </c>
      <c r="Q203" s="154">
        <f>Valores!$C$14*D203</f>
        <v>4538.3999999999996</v>
      </c>
      <c r="R203" s="154">
        <f>IF(D203&lt;15,(Valores!$E$4*D203),Valores!$D$4)</f>
        <v>4560.8</v>
      </c>
      <c r="S203" s="140">
        <v>0</v>
      </c>
      <c r="T203" s="143">
        <f>IF($H$5="NO",IF(Valores!$C$47*D203&gt;Valores!$C$45,Valores!$C$45,Valores!$C$47*D203),IF(Valores!$C$47*D203&gt;Valores!$C$45,Valores!$C$45,Valores!$C$47*D203)/2)</f>
        <v>955.5</v>
      </c>
      <c r="U203" s="154">
        <f>Valores!$C$24*D203</f>
        <v>1427.4</v>
      </c>
      <c r="V203" s="140">
        <f t="shared" si="33"/>
        <v>1427.4</v>
      </c>
      <c r="W203" s="140">
        <v>0</v>
      </c>
      <c r="X203" s="140">
        <v>0</v>
      </c>
      <c r="Y203" s="160">
        <v>0</v>
      </c>
      <c r="Z203" s="140">
        <f>Y203*Valores!$C$2</f>
        <v>0</v>
      </c>
      <c r="AA203" s="140">
        <v>0</v>
      </c>
      <c r="AB203" s="143">
        <f>IF(Valores!$C$93*D203&gt;Valores!$C$92,Valores!$C$92,Valores!$C$93*D203)</f>
        <v>1312.8999999999999</v>
      </c>
      <c r="AC203" s="145">
        <f>IF((Valores!$C$34)*D203&gt;Valores!$F$34,Valores!$F$34,(Valores!$C$34)*D203)</f>
        <v>112.10000000000001</v>
      </c>
      <c r="AD203" s="140">
        <f t="shared" si="41"/>
        <v>0</v>
      </c>
      <c r="AE203" s="140">
        <f>IF(Valores!$C$35*D203&gt;Valores!$F$35,Valores!$F$35,Valores!$C$35*D203)</f>
        <v>93.4</v>
      </c>
      <c r="AF203" s="144">
        <v>0</v>
      </c>
      <c r="AG203" s="140">
        <f>INT(((AF203*Valores!$C$2)*100)+0.5)/100</f>
        <v>0</v>
      </c>
      <c r="AH203" s="140">
        <f>IF($H$5="NO",IF(Valores!$D$60*'Escala Docente'!D203&gt;Valores!$F$60,Valores!$F$60,Valores!$D$60*'Escala Docente'!D203),IF(Valores!$D$60*'Escala Docente'!D203&gt;Valores!$F$60,Valores!$F$60,Valores!$D$60*'Escala Docente'!D203)/2)</f>
        <v>379.4</v>
      </c>
      <c r="AI203" s="140">
        <f>IF($H$5="NO",IF(Valores!$D$62*D203&gt;Valores!$F$62,Valores!$F$62,Valores!$D$62*D203),IF(Valores!$D$62*D203&gt;Valores!$F$62,Valores!$F$62,Valores!$D$62*D203)/2)</f>
        <v>108.50666666666667</v>
      </c>
      <c r="AJ203" s="146">
        <f t="shared" si="42"/>
        <v>29081.927166666672</v>
      </c>
      <c r="AK203" s="154">
        <f>IF(Valores!$C$38*D203&gt;Valores!$F$38,Valores!$F$38,Valores!$C$38*D203)</f>
        <v>977</v>
      </c>
      <c r="AL203" s="143">
        <f>IF(Valores!$C$88*D203&gt;Valores!$C$87,Valores!$C$87,Valores!$C$88*D203)</f>
        <v>1137.4999999999998</v>
      </c>
      <c r="AM203" s="143"/>
      <c r="AN203" s="145">
        <f>IF($H$4="NO",0,IF(Valores!$C$58*D203&gt;Valores!$F$58,Valores!$F$58,Valores!$C$58*D203))</f>
        <v>141.94999999999999</v>
      </c>
      <c r="AO203" s="147">
        <f t="shared" si="43"/>
        <v>2256.4499999999998</v>
      </c>
      <c r="AP203" s="148">
        <f>AJ203*Valores!$C$69</f>
        <v>-3199.0119883333341</v>
      </c>
      <c r="AQ203" s="149">
        <f>AJ203*-Valores!$C$70</f>
        <v>0</v>
      </c>
      <c r="AR203" s="142">
        <f>AJ203*Valores!$C$71</f>
        <v>-1308.6867225000001</v>
      </c>
      <c r="AS203" s="142">
        <f>Valores!$C$95</f>
        <v>-193.38</v>
      </c>
      <c r="AT203" s="142">
        <f>IF($H$6=0,Valores!$C$96,(Valores!$C$96+$H$6*(Valores!$C$96)))</f>
        <v>-178</v>
      </c>
      <c r="AU203" s="146">
        <f t="shared" si="44"/>
        <v>26459.298455833337</v>
      </c>
      <c r="AV203" s="199">
        <f t="shared" si="40"/>
        <v>-3199.0119883333341</v>
      </c>
      <c r="AW203" s="142">
        <f>AJ203*Valores!$C$72</f>
        <v>-785.21203350000008</v>
      </c>
      <c r="AX203" s="142">
        <f>AJ203*Valores!$C$73</f>
        <v>-87.245781500000021</v>
      </c>
      <c r="AY203" s="146">
        <f t="shared" si="45"/>
        <v>27266.907363333339</v>
      </c>
      <c r="AZ203" s="150"/>
      <c r="BA203" s="150">
        <f t="shared" si="36"/>
        <v>10</v>
      </c>
      <c r="BB203" s="135" t="s">
        <v>4</v>
      </c>
    </row>
    <row r="204" spans="1:54" s="114" customFormat="1" ht="11.25" customHeight="1" x14ac:dyDescent="0.15">
      <c r="A204" s="134">
        <v>202</v>
      </c>
      <c r="B204" s="134"/>
      <c r="C204" s="135" t="s">
        <v>496</v>
      </c>
      <c r="D204" s="135">
        <v>11</v>
      </c>
      <c r="E204" s="135">
        <f t="shared" si="37"/>
        <v>37</v>
      </c>
      <c r="F204" s="136" t="str">
        <f t="shared" si="34"/>
        <v>Hora Cátedra Enseñanza Superior 11 hs</v>
      </c>
      <c r="G204" s="137">
        <f t="shared" si="35"/>
        <v>1089</v>
      </c>
      <c r="H204" s="138">
        <f>INT((G204*Valores!$C$2*100)+0.5)/100</f>
        <v>14573.65</v>
      </c>
      <c r="I204" s="156">
        <v>0</v>
      </c>
      <c r="J204" s="140">
        <f>INT((I204*Valores!$C$2*100)+0.5)/100</f>
        <v>0</v>
      </c>
      <c r="K204" s="155">
        <v>0</v>
      </c>
      <c r="L204" s="140">
        <f>INT((K204*Valores!$C$2*100)+0.5)/100</f>
        <v>0</v>
      </c>
      <c r="M204" s="153">
        <v>0</v>
      </c>
      <c r="N204" s="140">
        <f>INT((M204*Valores!$C$2*100)+0.5)/100</f>
        <v>0</v>
      </c>
      <c r="O204" s="140">
        <f t="shared" si="38"/>
        <v>2579.2260000000001</v>
      </c>
      <c r="P204" s="140">
        <f t="shared" si="39"/>
        <v>0</v>
      </c>
      <c r="Q204" s="154">
        <f>Valores!$C$14*D204</f>
        <v>4992.24</v>
      </c>
      <c r="R204" s="154">
        <f>IF(D204&lt;15,(Valores!$E$4*D204),Valores!$D$4)</f>
        <v>5016.88</v>
      </c>
      <c r="S204" s="140">
        <v>0</v>
      </c>
      <c r="T204" s="143">
        <f>IF($H$5="NO",IF(Valores!$C$47*D204&gt;Valores!$C$45,Valores!$C$45,Valores!$C$47*D204),IF(Valores!$C$47*D204&gt;Valores!$C$45,Valores!$C$45,Valores!$C$47*D204)/2)</f>
        <v>1051.05</v>
      </c>
      <c r="U204" s="154">
        <f>Valores!$C$24*D204</f>
        <v>1570.14</v>
      </c>
      <c r="V204" s="140">
        <f t="shared" si="33"/>
        <v>1570.14</v>
      </c>
      <c r="W204" s="140">
        <v>0</v>
      </c>
      <c r="X204" s="140">
        <v>0</v>
      </c>
      <c r="Y204" s="160">
        <v>0</v>
      </c>
      <c r="Z204" s="140">
        <f>Y204*Valores!$C$2</f>
        <v>0</v>
      </c>
      <c r="AA204" s="140">
        <v>0</v>
      </c>
      <c r="AB204" s="143">
        <f>IF(Valores!$C$93*D204&gt;Valores!$C$92,Valores!$C$92,Valores!$C$93*D204)</f>
        <v>1444.1899999999998</v>
      </c>
      <c r="AC204" s="145">
        <f>IF((Valores!$C$34)*D204&gt;Valores!$F$34,Valores!$F$34,(Valores!$C$34)*D204)</f>
        <v>123.31</v>
      </c>
      <c r="AD204" s="140">
        <f t="shared" si="41"/>
        <v>0</v>
      </c>
      <c r="AE204" s="140">
        <f>IF(Valores!$C$35*D204&gt;Valores!$F$35,Valores!$F$35,Valores!$C$35*D204)</f>
        <v>102.74</v>
      </c>
      <c r="AF204" s="144">
        <v>0</v>
      </c>
      <c r="AG204" s="140">
        <f>INT(((AF204*Valores!$C$2)*100)+0.5)/100</f>
        <v>0</v>
      </c>
      <c r="AH204" s="140">
        <f>IF($H$5="NO",IF(Valores!$D$60*'Escala Docente'!D204&gt;Valores!$F$60,Valores!$F$60,Valores!$D$60*'Escala Docente'!D204),IF(Valores!$D$60*'Escala Docente'!D204&gt;Valores!$F$60,Valores!$F$60,Valores!$D$60*'Escala Docente'!D204)/2)</f>
        <v>417.34</v>
      </c>
      <c r="AI204" s="140">
        <f>IF($H$5="NO",IF(Valores!$D$62*D204&gt;Valores!$F$62,Valores!$F$62,Valores!$D$62*D204),IF(Valores!$D$62*D204&gt;Valores!$F$62,Valores!$F$62,Valores!$D$62*D204)/2)</f>
        <v>119.35733333333334</v>
      </c>
      <c r="AJ204" s="146">
        <f t="shared" si="42"/>
        <v>31990.123333333337</v>
      </c>
      <c r="AK204" s="154">
        <f>IF(Valores!$C$38*D204&gt;Valores!$F$38,Valores!$F$38,Valores!$C$38*D204)</f>
        <v>1074.7</v>
      </c>
      <c r="AL204" s="143">
        <f>IF(Valores!$C$88*D204&gt;Valores!$C$87,Valores!$C$87,Valores!$C$88*D204)</f>
        <v>1251.2499999999998</v>
      </c>
      <c r="AM204" s="143"/>
      <c r="AN204" s="145">
        <f>IF($H$4="NO",0,IF(Valores!$C$58*D204&gt;Valores!$F$58,Valores!$F$58,Valores!$C$58*D204))</f>
        <v>156.14500000000001</v>
      </c>
      <c r="AO204" s="147">
        <f t="shared" si="43"/>
        <v>2482.0949999999998</v>
      </c>
      <c r="AP204" s="148">
        <f>AJ204*Valores!$C$69</f>
        <v>-3518.9135666666671</v>
      </c>
      <c r="AQ204" s="149">
        <f>AJ204*-Valores!$C$70</f>
        <v>0</v>
      </c>
      <c r="AR204" s="142">
        <f>AJ204*Valores!$C$71</f>
        <v>-1439.55555</v>
      </c>
      <c r="AS204" s="142">
        <f>Valores!$C$95</f>
        <v>-193.38</v>
      </c>
      <c r="AT204" s="142">
        <f>IF($H$6=0,Valores!$C$96,(Valores!$C$96+$H$6*(Valores!$C$96)))</f>
        <v>-178</v>
      </c>
      <c r="AU204" s="146">
        <f t="shared" si="44"/>
        <v>29142.36921666667</v>
      </c>
      <c r="AV204" s="199">
        <f t="shared" si="40"/>
        <v>-3518.9135666666671</v>
      </c>
      <c r="AW204" s="142">
        <f>AJ204*Valores!$C$72</f>
        <v>-863.73333000000002</v>
      </c>
      <c r="AX204" s="142">
        <f>AJ204*Valores!$C$73</f>
        <v>-95.970370000000017</v>
      </c>
      <c r="AY204" s="146">
        <f t="shared" si="45"/>
        <v>29993.60106666667</v>
      </c>
      <c r="AZ204" s="150"/>
      <c r="BA204" s="150">
        <f t="shared" si="36"/>
        <v>11</v>
      </c>
      <c r="BB204" s="135" t="s">
        <v>4</v>
      </c>
    </row>
    <row r="205" spans="1:54" s="114" customFormat="1" ht="11.25" customHeight="1" x14ac:dyDescent="0.15">
      <c r="A205" s="134">
        <v>203</v>
      </c>
      <c r="B205" s="134"/>
      <c r="C205" s="135" t="s">
        <v>496</v>
      </c>
      <c r="D205" s="135">
        <v>12</v>
      </c>
      <c r="E205" s="135">
        <f t="shared" si="37"/>
        <v>37</v>
      </c>
      <c r="F205" s="136" t="str">
        <f t="shared" si="34"/>
        <v>Hora Cátedra Enseñanza Superior 12 hs</v>
      </c>
      <c r="G205" s="137">
        <f t="shared" si="35"/>
        <v>1188</v>
      </c>
      <c r="H205" s="138">
        <f>INT((G205*Valores!$C$2*100)+0.5)/100</f>
        <v>15898.53</v>
      </c>
      <c r="I205" s="156">
        <v>0</v>
      </c>
      <c r="J205" s="140">
        <f>INT((I205*Valores!$C$2*100)+0.5)/100</f>
        <v>0</v>
      </c>
      <c r="K205" s="155">
        <v>0</v>
      </c>
      <c r="L205" s="140">
        <f>INT((K205*Valores!$C$2*100)+0.5)/100</f>
        <v>0</v>
      </c>
      <c r="M205" s="153">
        <v>0</v>
      </c>
      <c r="N205" s="140">
        <f>INT((M205*Valores!$C$2*100)+0.5)/100</f>
        <v>0</v>
      </c>
      <c r="O205" s="140">
        <f t="shared" si="38"/>
        <v>2813.7014999999997</v>
      </c>
      <c r="P205" s="140">
        <f t="shared" si="39"/>
        <v>0</v>
      </c>
      <c r="Q205" s="154">
        <f>Valores!$C$14*D205</f>
        <v>5446.08</v>
      </c>
      <c r="R205" s="154">
        <f>IF(D205&lt;15,(Valores!$E$4*D205),Valores!$D$4)</f>
        <v>5472.96</v>
      </c>
      <c r="S205" s="140">
        <v>0</v>
      </c>
      <c r="T205" s="143">
        <f>IF($H$5="NO",IF(Valores!$C$47*D205&gt;Valores!$C$45,Valores!$C$45,Valores!$C$47*D205),IF(Valores!$C$47*D205&gt;Valores!$C$45,Valores!$C$45,Valores!$C$47*D205)/2)</f>
        <v>1146.5999999999999</v>
      </c>
      <c r="U205" s="154">
        <f>Valores!$C$24*D205</f>
        <v>1712.88</v>
      </c>
      <c r="V205" s="140">
        <f t="shared" si="33"/>
        <v>1712.88</v>
      </c>
      <c r="W205" s="140">
        <v>0</v>
      </c>
      <c r="X205" s="140">
        <v>0</v>
      </c>
      <c r="Y205" s="160">
        <v>0</v>
      </c>
      <c r="Z205" s="140">
        <f>Y205*Valores!$C$2</f>
        <v>0</v>
      </c>
      <c r="AA205" s="140">
        <v>0</v>
      </c>
      <c r="AB205" s="143">
        <f>IF(Valores!$C$93*D205&gt;Valores!$C$92,Valores!$C$92,Valores!$C$93*D205)</f>
        <v>1575.48</v>
      </c>
      <c r="AC205" s="145">
        <f>IF((Valores!$C$34)*D205&gt;Valores!$F$34,Valores!$F$34,(Valores!$C$34)*D205)</f>
        <v>134.52000000000001</v>
      </c>
      <c r="AD205" s="140">
        <f t="shared" si="41"/>
        <v>0</v>
      </c>
      <c r="AE205" s="140">
        <f>IF(Valores!$C$35*D205&gt;Valores!$F$35,Valores!$F$35,Valores!$C$35*D205)</f>
        <v>112.08</v>
      </c>
      <c r="AF205" s="144">
        <v>0</v>
      </c>
      <c r="AG205" s="140">
        <f>INT(((AF205*Valores!$C$2)*100)+0.5)/100</f>
        <v>0</v>
      </c>
      <c r="AH205" s="140">
        <f>IF($H$5="NO",IF(Valores!$D$60*'Escala Docente'!D205&gt;Valores!$F$60,Valores!$F$60,Valores!$D$60*'Escala Docente'!D205),IF(Valores!$D$60*'Escala Docente'!D205&gt;Valores!$F$60,Valores!$F$60,Valores!$D$60*'Escala Docente'!D205)/2)</f>
        <v>455.28</v>
      </c>
      <c r="AI205" s="140">
        <f>IF($H$5="NO",IF(Valores!$D$62*D205&gt;Valores!$F$62,Valores!$F$62,Valores!$D$62*D205),IF(Valores!$D$62*D205&gt;Valores!$F$62,Valores!$F$62,Valores!$D$62*D205)/2)</f>
        <v>130.208</v>
      </c>
      <c r="AJ205" s="146">
        <f t="shared" si="42"/>
        <v>34898.319500000005</v>
      </c>
      <c r="AK205" s="154">
        <f>IF(Valores!$C$38*D205&gt;Valores!$F$38,Valores!$F$38,Valores!$C$38*D205)</f>
        <v>1172.4000000000001</v>
      </c>
      <c r="AL205" s="143">
        <f>IF(Valores!$C$88*D205&gt;Valores!$C$87,Valores!$C$87,Valores!$C$88*D205)</f>
        <v>1364.9999999999998</v>
      </c>
      <c r="AM205" s="143"/>
      <c r="AN205" s="145">
        <f>IF($H$4="NO",0,IF(Valores!$C$58*D205&gt;Valores!$F$58,Valores!$F$58,Valores!$C$58*D205))</f>
        <v>170.34</v>
      </c>
      <c r="AO205" s="147">
        <f t="shared" si="43"/>
        <v>2707.74</v>
      </c>
      <c r="AP205" s="148">
        <f>AJ205*Valores!$C$69</f>
        <v>-3838.8151450000005</v>
      </c>
      <c r="AQ205" s="149">
        <f>AJ205*-Valores!$C$70</f>
        <v>0</v>
      </c>
      <c r="AR205" s="142">
        <f>AJ205*Valores!$C$71</f>
        <v>-1570.4243775000002</v>
      </c>
      <c r="AS205" s="142">
        <f>Valores!$C$95</f>
        <v>-193.38</v>
      </c>
      <c r="AT205" s="142">
        <f>IF($H$6=0,Valores!$C$96,(Valores!$C$96+$H$6*(Valores!$C$96)))</f>
        <v>-178</v>
      </c>
      <c r="AU205" s="146">
        <f t="shared" si="44"/>
        <v>31825.439977500006</v>
      </c>
      <c r="AV205" s="199">
        <f t="shared" si="40"/>
        <v>-3838.8151450000005</v>
      </c>
      <c r="AW205" s="142">
        <f>AJ205*Valores!$C$72</f>
        <v>-942.25462650000009</v>
      </c>
      <c r="AX205" s="142">
        <f>AJ205*Valores!$C$73</f>
        <v>-104.69495850000001</v>
      </c>
      <c r="AY205" s="146">
        <f t="shared" si="45"/>
        <v>32720.29477</v>
      </c>
      <c r="AZ205" s="150"/>
      <c r="BA205" s="150">
        <f t="shared" si="36"/>
        <v>12</v>
      </c>
      <c r="BB205" s="135" t="s">
        <v>4</v>
      </c>
    </row>
    <row r="206" spans="1:54" s="114" customFormat="1" ht="11.25" customHeight="1" x14ac:dyDescent="0.15">
      <c r="A206" s="134">
        <v>204</v>
      </c>
      <c r="B206" s="134"/>
      <c r="C206" s="135" t="s">
        <v>496</v>
      </c>
      <c r="D206" s="135">
        <v>13</v>
      </c>
      <c r="E206" s="135">
        <f t="shared" si="37"/>
        <v>37</v>
      </c>
      <c r="F206" s="136" t="str">
        <f t="shared" si="34"/>
        <v>Hora Cátedra Enseñanza Superior 13 hs</v>
      </c>
      <c r="G206" s="137">
        <f t="shared" si="35"/>
        <v>1287</v>
      </c>
      <c r="H206" s="138">
        <f>INT((G206*Valores!$C$2*100)+0.5)/100</f>
        <v>17223.41</v>
      </c>
      <c r="I206" s="156">
        <v>0</v>
      </c>
      <c r="J206" s="140">
        <f>INT((I206*Valores!$C$2*100)+0.5)/100</f>
        <v>0</v>
      </c>
      <c r="K206" s="155">
        <v>0</v>
      </c>
      <c r="L206" s="140">
        <f>INT((K206*Valores!$C$2*100)+0.5)/100</f>
        <v>0</v>
      </c>
      <c r="M206" s="153">
        <v>0</v>
      </c>
      <c r="N206" s="140">
        <f>INT((M206*Valores!$C$2*100)+0.5)/100</f>
        <v>0</v>
      </c>
      <c r="O206" s="140">
        <f t="shared" si="38"/>
        <v>3048.1770000000001</v>
      </c>
      <c r="P206" s="140">
        <f t="shared" si="39"/>
        <v>0</v>
      </c>
      <c r="Q206" s="154">
        <f>Valores!$C$14*D206</f>
        <v>5899.92</v>
      </c>
      <c r="R206" s="154">
        <f>IF(D206&lt;15,(Valores!$E$4*D206),Valores!$D$4)</f>
        <v>5929.04</v>
      </c>
      <c r="S206" s="140">
        <v>0</v>
      </c>
      <c r="T206" s="143">
        <f>IF($H$5="NO",IF(Valores!$C$47*D206&gt;Valores!$C$45,Valores!$C$45,Valores!$C$47*D206),IF(Valores!$C$47*D206&gt;Valores!$C$45,Valores!$C$45,Valores!$C$47*D206)/2)</f>
        <v>1242.1499999999999</v>
      </c>
      <c r="U206" s="154">
        <f>Valores!$C$24*D206</f>
        <v>1855.6200000000001</v>
      </c>
      <c r="V206" s="140">
        <f t="shared" si="33"/>
        <v>1855.6200000000001</v>
      </c>
      <c r="W206" s="140">
        <v>0</v>
      </c>
      <c r="X206" s="140">
        <v>0</v>
      </c>
      <c r="Y206" s="160">
        <v>0</v>
      </c>
      <c r="Z206" s="140">
        <f>Y206*Valores!$C$2</f>
        <v>0</v>
      </c>
      <c r="AA206" s="140">
        <v>0</v>
      </c>
      <c r="AB206" s="143">
        <f>IF(Valores!$C$93*D206&gt;Valores!$C$92,Valores!$C$92,Valores!$C$93*D206)</f>
        <v>1706.77</v>
      </c>
      <c r="AC206" s="145">
        <f>IF((Valores!$C$34)*D206&gt;Valores!$F$34,Valores!$F$34,(Valores!$C$34)*D206)</f>
        <v>145.73000000000002</v>
      </c>
      <c r="AD206" s="140">
        <f t="shared" si="41"/>
        <v>0</v>
      </c>
      <c r="AE206" s="140">
        <f>IF(Valores!$C$35*D206&gt;Valores!$F$35,Valores!$F$35,Valores!$C$35*D206)</f>
        <v>121.42</v>
      </c>
      <c r="AF206" s="144">
        <v>0</v>
      </c>
      <c r="AG206" s="140">
        <f>INT(((AF206*Valores!$C$2)*100)+0.5)/100</f>
        <v>0</v>
      </c>
      <c r="AH206" s="140">
        <f>IF($H$5="NO",IF(Valores!$D$60*'Escala Docente'!D206&gt;Valores!$F$60,Valores!$F$60,Valores!$D$60*'Escala Docente'!D206),IF(Valores!$D$60*'Escala Docente'!D206&gt;Valores!$F$60,Valores!$F$60,Valores!$D$60*'Escala Docente'!D206)/2)</f>
        <v>493.21999999999997</v>
      </c>
      <c r="AI206" s="140">
        <f>IF($H$5="NO",IF(Valores!$D$62*D206&gt;Valores!$F$62,Valores!$F$62,Valores!$D$62*D206),IF(Valores!$D$62*D206&gt;Valores!$F$62,Valores!$F$62,Valores!$D$62*D206)/2)</f>
        <v>141.05866666666668</v>
      </c>
      <c r="AJ206" s="146">
        <f t="shared" si="42"/>
        <v>37806.515666666666</v>
      </c>
      <c r="AK206" s="154">
        <f>IF(Valores!$C$38*D206&gt;Valores!$F$38,Valores!$F$38,Valores!$C$38*D206)</f>
        <v>1270.1000000000001</v>
      </c>
      <c r="AL206" s="143">
        <f>IF(Valores!$C$88*D206&gt;Valores!$C$87,Valores!$C$87,Valores!$C$88*D206)</f>
        <v>1478.7499999999998</v>
      </c>
      <c r="AM206" s="143"/>
      <c r="AN206" s="145">
        <f>IF($H$4="NO",0,IF(Valores!$C$58*D206&gt;Valores!$F$58,Valores!$F$58,Valores!$C$58*D206))</f>
        <v>184.535</v>
      </c>
      <c r="AO206" s="147">
        <f t="shared" si="43"/>
        <v>2933.3849999999998</v>
      </c>
      <c r="AP206" s="148">
        <f>AJ206*Valores!$C$69</f>
        <v>-4158.716723333333</v>
      </c>
      <c r="AQ206" s="149">
        <f>AJ206*-Valores!$C$70</f>
        <v>0</v>
      </c>
      <c r="AR206" s="142">
        <f>AJ206*Valores!$C$71</f>
        <v>-1701.2932049999999</v>
      </c>
      <c r="AS206" s="142">
        <f>Valores!$C$95</f>
        <v>-193.38</v>
      </c>
      <c r="AT206" s="142">
        <f>IF($H$6=0,Valores!$C$96,(Valores!$C$96+$H$6*(Valores!$C$96)))</f>
        <v>-178</v>
      </c>
      <c r="AU206" s="146">
        <f t="shared" si="44"/>
        <v>34508.510738333331</v>
      </c>
      <c r="AV206" s="199">
        <f t="shared" si="40"/>
        <v>-4158.716723333333</v>
      </c>
      <c r="AW206" s="142">
        <f>AJ206*Valores!$C$72</f>
        <v>-1020.7759229999999</v>
      </c>
      <c r="AX206" s="142">
        <f>AJ206*Valores!$C$73</f>
        <v>-113.41954699999999</v>
      </c>
      <c r="AY206" s="146">
        <f t="shared" si="45"/>
        <v>35446.988473333331</v>
      </c>
      <c r="AZ206" s="150"/>
      <c r="BA206" s="150">
        <f t="shared" si="36"/>
        <v>13</v>
      </c>
      <c r="BB206" s="135" t="s">
        <v>4</v>
      </c>
    </row>
    <row r="207" spans="1:54" s="114" customFormat="1" ht="11.25" customHeight="1" x14ac:dyDescent="0.15">
      <c r="A207" s="152">
        <v>205</v>
      </c>
      <c r="B207" s="152" t="s">
        <v>139</v>
      </c>
      <c r="C207" s="135" t="s">
        <v>496</v>
      </c>
      <c r="D207" s="135">
        <v>14</v>
      </c>
      <c r="E207" s="135">
        <f t="shared" si="37"/>
        <v>37</v>
      </c>
      <c r="F207" s="136" t="str">
        <f t="shared" si="34"/>
        <v>Hora Cátedra Enseñanza Superior 14 hs</v>
      </c>
      <c r="G207" s="137">
        <f t="shared" si="35"/>
        <v>1386</v>
      </c>
      <c r="H207" s="138">
        <f>INT((G207*Valores!$C$2*100)+0.5)/100</f>
        <v>18548.28</v>
      </c>
      <c r="I207" s="156">
        <v>0</v>
      </c>
      <c r="J207" s="140">
        <f>INT((I207*Valores!$C$2*100)+0.5)/100</f>
        <v>0</v>
      </c>
      <c r="K207" s="155">
        <v>0</v>
      </c>
      <c r="L207" s="140">
        <f>INT((K207*Valores!$C$2*100)+0.5)/100</f>
        <v>0</v>
      </c>
      <c r="M207" s="153">
        <v>0</v>
      </c>
      <c r="N207" s="140">
        <f>INT((M207*Valores!$C$2*100)+0.5)/100</f>
        <v>0</v>
      </c>
      <c r="O207" s="140">
        <f t="shared" si="38"/>
        <v>3282.6509999999998</v>
      </c>
      <c r="P207" s="140">
        <f t="shared" si="39"/>
        <v>0</v>
      </c>
      <c r="Q207" s="154">
        <f>Valores!$C$14*D207</f>
        <v>6353.7599999999993</v>
      </c>
      <c r="R207" s="154">
        <f>IF(D207&lt;15,(Valores!$E$4*D207),Valores!$D$4)</f>
        <v>6385.12</v>
      </c>
      <c r="S207" s="140">
        <v>0</v>
      </c>
      <c r="T207" s="143">
        <f>IF($H$5="NO",IF(Valores!$C$47*D207&gt;Valores!$C$45,Valores!$C$45,Valores!$C$47*D207),IF(Valores!$C$47*D207&gt;Valores!$C$45,Valores!$C$45,Valores!$C$47*D207)/2)</f>
        <v>1337.7</v>
      </c>
      <c r="U207" s="154">
        <f>Valores!$C$24*D207</f>
        <v>1998.3600000000001</v>
      </c>
      <c r="V207" s="140">
        <f t="shared" si="33"/>
        <v>1998.3600000000001</v>
      </c>
      <c r="W207" s="140">
        <v>0</v>
      </c>
      <c r="X207" s="140">
        <v>0</v>
      </c>
      <c r="Y207" s="160">
        <v>0</v>
      </c>
      <c r="Z207" s="140">
        <f>Y207*Valores!$C$2</f>
        <v>0</v>
      </c>
      <c r="AA207" s="140">
        <v>0</v>
      </c>
      <c r="AB207" s="143">
        <f>IF(Valores!$C$93*D207&gt;Valores!$C$92,Valores!$C$92,Valores!$C$93*D207)</f>
        <v>1838.06</v>
      </c>
      <c r="AC207" s="145">
        <f>IF((Valores!$C$34)*D207&gt;Valores!$F$34,Valores!$F$34,(Valores!$C$34)*D207)</f>
        <v>156.94</v>
      </c>
      <c r="AD207" s="140">
        <f t="shared" si="41"/>
        <v>0</v>
      </c>
      <c r="AE207" s="140">
        <f>IF(Valores!$C$35*D207&gt;Valores!$F$35,Valores!$F$35,Valores!$C$35*D207)</f>
        <v>130.76</v>
      </c>
      <c r="AF207" s="144">
        <v>0</v>
      </c>
      <c r="AG207" s="140">
        <f>INT(((AF207*Valores!$C$2)*100)+0.5)/100</f>
        <v>0</v>
      </c>
      <c r="AH207" s="140">
        <f>IF($H$5="NO",IF(Valores!$D$60*'Escala Docente'!D207&gt;Valores!$F$60,Valores!$F$60,Valores!$D$60*'Escala Docente'!D207),IF(Valores!$D$60*'Escala Docente'!D207&gt;Valores!$F$60,Valores!$F$60,Valores!$D$60*'Escala Docente'!D207)/2)</f>
        <v>531.16</v>
      </c>
      <c r="AI207" s="140">
        <f>IF($H$5="NO",IF(Valores!$D$62*D207&gt;Valores!$F$62,Valores!$F$62,Valores!$D$62*D207),IF(Valores!$D$62*D207&gt;Valores!$F$62,Valores!$F$62,Valores!$D$62*D207)/2)</f>
        <v>151.90933333333334</v>
      </c>
      <c r="AJ207" s="146">
        <f t="shared" si="42"/>
        <v>40714.700333333334</v>
      </c>
      <c r="AK207" s="154">
        <f>IF(Valores!$C$38*D207&gt;Valores!$F$38,Valores!$F$38,Valores!$C$38*D207)</f>
        <v>1367.8</v>
      </c>
      <c r="AL207" s="143">
        <f>IF(Valores!$C$88*D207&gt;Valores!$C$87,Valores!$C$87,Valores!$C$88*D207)</f>
        <v>1592.4999999999998</v>
      </c>
      <c r="AM207" s="143"/>
      <c r="AN207" s="145">
        <f>IF($H$4="NO",0,IF(Valores!$C$58*D207&gt;Valores!$F$58,Valores!$F$58,Valores!$C$58*D207))</f>
        <v>198.73000000000002</v>
      </c>
      <c r="AO207" s="147">
        <f t="shared" si="43"/>
        <v>3159.0299999999997</v>
      </c>
      <c r="AP207" s="148">
        <f>AJ207*Valores!$C$69</f>
        <v>-4478.6170366666665</v>
      </c>
      <c r="AQ207" s="149">
        <f>AJ207*-Valores!$C$70</f>
        <v>0</v>
      </c>
      <c r="AR207" s="142">
        <f>AJ207*Valores!$C$71</f>
        <v>-1832.161515</v>
      </c>
      <c r="AS207" s="142">
        <f>Valores!$C$95</f>
        <v>-193.38</v>
      </c>
      <c r="AT207" s="142">
        <f>IF($H$6=0,Valores!$C$96,(Valores!$C$96+$H$6*(Valores!$C$96)))</f>
        <v>-178</v>
      </c>
      <c r="AU207" s="146">
        <f t="shared" si="44"/>
        <v>37191.571781666666</v>
      </c>
      <c r="AV207" s="199">
        <f t="shared" si="40"/>
        <v>-4478.6170366666665</v>
      </c>
      <c r="AW207" s="142">
        <f>AJ207*Valores!$C$72</f>
        <v>-1099.2969089999999</v>
      </c>
      <c r="AX207" s="142">
        <f>AJ207*Valores!$C$73</f>
        <v>-122.14410100000001</v>
      </c>
      <c r="AY207" s="146">
        <f t="shared" si="45"/>
        <v>38173.672286666668</v>
      </c>
      <c r="AZ207" s="150"/>
      <c r="BA207" s="150">
        <f t="shared" si="36"/>
        <v>14</v>
      </c>
      <c r="BB207" s="135" t="s">
        <v>4</v>
      </c>
    </row>
    <row r="208" spans="1:54" s="114" customFormat="1" ht="11.25" customHeight="1" x14ac:dyDescent="0.15">
      <c r="A208" s="134">
        <v>206</v>
      </c>
      <c r="B208" s="134"/>
      <c r="C208" s="135" t="s">
        <v>496</v>
      </c>
      <c r="D208" s="135">
        <v>15</v>
      </c>
      <c r="E208" s="135">
        <f t="shared" si="37"/>
        <v>37</v>
      </c>
      <c r="F208" s="136" t="str">
        <f t="shared" si="34"/>
        <v>Hora Cátedra Enseñanza Superior 15 hs</v>
      </c>
      <c r="G208" s="137">
        <f t="shared" si="35"/>
        <v>1485</v>
      </c>
      <c r="H208" s="138">
        <f>INT((G208*Valores!$C$2*100)+0.5)/100</f>
        <v>19873.16</v>
      </c>
      <c r="I208" s="156">
        <v>0</v>
      </c>
      <c r="J208" s="140">
        <f>INT((I208*Valores!$C$2*100)+0.5)/100</f>
        <v>0</v>
      </c>
      <c r="K208" s="155">
        <v>0</v>
      </c>
      <c r="L208" s="140">
        <f>INT((K208*Valores!$C$2*100)+0.5)/100</f>
        <v>0</v>
      </c>
      <c r="M208" s="153">
        <v>0</v>
      </c>
      <c r="N208" s="140">
        <f>INT((M208*Valores!$C$2*100)+0.5)/100</f>
        <v>0</v>
      </c>
      <c r="O208" s="140">
        <f t="shared" si="38"/>
        <v>3517.1265000000003</v>
      </c>
      <c r="P208" s="140">
        <f t="shared" si="39"/>
        <v>0</v>
      </c>
      <c r="Q208" s="154">
        <f>Valores!$C$14*D208</f>
        <v>6807.5999999999995</v>
      </c>
      <c r="R208" s="154">
        <f>IF(D208&lt;15,(Valores!$E$4*D208),Valores!$D$4)</f>
        <v>6841.19</v>
      </c>
      <c r="S208" s="140">
        <v>0</v>
      </c>
      <c r="T208" s="143">
        <f>IF($H$5="NO",IF(Valores!$C$47*D208&gt;Valores!$C$45,Valores!$C$45,Valores!$C$47*D208),IF(Valores!$C$47*D208&gt;Valores!$C$45,Valores!$C$45,Valores!$C$47*D208)/2)</f>
        <v>1433.25</v>
      </c>
      <c r="U208" s="154">
        <f>Valores!$C$24*D208</f>
        <v>2141.1000000000004</v>
      </c>
      <c r="V208" s="140">
        <f t="shared" si="33"/>
        <v>2141.1000000000004</v>
      </c>
      <c r="W208" s="140">
        <v>0</v>
      </c>
      <c r="X208" s="140">
        <v>0</v>
      </c>
      <c r="Y208" s="160">
        <v>0</v>
      </c>
      <c r="Z208" s="140">
        <f>Y208*Valores!$C$2</f>
        <v>0</v>
      </c>
      <c r="AA208" s="140">
        <v>0</v>
      </c>
      <c r="AB208" s="143">
        <f>IF(Valores!$C$93*D208&gt;Valores!$C$92,Valores!$C$92,Valores!$C$93*D208)</f>
        <v>1969.35</v>
      </c>
      <c r="AC208" s="145">
        <f>IF((Valores!$C$34)*D208&gt;Valores!$F$34,Valores!$F$34,(Valores!$C$34)*D208)</f>
        <v>168.15</v>
      </c>
      <c r="AD208" s="140">
        <f t="shared" si="41"/>
        <v>0</v>
      </c>
      <c r="AE208" s="140">
        <f>IF(Valores!$C$35*D208&gt;Valores!$F$35,Valores!$F$35,Valores!$C$35*D208)</f>
        <v>140.1</v>
      </c>
      <c r="AF208" s="144">
        <v>0</v>
      </c>
      <c r="AG208" s="140">
        <f>INT(((AF208*Valores!$C$2)*100)+0.5)/100</f>
        <v>0</v>
      </c>
      <c r="AH208" s="140">
        <f>IF($H$5="NO",IF(Valores!$D$60*'Escala Docente'!D208&gt;Valores!$F$60,Valores!$F$60,Valores!$D$60*'Escala Docente'!D208),IF(Valores!$D$60*'Escala Docente'!D208&gt;Valores!$F$60,Valores!$F$60,Valores!$D$60*'Escala Docente'!D208)/2)</f>
        <v>569.09999999999991</v>
      </c>
      <c r="AI208" s="140">
        <f>IF($H$5="NO",IF(Valores!$D$62*D208&gt;Valores!$F$62,Valores!$F$62,Valores!$D$62*D208),IF(Valores!$D$62*D208&gt;Valores!$F$62,Valores!$F$62,Valores!$D$62*D208)/2)</f>
        <v>162.76000000000002</v>
      </c>
      <c r="AJ208" s="146">
        <f t="shared" si="42"/>
        <v>43622.886500000001</v>
      </c>
      <c r="AK208" s="154">
        <f>IF(Valores!$C$38*D208&gt;Valores!$F$38,Valores!$F$38,Valores!$C$38*D208)</f>
        <v>1465.5</v>
      </c>
      <c r="AL208" s="143">
        <f>IF(Valores!$C$88*D208&gt;Valores!$C$87,Valores!$C$87,Valores!$C$88*D208)</f>
        <v>1706.2499999999998</v>
      </c>
      <c r="AM208" s="143"/>
      <c r="AN208" s="145">
        <f>IF($H$4="NO",0,IF(Valores!$C$58*D208&gt;Valores!$F$58,Valores!$F$58,Valores!$C$58*D208))</f>
        <v>212.92500000000001</v>
      </c>
      <c r="AO208" s="147">
        <f t="shared" si="43"/>
        <v>3384.6750000000002</v>
      </c>
      <c r="AP208" s="148">
        <f>AJ208*Valores!$C$69</f>
        <v>-4798.5175150000005</v>
      </c>
      <c r="AQ208" s="149">
        <f>AJ208*-Valores!$C$70</f>
        <v>0</v>
      </c>
      <c r="AR208" s="142">
        <f>AJ208*Valores!$C$71</f>
        <v>-1963.0298925</v>
      </c>
      <c r="AS208" s="142">
        <f>Valores!$C$95</f>
        <v>-193.38</v>
      </c>
      <c r="AT208" s="142">
        <f>IF($H$6=0,Valores!$C$96,(Valores!$C$96+$H$6*(Valores!$C$96)))</f>
        <v>-178</v>
      </c>
      <c r="AU208" s="146">
        <f t="shared" si="44"/>
        <v>39874.634092499997</v>
      </c>
      <c r="AV208" s="199">
        <f t="shared" si="40"/>
        <v>-4798.5175150000005</v>
      </c>
      <c r="AW208" s="142">
        <f>AJ208*Valores!$C$72</f>
        <v>-1177.8179355</v>
      </c>
      <c r="AX208" s="142">
        <f>AJ208*Valores!$C$73</f>
        <v>-130.86865950000001</v>
      </c>
      <c r="AY208" s="146">
        <f t="shared" si="45"/>
        <v>40900.357390000005</v>
      </c>
      <c r="AZ208" s="150"/>
      <c r="BA208" s="150">
        <f t="shared" si="36"/>
        <v>15</v>
      </c>
      <c r="BB208" s="135" t="s">
        <v>4</v>
      </c>
    </row>
    <row r="209" spans="1:54" s="114" customFormat="1" ht="11.25" customHeight="1" x14ac:dyDescent="0.15">
      <c r="A209" s="134">
        <v>207</v>
      </c>
      <c r="B209" s="134"/>
      <c r="C209" s="135" t="s">
        <v>496</v>
      </c>
      <c r="D209" s="135">
        <v>16</v>
      </c>
      <c r="E209" s="135">
        <f t="shared" si="37"/>
        <v>37</v>
      </c>
      <c r="F209" s="136" t="str">
        <f t="shared" si="34"/>
        <v>Hora Cátedra Enseñanza Superior 16 hs</v>
      </c>
      <c r="G209" s="137">
        <f t="shared" si="35"/>
        <v>1584</v>
      </c>
      <c r="H209" s="138">
        <f>INT((G209*Valores!$C$2*100)+0.5)/100</f>
        <v>21198.04</v>
      </c>
      <c r="I209" s="156">
        <v>0</v>
      </c>
      <c r="J209" s="140">
        <f>INT((I209*Valores!$C$2*100)+0.5)/100</f>
        <v>0</v>
      </c>
      <c r="K209" s="155">
        <v>0</v>
      </c>
      <c r="L209" s="140">
        <f>INT((K209*Valores!$C$2*100)+0.5)/100</f>
        <v>0</v>
      </c>
      <c r="M209" s="153">
        <v>0</v>
      </c>
      <c r="N209" s="140">
        <f>INT((M209*Valores!$C$2*100)+0.5)/100</f>
        <v>0</v>
      </c>
      <c r="O209" s="140">
        <f t="shared" si="38"/>
        <v>3751.6019999999999</v>
      </c>
      <c r="P209" s="140">
        <f t="shared" si="39"/>
        <v>0</v>
      </c>
      <c r="Q209" s="154">
        <f>Valores!$C$14*D209</f>
        <v>7261.44</v>
      </c>
      <c r="R209" s="154">
        <f>IF(D209&lt;15,(Valores!$E$4*D209),Valores!$D$4)</f>
        <v>6841.19</v>
      </c>
      <c r="S209" s="140">
        <v>0</v>
      </c>
      <c r="T209" s="143">
        <f>IF($H$5="NO",IF(Valores!$C$47*D209&gt;Valores!$C$45,Valores!$C$45,Valores!$C$47*D209),IF(Valores!$C$47*D209&gt;Valores!$C$45,Valores!$C$45,Valores!$C$47*D209)/2)</f>
        <v>1528.8</v>
      </c>
      <c r="U209" s="154">
        <f>Valores!$C$24*D209</f>
        <v>2283.84</v>
      </c>
      <c r="V209" s="140">
        <f t="shared" si="33"/>
        <v>2283.84</v>
      </c>
      <c r="W209" s="140">
        <v>0</v>
      </c>
      <c r="X209" s="140">
        <v>0</v>
      </c>
      <c r="Y209" s="160">
        <v>0</v>
      </c>
      <c r="Z209" s="140">
        <f>Y209*Valores!$C$2</f>
        <v>0</v>
      </c>
      <c r="AA209" s="140">
        <v>0</v>
      </c>
      <c r="AB209" s="143">
        <f>IF(Valores!$C$93*D209&gt;Valores!$C$92,Valores!$C$92,Valores!$C$93*D209)</f>
        <v>2100.64</v>
      </c>
      <c r="AC209" s="145">
        <f>IF((Valores!$C$34)*D209&gt;Valores!$F$34,Valores!$F$34,(Valores!$C$34)*D209)</f>
        <v>179.36</v>
      </c>
      <c r="AD209" s="140">
        <f t="shared" si="41"/>
        <v>0</v>
      </c>
      <c r="AE209" s="140">
        <f>IF(Valores!$C$35*D209&gt;Valores!$F$35,Valores!$F$35,Valores!$C$35*D209)</f>
        <v>149.44</v>
      </c>
      <c r="AF209" s="144">
        <v>0</v>
      </c>
      <c r="AG209" s="140">
        <f>INT(((AF209*Valores!$C$2)*100)+0.5)/100</f>
        <v>0</v>
      </c>
      <c r="AH209" s="140">
        <f>IF($H$5="NO",IF(Valores!$D$60*'Escala Docente'!D209&gt;Valores!$F$60,Valores!$F$60,Valores!$D$60*'Escala Docente'!D209),IF(Valores!$D$60*'Escala Docente'!D209&gt;Valores!$F$60,Valores!$F$60,Valores!$D$60*'Escala Docente'!D209)/2)</f>
        <v>607.04</v>
      </c>
      <c r="AI209" s="140">
        <f>IF($H$5="NO",IF(Valores!$D$62*D209&gt;Valores!$F$62,Valores!$F$62,Valores!$D$62*D209),IF(Valores!$D$62*D209&gt;Valores!$F$62,Valores!$F$62,Valores!$D$62*D209)/2)</f>
        <v>173.61066666666667</v>
      </c>
      <c r="AJ209" s="146">
        <f t="shared" si="42"/>
        <v>46075.002666666667</v>
      </c>
      <c r="AK209" s="154">
        <f>IF(Valores!$C$38*D209&gt;Valores!$F$38,Valores!$F$38,Valores!$C$38*D209)</f>
        <v>1563.2</v>
      </c>
      <c r="AL209" s="143">
        <f>IF(Valores!$C$88*D209&gt;Valores!$C$87,Valores!$C$87,Valores!$C$88*D209)</f>
        <v>1819.9999999999998</v>
      </c>
      <c r="AM209" s="143"/>
      <c r="AN209" s="145">
        <f>IF($H$4="NO",0,IF(Valores!$C$58*D209&gt;Valores!$F$58,Valores!$F$58,Valores!$C$58*D209))</f>
        <v>227.12</v>
      </c>
      <c r="AO209" s="147">
        <f t="shared" si="43"/>
        <v>3610.3199999999997</v>
      </c>
      <c r="AP209" s="148">
        <f>AJ209*Valores!$C$69</f>
        <v>-5068.2502933333335</v>
      </c>
      <c r="AQ209" s="149">
        <f>AJ209*-Valores!$C$70</f>
        <v>0</v>
      </c>
      <c r="AR209" s="142">
        <f>AJ209*Valores!$C$71</f>
        <v>-2073.3751200000002</v>
      </c>
      <c r="AS209" s="142">
        <f>Valores!$C$95</f>
        <v>-193.38</v>
      </c>
      <c r="AT209" s="142">
        <f>IF($H$6=0,Valores!$C$96,(Valores!$C$96+$H$6*(Valores!$C$96)))</f>
        <v>-178</v>
      </c>
      <c r="AU209" s="146">
        <f t="shared" si="44"/>
        <v>42172.317253333335</v>
      </c>
      <c r="AV209" s="199">
        <f t="shared" si="40"/>
        <v>-5068.2502933333335</v>
      </c>
      <c r="AW209" s="142">
        <f>AJ209*Valores!$C$72</f>
        <v>-1244.0250719999999</v>
      </c>
      <c r="AX209" s="142">
        <f>AJ209*Valores!$C$73</f>
        <v>-138.225008</v>
      </c>
      <c r="AY209" s="146">
        <f t="shared" si="45"/>
        <v>43234.822293333331</v>
      </c>
      <c r="AZ209" s="150"/>
      <c r="BA209" s="150">
        <f t="shared" si="36"/>
        <v>16</v>
      </c>
      <c r="BB209" s="135" t="s">
        <v>4</v>
      </c>
    </row>
    <row r="210" spans="1:54" s="114" customFormat="1" ht="11.25" customHeight="1" x14ac:dyDescent="0.15">
      <c r="A210" s="134">
        <v>208</v>
      </c>
      <c r="B210" s="134"/>
      <c r="C210" s="135" t="s">
        <v>496</v>
      </c>
      <c r="D210" s="135">
        <v>17</v>
      </c>
      <c r="E210" s="135">
        <f t="shared" si="37"/>
        <v>37</v>
      </c>
      <c r="F210" s="136" t="str">
        <f t="shared" si="34"/>
        <v>Hora Cátedra Enseñanza Superior 17 hs</v>
      </c>
      <c r="G210" s="137">
        <f t="shared" si="35"/>
        <v>1683</v>
      </c>
      <c r="H210" s="138">
        <f>INT((G210*Valores!$C$2*100)+0.5)/100</f>
        <v>22522.92</v>
      </c>
      <c r="I210" s="156">
        <v>0</v>
      </c>
      <c r="J210" s="140">
        <f>INT((I210*Valores!$C$2*100)+0.5)/100</f>
        <v>0</v>
      </c>
      <c r="K210" s="155">
        <v>0</v>
      </c>
      <c r="L210" s="140">
        <f>INT((K210*Valores!$C$2*100)+0.5)/100</f>
        <v>0</v>
      </c>
      <c r="M210" s="153">
        <v>0</v>
      </c>
      <c r="N210" s="140">
        <f>INT((M210*Valores!$C$2*100)+0.5)/100</f>
        <v>0</v>
      </c>
      <c r="O210" s="140">
        <f t="shared" si="38"/>
        <v>3986.0774999999994</v>
      </c>
      <c r="P210" s="140">
        <f t="shared" si="39"/>
        <v>0</v>
      </c>
      <c r="Q210" s="154">
        <f>Valores!$C$14*D210</f>
        <v>7715.28</v>
      </c>
      <c r="R210" s="154">
        <f>IF(D210&lt;15,(Valores!$E$4*D210),Valores!$D$4)</f>
        <v>6841.19</v>
      </c>
      <c r="S210" s="140">
        <v>0</v>
      </c>
      <c r="T210" s="143">
        <f>IF($H$5="NO",IF(Valores!$C$47*D210&gt;Valores!$C$45,Valores!$C$45,Valores!$C$47*D210),IF(Valores!$C$47*D210&gt;Valores!$C$45,Valores!$C$45,Valores!$C$47*D210)/2)</f>
        <v>1624.35</v>
      </c>
      <c r="U210" s="154">
        <f>Valores!$C$24*D210</f>
        <v>2426.58</v>
      </c>
      <c r="V210" s="140">
        <f t="shared" si="33"/>
        <v>2426.58</v>
      </c>
      <c r="W210" s="140">
        <v>0</v>
      </c>
      <c r="X210" s="140">
        <v>0</v>
      </c>
      <c r="Y210" s="160">
        <v>0</v>
      </c>
      <c r="Z210" s="140">
        <f>Y210*Valores!$C$2</f>
        <v>0</v>
      </c>
      <c r="AA210" s="140">
        <v>0</v>
      </c>
      <c r="AB210" s="143">
        <f>IF(Valores!$C$93*D210&gt;Valores!$C$92,Valores!$C$92,Valores!$C$93*D210)</f>
        <v>2231.9299999999998</v>
      </c>
      <c r="AC210" s="145">
        <f>IF((Valores!$C$34)*D210&gt;Valores!$F$34,Valores!$F$34,(Valores!$C$34)*D210)</f>
        <v>190.57000000000002</v>
      </c>
      <c r="AD210" s="140">
        <f t="shared" si="41"/>
        <v>0</v>
      </c>
      <c r="AE210" s="140">
        <f>IF(Valores!$C$35*D210&gt;Valores!$F$35,Valores!$F$35,Valores!$C$35*D210)</f>
        <v>158.78</v>
      </c>
      <c r="AF210" s="144">
        <v>0</v>
      </c>
      <c r="AG210" s="140">
        <f>INT(((AF210*Valores!$C$2)*100)+0.5)/100</f>
        <v>0</v>
      </c>
      <c r="AH210" s="140">
        <f>IF($H$5="NO",IF(Valores!$D$60*'Escala Docente'!D210&gt;Valores!$F$60,Valores!$F$60,Valores!$D$60*'Escala Docente'!D210),IF(Valores!$D$60*'Escala Docente'!D210&gt;Valores!$F$60,Valores!$F$60,Valores!$D$60*'Escala Docente'!D210)/2)</f>
        <v>644.98</v>
      </c>
      <c r="AI210" s="140">
        <f>IF($H$5="NO",IF(Valores!$D$62*D210&gt;Valores!$F$62,Valores!$F$62,Valores!$D$62*D210),IF(Valores!$D$62*D210&gt;Valores!$F$62,Valores!$F$62,Valores!$D$62*D210)/2)</f>
        <v>184.46133333333333</v>
      </c>
      <c r="AJ210" s="146">
        <f t="shared" si="42"/>
        <v>48527.118833333334</v>
      </c>
      <c r="AK210" s="154">
        <f>IF(Valores!$C$38*D210&gt;Valores!$F$38,Valores!$F$38,Valores!$C$38*D210)</f>
        <v>1660.9</v>
      </c>
      <c r="AL210" s="143">
        <f>IF(Valores!$C$88*D210&gt;Valores!$C$87,Valores!$C$87,Valores!$C$88*D210)</f>
        <v>1933.7499999999998</v>
      </c>
      <c r="AM210" s="143"/>
      <c r="AN210" s="145">
        <f>IF($H$4="NO",0,IF(Valores!$C$58*D210&gt;Valores!$F$58,Valores!$F$58,Valores!$C$58*D210))</f>
        <v>241.315</v>
      </c>
      <c r="AO210" s="147">
        <f t="shared" si="43"/>
        <v>3835.9649999999997</v>
      </c>
      <c r="AP210" s="148">
        <f>AJ210*Valores!$C$69</f>
        <v>-5337.9830716666665</v>
      </c>
      <c r="AQ210" s="149">
        <f>AJ210*-Valores!$C$70</f>
        <v>0</v>
      </c>
      <c r="AR210" s="142">
        <f>AJ210*Valores!$C$71</f>
        <v>-2183.7203475000001</v>
      </c>
      <c r="AS210" s="142">
        <f>Valores!$C$95</f>
        <v>-193.38</v>
      </c>
      <c r="AT210" s="142">
        <f>IF($H$6=0,Valores!$C$96,(Valores!$C$96+$H$6*(Valores!$C$96)))</f>
        <v>-178</v>
      </c>
      <c r="AU210" s="146">
        <f t="shared" si="44"/>
        <v>44470.000414166665</v>
      </c>
      <c r="AV210" s="199">
        <f t="shared" si="40"/>
        <v>-5337.9830716666665</v>
      </c>
      <c r="AW210" s="142">
        <f>AJ210*Valores!$C$72</f>
        <v>-1310.2322085000001</v>
      </c>
      <c r="AX210" s="142">
        <f>AJ210*Valores!$C$73</f>
        <v>-145.5813565</v>
      </c>
      <c r="AY210" s="146">
        <f t="shared" si="45"/>
        <v>45569.287196666664</v>
      </c>
      <c r="AZ210" s="150"/>
      <c r="BA210" s="150">
        <f t="shared" si="36"/>
        <v>17</v>
      </c>
      <c r="BB210" s="135" t="s">
        <v>4</v>
      </c>
    </row>
    <row r="211" spans="1:54" s="114" customFormat="1" ht="11.25" customHeight="1" x14ac:dyDescent="0.15">
      <c r="A211" s="134">
        <v>209</v>
      </c>
      <c r="B211" s="134"/>
      <c r="C211" s="135" t="s">
        <v>496</v>
      </c>
      <c r="D211" s="135">
        <v>18</v>
      </c>
      <c r="E211" s="135">
        <f t="shared" si="37"/>
        <v>37</v>
      </c>
      <c r="F211" s="136" t="str">
        <f t="shared" si="34"/>
        <v>Hora Cátedra Enseñanza Superior 18 hs</v>
      </c>
      <c r="G211" s="137">
        <f t="shared" si="35"/>
        <v>1782</v>
      </c>
      <c r="H211" s="138">
        <f>INT((G211*Valores!$C$2*100)+0.5)/100</f>
        <v>23847.79</v>
      </c>
      <c r="I211" s="156">
        <v>0</v>
      </c>
      <c r="J211" s="140">
        <f>INT((I211*Valores!$C$2*100)+0.5)/100</f>
        <v>0</v>
      </c>
      <c r="K211" s="155">
        <v>0</v>
      </c>
      <c r="L211" s="140">
        <f>INT((K211*Valores!$C$2*100)+0.5)/100</f>
        <v>0</v>
      </c>
      <c r="M211" s="153">
        <v>0</v>
      </c>
      <c r="N211" s="140">
        <f>INT((M211*Valores!$C$2*100)+0.5)/100</f>
        <v>0</v>
      </c>
      <c r="O211" s="140">
        <f t="shared" si="38"/>
        <v>4220.5515000000005</v>
      </c>
      <c r="P211" s="140">
        <f t="shared" si="39"/>
        <v>0</v>
      </c>
      <c r="Q211" s="154">
        <f>Valores!$C$14*D211</f>
        <v>8169.12</v>
      </c>
      <c r="R211" s="154">
        <f>IF(D211&lt;15,(Valores!$E$4*D211),Valores!$D$4)</f>
        <v>6841.19</v>
      </c>
      <c r="S211" s="140">
        <v>0</v>
      </c>
      <c r="T211" s="143">
        <f>IF($H$5="NO",IF(Valores!$C$47*D211&gt;Valores!$C$45,Valores!$C$45,Valores!$C$47*D211),IF(Valores!$C$47*D211&gt;Valores!$C$45,Valores!$C$45,Valores!$C$47*D211)/2)</f>
        <v>1719.8999999999999</v>
      </c>
      <c r="U211" s="154">
        <f>Valores!$C$24*D211</f>
        <v>2569.3200000000002</v>
      </c>
      <c r="V211" s="140">
        <f t="shared" si="33"/>
        <v>2569.3200000000002</v>
      </c>
      <c r="W211" s="140">
        <v>0</v>
      </c>
      <c r="X211" s="140">
        <v>0</v>
      </c>
      <c r="Y211" s="160">
        <v>0</v>
      </c>
      <c r="Z211" s="140">
        <f>Y211*Valores!$C$2</f>
        <v>0</v>
      </c>
      <c r="AA211" s="140">
        <v>0</v>
      </c>
      <c r="AB211" s="143">
        <f>IF(Valores!$C$93*D211&gt;Valores!$C$92,Valores!$C$92,Valores!$C$93*D211)</f>
        <v>2363.2199999999998</v>
      </c>
      <c r="AC211" s="145">
        <f>IF((Valores!$C$34)*D211&gt;Valores!$F$34,Valores!$F$34,(Valores!$C$34)*D211)</f>
        <v>201.78000000000003</v>
      </c>
      <c r="AD211" s="140">
        <f t="shared" si="41"/>
        <v>0</v>
      </c>
      <c r="AE211" s="140">
        <f>IF(Valores!$C$35*D211&gt;Valores!$F$35,Valores!$F$35,Valores!$C$35*D211)</f>
        <v>168.12</v>
      </c>
      <c r="AF211" s="144">
        <v>0</v>
      </c>
      <c r="AG211" s="140">
        <f>INT(((AF211*Valores!$C$2)*100)+0.5)/100</f>
        <v>0</v>
      </c>
      <c r="AH211" s="140">
        <f>IF($H$5="NO",IF(Valores!$D$60*'Escala Docente'!D211&gt;Valores!$F$60,Valores!$F$60,Valores!$D$60*'Escala Docente'!D211),IF(Valores!$D$60*'Escala Docente'!D211&gt;Valores!$F$60,Valores!$F$60,Valores!$D$60*'Escala Docente'!D211)/2)</f>
        <v>682.92</v>
      </c>
      <c r="AI211" s="140">
        <f>IF($H$5="NO",IF(Valores!$D$62*D211&gt;Valores!$F$62,Valores!$F$62,Valores!$D$62*D211),IF(Valores!$D$62*D211&gt;Valores!$F$62,Valores!$F$62,Valores!$D$62*D211)/2)</f>
        <v>195.31200000000001</v>
      </c>
      <c r="AJ211" s="146">
        <f t="shared" si="42"/>
        <v>50979.223500000007</v>
      </c>
      <c r="AK211" s="154">
        <f>IF(Valores!$C$38*D211&gt;Valores!$F$38,Valores!$F$38,Valores!$C$38*D211)</f>
        <v>1758.6000000000001</v>
      </c>
      <c r="AL211" s="143">
        <f>IF(Valores!$C$88*D211&gt;Valores!$C$87,Valores!$C$87,Valores!$C$88*D211)</f>
        <v>2047.4999999999998</v>
      </c>
      <c r="AM211" s="143"/>
      <c r="AN211" s="145">
        <f>IF($H$4="NO",0,IF(Valores!$C$58*D211&gt;Valores!$F$58,Valores!$F$58,Valores!$C$58*D211))</f>
        <v>255.51</v>
      </c>
      <c r="AO211" s="147">
        <f t="shared" si="43"/>
        <v>4061.6099999999997</v>
      </c>
      <c r="AP211" s="148">
        <f>AJ211*Valores!$C$69</f>
        <v>-5607.7145850000006</v>
      </c>
      <c r="AQ211" s="149">
        <f>AJ211*-Valores!$C$70</f>
        <v>0</v>
      </c>
      <c r="AR211" s="142">
        <f>AJ211*Valores!$C$71</f>
        <v>-2294.0650575000004</v>
      </c>
      <c r="AS211" s="142">
        <f>Valores!$C$95</f>
        <v>-193.38</v>
      </c>
      <c r="AT211" s="142">
        <f>IF($H$6=0,Valores!$C$96,(Valores!$C$96+$H$6*(Valores!$C$96)))</f>
        <v>-178</v>
      </c>
      <c r="AU211" s="146">
        <f t="shared" si="44"/>
        <v>46767.673857500005</v>
      </c>
      <c r="AV211" s="199">
        <f t="shared" si="40"/>
        <v>-5607.7145850000006</v>
      </c>
      <c r="AW211" s="142">
        <f>AJ211*Valores!$C$72</f>
        <v>-1376.4390345000002</v>
      </c>
      <c r="AX211" s="142">
        <f>AJ211*Valores!$C$73</f>
        <v>-152.93767050000002</v>
      </c>
      <c r="AY211" s="146">
        <f t="shared" si="45"/>
        <v>47903.742210000004</v>
      </c>
      <c r="AZ211" s="150"/>
      <c r="BA211" s="150">
        <f t="shared" si="36"/>
        <v>18</v>
      </c>
      <c r="BB211" s="135" t="s">
        <v>4</v>
      </c>
    </row>
    <row r="212" spans="1:54" s="114" customFormat="1" ht="11.25" customHeight="1" x14ac:dyDescent="0.15">
      <c r="A212" s="152">
        <v>210</v>
      </c>
      <c r="B212" s="152" t="s">
        <v>139</v>
      </c>
      <c r="C212" s="135" t="s">
        <v>496</v>
      </c>
      <c r="D212" s="135">
        <v>19</v>
      </c>
      <c r="E212" s="135">
        <f t="shared" si="37"/>
        <v>37</v>
      </c>
      <c r="F212" s="136" t="str">
        <f t="shared" si="34"/>
        <v>Hora Cátedra Enseñanza Superior 19 hs</v>
      </c>
      <c r="G212" s="137">
        <f t="shared" si="35"/>
        <v>1881</v>
      </c>
      <c r="H212" s="138">
        <f>INT((G212*Valores!$C$2*100)+0.5)/100</f>
        <v>25172.67</v>
      </c>
      <c r="I212" s="156">
        <v>0</v>
      </c>
      <c r="J212" s="140">
        <f>INT((I212*Valores!$C$2*100)+0.5)/100</f>
        <v>0</v>
      </c>
      <c r="K212" s="155">
        <v>0</v>
      </c>
      <c r="L212" s="140">
        <f>INT((K212*Valores!$C$2*100)+0.5)/100</f>
        <v>0</v>
      </c>
      <c r="M212" s="153">
        <v>0</v>
      </c>
      <c r="N212" s="140">
        <f>INT((M212*Valores!$C$2*100)+0.5)/100</f>
        <v>0</v>
      </c>
      <c r="O212" s="140">
        <f t="shared" si="38"/>
        <v>4455.027</v>
      </c>
      <c r="P212" s="140">
        <f t="shared" si="39"/>
        <v>0</v>
      </c>
      <c r="Q212" s="154">
        <f>Valores!$C$14*D212</f>
        <v>8622.9599999999991</v>
      </c>
      <c r="R212" s="154">
        <f>IF(D212&lt;15,(Valores!$E$4*D212),Valores!$D$4)</f>
        <v>6841.19</v>
      </c>
      <c r="S212" s="140">
        <v>0</v>
      </c>
      <c r="T212" s="143">
        <f>IF($H$5="NO",IF(Valores!$C$47*D212&gt;Valores!$C$45,Valores!$C$45,Valores!$C$47*D212),IF(Valores!$C$47*D212&gt;Valores!$C$45,Valores!$C$45,Valores!$C$47*D212)/2)</f>
        <v>1815.45</v>
      </c>
      <c r="U212" s="154">
        <f>Valores!$C$24*D212</f>
        <v>2712.0600000000004</v>
      </c>
      <c r="V212" s="140">
        <f t="shared" si="33"/>
        <v>2712.0600000000004</v>
      </c>
      <c r="W212" s="140">
        <v>0</v>
      </c>
      <c r="X212" s="140">
        <v>0</v>
      </c>
      <c r="Y212" s="160">
        <v>0</v>
      </c>
      <c r="Z212" s="140">
        <f>Y212*Valores!$C$2</f>
        <v>0</v>
      </c>
      <c r="AA212" s="140">
        <v>0</v>
      </c>
      <c r="AB212" s="143">
        <f>IF(Valores!$C$93*D212&gt;Valores!$C$92,Valores!$C$92,Valores!$C$93*D212)</f>
        <v>2494.5099999999998</v>
      </c>
      <c r="AC212" s="145">
        <f>IF((Valores!$C$34)*D212&gt;Valores!$F$34,Valores!$F$34,(Valores!$C$34)*D212)</f>
        <v>212.99</v>
      </c>
      <c r="AD212" s="140">
        <f t="shared" si="41"/>
        <v>0</v>
      </c>
      <c r="AE212" s="140">
        <f>IF(Valores!$C$35*D212&gt;Valores!$F$35,Valores!$F$35,Valores!$C$35*D212)</f>
        <v>177.46</v>
      </c>
      <c r="AF212" s="144">
        <v>0</v>
      </c>
      <c r="AG212" s="140">
        <f>INT(((AF212*Valores!$C$2)*100)+0.5)/100</f>
        <v>0</v>
      </c>
      <c r="AH212" s="140">
        <f>IF($H$5="NO",IF(Valores!$D$60*'Escala Docente'!D212&gt;Valores!$F$60,Valores!$F$60,Valores!$D$60*'Escala Docente'!D212),IF(Valores!$D$60*'Escala Docente'!D212&gt;Valores!$F$60,Valores!$F$60,Valores!$D$60*'Escala Docente'!D212)/2)</f>
        <v>720.8599999999999</v>
      </c>
      <c r="AI212" s="140">
        <f>IF($H$5="NO",IF(Valores!$D$62*D212&gt;Valores!$F$62,Valores!$F$62,Valores!$D$62*D212),IF(Valores!$D$62*D212&gt;Valores!$F$62,Valores!$F$62,Valores!$D$62*D212)/2)</f>
        <v>206.16266666666667</v>
      </c>
      <c r="AJ212" s="146">
        <f t="shared" si="42"/>
        <v>53431.339666666659</v>
      </c>
      <c r="AK212" s="154">
        <f>IF(Valores!$C$38*D212&gt;Valores!$F$38,Valores!$F$38,Valores!$C$38*D212)</f>
        <v>1856.3</v>
      </c>
      <c r="AL212" s="143">
        <f>IF(Valores!$C$88*D212&gt;Valores!$C$87,Valores!$C$87,Valores!$C$88*D212)</f>
        <v>2161.2499999999995</v>
      </c>
      <c r="AM212" s="143"/>
      <c r="AN212" s="145">
        <f>IF($H$4="NO",0,IF(Valores!$C$58*D212&gt;Valores!$F$58,Valores!$F$58,Valores!$C$58*D212))</f>
        <v>269.70499999999998</v>
      </c>
      <c r="AO212" s="147">
        <f t="shared" si="43"/>
        <v>4287.2549999999992</v>
      </c>
      <c r="AP212" s="148">
        <f>AJ212*Valores!$C$69</f>
        <v>-5877.4473633333328</v>
      </c>
      <c r="AQ212" s="149">
        <f>AJ212*-Valores!$C$70</f>
        <v>0</v>
      </c>
      <c r="AR212" s="142">
        <f>AJ212*Valores!$C$71</f>
        <v>-2404.4102849999995</v>
      </c>
      <c r="AS212" s="142">
        <f>Valores!$C$95</f>
        <v>-193.38</v>
      </c>
      <c r="AT212" s="142">
        <f>IF($H$6=0,Valores!$C$96,(Valores!$C$96+$H$6*(Valores!$C$96)))</f>
        <v>-178</v>
      </c>
      <c r="AU212" s="146">
        <f t="shared" si="44"/>
        <v>49065.357018333329</v>
      </c>
      <c r="AV212" s="199">
        <f t="shared" si="40"/>
        <v>-5877.4473633333328</v>
      </c>
      <c r="AW212" s="142">
        <f>AJ212*Valores!$C$72</f>
        <v>-1442.6461709999999</v>
      </c>
      <c r="AX212" s="142">
        <f>AJ212*Valores!$C$73</f>
        <v>-160.29401899999999</v>
      </c>
      <c r="AY212" s="146">
        <f t="shared" si="45"/>
        <v>50238.207113333323</v>
      </c>
      <c r="AZ212" s="150"/>
      <c r="BA212" s="150">
        <f t="shared" si="36"/>
        <v>19</v>
      </c>
      <c r="BB212" s="135" t="s">
        <v>4</v>
      </c>
    </row>
    <row r="213" spans="1:54" s="114" customFormat="1" ht="11.25" customHeight="1" x14ac:dyDescent="0.15">
      <c r="A213" s="134">
        <v>211</v>
      </c>
      <c r="B213" s="134"/>
      <c r="C213" s="135" t="s">
        <v>496</v>
      </c>
      <c r="D213" s="135">
        <v>20</v>
      </c>
      <c r="E213" s="135">
        <f t="shared" si="37"/>
        <v>37</v>
      </c>
      <c r="F213" s="136" t="str">
        <f t="shared" si="34"/>
        <v>Hora Cátedra Enseñanza Superior 20 hs</v>
      </c>
      <c r="G213" s="137">
        <f t="shared" si="35"/>
        <v>1980</v>
      </c>
      <c r="H213" s="138">
        <f>INT((G213*Valores!$C$2*100)+0.5)/100</f>
        <v>26497.55</v>
      </c>
      <c r="I213" s="156">
        <v>0</v>
      </c>
      <c r="J213" s="140">
        <f>INT((I213*Valores!$C$2*100)+0.5)/100</f>
        <v>0</v>
      </c>
      <c r="K213" s="155">
        <v>0</v>
      </c>
      <c r="L213" s="140">
        <f>INT((K213*Valores!$C$2*100)+0.5)/100</f>
        <v>0</v>
      </c>
      <c r="M213" s="153">
        <v>0</v>
      </c>
      <c r="N213" s="140">
        <f>INT((M213*Valores!$C$2*100)+0.5)/100</f>
        <v>0</v>
      </c>
      <c r="O213" s="140">
        <f t="shared" si="38"/>
        <v>4689.5024999999996</v>
      </c>
      <c r="P213" s="140">
        <f t="shared" si="39"/>
        <v>0</v>
      </c>
      <c r="Q213" s="154">
        <f>Valores!$C$14*D213</f>
        <v>9076.7999999999993</v>
      </c>
      <c r="R213" s="154">
        <f>IF(D213&lt;15,(Valores!$E$4*D213),Valores!$D$4)</f>
        <v>6841.19</v>
      </c>
      <c r="S213" s="140">
        <v>0</v>
      </c>
      <c r="T213" s="143">
        <f>IF($H$5="NO",IF(Valores!$C$47*D213&gt;Valores!$C$45,Valores!$C$45,Valores!$C$47*D213),IF(Valores!$C$47*D213&gt;Valores!$C$45,Valores!$C$45,Valores!$C$47*D213)/2)</f>
        <v>1911</v>
      </c>
      <c r="U213" s="154">
        <f>Valores!$C$24*D213</f>
        <v>2854.8</v>
      </c>
      <c r="V213" s="140">
        <f t="shared" si="33"/>
        <v>2854.8</v>
      </c>
      <c r="W213" s="140">
        <v>0</v>
      </c>
      <c r="X213" s="140">
        <v>0</v>
      </c>
      <c r="Y213" s="160">
        <v>0</v>
      </c>
      <c r="Z213" s="140">
        <f>Y213*Valores!$C$2</f>
        <v>0</v>
      </c>
      <c r="AA213" s="140">
        <v>0</v>
      </c>
      <c r="AB213" s="143">
        <f>IF(Valores!$C$93*D213&gt;Valores!$C$92,Valores!$C$92,Valores!$C$93*D213)</f>
        <v>2625.7999999999997</v>
      </c>
      <c r="AC213" s="145">
        <f>IF((Valores!$C$34)*D213&gt;Valores!$F$34,Valores!$F$34,(Valores!$C$34)*D213)</f>
        <v>224.20000000000002</v>
      </c>
      <c r="AD213" s="140">
        <f t="shared" si="41"/>
        <v>0</v>
      </c>
      <c r="AE213" s="140">
        <f>IF(Valores!$C$35*D213&gt;Valores!$F$35,Valores!$F$35,Valores!$C$35*D213)</f>
        <v>186.8</v>
      </c>
      <c r="AF213" s="144">
        <v>0</v>
      </c>
      <c r="AG213" s="140">
        <f>INT(((AF213*Valores!$C$2)*100)+0.5)/100</f>
        <v>0</v>
      </c>
      <c r="AH213" s="140">
        <f>IF($H$5="NO",IF(Valores!$D$60*'Escala Docente'!D213&gt;Valores!$F$60,Valores!$F$60,Valores!$D$60*'Escala Docente'!D213),IF(Valores!$D$60*'Escala Docente'!D213&gt;Valores!$F$60,Valores!$F$60,Valores!$D$60*'Escala Docente'!D213)/2)</f>
        <v>758.8</v>
      </c>
      <c r="AI213" s="140">
        <f>IF($H$5="NO",IF(Valores!$D$62*D213&gt;Valores!$F$62,Valores!$F$62,Valores!$D$62*D213),IF(Valores!$D$62*D213&gt;Valores!$F$62,Valores!$F$62,Valores!$D$62*D213)/2)</f>
        <v>217.01333333333335</v>
      </c>
      <c r="AJ213" s="146">
        <f t="shared" si="42"/>
        <v>55883.455833333341</v>
      </c>
      <c r="AK213" s="154">
        <f>IF(Valores!$C$38*D213&gt;Valores!$F$38,Valores!$F$38,Valores!$C$38*D213)</f>
        <v>1954</v>
      </c>
      <c r="AL213" s="143">
        <f>IF(Valores!$C$88*D213&gt;Valores!$C$87,Valores!$C$87,Valores!$C$88*D213)</f>
        <v>2274.9999999999995</v>
      </c>
      <c r="AM213" s="143"/>
      <c r="AN213" s="145">
        <f>IF($H$4="NO",0,IF(Valores!$C$58*D213&gt;Valores!$F$58,Valores!$F$58,Valores!$C$58*D213))</f>
        <v>283.89999999999998</v>
      </c>
      <c r="AO213" s="147">
        <f t="shared" si="43"/>
        <v>4512.8999999999996</v>
      </c>
      <c r="AP213" s="148">
        <f>AJ213*Valores!$C$69</f>
        <v>-6147.1801416666676</v>
      </c>
      <c r="AQ213" s="149">
        <f>AJ213*-Valores!$C$70</f>
        <v>0</v>
      </c>
      <c r="AR213" s="142">
        <f>AJ213*Valores!$C$71</f>
        <v>-2514.7555125000003</v>
      </c>
      <c r="AS213" s="142">
        <f>Valores!$C$95</f>
        <v>-193.38</v>
      </c>
      <c r="AT213" s="142">
        <f>IF($H$6=0,Valores!$C$96,(Valores!$C$96+$H$6*(Valores!$C$96)))</f>
        <v>-178</v>
      </c>
      <c r="AU213" s="146">
        <f t="shared" si="44"/>
        <v>51363.040179166674</v>
      </c>
      <c r="AV213" s="199">
        <f t="shared" si="40"/>
        <v>-6147.1801416666676</v>
      </c>
      <c r="AW213" s="142">
        <f>AJ213*Valores!$C$72</f>
        <v>-1508.8533075000003</v>
      </c>
      <c r="AX213" s="142">
        <f>AJ213*Valores!$C$73</f>
        <v>-167.65036750000002</v>
      </c>
      <c r="AY213" s="146">
        <f t="shared" si="45"/>
        <v>52572.672016666671</v>
      </c>
      <c r="AZ213" s="150"/>
      <c r="BA213" s="150">
        <f t="shared" si="36"/>
        <v>20</v>
      </c>
      <c r="BB213" s="135" t="s">
        <v>4</v>
      </c>
    </row>
    <row r="214" spans="1:54" s="114" customFormat="1" ht="11.25" customHeight="1" x14ac:dyDescent="0.15">
      <c r="A214" s="134">
        <v>212</v>
      </c>
      <c r="B214" s="134"/>
      <c r="C214" s="135" t="s">
        <v>496</v>
      </c>
      <c r="D214" s="135">
        <v>21</v>
      </c>
      <c r="E214" s="135">
        <f t="shared" si="37"/>
        <v>37</v>
      </c>
      <c r="F214" s="136" t="str">
        <f t="shared" si="34"/>
        <v>Hora Cátedra Enseñanza Superior 21 hs</v>
      </c>
      <c r="G214" s="137">
        <f t="shared" si="35"/>
        <v>2079</v>
      </c>
      <c r="H214" s="138">
        <f>INT((G214*Valores!$C$2*100)+0.5)/100</f>
        <v>27822.43</v>
      </c>
      <c r="I214" s="156">
        <v>0</v>
      </c>
      <c r="J214" s="140">
        <f>INT((I214*Valores!$C$2*100)+0.5)/100</f>
        <v>0</v>
      </c>
      <c r="K214" s="155">
        <v>0</v>
      </c>
      <c r="L214" s="140">
        <f>INT((K214*Valores!$C$2*100)+0.5)/100</f>
        <v>0</v>
      </c>
      <c r="M214" s="153">
        <v>0</v>
      </c>
      <c r="N214" s="140">
        <f>INT((M214*Valores!$C$2*100)+0.5)/100</f>
        <v>0</v>
      </c>
      <c r="O214" s="140">
        <f t="shared" si="38"/>
        <v>4923.9780000000001</v>
      </c>
      <c r="P214" s="140">
        <f t="shared" si="39"/>
        <v>0</v>
      </c>
      <c r="Q214" s="154">
        <f>Valores!$C$14*D214</f>
        <v>9530.64</v>
      </c>
      <c r="R214" s="154">
        <f>IF(D214&lt;15,(Valores!$E$4*D214),Valores!$D$4)</f>
        <v>6841.19</v>
      </c>
      <c r="S214" s="140">
        <v>0</v>
      </c>
      <c r="T214" s="143">
        <f>IF($H$5="NO",IF(Valores!$C$47*D214&gt;Valores!$C$45,Valores!$C$45,Valores!$C$47*D214),IF(Valores!$C$47*D214&gt;Valores!$C$45,Valores!$C$45,Valores!$C$47*D214)/2)</f>
        <v>2006.55</v>
      </c>
      <c r="U214" s="154">
        <f>Valores!$C$24*D214</f>
        <v>2997.54</v>
      </c>
      <c r="V214" s="140">
        <f t="shared" si="33"/>
        <v>2997.54</v>
      </c>
      <c r="W214" s="140">
        <v>0</v>
      </c>
      <c r="X214" s="140">
        <v>0</v>
      </c>
      <c r="Y214" s="160">
        <v>0</v>
      </c>
      <c r="Z214" s="140">
        <f>Y214*Valores!$C$2</f>
        <v>0</v>
      </c>
      <c r="AA214" s="140">
        <v>0</v>
      </c>
      <c r="AB214" s="143">
        <f>IF(Valores!$C$93*D214&gt;Valores!$C$92,Valores!$C$92,Valores!$C$93*D214)</f>
        <v>2757.0899999999997</v>
      </c>
      <c r="AC214" s="145">
        <f>IF((Valores!$C$34)*D214&gt;Valores!$F$34,Valores!$F$34,(Valores!$C$34)*D214)</f>
        <v>235.41000000000003</v>
      </c>
      <c r="AD214" s="140">
        <f t="shared" si="41"/>
        <v>0</v>
      </c>
      <c r="AE214" s="140">
        <f>IF(Valores!$C$35*D214&gt;Valores!$F$35,Valores!$F$35,Valores!$C$35*D214)</f>
        <v>196.14</v>
      </c>
      <c r="AF214" s="144">
        <v>0</v>
      </c>
      <c r="AG214" s="140">
        <f>INT(((AF214*Valores!$C$2)*100)+0.5)/100</f>
        <v>0</v>
      </c>
      <c r="AH214" s="140">
        <f>IF($H$5="NO",IF(Valores!$D$60*'Escala Docente'!D214&gt;Valores!$F$60,Valores!$F$60,Valores!$D$60*'Escala Docente'!D214),IF(Valores!$D$60*'Escala Docente'!D214&gt;Valores!$F$60,Valores!$F$60,Valores!$D$60*'Escala Docente'!D214)/2)</f>
        <v>796.74</v>
      </c>
      <c r="AI214" s="140">
        <f>IF($H$5="NO",IF(Valores!$D$62*D214&gt;Valores!$F$62,Valores!$F$62,Valores!$D$62*D214),IF(Valores!$D$62*D214&gt;Valores!$F$62,Valores!$F$62,Valores!$D$62*D214)/2)</f>
        <v>227.864</v>
      </c>
      <c r="AJ214" s="146">
        <f t="shared" si="42"/>
        <v>58335.572</v>
      </c>
      <c r="AK214" s="154">
        <f>IF(Valores!$C$38*D214&gt;Valores!$F$38,Valores!$F$38,Valores!$C$38*D214)</f>
        <v>2051.7000000000003</v>
      </c>
      <c r="AL214" s="143">
        <f>IF(Valores!$C$88*D214&gt;Valores!$C$87,Valores!$C$87,Valores!$C$88*D214)</f>
        <v>2388.7499999999995</v>
      </c>
      <c r="AM214" s="143"/>
      <c r="AN214" s="145">
        <f>IF($H$4="NO",0,IF(Valores!$C$58*D214&gt;Valores!$F$58,Valores!$F$58,Valores!$C$58*D214))</f>
        <v>298.09500000000003</v>
      </c>
      <c r="AO214" s="147">
        <f t="shared" si="43"/>
        <v>4738.5450000000001</v>
      </c>
      <c r="AP214" s="148">
        <f>AJ214*Valores!$C$69</f>
        <v>-6416.9129199999998</v>
      </c>
      <c r="AQ214" s="149">
        <f>AJ214*-Valores!$C$70</f>
        <v>0</v>
      </c>
      <c r="AR214" s="142">
        <f>AJ214*Valores!$C$71</f>
        <v>-2625.1007399999999</v>
      </c>
      <c r="AS214" s="142">
        <f>Valores!$C$95</f>
        <v>-193.38</v>
      </c>
      <c r="AT214" s="142">
        <f>IF($H$6=0,Valores!$C$96,(Valores!$C$96+$H$6*(Valores!$C$96)))</f>
        <v>-178</v>
      </c>
      <c r="AU214" s="146">
        <f t="shared" si="44"/>
        <v>53660.723339999997</v>
      </c>
      <c r="AV214" s="199">
        <f t="shared" si="40"/>
        <v>-6416.9129199999998</v>
      </c>
      <c r="AW214" s="142">
        <f>AJ214*Valores!$C$72</f>
        <v>-1575.060444</v>
      </c>
      <c r="AX214" s="142">
        <f>AJ214*Valores!$C$73</f>
        <v>-175.00671600000001</v>
      </c>
      <c r="AY214" s="146">
        <f t="shared" si="45"/>
        <v>54907.136919999997</v>
      </c>
      <c r="AZ214" s="150"/>
      <c r="BA214" s="150">
        <f t="shared" si="36"/>
        <v>21</v>
      </c>
      <c r="BB214" s="135" t="s">
        <v>8</v>
      </c>
    </row>
    <row r="215" spans="1:54" s="114" customFormat="1" ht="11.25" customHeight="1" x14ac:dyDescent="0.15">
      <c r="A215" s="134">
        <v>213</v>
      </c>
      <c r="B215" s="134"/>
      <c r="C215" s="135" t="s">
        <v>496</v>
      </c>
      <c r="D215" s="135">
        <v>22</v>
      </c>
      <c r="E215" s="135">
        <f t="shared" si="37"/>
        <v>37</v>
      </c>
      <c r="F215" s="136" t="str">
        <f t="shared" si="34"/>
        <v>Hora Cátedra Enseñanza Superior 22 hs</v>
      </c>
      <c r="G215" s="137">
        <f t="shared" si="35"/>
        <v>2178</v>
      </c>
      <c r="H215" s="138">
        <f>INT((G215*Valores!$C$2*100)+0.5)/100</f>
        <v>29147.3</v>
      </c>
      <c r="I215" s="156">
        <v>0</v>
      </c>
      <c r="J215" s="140">
        <f>INT((I215*Valores!$C$2*100)+0.5)/100</f>
        <v>0</v>
      </c>
      <c r="K215" s="155">
        <v>0</v>
      </c>
      <c r="L215" s="140">
        <f>INT((K215*Valores!$C$2*100)+0.5)/100</f>
        <v>0</v>
      </c>
      <c r="M215" s="153">
        <v>0</v>
      </c>
      <c r="N215" s="140">
        <f>INT((M215*Valores!$C$2*100)+0.5)/100</f>
        <v>0</v>
      </c>
      <c r="O215" s="140">
        <f t="shared" si="38"/>
        <v>5158.4520000000002</v>
      </c>
      <c r="P215" s="140">
        <f t="shared" si="39"/>
        <v>0</v>
      </c>
      <c r="Q215" s="154">
        <f>Valores!$C$14*D215</f>
        <v>9984.48</v>
      </c>
      <c r="R215" s="154">
        <f>IF(D215&lt;15,(Valores!$E$4*D215),Valores!$D$4)</f>
        <v>6841.19</v>
      </c>
      <c r="S215" s="140">
        <v>0</v>
      </c>
      <c r="T215" s="143">
        <f>IF($H$5="NO",IF(Valores!$C$47*D215&gt;Valores!$C$45,Valores!$C$45,Valores!$C$47*D215),IF(Valores!$C$47*D215&gt;Valores!$C$45,Valores!$C$45,Valores!$C$47*D215)/2)</f>
        <v>2102.1</v>
      </c>
      <c r="U215" s="154">
        <f>Valores!$C$24*D215</f>
        <v>3140.28</v>
      </c>
      <c r="V215" s="140">
        <f t="shared" si="33"/>
        <v>3140.28</v>
      </c>
      <c r="W215" s="140">
        <v>0</v>
      </c>
      <c r="X215" s="140">
        <v>0</v>
      </c>
      <c r="Y215" s="160">
        <v>0</v>
      </c>
      <c r="Z215" s="140">
        <f>Y215*Valores!$C$2</f>
        <v>0</v>
      </c>
      <c r="AA215" s="140">
        <v>0</v>
      </c>
      <c r="AB215" s="143">
        <f>IF(Valores!$C$93*D215&gt;Valores!$C$92,Valores!$C$92,Valores!$C$93*D215)</f>
        <v>2888.3799999999997</v>
      </c>
      <c r="AC215" s="145">
        <f>IF((Valores!$C$34)*D215&gt;Valores!$F$34,Valores!$F$34,(Valores!$C$34)*D215)</f>
        <v>246.62</v>
      </c>
      <c r="AD215" s="140">
        <f t="shared" si="41"/>
        <v>0</v>
      </c>
      <c r="AE215" s="140">
        <f>IF(Valores!$C$35*D215&gt;Valores!$F$35,Valores!$F$35,Valores!$C$35*D215)</f>
        <v>205.48</v>
      </c>
      <c r="AF215" s="144">
        <v>0</v>
      </c>
      <c r="AG215" s="140">
        <f>INT(((AF215*Valores!$C$2)*100)+0.5)/100</f>
        <v>0</v>
      </c>
      <c r="AH215" s="140">
        <f>IF($H$5="NO",IF(Valores!$D$60*'Escala Docente'!D215&gt;Valores!$F$60,Valores!$F$60,Valores!$D$60*'Escala Docente'!D215),IF(Valores!$D$60*'Escala Docente'!D215&gt;Valores!$F$60,Valores!$F$60,Valores!$D$60*'Escala Docente'!D215)/2)</f>
        <v>834.68</v>
      </c>
      <c r="AI215" s="140">
        <f>IF($H$5="NO",IF(Valores!$D$62*D215&gt;Valores!$F$62,Valores!$F$62,Valores!$D$62*D215),IF(Valores!$D$62*D215&gt;Valores!$F$62,Valores!$F$62,Valores!$D$62*D215)/2)</f>
        <v>238.71466666666669</v>
      </c>
      <c r="AJ215" s="146">
        <f t="shared" si="42"/>
        <v>60787.676666666674</v>
      </c>
      <c r="AK215" s="154">
        <f>IF(Valores!$C$38*D215&gt;Valores!$F$38,Valores!$F$38,Valores!$C$38*D215)</f>
        <v>2149.4</v>
      </c>
      <c r="AL215" s="143">
        <f>IF(Valores!$C$88*D215&gt;Valores!$C$87,Valores!$C$87,Valores!$C$88*D215)</f>
        <v>2502.4999999999995</v>
      </c>
      <c r="AM215" s="143"/>
      <c r="AN215" s="145">
        <f>IF($H$4="NO",0,IF(Valores!$C$58*D215&gt;Valores!$F$58,Valores!$F$58,Valores!$C$58*D215))</f>
        <v>312.29000000000002</v>
      </c>
      <c r="AO215" s="147">
        <f t="shared" si="43"/>
        <v>4964.1899999999996</v>
      </c>
      <c r="AP215" s="148">
        <f>AJ215*Valores!$C$69</f>
        <v>-6686.6444333333338</v>
      </c>
      <c r="AQ215" s="149">
        <f>AJ215*-Valores!$C$70</f>
        <v>0</v>
      </c>
      <c r="AR215" s="142">
        <f>AJ215*Valores!$C$71</f>
        <v>-2735.4454500000002</v>
      </c>
      <c r="AS215" s="142">
        <f>Valores!$C$95</f>
        <v>-193.38</v>
      </c>
      <c r="AT215" s="142">
        <f>IF($H$6=0,Valores!$C$96,(Valores!$C$96+$H$6*(Valores!$C$96)))</f>
        <v>-178</v>
      </c>
      <c r="AU215" s="146">
        <f t="shared" si="44"/>
        <v>55958.396783333337</v>
      </c>
      <c r="AV215" s="199">
        <f t="shared" si="40"/>
        <v>-6686.6444333333338</v>
      </c>
      <c r="AW215" s="142">
        <f>AJ215*Valores!$C$72</f>
        <v>-1641.2672700000003</v>
      </c>
      <c r="AX215" s="142">
        <f>AJ215*Valores!$C$73</f>
        <v>-182.36303000000004</v>
      </c>
      <c r="AY215" s="146">
        <f t="shared" si="45"/>
        <v>57241.59193333333</v>
      </c>
      <c r="AZ215" s="150"/>
      <c r="BA215" s="150">
        <f t="shared" si="36"/>
        <v>22</v>
      </c>
      <c r="BB215" s="135" t="s">
        <v>4</v>
      </c>
    </row>
    <row r="216" spans="1:54" s="114" customFormat="1" ht="11.25" customHeight="1" x14ac:dyDescent="0.15">
      <c r="A216" s="134">
        <v>214</v>
      </c>
      <c r="B216" s="134"/>
      <c r="C216" s="135" t="s">
        <v>496</v>
      </c>
      <c r="D216" s="135">
        <v>23</v>
      </c>
      <c r="E216" s="135">
        <f t="shared" si="37"/>
        <v>37</v>
      </c>
      <c r="F216" s="136" t="str">
        <f t="shared" si="34"/>
        <v>Hora Cátedra Enseñanza Superior 23 hs</v>
      </c>
      <c r="G216" s="137">
        <f t="shared" si="35"/>
        <v>2277</v>
      </c>
      <c r="H216" s="138">
        <f>INT((G216*Valores!$C$2*100)+0.5)/100</f>
        <v>30472.18</v>
      </c>
      <c r="I216" s="156">
        <v>0</v>
      </c>
      <c r="J216" s="140">
        <f>INT((I216*Valores!$C$2*100)+0.5)/100</f>
        <v>0</v>
      </c>
      <c r="K216" s="155">
        <v>0</v>
      </c>
      <c r="L216" s="140">
        <f>INT((K216*Valores!$C$2*100)+0.5)/100</f>
        <v>0</v>
      </c>
      <c r="M216" s="153">
        <v>0</v>
      </c>
      <c r="N216" s="140">
        <f>INT((M216*Valores!$C$2*100)+0.5)/100</f>
        <v>0</v>
      </c>
      <c r="O216" s="140">
        <f t="shared" si="38"/>
        <v>5392.9274999999998</v>
      </c>
      <c r="P216" s="140">
        <f t="shared" si="39"/>
        <v>0</v>
      </c>
      <c r="Q216" s="154">
        <f>Valores!$C$14*D216</f>
        <v>10438.32</v>
      </c>
      <c r="R216" s="154">
        <f>IF(D216&lt;15,(Valores!$E$4*D216),Valores!$D$4)</f>
        <v>6841.19</v>
      </c>
      <c r="S216" s="140">
        <v>0</v>
      </c>
      <c r="T216" s="143">
        <f>IF($H$5="NO",IF(Valores!$C$47*D216&gt;Valores!$C$45,Valores!$C$45,Valores!$C$47*D216),IF(Valores!$C$47*D216&gt;Valores!$C$45,Valores!$C$45,Valores!$C$47*D216)/2)</f>
        <v>2197.65</v>
      </c>
      <c r="U216" s="154">
        <f>Valores!$C$24*D216</f>
        <v>3283.0200000000004</v>
      </c>
      <c r="V216" s="140">
        <f t="shared" si="33"/>
        <v>3283.0200000000004</v>
      </c>
      <c r="W216" s="140">
        <v>0</v>
      </c>
      <c r="X216" s="140">
        <v>0</v>
      </c>
      <c r="Y216" s="160">
        <v>0</v>
      </c>
      <c r="Z216" s="140">
        <f>Y216*Valores!$C$2</f>
        <v>0</v>
      </c>
      <c r="AA216" s="140">
        <v>0</v>
      </c>
      <c r="AB216" s="143">
        <f>IF(Valores!$C$93*D216&gt;Valores!$C$92,Valores!$C$92,Valores!$C$93*D216)</f>
        <v>3019.6699999999996</v>
      </c>
      <c r="AC216" s="145">
        <f>IF((Valores!$C$34)*D216&gt;Valores!$F$34,Valores!$F$34,(Valores!$C$34)*D216)</f>
        <v>257.83000000000004</v>
      </c>
      <c r="AD216" s="140">
        <f t="shared" si="41"/>
        <v>0</v>
      </c>
      <c r="AE216" s="140">
        <f>IF(Valores!$C$35*D216&gt;Valores!$F$35,Valores!$F$35,Valores!$C$35*D216)</f>
        <v>214.82</v>
      </c>
      <c r="AF216" s="144">
        <v>0</v>
      </c>
      <c r="AG216" s="140">
        <f>INT(((AF216*Valores!$C$2)*100)+0.5)/100</f>
        <v>0</v>
      </c>
      <c r="AH216" s="140">
        <f>IF($H$5="NO",IF(Valores!$D$60*'Escala Docente'!D216&gt;Valores!$F$60,Valores!$F$60,Valores!$D$60*'Escala Docente'!D216),IF(Valores!$D$60*'Escala Docente'!D216&gt;Valores!$F$60,Valores!$F$60,Valores!$D$60*'Escala Docente'!D216)/2)</f>
        <v>872.61999999999989</v>
      </c>
      <c r="AI216" s="140">
        <f>IF($H$5="NO",IF(Valores!$D$62*D216&gt;Valores!$F$62,Valores!$F$62,Valores!$D$62*D216),IF(Valores!$D$62*D216&gt;Valores!$F$62,Valores!$F$62,Valores!$D$62*D216)/2)</f>
        <v>249.56533333333334</v>
      </c>
      <c r="AJ216" s="146">
        <f t="shared" si="42"/>
        <v>63239.792833333333</v>
      </c>
      <c r="AK216" s="154">
        <f>IF(Valores!$C$38*D216&gt;Valores!$F$38,Valores!$F$38,Valores!$C$38*D216)</f>
        <v>2247.1</v>
      </c>
      <c r="AL216" s="143">
        <f>IF(Valores!$C$88*D216&gt;Valores!$C$87,Valores!$C$87,Valores!$C$88*D216)</f>
        <v>2616.2499999999995</v>
      </c>
      <c r="AM216" s="143"/>
      <c r="AN216" s="145">
        <f>IF($H$4="NO",0,IF(Valores!$C$58*D216&gt;Valores!$F$58,Valores!$F$58,Valores!$C$58*D216))</f>
        <v>326.48500000000001</v>
      </c>
      <c r="AO216" s="147">
        <f t="shared" si="43"/>
        <v>5189.8349999999991</v>
      </c>
      <c r="AP216" s="148">
        <f>AJ216*Valores!$C$69</f>
        <v>-6956.3772116666669</v>
      </c>
      <c r="AQ216" s="149">
        <f>AJ216*-Valores!$C$70</f>
        <v>0</v>
      </c>
      <c r="AR216" s="142">
        <f>AJ216*Valores!$C$71</f>
        <v>-2845.7906774999997</v>
      </c>
      <c r="AS216" s="142">
        <f>Valores!$C$95</f>
        <v>-193.38</v>
      </c>
      <c r="AT216" s="142">
        <f>IF($H$6=0,Valores!$C$96,(Valores!$C$96+$H$6*(Valores!$C$96)))</f>
        <v>-178</v>
      </c>
      <c r="AU216" s="146">
        <f t="shared" si="44"/>
        <v>58256.079944166668</v>
      </c>
      <c r="AV216" s="199">
        <f t="shared" si="40"/>
        <v>-6956.3772116666669</v>
      </c>
      <c r="AW216" s="142">
        <f>AJ216*Valores!$C$72</f>
        <v>-1707.4744065</v>
      </c>
      <c r="AX216" s="142">
        <f>AJ216*Valores!$C$73</f>
        <v>-189.7193785</v>
      </c>
      <c r="AY216" s="146">
        <f t="shared" si="45"/>
        <v>59576.056836666663</v>
      </c>
      <c r="AZ216" s="150"/>
      <c r="BA216" s="150">
        <f t="shared" si="36"/>
        <v>23</v>
      </c>
      <c r="BB216" s="135" t="s">
        <v>8</v>
      </c>
    </row>
    <row r="217" spans="1:54" s="114" customFormat="1" ht="11.25" customHeight="1" x14ac:dyDescent="0.15">
      <c r="A217" s="152">
        <v>215</v>
      </c>
      <c r="B217" s="152" t="s">
        <v>139</v>
      </c>
      <c r="C217" s="135" t="s">
        <v>496</v>
      </c>
      <c r="D217" s="135">
        <v>24</v>
      </c>
      <c r="E217" s="135">
        <f t="shared" si="37"/>
        <v>37</v>
      </c>
      <c r="F217" s="136" t="str">
        <f t="shared" si="34"/>
        <v>Hora Cátedra Enseñanza Superior 24 hs</v>
      </c>
      <c r="G217" s="137">
        <f t="shared" si="35"/>
        <v>2376</v>
      </c>
      <c r="H217" s="138">
        <f>INT((G217*Valores!$C$2*100)+0.5)/100</f>
        <v>31797.06</v>
      </c>
      <c r="I217" s="156">
        <v>0</v>
      </c>
      <c r="J217" s="140">
        <f>INT((I217*Valores!$C$2*100)+0.5)/100</f>
        <v>0</v>
      </c>
      <c r="K217" s="155">
        <v>0</v>
      </c>
      <c r="L217" s="140">
        <f>INT((K217*Valores!$C$2*100)+0.5)/100</f>
        <v>0</v>
      </c>
      <c r="M217" s="153">
        <v>0</v>
      </c>
      <c r="N217" s="140">
        <f>INT((M217*Valores!$C$2*100)+0.5)/100</f>
        <v>0</v>
      </c>
      <c r="O217" s="140">
        <f t="shared" si="38"/>
        <v>5627.4029999999993</v>
      </c>
      <c r="P217" s="140">
        <f t="shared" si="39"/>
        <v>0</v>
      </c>
      <c r="Q217" s="154">
        <f>Valores!$C$14*D217</f>
        <v>10892.16</v>
      </c>
      <c r="R217" s="154">
        <f>IF(D217&lt;15,(Valores!$E$4*D217),Valores!$D$4)</f>
        <v>6841.19</v>
      </c>
      <c r="S217" s="140">
        <v>0</v>
      </c>
      <c r="T217" s="143">
        <f>IF($H$5="NO",IF(Valores!$C$47*D217&gt;Valores!$C$45,Valores!$C$45,Valores!$C$47*D217),IF(Valores!$C$47*D217&gt;Valores!$C$45,Valores!$C$45,Valores!$C$47*D217)/2)</f>
        <v>2293.1999999999998</v>
      </c>
      <c r="U217" s="154">
        <f>Valores!$C$24*D217</f>
        <v>3425.76</v>
      </c>
      <c r="V217" s="140">
        <f t="shared" si="33"/>
        <v>3425.76</v>
      </c>
      <c r="W217" s="140">
        <v>0</v>
      </c>
      <c r="X217" s="140">
        <v>0</v>
      </c>
      <c r="Y217" s="160">
        <v>0</v>
      </c>
      <c r="Z217" s="140">
        <f>Y217*Valores!$C$2</f>
        <v>0</v>
      </c>
      <c r="AA217" s="140">
        <v>0</v>
      </c>
      <c r="AB217" s="143">
        <f>IF(Valores!$C$93*D217&gt;Valores!$C$92,Valores!$C$92,Valores!$C$93*D217)</f>
        <v>3150.96</v>
      </c>
      <c r="AC217" s="145">
        <f>IF((Valores!$C$34)*D217&gt;Valores!$F$34,Valores!$F$34,(Valores!$C$34)*D217)</f>
        <v>269.04000000000002</v>
      </c>
      <c r="AD217" s="140">
        <f t="shared" si="41"/>
        <v>0</v>
      </c>
      <c r="AE217" s="140">
        <f>IF(Valores!$C$35*D217&gt;Valores!$F$35,Valores!$F$35,Valores!$C$35*D217)</f>
        <v>224.16</v>
      </c>
      <c r="AF217" s="144">
        <v>0</v>
      </c>
      <c r="AG217" s="140">
        <f>INT(((AF217*Valores!$C$2)*100)+0.5)/100</f>
        <v>0</v>
      </c>
      <c r="AH217" s="140">
        <f>IF($H$5="NO",IF(Valores!$D$60*'Escala Docente'!D217&gt;Valores!$F$60,Valores!$F$60,Valores!$D$60*'Escala Docente'!D217),IF(Valores!$D$60*'Escala Docente'!D217&gt;Valores!$F$60,Valores!$F$60,Valores!$D$60*'Escala Docente'!D217)/2)</f>
        <v>910.56</v>
      </c>
      <c r="AI217" s="140">
        <f>IF($H$5="NO",IF(Valores!$D$62*D217&gt;Valores!$F$62,Valores!$F$62,Valores!$D$62*D217),IF(Valores!$D$62*D217&gt;Valores!$F$62,Valores!$F$62,Valores!$D$62*D217)/2)</f>
        <v>260.416</v>
      </c>
      <c r="AJ217" s="146">
        <f t="shared" si="42"/>
        <v>65691.909000000014</v>
      </c>
      <c r="AK217" s="154">
        <f>IF(Valores!$C$38*D217&gt;Valores!$F$38,Valores!$F$38,Valores!$C$38*D217)</f>
        <v>2344.8000000000002</v>
      </c>
      <c r="AL217" s="143">
        <f>IF(Valores!$C$88*D217&gt;Valores!$C$87,Valores!$C$87,Valores!$C$88*D217)</f>
        <v>2729.9999999999995</v>
      </c>
      <c r="AM217" s="143"/>
      <c r="AN217" s="145">
        <f>IF($H$4="NO",0,IF(Valores!$C$58*D217&gt;Valores!$F$58,Valores!$F$58,Valores!$C$58*D217))</f>
        <v>327.60000000000002</v>
      </c>
      <c r="AO217" s="147">
        <f t="shared" si="43"/>
        <v>5402.4</v>
      </c>
      <c r="AP217" s="148">
        <f>AJ217*Valores!$C$69</f>
        <v>-7226.1099900000017</v>
      </c>
      <c r="AQ217" s="149">
        <f>AJ217*-Valores!$C$70</f>
        <v>0</v>
      </c>
      <c r="AR217" s="142">
        <f>AJ217*Valores!$C$71</f>
        <v>-2956.1359050000005</v>
      </c>
      <c r="AS217" s="142">
        <f>Valores!$C$95</f>
        <v>-193.38</v>
      </c>
      <c r="AT217" s="142">
        <f>IF($H$6=0,Valores!$C$96,(Valores!$C$96+$H$6*(Valores!$C$96)))</f>
        <v>-178</v>
      </c>
      <c r="AU217" s="146">
        <f t="shared" si="44"/>
        <v>60540.683105000011</v>
      </c>
      <c r="AV217" s="199">
        <f t="shared" si="40"/>
        <v>-7226.1099900000017</v>
      </c>
      <c r="AW217" s="142">
        <f>AJ217*Valores!$C$72</f>
        <v>-1773.6815430000004</v>
      </c>
      <c r="AX217" s="142">
        <f>AJ217*Valores!$C$73</f>
        <v>-197.07572700000006</v>
      </c>
      <c r="AY217" s="146">
        <f t="shared" si="45"/>
        <v>61897.441740000009</v>
      </c>
      <c r="AZ217" s="150"/>
      <c r="BA217" s="150">
        <f t="shared" si="36"/>
        <v>24</v>
      </c>
      <c r="BB217" s="135" t="s">
        <v>8</v>
      </c>
    </row>
    <row r="218" spans="1:54" s="114" customFormat="1" ht="11.25" customHeight="1" x14ac:dyDescent="0.15">
      <c r="A218" s="134">
        <v>216</v>
      </c>
      <c r="B218" s="134"/>
      <c r="C218" s="135" t="s">
        <v>496</v>
      </c>
      <c r="D218" s="135">
        <v>25</v>
      </c>
      <c r="E218" s="135">
        <f t="shared" si="37"/>
        <v>37</v>
      </c>
      <c r="F218" s="136" t="str">
        <f t="shared" si="34"/>
        <v>Hora Cátedra Enseñanza Superior 25 hs</v>
      </c>
      <c r="G218" s="137">
        <f t="shared" si="35"/>
        <v>2475</v>
      </c>
      <c r="H218" s="138">
        <f>INT((G218*Valores!$C$2*100)+0.5)/100</f>
        <v>33121.94</v>
      </c>
      <c r="I218" s="156">
        <v>0</v>
      </c>
      <c r="J218" s="140">
        <f>INT((I218*Valores!$C$2*100)+0.5)/100</f>
        <v>0</v>
      </c>
      <c r="K218" s="155">
        <v>0</v>
      </c>
      <c r="L218" s="140">
        <f>INT((K218*Valores!$C$2*100)+0.5)/100</f>
        <v>0</v>
      </c>
      <c r="M218" s="153">
        <v>0</v>
      </c>
      <c r="N218" s="140">
        <f>INT((M218*Valores!$C$2*100)+0.5)/100</f>
        <v>0</v>
      </c>
      <c r="O218" s="140">
        <f t="shared" si="38"/>
        <v>5861.8784999999998</v>
      </c>
      <c r="P218" s="140">
        <f t="shared" si="39"/>
        <v>0</v>
      </c>
      <c r="Q218" s="154">
        <f>Valores!$C$14*D218</f>
        <v>11346</v>
      </c>
      <c r="R218" s="154">
        <f>IF(D218&lt;15,(Valores!$E$4*D218),Valores!$D$4)</f>
        <v>6841.19</v>
      </c>
      <c r="S218" s="140">
        <v>0</v>
      </c>
      <c r="T218" s="143">
        <f>IF($H$5="NO",IF(Valores!$C$47*D218&gt;Valores!$C$45,Valores!$C$45,Valores!$C$47*D218),IF(Valores!$C$47*D218&gt;Valores!$C$45,Valores!$C$45,Valores!$C$47*D218)/2)</f>
        <v>2388.75</v>
      </c>
      <c r="U218" s="154">
        <f>Valores!$C$24*D218</f>
        <v>3568.5</v>
      </c>
      <c r="V218" s="140">
        <f t="shared" si="33"/>
        <v>3568.5</v>
      </c>
      <c r="W218" s="140">
        <v>0</v>
      </c>
      <c r="X218" s="140">
        <v>0</v>
      </c>
      <c r="Y218" s="160">
        <v>0</v>
      </c>
      <c r="Z218" s="140">
        <f>Y218*Valores!$C$2</f>
        <v>0</v>
      </c>
      <c r="AA218" s="140">
        <v>0</v>
      </c>
      <c r="AB218" s="143">
        <f>IF(Valores!$C$93*D218&gt;Valores!$C$92,Valores!$C$92,Valores!$C$93*D218)</f>
        <v>3282.25</v>
      </c>
      <c r="AC218" s="145">
        <f>IF((Valores!$C$34)*D218&gt;Valores!$F$34,Valores!$F$34,(Valores!$C$34)*D218)</f>
        <v>280.25</v>
      </c>
      <c r="AD218" s="140">
        <f t="shared" si="41"/>
        <v>0</v>
      </c>
      <c r="AE218" s="140">
        <f>IF(Valores!$C$35*D218&gt;Valores!$F$35,Valores!$F$35,Valores!$C$35*D218)</f>
        <v>233.5</v>
      </c>
      <c r="AF218" s="144">
        <v>0</v>
      </c>
      <c r="AG218" s="140">
        <f>INT(((AF218*Valores!$C$2)*100)+0.5)/100</f>
        <v>0</v>
      </c>
      <c r="AH218" s="140">
        <f>IF($H$5="NO",IF(Valores!$D$60*'Escala Docente'!D218&gt;Valores!$F$60,Valores!$F$60,Valores!$D$60*'Escala Docente'!D218),IF(Valores!$D$60*'Escala Docente'!D218&gt;Valores!$F$60,Valores!$F$60,Valores!$D$60*'Escala Docente'!D218)/2)</f>
        <v>948.5</v>
      </c>
      <c r="AI218" s="140">
        <f>IF($H$5="NO",IF(Valores!$D$62*D218&gt;Valores!$F$62,Valores!$F$62,Valores!$D$62*D218),IF(Valores!$D$62*D218&gt;Valores!$F$62,Valores!$F$62,Valores!$D$62*D218)/2)</f>
        <v>271.26666666666665</v>
      </c>
      <c r="AJ218" s="146">
        <f t="shared" si="42"/>
        <v>68144.025166666674</v>
      </c>
      <c r="AK218" s="154">
        <f>IF(Valores!$C$38*D218&gt;Valores!$F$38,Valores!$F$38,Valores!$C$38*D218)</f>
        <v>2442.5</v>
      </c>
      <c r="AL218" s="143">
        <f>IF(Valores!$C$88*D218&gt;Valores!$C$87,Valores!$C$87,Valores!$C$88*D218)</f>
        <v>2843.7499999999995</v>
      </c>
      <c r="AM218" s="143"/>
      <c r="AN218" s="145">
        <f>IF($H$4="NO",0,IF(Valores!$C$58*D218&gt;Valores!$F$58,Valores!$F$58,Valores!$C$58*D218))</f>
        <v>327.60000000000002</v>
      </c>
      <c r="AO218" s="147">
        <f t="shared" si="43"/>
        <v>5613.85</v>
      </c>
      <c r="AP218" s="148">
        <f>AJ218*Valores!$C$69</f>
        <v>-7495.8427683333339</v>
      </c>
      <c r="AQ218" s="149">
        <f>AJ218*-Valores!$C$70</f>
        <v>0</v>
      </c>
      <c r="AR218" s="142">
        <f>AJ218*Valores!$C$71</f>
        <v>-3066.4811325000001</v>
      </c>
      <c r="AS218" s="142">
        <f>Valores!$C$95</f>
        <v>-193.38</v>
      </c>
      <c r="AT218" s="142">
        <f>IF($H$6=0,Valores!$C$96,(Valores!$C$96+$H$6*(Valores!$C$96)))</f>
        <v>-178</v>
      </c>
      <c r="AU218" s="146">
        <f t="shared" si="44"/>
        <v>62824.171265833342</v>
      </c>
      <c r="AV218" s="199">
        <f t="shared" si="40"/>
        <v>-7495.8427683333339</v>
      </c>
      <c r="AW218" s="142">
        <f>AJ218*Valores!$C$72</f>
        <v>-1839.8886795000001</v>
      </c>
      <c r="AX218" s="142">
        <f>AJ218*Valores!$C$73</f>
        <v>-204.43207550000002</v>
      </c>
      <c r="AY218" s="146">
        <f t="shared" si="45"/>
        <v>64217.711643333343</v>
      </c>
      <c r="AZ218" s="150"/>
      <c r="BA218" s="150">
        <f t="shared" si="36"/>
        <v>25</v>
      </c>
      <c r="BB218" s="135" t="s">
        <v>4</v>
      </c>
    </row>
    <row r="219" spans="1:54" s="114" customFormat="1" ht="11.25" customHeight="1" x14ac:dyDescent="0.15">
      <c r="A219" s="134">
        <v>217</v>
      </c>
      <c r="B219" s="134"/>
      <c r="C219" s="135" t="s">
        <v>496</v>
      </c>
      <c r="D219" s="135">
        <v>26</v>
      </c>
      <c r="E219" s="135">
        <f t="shared" si="37"/>
        <v>37</v>
      </c>
      <c r="F219" s="136" t="str">
        <f t="shared" si="34"/>
        <v>Hora Cátedra Enseñanza Superior 26 hs</v>
      </c>
      <c r="G219" s="137">
        <f t="shared" si="35"/>
        <v>2574</v>
      </c>
      <c r="H219" s="138">
        <f>INT((G219*Valores!$C$2*100)+0.5)/100</f>
        <v>34446.81</v>
      </c>
      <c r="I219" s="156">
        <v>0</v>
      </c>
      <c r="J219" s="140">
        <f>INT((I219*Valores!$C$2*100)+0.5)/100</f>
        <v>0</v>
      </c>
      <c r="K219" s="155">
        <v>0</v>
      </c>
      <c r="L219" s="140">
        <f>INT((K219*Valores!$C$2*100)+0.5)/100</f>
        <v>0</v>
      </c>
      <c r="M219" s="153">
        <v>0</v>
      </c>
      <c r="N219" s="140">
        <f>INT((M219*Valores!$C$2*100)+0.5)/100</f>
        <v>0</v>
      </c>
      <c r="O219" s="140">
        <f t="shared" si="38"/>
        <v>6096.3525</v>
      </c>
      <c r="P219" s="140">
        <f t="shared" si="39"/>
        <v>0</v>
      </c>
      <c r="Q219" s="154">
        <f>Valores!$C$14*D219</f>
        <v>11799.84</v>
      </c>
      <c r="R219" s="154">
        <f>IF(D219&lt;15,(Valores!$E$4*D219),Valores!$D$4)</f>
        <v>6841.19</v>
      </c>
      <c r="S219" s="140">
        <v>0</v>
      </c>
      <c r="T219" s="143">
        <f>IF($H$5="NO",IF(Valores!$C$47*D219&gt;Valores!$C$45,Valores!$C$45,Valores!$C$47*D219),IF(Valores!$C$47*D219&gt;Valores!$C$45,Valores!$C$45,Valores!$C$47*D219)/2)</f>
        <v>2484.2999999999997</v>
      </c>
      <c r="U219" s="154">
        <f>Valores!$C$24*D219</f>
        <v>3711.2400000000002</v>
      </c>
      <c r="V219" s="140">
        <f t="shared" si="33"/>
        <v>3711.2400000000002</v>
      </c>
      <c r="W219" s="140">
        <v>0</v>
      </c>
      <c r="X219" s="140">
        <v>0</v>
      </c>
      <c r="Y219" s="160">
        <v>0</v>
      </c>
      <c r="Z219" s="140">
        <f>Y219*Valores!$C$2</f>
        <v>0</v>
      </c>
      <c r="AA219" s="140">
        <v>0</v>
      </c>
      <c r="AB219" s="143">
        <f>IF(Valores!$C$93*D219&gt;Valores!$C$92,Valores!$C$92,Valores!$C$93*D219)</f>
        <v>3413.54</v>
      </c>
      <c r="AC219" s="145">
        <f>IF((Valores!$C$34)*D219&gt;Valores!$F$34,Valores!$F$34,(Valores!$C$34)*D219)</f>
        <v>291.46000000000004</v>
      </c>
      <c r="AD219" s="140">
        <f t="shared" si="41"/>
        <v>0</v>
      </c>
      <c r="AE219" s="140">
        <f>IF(Valores!$C$35*D219&gt;Valores!$F$35,Valores!$F$35,Valores!$C$35*D219)</f>
        <v>242.84</v>
      </c>
      <c r="AF219" s="144">
        <v>0</v>
      </c>
      <c r="AG219" s="140">
        <f>INT(((AF219*Valores!$C$2)*100)+0.5)/100</f>
        <v>0</v>
      </c>
      <c r="AH219" s="140">
        <f>IF($H$5="NO",IF(Valores!$D$60*'Escala Docente'!D219&gt;Valores!$F$60,Valores!$F$60,Valores!$D$60*'Escala Docente'!D219),IF(Valores!$D$60*'Escala Docente'!D219&gt;Valores!$F$60,Valores!$F$60,Valores!$D$60*'Escala Docente'!D219)/2)</f>
        <v>986.43999999999994</v>
      </c>
      <c r="AI219" s="140">
        <f>IF($H$5="NO",IF(Valores!$D$62*D219&gt;Valores!$F$62,Valores!$F$62,Valores!$D$62*D219),IF(Valores!$D$62*D219&gt;Valores!$F$62,Valores!$F$62,Valores!$D$62*D219)/2)</f>
        <v>282.11733333333336</v>
      </c>
      <c r="AJ219" s="146">
        <f t="shared" si="42"/>
        <v>70596.129833333325</v>
      </c>
      <c r="AK219" s="154">
        <f>IF(Valores!$C$38*D219&gt;Valores!$F$38,Valores!$F$38,Valores!$C$38*D219)</f>
        <v>2540.2000000000003</v>
      </c>
      <c r="AL219" s="143">
        <f>IF(Valores!$C$88*D219&gt;Valores!$C$87,Valores!$C$87,Valores!$C$88*D219)</f>
        <v>2957.4999999999995</v>
      </c>
      <c r="AM219" s="143"/>
      <c r="AN219" s="145">
        <f>IF($H$4="NO",0,IF(Valores!$C$58*D219&gt;Valores!$F$58,Valores!$F$58,Valores!$C$58*D219))</f>
        <v>327.60000000000002</v>
      </c>
      <c r="AO219" s="147">
        <f t="shared" si="43"/>
        <v>5825.3</v>
      </c>
      <c r="AP219" s="148">
        <f>AJ219*Valores!$C$69</f>
        <v>-7765.5742816666661</v>
      </c>
      <c r="AQ219" s="149">
        <f>AJ219*-Valores!$C$70</f>
        <v>0</v>
      </c>
      <c r="AR219" s="142">
        <f>AJ219*Valores!$C$71</f>
        <v>-3176.8258424999995</v>
      </c>
      <c r="AS219" s="142">
        <f>Valores!$C$95</f>
        <v>-193.38</v>
      </c>
      <c r="AT219" s="142">
        <f>IF($H$6=0,Valores!$C$96,(Valores!$C$96+$H$6*(Valores!$C$96)))</f>
        <v>-178</v>
      </c>
      <c r="AU219" s="146">
        <f t="shared" si="44"/>
        <v>65107.649709166661</v>
      </c>
      <c r="AV219" s="199">
        <f t="shared" si="40"/>
        <v>-7765.5742816666661</v>
      </c>
      <c r="AW219" s="142">
        <f>AJ219*Valores!$C$72</f>
        <v>-1906.0955054999997</v>
      </c>
      <c r="AX219" s="142">
        <f>AJ219*Valores!$C$73</f>
        <v>-211.78838949999999</v>
      </c>
      <c r="AY219" s="146">
        <f t="shared" si="45"/>
        <v>66537.971656666661</v>
      </c>
      <c r="AZ219" s="150"/>
      <c r="BA219" s="150">
        <f t="shared" si="36"/>
        <v>26</v>
      </c>
      <c r="BB219" s="135" t="s">
        <v>8</v>
      </c>
    </row>
    <row r="220" spans="1:54" s="114" customFormat="1" ht="11.25" customHeight="1" x14ac:dyDescent="0.15">
      <c r="A220" s="134">
        <v>218</v>
      </c>
      <c r="B220" s="134"/>
      <c r="C220" s="135" t="s">
        <v>496</v>
      </c>
      <c r="D220" s="135">
        <v>27</v>
      </c>
      <c r="E220" s="135">
        <f t="shared" si="37"/>
        <v>37</v>
      </c>
      <c r="F220" s="136" t="str">
        <f t="shared" si="34"/>
        <v>Hora Cátedra Enseñanza Superior 27 hs</v>
      </c>
      <c r="G220" s="137">
        <f t="shared" si="35"/>
        <v>2673</v>
      </c>
      <c r="H220" s="138">
        <f>INT((G220*Valores!$C$2*100)+0.5)/100</f>
        <v>35771.69</v>
      </c>
      <c r="I220" s="156">
        <v>0</v>
      </c>
      <c r="J220" s="140">
        <f>INT((I220*Valores!$C$2*100)+0.5)/100</f>
        <v>0</v>
      </c>
      <c r="K220" s="155">
        <v>0</v>
      </c>
      <c r="L220" s="140">
        <f>INT((K220*Valores!$C$2*100)+0.5)/100</f>
        <v>0</v>
      </c>
      <c r="M220" s="153">
        <v>0</v>
      </c>
      <c r="N220" s="140">
        <f>INT((M220*Valores!$C$2*100)+0.5)/100</f>
        <v>0</v>
      </c>
      <c r="O220" s="140">
        <f t="shared" si="38"/>
        <v>6330.8280000000004</v>
      </c>
      <c r="P220" s="140">
        <f t="shared" si="39"/>
        <v>0</v>
      </c>
      <c r="Q220" s="154">
        <f>Valores!$C$14*D220</f>
        <v>12253.679999999998</v>
      </c>
      <c r="R220" s="154">
        <f>IF(D220&lt;15,(Valores!$E$4*D220),Valores!$D$4)</f>
        <v>6841.19</v>
      </c>
      <c r="S220" s="140">
        <v>0</v>
      </c>
      <c r="T220" s="143">
        <f>IF($H$5="NO",IF(Valores!$C$47*D220&gt;Valores!$C$45,Valores!$C$45,Valores!$C$47*D220),IF(Valores!$C$47*D220&gt;Valores!$C$45,Valores!$C$45,Valores!$C$47*D220)/2)</f>
        <v>2579.85</v>
      </c>
      <c r="U220" s="143">
        <f>Valores!$C$24*D220</f>
        <v>3853.9800000000005</v>
      </c>
      <c r="V220" s="140">
        <f t="shared" si="33"/>
        <v>3853.9800000000005</v>
      </c>
      <c r="W220" s="140">
        <v>0</v>
      </c>
      <c r="X220" s="140">
        <v>0</v>
      </c>
      <c r="Y220" s="160">
        <v>0</v>
      </c>
      <c r="Z220" s="140">
        <f>Y220*Valores!$C$2</f>
        <v>0</v>
      </c>
      <c r="AA220" s="140">
        <v>0</v>
      </c>
      <c r="AB220" s="143">
        <f>IF(Valores!$C$93*D220&gt;Valores!$C$92,Valores!$C$92,Valores!$C$93*D220)</f>
        <v>3544.83</v>
      </c>
      <c r="AC220" s="145">
        <f>IF((Valores!$C$34)*D220&gt;Valores!$F$34,Valores!$F$34,(Valores!$C$34)*D220)</f>
        <v>302.67</v>
      </c>
      <c r="AD220" s="140">
        <f t="shared" si="41"/>
        <v>0</v>
      </c>
      <c r="AE220" s="140">
        <f>IF(Valores!$C$35*D220&gt;Valores!$F$35,Valores!$F$35,Valores!$C$35*D220)</f>
        <v>252.18</v>
      </c>
      <c r="AF220" s="144">
        <v>0</v>
      </c>
      <c r="AG220" s="140">
        <f>INT(((AF220*Valores!$C$2)*100)+0.5)/100</f>
        <v>0</v>
      </c>
      <c r="AH220" s="140">
        <f>IF($H$5="NO",IF(Valores!$D$60*'Escala Docente'!D220&gt;Valores!$F$60,Valores!$F$60,Valores!$D$60*'Escala Docente'!D220),IF(Valores!$D$60*'Escala Docente'!D220&gt;Valores!$F$60,Valores!$F$60,Valores!$D$60*'Escala Docente'!D220)/2)</f>
        <v>1024.3799999999999</v>
      </c>
      <c r="AI220" s="140">
        <f>IF($H$5="NO",IF(Valores!$D$62*D220&gt;Valores!$F$62,Valores!$F$62,Valores!$D$62*D220),IF(Valores!$D$62*D220&gt;Valores!$F$62,Valores!$F$62,Valores!$D$62*D220)/2)</f>
        <v>292.96800000000002</v>
      </c>
      <c r="AJ220" s="146">
        <f t="shared" si="42"/>
        <v>73048.246000000014</v>
      </c>
      <c r="AK220" s="154">
        <f>IF(Valores!$C$38*D220&gt;Valores!$F$38,Valores!$F$38,Valores!$C$38*D220)</f>
        <v>2637.9</v>
      </c>
      <c r="AL220" s="143">
        <f>IF(Valores!$C$88*D220&gt;Valores!$C$87,Valores!$C$87,Valores!$C$88*D220)</f>
        <v>3071.2499999999995</v>
      </c>
      <c r="AM220" s="143"/>
      <c r="AN220" s="145">
        <f>IF($H$4="NO",0,IF(Valores!$C$58*D220&gt;Valores!$F$58,Valores!$F$58,Valores!$C$58*D220))</f>
        <v>327.60000000000002</v>
      </c>
      <c r="AO220" s="147">
        <f t="shared" si="43"/>
        <v>6036.75</v>
      </c>
      <c r="AP220" s="148">
        <f>AJ220*Valores!$C$69</f>
        <v>-8035.3070600000019</v>
      </c>
      <c r="AQ220" s="149">
        <f>AJ220*-Valores!$C$70</f>
        <v>0</v>
      </c>
      <c r="AR220" s="142">
        <f>AJ220*Valores!$C$71</f>
        <v>-3287.1710700000003</v>
      </c>
      <c r="AS220" s="142">
        <f>Valores!$C$95</f>
        <v>-193.38</v>
      </c>
      <c r="AT220" s="142">
        <f>IF($H$6=0,Valores!$C$96,(Valores!$C$96+$H$6*(Valores!$C$96)))</f>
        <v>-178</v>
      </c>
      <c r="AU220" s="146">
        <f t="shared" si="44"/>
        <v>67391.137870000006</v>
      </c>
      <c r="AV220" s="199">
        <f t="shared" si="40"/>
        <v>-8035.3070600000019</v>
      </c>
      <c r="AW220" s="142">
        <f>AJ220*Valores!$C$72</f>
        <v>-1972.3026420000003</v>
      </c>
      <c r="AX220" s="142">
        <f>AJ220*Valores!$C$73</f>
        <v>-219.14473800000005</v>
      </c>
      <c r="AY220" s="146">
        <f t="shared" si="45"/>
        <v>68858.241560000009</v>
      </c>
      <c r="AZ220" s="150"/>
      <c r="BA220" s="150">
        <f t="shared" si="36"/>
        <v>27</v>
      </c>
      <c r="BB220" s="135" t="s">
        <v>8</v>
      </c>
    </row>
    <row r="221" spans="1:54" s="114" customFormat="1" ht="11.25" customHeight="1" x14ac:dyDescent="0.15">
      <c r="A221" s="134">
        <v>219</v>
      </c>
      <c r="B221" s="134"/>
      <c r="C221" s="135" t="s">
        <v>496</v>
      </c>
      <c r="D221" s="135">
        <v>28</v>
      </c>
      <c r="E221" s="135">
        <f t="shared" si="37"/>
        <v>37</v>
      </c>
      <c r="F221" s="136" t="str">
        <f t="shared" si="34"/>
        <v>Hora Cátedra Enseñanza Superior 28 hs</v>
      </c>
      <c r="G221" s="137">
        <f t="shared" si="35"/>
        <v>2772</v>
      </c>
      <c r="H221" s="138">
        <f>INT((G221*Valores!$C$2*100)+0.5)/100</f>
        <v>37096.57</v>
      </c>
      <c r="I221" s="156">
        <v>0</v>
      </c>
      <c r="J221" s="140">
        <f>INT((I221*Valores!$C$2*100)+0.5)/100</f>
        <v>0</v>
      </c>
      <c r="K221" s="155">
        <v>0</v>
      </c>
      <c r="L221" s="140">
        <f>INT((K221*Valores!$C$2*100)+0.5)/100</f>
        <v>0</v>
      </c>
      <c r="M221" s="153">
        <v>0</v>
      </c>
      <c r="N221" s="140">
        <f>INT((M221*Valores!$C$2*100)+0.5)/100</f>
        <v>0</v>
      </c>
      <c r="O221" s="140">
        <f t="shared" si="38"/>
        <v>6565.3035</v>
      </c>
      <c r="P221" s="140">
        <f t="shared" si="39"/>
        <v>0</v>
      </c>
      <c r="Q221" s="154">
        <f>Valores!$C$14*D221</f>
        <v>12707.519999999999</v>
      </c>
      <c r="R221" s="154">
        <f>IF(D221&lt;15,(Valores!$E$4*D221),Valores!$D$4)</f>
        <v>6841.19</v>
      </c>
      <c r="S221" s="140">
        <v>0</v>
      </c>
      <c r="T221" s="143">
        <f>IF($H$5="NO",IF(Valores!$C$47*D221&gt;Valores!$C$45,Valores!$C$45,Valores!$C$47*D221),IF(Valores!$C$47*D221&gt;Valores!$C$45,Valores!$C$45,Valores!$C$47*D221)/2)</f>
        <v>2675.4</v>
      </c>
      <c r="U221" s="154">
        <f>Valores!$C$24*D221</f>
        <v>3996.7200000000003</v>
      </c>
      <c r="V221" s="140">
        <f t="shared" si="33"/>
        <v>3996.7200000000003</v>
      </c>
      <c r="W221" s="140">
        <v>0</v>
      </c>
      <c r="X221" s="140">
        <v>0</v>
      </c>
      <c r="Y221" s="160">
        <v>0</v>
      </c>
      <c r="Z221" s="140">
        <f>Y221*Valores!$C$2</f>
        <v>0</v>
      </c>
      <c r="AA221" s="140">
        <v>0</v>
      </c>
      <c r="AB221" s="143">
        <f>IF(Valores!$C$93*D221&gt;Valores!$C$92,Valores!$C$92,Valores!$C$93*D221)</f>
        <v>3676.12</v>
      </c>
      <c r="AC221" s="145">
        <f>IF((Valores!$C$34)*D221&gt;Valores!$F$34,Valores!$F$34,(Valores!$C$34)*D221)</f>
        <v>313.88</v>
      </c>
      <c r="AD221" s="140">
        <f t="shared" si="41"/>
        <v>0</v>
      </c>
      <c r="AE221" s="140">
        <f>IF(Valores!$C$35*D221&gt;Valores!$F$35,Valores!$F$35,Valores!$C$35*D221)</f>
        <v>261.52</v>
      </c>
      <c r="AF221" s="144">
        <v>0</v>
      </c>
      <c r="AG221" s="140">
        <f>INT(((AF221*Valores!$C$2)*100)+0.5)/100</f>
        <v>0</v>
      </c>
      <c r="AH221" s="140">
        <f>IF($H$5="NO",IF(Valores!$D$60*'Escala Docente'!D221&gt;Valores!$F$60,Valores!$F$60,Valores!$D$60*'Escala Docente'!D221),IF(Valores!$D$60*'Escala Docente'!D221&gt;Valores!$F$60,Valores!$F$60,Valores!$D$60*'Escala Docente'!D221)/2)</f>
        <v>1062.32</v>
      </c>
      <c r="AI221" s="140">
        <f>IF($H$5="NO",IF(Valores!$D$62*D221&gt;Valores!$F$62,Valores!$F$62,Valores!$D$62*D221),IF(Valores!$D$62*D221&gt;Valores!$F$62,Valores!$F$62,Valores!$D$62*D221)/2)</f>
        <v>303.81866666666667</v>
      </c>
      <c r="AJ221" s="146">
        <f t="shared" si="42"/>
        <v>75500.362166666673</v>
      </c>
      <c r="AK221" s="154">
        <f>IF(Valores!$C$38*D221&gt;Valores!$F$38,Valores!$F$38,Valores!$C$38*D221)</f>
        <v>2735.6</v>
      </c>
      <c r="AL221" s="143">
        <f>IF(Valores!$C$88*D221&gt;Valores!$C$87,Valores!$C$87,Valores!$C$88*D221)</f>
        <v>3184.9999999999995</v>
      </c>
      <c r="AM221" s="143"/>
      <c r="AN221" s="145">
        <f>IF($H$4="NO",0,IF(Valores!$C$58*D221&gt;Valores!$F$58,Valores!$F$58,Valores!$C$58*D221))</f>
        <v>327.60000000000002</v>
      </c>
      <c r="AO221" s="147">
        <f t="shared" si="43"/>
        <v>6248.2</v>
      </c>
      <c r="AP221" s="148">
        <f>AJ221*Valores!$C$69</f>
        <v>-8305.039838333334</v>
      </c>
      <c r="AQ221" s="149">
        <f>AJ221*-Valores!$C$70</f>
        <v>0</v>
      </c>
      <c r="AR221" s="142">
        <f>AJ221*Valores!$C$71</f>
        <v>-3397.5162975000003</v>
      </c>
      <c r="AS221" s="142">
        <f>Valores!$C$95</f>
        <v>-193.38</v>
      </c>
      <c r="AT221" s="142">
        <f>IF($H$6=0,Valores!$C$96,(Valores!$C$96+$H$6*(Valores!$C$96)))</f>
        <v>-178</v>
      </c>
      <c r="AU221" s="146">
        <f t="shared" si="44"/>
        <v>69674.626030833344</v>
      </c>
      <c r="AV221" s="199">
        <f t="shared" si="40"/>
        <v>-8305.039838333334</v>
      </c>
      <c r="AW221" s="142">
        <f>AJ221*Valores!$C$72</f>
        <v>-2038.5097785</v>
      </c>
      <c r="AX221" s="142">
        <f>AJ221*Valores!$C$73</f>
        <v>-226.50108650000001</v>
      </c>
      <c r="AY221" s="146">
        <f t="shared" si="45"/>
        <v>71178.511463333329</v>
      </c>
      <c r="AZ221" s="150"/>
      <c r="BA221" s="150">
        <f t="shared" si="36"/>
        <v>28</v>
      </c>
      <c r="BB221" s="135" t="s">
        <v>8</v>
      </c>
    </row>
    <row r="222" spans="1:54" s="114" customFormat="1" ht="11.25" customHeight="1" x14ac:dyDescent="0.15">
      <c r="A222" s="152">
        <v>220</v>
      </c>
      <c r="B222" s="152" t="s">
        <v>139</v>
      </c>
      <c r="C222" s="135" t="s">
        <v>496</v>
      </c>
      <c r="D222" s="135">
        <v>29</v>
      </c>
      <c r="E222" s="135">
        <f t="shared" si="37"/>
        <v>37</v>
      </c>
      <c r="F222" s="136" t="str">
        <f t="shared" si="34"/>
        <v>Hora Cátedra Enseñanza Superior 29 hs</v>
      </c>
      <c r="G222" s="137">
        <f t="shared" si="35"/>
        <v>2871</v>
      </c>
      <c r="H222" s="138">
        <f>INT((G222*Valores!$C$2*100)+0.5)/100</f>
        <v>38421.440000000002</v>
      </c>
      <c r="I222" s="156">
        <v>0</v>
      </c>
      <c r="J222" s="140">
        <f>INT((I222*Valores!$C$2*100)+0.5)/100</f>
        <v>0</v>
      </c>
      <c r="K222" s="155">
        <v>0</v>
      </c>
      <c r="L222" s="140">
        <f>INT((K222*Valores!$C$2*100)+0.5)/100</f>
        <v>0</v>
      </c>
      <c r="M222" s="153">
        <v>0</v>
      </c>
      <c r="N222" s="140">
        <f>INT((M222*Valores!$C$2*100)+0.5)/100</f>
        <v>0</v>
      </c>
      <c r="O222" s="140">
        <f t="shared" si="38"/>
        <v>6799.7774999999992</v>
      </c>
      <c r="P222" s="140">
        <f t="shared" si="39"/>
        <v>0</v>
      </c>
      <c r="Q222" s="154">
        <f>Valores!$C$14*D222</f>
        <v>13161.359999999999</v>
      </c>
      <c r="R222" s="154">
        <f>IF(D222&lt;15,(Valores!$E$4*D222),Valores!$D$4)</f>
        <v>6841.19</v>
      </c>
      <c r="S222" s="140">
        <v>0</v>
      </c>
      <c r="T222" s="143">
        <f>IF($H$5="NO",IF(Valores!$C$47*D222&gt;Valores!$C$45,Valores!$C$45,Valores!$C$47*D222),IF(Valores!$C$47*D222&gt;Valores!$C$45,Valores!$C$45,Valores!$C$47*D222)/2)</f>
        <v>2770.95</v>
      </c>
      <c r="U222" s="143">
        <f>Valores!$C$24*D222</f>
        <v>4139.46</v>
      </c>
      <c r="V222" s="140">
        <f t="shared" si="33"/>
        <v>4139.46</v>
      </c>
      <c r="W222" s="140">
        <v>0</v>
      </c>
      <c r="X222" s="140">
        <v>0</v>
      </c>
      <c r="Y222" s="160">
        <v>0</v>
      </c>
      <c r="Z222" s="140">
        <f>Y222*Valores!$C$2</f>
        <v>0</v>
      </c>
      <c r="AA222" s="140">
        <v>0</v>
      </c>
      <c r="AB222" s="143">
        <f>IF(Valores!$C$93*D222&gt;Valores!$C$92,Valores!$C$92,Valores!$C$93*D222)</f>
        <v>3807.41</v>
      </c>
      <c r="AC222" s="145">
        <f>IF((Valores!$C$34)*D222&gt;Valores!$F$34,Valores!$F$34,(Valores!$C$34)*D222)</f>
        <v>325.09000000000003</v>
      </c>
      <c r="AD222" s="140">
        <f t="shared" si="41"/>
        <v>0</v>
      </c>
      <c r="AE222" s="140">
        <f>IF(Valores!$C$35*D222&gt;Valores!$F$35,Valores!$F$35,Valores!$C$35*D222)</f>
        <v>270.86</v>
      </c>
      <c r="AF222" s="144">
        <v>0</v>
      </c>
      <c r="AG222" s="140">
        <f>INT(((AF222*Valores!$C$2)*100)+0.5)/100</f>
        <v>0</v>
      </c>
      <c r="AH222" s="140">
        <f>IF($H$5="NO",IF(Valores!$D$60*'Escala Docente'!D222&gt;Valores!$F$60,Valores!$F$60,Valores!$D$60*'Escala Docente'!D222),IF(Valores!$D$60*'Escala Docente'!D222&gt;Valores!$F$60,Valores!$F$60,Valores!$D$60*'Escala Docente'!D222)/2)</f>
        <v>1100.26</v>
      </c>
      <c r="AI222" s="140">
        <f>IF($H$5="NO",IF(Valores!$D$62*D222&gt;Valores!$F$62,Valores!$F$62,Valores!$D$62*D222),IF(Valores!$D$62*D222&gt;Valores!$F$62,Valores!$F$62,Valores!$D$62*D222)/2)</f>
        <v>314.66933333333333</v>
      </c>
      <c r="AJ222" s="146">
        <f t="shared" si="42"/>
        <v>77952.466833333339</v>
      </c>
      <c r="AK222" s="154">
        <f>IF(Valores!$C$38*D222&gt;Valores!$F$38,Valores!$F$38,Valores!$C$38*D222)</f>
        <v>2833.3</v>
      </c>
      <c r="AL222" s="143">
        <f>IF(Valores!$C$88*D222&gt;Valores!$C$87,Valores!$C$87,Valores!$C$88*D222)</f>
        <v>3298.7499999999995</v>
      </c>
      <c r="AM222" s="143"/>
      <c r="AN222" s="145">
        <f>IF($H$4="NO",0,IF(Valores!$C$58*D222&gt;Valores!$F$58,Valores!$F$58,Valores!$C$58*D222))</f>
        <v>327.60000000000002</v>
      </c>
      <c r="AO222" s="147">
        <f t="shared" si="43"/>
        <v>6459.65</v>
      </c>
      <c r="AP222" s="148">
        <f>AJ222*Valores!$C$69</f>
        <v>-8574.7713516666681</v>
      </c>
      <c r="AQ222" s="149">
        <f>AJ222*-Valores!$C$70</f>
        <v>0</v>
      </c>
      <c r="AR222" s="142">
        <f>AJ222*Valores!$C$71</f>
        <v>-3507.8610075000001</v>
      </c>
      <c r="AS222" s="142">
        <f>Valores!$C$95</f>
        <v>-193.38</v>
      </c>
      <c r="AT222" s="142">
        <f>IF($H$6=0,Valores!$C$96,(Valores!$C$96+$H$6*(Valores!$C$96)))</f>
        <v>-178</v>
      </c>
      <c r="AU222" s="146">
        <f t="shared" si="44"/>
        <v>71958.10447416667</v>
      </c>
      <c r="AV222" s="199">
        <f t="shared" si="40"/>
        <v>-8574.7713516666681</v>
      </c>
      <c r="AW222" s="142">
        <f>AJ222*Valores!$C$72</f>
        <v>-2104.7166045000004</v>
      </c>
      <c r="AX222" s="142">
        <f>AJ222*Valores!$C$73</f>
        <v>-233.85740050000001</v>
      </c>
      <c r="AY222" s="146">
        <f t="shared" si="45"/>
        <v>73498.771476666661</v>
      </c>
      <c r="AZ222" s="150"/>
      <c r="BA222" s="150">
        <f t="shared" si="36"/>
        <v>29</v>
      </c>
      <c r="BB222" s="135" t="s">
        <v>8</v>
      </c>
    </row>
    <row r="223" spans="1:54" s="114" customFormat="1" ht="11.25" customHeight="1" x14ac:dyDescent="0.15">
      <c r="A223" s="134">
        <v>221</v>
      </c>
      <c r="B223" s="134"/>
      <c r="C223" s="135" t="s">
        <v>496</v>
      </c>
      <c r="D223" s="135">
        <v>30</v>
      </c>
      <c r="E223" s="135">
        <f t="shared" si="37"/>
        <v>37</v>
      </c>
      <c r="F223" s="136" t="str">
        <f t="shared" si="34"/>
        <v>Hora Cátedra Enseñanza Superior 30 hs</v>
      </c>
      <c r="G223" s="137">
        <f t="shared" si="35"/>
        <v>2970</v>
      </c>
      <c r="H223" s="138">
        <f>INT((G223*Valores!$C$2*100)+0.5)/100</f>
        <v>39746.32</v>
      </c>
      <c r="I223" s="156">
        <v>0</v>
      </c>
      <c r="J223" s="140">
        <f>INT((I223*Valores!$C$2*100)+0.5)/100</f>
        <v>0</v>
      </c>
      <c r="K223" s="155">
        <v>0</v>
      </c>
      <c r="L223" s="140">
        <f>INT((K223*Valores!$C$2*100)+0.5)/100</f>
        <v>0</v>
      </c>
      <c r="M223" s="153">
        <v>0</v>
      </c>
      <c r="N223" s="140">
        <f>INT((M223*Valores!$C$2*100)+0.5)/100</f>
        <v>0</v>
      </c>
      <c r="O223" s="140">
        <f t="shared" si="38"/>
        <v>7034.2530000000006</v>
      </c>
      <c r="P223" s="140">
        <f t="shared" si="39"/>
        <v>0</v>
      </c>
      <c r="Q223" s="154">
        <f>Valores!$C$14*D223</f>
        <v>13615.199999999999</v>
      </c>
      <c r="R223" s="154">
        <f>IF(D223&lt;15,(Valores!$E$4*D223),Valores!$D$4)</f>
        <v>6841.19</v>
      </c>
      <c r="S223" s="140">
        <v>0</v>
      </c>
      <c r="T223" s="143">
        <f>IF($H$5="NO",IF(Valores!$C$47*D223&gt;Valores!$C$45,Valores!$C$45,Valores!$C$47*D223),IF(Valores!$C$47*D223&gt;Valores!$C$45,Valores!$C$45,Valores!$C$47*D223)/2)</f>
        <v>2866.5</v>
      </c>
      <c r="U223" s="154">
        <f>Valores!$C$24*D223</f>
        <v>4282.2000000000007</v>
      </c>
      <c r="V223" s="140">
        <f t="shared" si="33"/>
        <v>4282.2000000000007</v>
      </c>
      <c r="W223" s="140">
        <v>0</v>
      </c>
      <c r="X223" s="140">
        <v>0</v>
      </c>
      <c r="Y223" s="160">
        <v>0</v>
      </c>
      <c r="Z223" s="140">
        <f>Y223*Valores!$C$2</f>
        <v>0</v>
      </c>
      <c r="AA223" s="140">
        <v>0</v>
      </c>
      <c r="AB223" s="143">
        <f>IF(Valores!$C$93*D223&gt;Valores!$C$92,Valores!$C$92,Valores!$C$93*D223)</f>
        <v>3938.7</v>
      </c>
      <c r="AC223" s="145">
        <f>IF((Valores!$C$34)*D223&gt;Valores!$F$34,Valores!$F$34,(Valores!$C$34)*D223)</f>
        <v>336.3</v>
      </c>
      <c r="AD223" s="140">
        <f t="shared" si="41"/>
        <v>0</v>
      </c>
      <c r="AE223" s="140">
        <f>IF(Valores!$C$35*D223&gt;Valores!$F$35,Valores!$F$35,Valores!$C$35*D223)</f>
        <v>279.8</v>
      </c>
      <c r="AF223" s="144">
        <v>0</v>
      </c>
      <c r="AG223" s="140">
        <f>INT(((AF223*Valores!$C$2)*100)+0.5)/100</f>
        <v>0</v>
      </c>
      <c r="AH223" s="140">
        <f>IF($H$5="NO",IF(Valores!$D$60*'Escala Docente'!D223&gt;Valores!$F$60,Valores!$F$60,Valores!$D$60*'Escala Docente'!D223),IF(Valores!$D$60*'Escala Docente'!D223&gt;Valores!$F$60,Valores!$F$60,Valores!$D$60*'Escala Docente'!D223)/2)</f>
        <v>1138.1999999999998</v>
      </c>
      <c r="AI223" s="140">
        <f>IF($H$5="NO",IF(Valores!$D$62*D223&gt;Valores!$F$62,Valores!$F$62,Valores!$D$62*D223),IF(Valores!$D$62*D223&gt;Valores!$F$62,Valores!$F$62,Valores!$D$62*D223)/2)</f>
        <v>325.22000000000003</v>
      </c>
      <c r="AJ223" s="146">
        <f t="shared" si="42"/>
        <v>80403.883000000002</v>
      </c>
      <c r="AK223" s="154">
        <f>IF(Valores!$C$38*D223&gt;Valores!$F$38,Valores!$F$38,Valores!$C$38*D223)</f>
        <v>2931</v>
      </c>
      <c r="AL223" s="143">
        <f>IF(Valores!$C$88*D223&gt;Valores!$C$87,Valores!$C$87,Valores!$C$88*D223)</f>
        <v>3412.4999999999995</v>
      </c>
      <c r="AM223" s="143"/>
      <c r="AN223" s="145">
        <f>IF($H$4="NO",0,IF(Valores!$C$58*D223&gt;Valores!$F$58,Valores!$F$58,Valores!$C$58*D223))</f>
        <v>327.60000000000002</v>
      </c>
      <c r="AO223" s="147">
        <f t="shared" si="43"/>
        <v>6671.1</v>
      </c>
      <c r="AP223" s="148">
        <f>AJ223*Valores!$C$69</f>
        <v>-8844.42713</v>
      </c>
      <c r="AQ223" s="149">
        <f>AJ223*-Valores!$C$70</f>
        <v>0</v>
      </c>
      <c r="AR223" s="142">
        <f>AJ223*Valores!$C$71</f>
        <v>-3618.1747350000001</v>
      </c>
      <c r="AS223" s="142">
        <f>Valores!$C$95</f>
        <v>-193.38</v>
      </c>
      <c r="AT223" s="142">
        <f>IF($H$6=0,Valores!$C$96,(Valores!$C$96+$H$6*(Valores!$C$96)))</f>
        <v>-178</v>
      </c>
      <c r="AU223" s="146">
        <f t="shared" si="44"/>
        <v>74241.001134999999</v>
      </c>
      <c r="AV223" s="199">
        <f t="shared" si="40"/>
        <v>-8844.42713</v>
      </c>
      <c r="AW223" s="142">
        <f>AJ223*Valores!$C$72</f>
        <v>-2170.904841</v>
      </c>
      <c r="AX223" s="142">
        <f>AJ223*Valores!$C$73</f>
        <v>-241.21164900000002</v>
      </c>
      <c r="AY223" s="146">
        <f t="shared" si="45"/>
        <v>75818.439380000011</v>
      </c>
      <c r="AZ223" s="150"/>
      <c r="BA223" s="150">
        <f t="shared" si="36"/>
        <v>30</v>
      </c>
      <c r="BB223" s="135" t="s">
        <v>4</v>
      </c>
    </row>
    <row r="224" spans="1:54" s="114" customFormat="1" ht="11.25" customHeight="1" x14ac:dyDescent="0.15">
      <c r="A224" s="134">
        <v>222</v>
      </c>
      <c r="B224" s="134"/>
      <c r="C224" s="135" t="s">
        <v>496</v>
      </c>
      <c r="D224" s="135">
        <v>31</v>
      </c>
      <c r="E224" s="135">
        <f t="shared" si="37"/>
        <v>37</v>
      </c>
      <c r="F224" s="136" t="str">
        <f t="shared" si="34"/>
        <v>Hora Cátedra Enseñanza Superior 31 hs</v>
      </c>
      <c r="G224" s="137">
        <f t="shared" si="35"/>
        <v>3069</v>
      </c>
      <c r="H224" s="138">
        <f>INT((G224*Valores!$C$2*100)+0.5)/100</f>
        <v>41071.199999999997</v>
      </c>
      <c r="I224" s="156">
        <v>0</v>
      </c>
      <c r="J224" s="140">
        <f>INT((I224*Valores!$C$2*100)+0.5)/100</f>
        <v>0</v>
      </c>
      <c r="K224" s="155">
        <v>0</v>
      </c>
      <c r="L224" s="140">
        <f>INT((K224*Valores!$C$2*100)+0.5)/100</f>
        <v>0</v>
      </c>
      <c r="M224" s="153">
        <v>0</v>
      </c>
      <c r="N224" s="140">
        <f>INT((M224*Valores!$C$2*100)+0.5)/100</f>
        <v>0</v>
      </c>
      <c r="O224" s="140">
        <f t="shared" si="38"/>
        <v>7268.7285000000002</v>
      </c>
      <c r="P224" s="140">
        <f t="shared" si="39"/>
        <v>0</v>
      </c>
      <c r="Q224" s="154">
        <f>Valores!$C$14*D224</f>
        <v>14069.039999999999</v>
      </c>
      <c r="R224" s="154">
        <f>IF(D224&lt;15,(Valores!$E$4*D224),Valores!$D$4)</f>
        <v>6841.19</v>
      </c>
      <c r="S224" s="140">
        <v>0</v>
      </c>
      <c r="T224" s="143">
        <f>IF($H$5="NO",IF(Valores!$C$47*D224&gt;Valores!$C$45,Valores!$C$45,Valores!$C$47*D224),IF(Valores!$C$47*D224&gt;Valores!$C$45,Valores!$C$45,Valores!$C$47*D224)/2)</f>
        <v>2962.0499999999997</v>
      </c>
      <c r="U224" s="143">
        <f>Valores!$C$24*D224</f>
        <v>4424.9400000000005</v>
      </c>
      <c r="V224" s="140">
        <f t="shared" si="33"/>
        <v>4424.9400000000005</v>
      </c>
      <c r="W224" s="140">
        <v>0</v>
      </c>
      <c r="X224" s="140">
        <v>0</v>
      </c>
      <c r="Y224" s="160">
        <v>0</v>
      </c>
      <c r="Z224" s="140">
        <f>Y224*Valores!$C$2</f>
        <v>0</v>
      </c>
      <c r="AA224" s="140">
        <v>0</v>
      </c>
      <c r="AB224" s="143">
        <f>IF(Valores!$C$93*D224&gt;Valores!$C$92,Valores!$C$92,Valores!$C$93*D224)</f>
        <v>4069.99</v>
      </c>
      <c r="AC224" s="145">
        <f>IF((Valores!$C$34)*D224&gt;Valores!$F$34,Valores!$F$34,(Valores!$C$34)*D224)</f>
        <v>347.51000000000005</v>
      </c>
      <c r="AD224" s="140">
        <f t="shared" si="41"/>
        <v>0</v>
      </c>
      <c r="AE224" s="140">
        <f>IF(Valores!$C$35*D224&gt;Valores!$F$35,Valores!$F$35,Valores!$C$35*D224)</f>
        <v>279.8</v>
      </c>
      <c r="AF224" s="144">
        <v>0</v>
      </c>
      <c r="AG224" s="140">
        <f>INT(((AF224*Valores!$C$2)*100)+0.5)/100</f>
        <v>0</v>
      </c>
      <c r="AH224" s="140">
        <f>IF($H$5="NO",IF(Valores!$D$60*'Escala Docente'!D224&gt;Valores!$F$60,Valores!$F$60,Valores!$D$60*'Escala Docente'!D224),IF(Valores!$D$60*'Escala Docente'!D224&gt;Valores!$F$60,Valores!$F$60,Valores!$D$60*'Escala Docente'!D224)/2)</f>
        <v>1138.28</v>
      </c>
      <c r="AI224" s="140">
        <f>IF($H$5="NO",IF(Valores!$D$62*D224&gt;Valores!$F$62,Valores!$F$62,Valores!$D$62*D224),IF(Valores!$D$62*D224&gt;Valores!$F$62,Valores!$F$62,Valores!$D$62*D224)/2)</f>
        <v>325.22000000000003</v>
      </c>
      <c r="AJ224" s="146">
        <f t="shared" si="42"/>
        <v>82797.948499999999</v>
      </c>
      <c r="AK224" s="154">
        <f>IF(Valores!$C$38*D224&gt;Valores!$F$38,Valores!$F$38,Valores!$C$38*D224)</f>
        <v>2931.13</v>
      </c>
      <c r="AL224" s="143">
        <f>IF(Valores!$C$88*D224&gt;Valores!$C$87,Valores!$C$87,Valores!$C$88*D224)</f>
        <v>3526.2499999999995</v>
      </c>
      <c r="AM224" s="143"/>
      <c r="AN224" s="145">
        <f>IF($H$4="NO",0,IF(Valores!$C$58*D224&gt;Valores!$F$58,Valores!$F$58,Valores!$C$58*D224))</f>
        <v>327.60000000000002</v>
      </c>
      <c r="AO224" s="147">
        <f t="shared" si="43"/>
        <v>6784.98</v>
      </c>
      <c r="AP224" s="148">
        <f>AJ224*Valores!$C$69</f>
        <v>-9107.7743350000001</v>
      </c>
      <c r="AQ224" s="149">
        <f>AJ224*-Valores!$C$70</f>
        <v>0</v>
      </c>
      <c r="AR224" s="142">
        <f>AJ224*Valores!$C$71</f>
        <v>-3725.9076824999997</v>
      </c>
      <c r="AS224" s="142">
        <f>Valores!$C$95</f>
        <v>-193.38</v>
      </c>
      <c r="AT224" s="142">
        <f>IF($H$6=0,Valores!$C$96,(Valores!$C$96+$H$6*(Valores!$C$96)))</f>
        <v>-178</v>
      </c>
      <c r="AU224" s="146">
        <f t="shared" si="44"/>
        <v>76377.866482500001</v>
      </c>
      <c r="AV224" s="199">
        <f t="shared" si="40"/>
        <v>-9107.7743350000001</v>
      </c>
      <c r="AW224" s="142">
        <f>AJ224*Valores!$C$72</f>
        <v>-2235.5446094999998</v>
      </c>
      <c r="AX224" s="142">
        <f>AJ224*Valores!$C$73</f>
        <v>-248.3938455</v>
      </c>
      <c r="AY224" s="146">
        <f t="shared" si="45"/>
        <v>77991.215709999989</v>
      </c>
      <c r="AZ224" s="150"/>
      <c r="BA224" s="150">
        <f t="shared" si="36"/>
        <v>31</v>
      </c>
      <c r="BB224" s="135" t="s">
        <v>8</v>
      </c>
    </row>
    <row r="225" spans="1:54" s="114" customFormat="1" ht="11.25" customHeight="1" x14ac:dyDescent="0.15">
      <c r="A225" s="134">
        <v>223</v>
      </c>
      <c r="B225" s="134"/>
      <c r="C225" s="135" t="s">
        <v>496</v>
      </c>
      <c r="D225" s="135">
        <v>32</v>
      </c>
      <c r="E225" s="135">
        <f t="shared" si="37"/>
        <v>37</v>
      </c>
      <c r="F225" s="136" t="str">
        <f t="shared" si="34"/>
        <v>Hora Cátedra Enseñanza Superior 32 hs</v>
      </c>
      <c r="G225" s="137">
        <f t="shared" si="35"/>
        <v>3168</v>
      </c>
      <c r="H225" s="138">
        <f>INT((G225*Valores!$C$2*100)+0.5)/100</f>
        <v>42396.08</v>
      </c>
      <c r="I225" s="156">
        <v>0</v>
      </c>
      <c r="J225" s="140">
        <f>INT((I225*Valores!$C$2*100)+0.5)/100</f>
        <v>0</v>
      </c>
      <c r="K225" s="155">
        <v>0</v>
      </c>
      <c r="L225" s="140">
        <f>INT((K225*Valores!$C$2*100)+0.5)/100</f>
        <v>0</v>
      </c>
      <c r="M225" s="153">
        <v>0</v>
      </c>
      <c r="N225" s="140">
        <f>INT((M225*Valores!$C$2*100)+0.5)/100</f>
        <v>0</v>
      </c>
      <c r="O225" s="140">
        <f t="shared" si="38"/>
        <v>7503.2039999999997</v>
      </c>
      <c r="P225" s="140">
        <f t="shared" si="39"/>
        <v>0</v>
      </c>
      <c r="Q225" s="154">
        <f>Valores!$C$14*D225</f>
        <v>14522.88</v>
      </c>
      <c r="R225" s="154">
        <f>IF(D225&lt;15,(Valores!$E$4*D225),Valores!$D$4)</f>
        <v>6841.19</v>
      </c>
      <c r="S225" s="140">
        <v>0</v>
      </c>
      <c r="T225" s="143">
        <f>IF($H$5="NO",IF(Valores!$C$47*D225&gt;Valores!$C$45,Valores!$C$45,Valores!$C$47*D225),IF(Valores!$C$47*D225&gt;Valores!$C$45,Valores!$C$45,Valores!$C$47*D225)/2)</f>
        <v>3057.6</v>
      </c>
      <c r="U225" s="154">
        <f>Valores!$C$24*D225</f>
        <v>4567.68</v>
      </c>
      <c r="V225" s="140">
        <f t="shared" si="33"/>
        <v>4567.68</v>
      </c>
      <c r="W225" s="140">
        <v>0</v>
      </c>
      <c r="X225" s="140">
        <v>0</v>
      </c>
      <c r="Y225" s="160">
        <v>0</v>
      </c>
      <c r="Z225" s="140">
        <f>Y225*Valores!$C$2</f>
        <v>0</v>
      </c>
      <c r="AA225" s="140">
        <v>0</v>
      </c>
      <c r="AB225" s="143">
        <f>IF(Valores!$C$93*D225&gt;Valores!$C$92,Valores!$C$92,Valores!$C$93*D225)</f>
        <v>4201.28</v>
      </c>
      <c r="AC225" s="145">
        <f>IF((Valores!$C$34)*D225&gt;Valores!$F$34,Valores!$F$34,(Valores!$C$34)*D225)</f>
        <v>358.72</v>
      </c>
      <c r="AD225" s="140">
        <f t="shared" si="41"/>
        <v>0</v>
      </c>
      <c r="AE225" s="140">
        <f>IF(Valores!$C$35*D225&gt;Valores!$F$35,Valores!$F$35,Valores!$C$35*D225)</f>
        <v>279.8</v>
      </c>
      <c r="AF225" s="144">
        <v>0</v>
      </c>
      <c r="AG225" s="140">
        <f>INT(((AF225*Valores!$C$2)*100)+0.5)/100</f>
        <v>0</v>
      </c>
      <c r="AH225" s="140">
        <f>IF($H$5="NO",IF(Valores!$D$60*'Escala Docente'!D225&gt;Valores!$F$60,Valores!$F$60,Valores!$D$60*'Escala Docente'!D225),IF(Valores!$D$60*'Escala Docente'!D225&gt;Valores!$F$60,Valores!$F$60,Valores!$D$60*'Escala Docente'!D225)/2)</f>
        <v>1138.28</v>
      </c>
      <c r="AI225" s="140">
        <f>IF($H$5="NO",IF(Valores!$D$62*D225&gt;Valores!$F$62,Valores!$F$62,Valores!$D$62*D225),IF(Valores!$D$62*D225&gt;Valores!$F$62,Valores!$F$62,Valores!$D$62*D225)/2)</f>
        <v>325.22000000000003</v>
      </c>
      <c r="AJ225" s="146">
        <f t="shared" si="42"/>
        <v>85191.933999999994</v>
      </c>
      <c r="AK225" s="154">
        <f>IF(Valores!$C$38*D225&gt;Valores!$F$38,Valores!$F$38,Valores!$C$38*D225)</f>
        <v>2931.13</v>
      </c>
      <c r="AL225" s="143">
        <f>IF(Valores!$C$88*D225&gt;Valores!$C$87,Valores!$C$87,Valores!$C$88*D225)</f>
        <v>3639.9999999999995</v>
      </c>
      <c r="AM225" s="143"/>
      <c r="AN225" s="145">
        <f>IF($H$4="NO",0,IF(Valores!$C$58*D225&gt;Valores!$F$58,Valores!$F$58,Valores!$C$58*D225))</f>
        <v>327.60000000000002</v>
      </c>
      <c r="AO225" s="147">
        <f t="shared" si="43"/>
        <v>6898.73</v>
      </c>
      <c r="AP225" s="148">
        <f>AJ225*Valores!$C$69</f>
        <v>-9371.1127399999987</v>
      </c>
      <c r="AQ225" s="149">
        <f>AJ225*-Valores!$C$70</f>
        <v>0</v>
      </c>
      <c r="AR225" s="142">
        <f>AJ225*Valores!$C$71</f>
        <v>-3833.6370299999994</v>
      </c>
      <c r="AS225" s="142">
        <f>Valores!$C$95</f>
        <v>-193.38</v>
      </c>
      <c r="AT225" s="142">
        <f>IF($H$6=0,Valores!$C$96,(Valores!$C$96+$H$6*(Valores!$C$96)))</f>
        <v>-178</v>
      </c>
      <c r="AU225" s="146">
        <f t="shared" si="44"/>
        <v>78514.53422999999</v>
      </c>
      <c r="AV225" s="199">
        <f t="shared" si="40"/>
        <v>-9371.1127399999987</v>
      </c>
      <c r="AW225" s="142">
        <f>AJ225*Valores!$C$72</f>
        <v>-2300.1822179999999</v>
      </c>
      <c r="AX225" s="142">
        <f>AJ225*Valores!$C$73</f>
        <v>-255.57580199999998</v>
      </c>
      <c r="AY225" s="146">
        <f t="shared" si="45"/>
        <v>80163.793239999999</v>
      </c>
      <c r="AZ225" s="150"/>
      <c r="BA225" s="150">
        <f t="shared" si="36"/>
        <v>32</v>
      </c>
      <c r="BB225" s="135" t="s">
        <v>8</v>
      </c>
    </row>
    <row r="226" spans="1:54" s="114" customFormat="1" ht="11.25" customHeight="1" x14ac:dyDescent="0.15">
      <c r="A226" s="134">
        <v>224</v>
      </c>
      <c r="B226" s="134"/>
      <c r="C226" s="135" t="s">
        <v>496</v>
      </c>
      <c r="D226" s="135">
        <v>33</v>
      </c>
      <c r="E226" s="135">
        <f t="shared" si="37"/>
        <v>37</v>
      </c>
      <c r="F226" s="136" t="str">
        <f t="shared" si="34"/>
        <v>Hora Cátedra Enseñanza Superior 33 hs</v>
      </c>
      <c r="G226" s="137">
        <f t="shared" si="35"/>
        <v>3267</v>
      </c>
      <c r="H226" s="138">
        <f>INT((G226*Valores!$C$2*100)+0.5)/100</f>
        <v>43720.95</v>
      </c>
      <c r="I226" s="156">
        <v>0</v>
      </c>
      <c r="J226" s="140">
        <f>INT((I226*Valores!$C$2*100)+0.5)/100</f>
        <v>0</v>
      </c>
      <c r="K226" s="155">
        <v>0</v>
      </c>
      <c r="L226" s="140">
        <f>INT((K226*Valores!$C$2*100)+0.5)/100</f>
        <v>0</v>
      </c>
      <c r="M226" s="153">
        <v>0</v>
      </c>
      <c r="N226" s="140">
        <f>INT((M226*Valores!$C$2*100)+0.5)/100</f>
        <v>0</v>
      </c>
      <c r="O226" s="140">
        <f t="shared" si="38"/>
        <v>7737.677999999999</v>
      </c>
      <c r="P226" s="140">
        <f t="shared" si="39"/>
        <v>0</v>
      </c>
      <c r="Q226" s="154">
        <f>Valores!$C$14*D226</f>
        <v>14976.72</v>
      </c>
      <c r="R226" s="154">
        <f>IF(D226&lt;15,(Valores!$E$4*D226),Valores!$D$4)</f>
        <v>6841.19</v>
      </c>
      <c r="S226" s="140">
        <v>0</v>
      </c>
      <c r="T226" s="143">
        <f>IF($H$5="NO",IF(Valores!$C$47*D226&gt;Valores!$C$45,Valores!$C$45,Valores!$C$47*D226),IF(Valores!$C$47*D226&gt;Valores!$C$45,Valores!$C$45,Valores!$C$47*D226)/2)</f>
        <v>3153.15</v>
      </c>
      <c r="U226" s="154">
        <f>Valores!$C$24*D226</f>
        <v>4710.42</v>
      </c>
      <c r="V226" s="140">
        <f t="shared" si="33"/>
        <v>4710.42</v>
      </c>
      <c r="W226" s="140">
        <v>0</v>
      </c>
      <c r="X226" s="140">
        <v>0</v>
      </c>
      <c r="Y226" s="160">
        <v>0</v>
      </c>
      <c r="Z226" s="140">
        <f>Y226*Valores!$C$2</f>
        <v>0</v>
      </c>
      <c r="AA226" s="140">
        <v>0</v>
      </c>
      <c r="AB226" s="143">
        <f>IF(Valores!$C$93*D226&gt;Valores!$C$92,Valores!$C$92,Valores!$C$93*D226)</f>
        <v>4332.57</v>
      </c>
      <c r="AC226" s="145">
        <f>IF((Valores!$C$34)*D226&gt;Valores!$F$34,Valores!$F$34,(Valores!$C$34)*D226)</f>
        <v>369.93</v>
      </c>
      <c r="AD226" s="140">
        <f t="shared" si="41"/>
        <v>0</v>
      </c>
      <c r="AE226" s="140">
        <f>IF(Valores!$C$35*D226&gt;Valores!$F$35,Valores!$F$35,Valores!$C$35*D226)</f>
        <v>279.8</v>
      </c>
      <c r="AF226" s="144">
        <v>0</v>
      </c>
      <c r="AG226" s="140">
        <f>INT(((AF226*Valores!$C$2)*100)+0.5)/100</f>
        <v>0</v>
      </c>
      <c r="AH226" s="140">
        <f>IF($H$5="NO",IF(Valores!$D$60*'Escala Docente'!D226&gt;Valores!$F$60,Valores!$F$60,Valores!$D$60*'Escala Docente'!D226),IF(Valores!$D$60*'Escala Docente'!D226&gt;Valores!$F$60,Valores!$F$60,Valores!$D$60*'Escala Docente'!D226)/2)</f>
        <v>1138.28</v>
      </c>
      <c r="AI226" s="140">
        <f>IF($H$5="NO",IF(Valores!$D$62*D226&gt;Valores!$F$62,Valores!$F$62,Valores!$D$62*D226),IF(Valores!$D$62*D226&gt;Valores!$F$62,Valores!$F$62,Valores!$D$62*D226)/2)</f>
        <v>325.22000000000003</v>
      </c>
      <c r="AJ226" s="146">
        <f t="shared" si="42"/>
        <v>87585.907999999996</v>
      </c>
      <c r="AK226" s="154">
        <f>IF(Valores!$C$38*D226&gt;Valores!$F$38,Valores!$F$38,Valores!$C$38*D226)</f>
        <v>2931.13</v>
      </c>
      <c r="AL226" s="143">
        <f>IF(Valores!$C$88*D226&gt;Valores!$C$87,Valores!$C$87,Valores!$C$88*D226)</f>
        <v>3753.7499999999995</v>
      </c>
      <c r="AM226" s="143"/>
      <c r="AN226" s="145">
        <f>IF($H$4="NO",0,IF(Valores!$C$58*D226&gt;Valores!$F$58,Valores!$F$58,Valores!$C$58*D226))</f>
        <v>327.60000000000002</v>
      </c>
      <c r="AO226" s="147">
        <f t="shared" si="43"/>
        <v>7012.48</v>
      </c>
      <c r="AP226" s="148">
        <f>AJ226*Valores!$C$69</f>
        <v>-9634.4498800000001</v>
      </c>
      <c r="AQ226" s="149">
        <f>AJ226*-Valores!$C$70</f>
        <v>0</v>
      </c>
      <c r="AR226" s="142">
        <f>AJ226*Valores!$C$71</f>
        <v>-3941.3658599999999</v>
      </c>
      <c r="AS226" s="142">
        <f>Valores!$C$95</f>
        <v>-193.38</v>
      </c>
      <c r="AT226" s="142">
        <f>IF($H$6=0,Valores!$C$96,(Valores!$C$96+$H$6*(Valores!$C$96)))</f>
        <v>-178</v>
      </c>
      <c r="AU226" s="146">
        <f t="shared" si="44"/>
        <v>80651.192259999996</v>
      </c>
      <c r="AV226" s="199">
        <f t="shared" si="40"/>
        <v>-9634.4498800000001</v>
      </c>
      <c r="AW226" s="142">
        <f>AJ226*Valores!$C$72</f>
        <v>-2364.819516</v>
      </c>
      <c r="AX226" s="142">
        <f>AJ226*Valores!$C$73</f>
        <v>-262.757724</v>
      </c>
      <c r="AY226" s="146">
        <f t="shared" si="45"/>
        <v>82336.360879999993</v>
      </c>
      <c r="AZ226" s="150"/>
      <c r="BA226" s="150">
        <f t="shared" ref="BA226:BA257" si="46">1*D226</f>
        <v>33</v>
      </c>
      <c r="BB226" s="135" t="s">
        <v>8</v>
      </c>
    </row>
    <row r="227" spans="1:54" s="114" customFormat="1" ht="11.25" customHeight="1" x14ac:dyDescent="0.15">
      <c r="A227" s="152">
        <v>225</v>
      </c>
      <c r="B227" s="152" t="s">
        <v>139</v>
      </c>
      <c r="C227" s="135" t="s">
        <v>496</v>
      </c>
      <c r="D227" s="135">
        <v>34</v>
      </c>
      <c r="E227" s="135">
        <f t="shared" si="37"/>
        <v>37</v>
      </c>
      <c r="F227" s="136" t="str">
        <f t="shared" si="34"/>
        <v>Hora Cátedra Enseñanza Superior 34 hs</v>
      </c>
      <c r="G227" s="137">
        <f t="shared" si="35"/>
        <v>3366</v>
      </c>
      <c r="H227" s="138">
        <f>INT((G227*Valores!$C$2*100)+0.5)/100</f>
        <v>45045.83</v>
      </c>
      <c r="I227" s="156">
        <v>0</v>
      </c>
      <c r="J227" s="140">
        <f>INT((I227*Valores!$C$2*100)+0.5)/100</f>
        <v>0</v>
      </c>
      <c r="K227" s="155">
        <v>0</v>
      </c>
      <c r="L227" s="140">
        <f>INT((K227*Valores!$C$2*100)+0.5)/100</f>
        <v>0</v>
      </c>
      <c r="M227" s="153">
        <v>0</v>
      </c>
      <c r="N227" s="140">
        <f>INT((M227*Valores!$C$2*100)+0.5)/100</f>
        <v>0</v>
      </c>
      <c r="O227" s="140">
        <f t="shared" si="38"/>
        <v>7972.1535000000003</v>
      </c>
      <c r="P227" s="140">
        <f t="shared" si="39"/>
        <v>0</v>
      </c>
      <c r="Q227" s="154">
        <f>Valores!$C$14*D227</f>
        <v>15430.56</v>
      </c>
      <c r="R227" s="154">
        <f>IF(D227&lt;15,(Valores!$E$4*D227),Valores!$D$4)</f>
        <v>6841.19</v>
      </c>
      <c r="S227" s="140">
        <v>0</v>
      </c>
      <c r="T227" s="143">
        <f>IF($H$5="NO",IF(Valores!$C$47*D227&gt;Valores!$C$45,Valores!$C$45,Valores!$C$47*D227),IF(Valores!$C$47*D227&gt;Valores!$C$45,Valores!$C$45,Valores!$C$47*D227)/2)</f>
        <v>3248.7</v>
      </c>
      <c r="U227" s="154">
        <f>Valores!$C$24*D227</f>
        <v>4853.16</v>
      </c>
      <c r="V227" s="140">
        <f t="shared" si="33"/>
        <v>4853.16</v>
      </c>
      <c r="W227" s="140">
        <v>0</v>
      </c>
      <c r="X227" s="140">
        <v>0</v>
      </c>
      <c r="Y227" s="160">
        <v>0</v>
      </c>
      <c r="Z227" s="140">
        <f>Y227*Valores!$C$2</f>
        <v>0</v>
      </c>
      <c r="AA227" s="140">
        <v>0</v>
      </c>
      <c r="AB227" s="143">
        <f>IF(Valores!$C$93*D227&gt;Valores!$C$92,Valores!$C$92,Valores!$C$93*D227)</f>
        <v>4463.8599999999997</v>
      </c>
      <c r="AC227" s="145">
        <f>IF((Valores!$C$34)*D227&gt;Valores!$F$34,Valores!$F$34,(Valores!$C$34)*D227)</f>
        <v>381.14000000000004</v>
      </c>
      <c r="AD227" s="140">
        <f t="shared" si="41"/>
        <v>0</v>
      </c>
      <c r="AE227" s="140">
        <f>IF(Valores!$C$35*D227&gt;Valores!$F$35,Valores!$F$35,Valores!$C$35*D227)</f>
        <v>279.8</v>
      </c>
      <c r="AF227" s="144">
        <v>0</v>
      </c>
      <c r="AG227" s="140">
        <f>INT(((AF227*Valores!$C$2)*100)+0.5)/100</f>
        <v>0</v>
      </c>
      <c r="AH227" s="140">
        <f>IF($H$5="NO",IF(Valores!$D$60*'Escala Docente'!D227&gt;Valores!$F$60,Valores!$F$60,Valores!$D$60*'Escala Docente'!D227),IF(Valores!$D$60*'Escala Docente'!D227&gt;Valores!$F$60,Valores!$F$60,Valores!$D$60*'Escala Docente'!D227)/2)</f>
        <v>1138.28</v>
      </c>
      <c r="AI227" s="140">
        <f>IF($H$5="NO",IF(Valores!$D$62*D227&gt;Valores!$F$62,Valores!$F$62,Valores!$D$62*D227),IF(Valores!$D$62*D227&gt;Valores!$F$62,Valores!$F$62,Valores!$D$62*D227)/2)</f>
        <v>325.22000000000003</v>
      </c>
      <c r="AJ227" s="146">
        <f t="shared" si="42"/>
        <v>89979.893500000006</v>
      </c>
      <c r="AK227" s="154">
        <f>IF(Valores!$C$38*D227&gt;Valores!$F$38,Valores!$F$38,Valores!$C$38*D227)</f>
        <v>2931.13</v>
      </c>
      <c r="AL227" s="143">
        <f>IF(Valores!$C$88*D227&gt;Valores!$C$87,Valores!$C$87,Valores!$C$88*D227)</f>
        <v>3867.4999999999995</v>
      </c>
      <c r="AM227" s="143"/>
      <c r="AN227" s="145">
        <f>IF($H$4="NO",0,IF(Valores!$C$58*D227&gt;Valores!$F$58,Valores!$F$58,Valores!$C$58*D227))</f>
        <v>327.60000000000002</v>
      </c>
      <c r="AO227" s="147">
        <f t="shared" si="43"/>
        <v>7126.23</v>
      </c>
      <c r="AP227" s="148">
        <f>AJ227*Valores!$C$69</f>
        <v>-9897.7882850000005</v>
      </c>
      <c r="AQ227" s="149">
        <f>AJ227*-Valores!$C$70</f>
        <v>0</v>
      </c>
      <c r="AR227" s="142">
        <f>AJ227*Valores!$C$71</f>
        <v>-4049.0952075</v>
      </c>
      <c r="AS227" s="142">
        <f>Valores!$C$95</f>
        <v>-193.38</v>
      </c>
      <c r="AT227" s="142">
        <f>IF($H$6=0,Valores!$C$96,(Valores!$C$96+$H$6*(Valores!$C$96)))</f>
        <v>-178</v>
      </c>
      <c r="AU227" s="146">
        <f t="shared" si="44"/>
        <v>82787.860007499999</v>
      </c>
      <c r="AV227" s="199">
        <f t="shared" si="40"/>
        <v>-9897.7882850000005</v>
      </c>
      <c r="AW227" s="142">
        <f>AJ227*Valores!$C$72</f>
        <v>-2429.4571245000002</v>
      </c>
      <c r="AX227" s="142">
        <f>AJ227*Valores!$C$73</f>
        <v>-269.93968050000001</v>
      </c>
      <c r="AY227" s="146">
        <f t="shared" si="45"/>
        <v>84508.938410000002</v>
      </c>
      <c r="AZ227" s="150"/>
      <c r="BA227" s="150">
        <f t="shared" si="46"/>
        <v>34</v>
      </c>
      <c r="BB227" s="135" t="s">
        <v>8</v>
      </c>
    </row>
    <row r="228" spans="1:54" s="114" customFormat="1" ht="11.25" customHeight="1" x14ac:dyDescent="0.15">
      <c r="A228" s="134">
        <v>226</v>
      </c>
      <c r="B228" s="134"/>
      <c r="C228" s="135" t="s">
        <v>496</v>
      </c>
      <c r="D228" s="135">
        <v>35</v>
      </c>
      <c r="E228" s="135">
        <f t="shared" si="37"/>
        <v>37</v>
      </c>
      <c r="F228" s="136" t="str">
        <f t="shared" si="34"/>
        <v>Hora Cátedra Enseñanza Superior 35 hs</v>
      </c>
      <c r="G228" s="137">
        <f t="shared" si="35"/>
        <v>3465</v>
      </c>
      <c r="H228" s="138">
        <f>INT((G228*Valores!$C$2*100)+0.5)/100</f>
        <v>46370.71</v>
      </c>
      <c r="I228" s="156">
        <v>0</v>
      </c>
      <c r="J228" s="140">
        <f>INT((I228*Valores!$C$2*100)+0.5)/100</f>
        <v>0</v>
      </c>
      <c r="K228" s="155">
        <v>0</v>
      </c>
      <c r="L228" s="140">
        <f>INT((K228*Valores!$C$2*100)+0.5)/100</f>
        <v>0</v>
      </c>
      <c r="M228" s="153">
        <v>0</v>
      </c>
      <c r="N228" s="140">
        <f>INT((M228*Valores!$C$2*100)+0.5)/100</f>
        <v>0</v>
      </c>
      <c r="O228" s="140">
        <f t="shared" si="38"/>
        <v>8205.777</v>
      </c>
      <c r="P228" s="140">
        <f t="shared" si="39"/>
        <v>0</v>
      </c>
      <c r="Q228" s="154">
        <f>Valores!$C$14*D228</f>
        <v>15884.4</v>
      </c>
      <c r="R228" s="154">
        <f>IF(D228&lt;15,(Valores!$E$4*D228),Valores!$D$4)</f>
        <v>6841.19</v>
      </c>
      <c r="S228" s="140">
        <v>0</v>
      </c>
      <c r="T228" s="143">
        <f>IF($H$5="NO",IF(Valores!$C$47*D228&gt;Valores!$C$45,Valores!$C$45,Valores!$C$47*D228),IF(Valores!$C$47*D228&gt;Valores!$C$45,Valores!$C$45,Valores!$C$47*D228)/2)</f>
        <v>3338.57</v>
      </c>
      <c r="U228" s="154">
        <f>Valores!$C$24*D228</f>
        <v>4995.9000000000005</v>
      </c>
      <c r="V228" s="140">
        <f t="shared" si="33"/>
        <v>4995.9000000000005</v>
      </c>
      <c r="W228" s="140">
        <v>0</v>
      </c>
      <c r="X228" s="140">
        <v>0</v>
      </c>
      <c r="Y228" s="160">
        <v>0</v>
      </c>
      <c r="Z228" s="140">
        <f>Y228*Valores!$C$2</f>
        <v>0</v>
      </c>
      <c r="AA228" s="140">
        <v>0</v>
      </c>
      <c r="AB228" s="143">
        <f>IF(Valores!$C$93*D228&gt;Valores!$C$92,Valores!$C$92,Valores!$C$93*D228)</f>
        <v>4595.1499999999996</v>
      </c>
      <c r="AC228" s="145">
        <f>IF((Valores!$C$34)*D228&gt;Valores!$F$34,Valores!$F$34,(Valores!$C$34)*D228)</f>
        <v>392.35</v>
      </c>
      <c r="AD228" s="140">
        <f t="shared" si="41"/>
        <v>0</v>
      </c>
      <c r="AE228" s="140">
        <f>IF(Valores!$C$35*D228&gt;Valores!$F$35,Valores!$F$35,Valores!$C$35*D228)</f>
        <v>279.8</v>
      </c>
      <c r="AF228" s="144">
        <v>0</v>
      </c>
      <c r="AG228" s="140">
        <f>INT(((AF228*Valores!$C$2)*100)+0.5)/100</f>
        <v>0</v>
      </c>
      <c r="AH228" s="140">
        <f>IF($H$5="NO",IF(Valores!$D$60*'Escala Docente'!D228&gt;Valores!$F$60,Valores!$F$60,Valores!$D$60*'Escala Docente'!D228),IF(Valores!$D$60*'Escala Docente'!D228&gt;Valores!$F$60,Valores!$F$60,Valores!$D$60*'Escala Docente'!D228)/2)</f>
        <v>1138.28</v>
      </c>
      <c r="AI228" s="140">
        <f>IF($H$5="NO",IF(Valores!$D$62*D228&gt;Valores!$F$62,Valores!$F$62,Valores!$D$62*D228),IF(Valores!$D$62*D228&gt;Valores!$F$62,Valores!$F$62,Valores!$D$62*D228)/2)</f>
        <v>325.22000000000003</v>
      </c>
      <c r="AJ228" s="146">
        <f t="shared" si="42"/>
        <v>92367.347000000009</v>
      </c>
      <c r="AK228" s="154">
        <f>IF(Valores!$C$38*D228&gt;Valores!$F$38,Valores!$F$38,Valores!$C$38*D228)</f>
        <v>2931.13</v>
      </c>
      <c r="AL228" s="143">
        <f>IF(Valores!$C$88*D228&gt;Valores!$C$87,Valores!$C$87,Valores!$C$88*D228)</f>
        <v>3981.2499999999995</v>
      </c>
      <c r="AM228" s="143"/>
      <c r="AN228" s="145">
        <f>IF($H$4="NO",0,IF(Valores!$C$58*D228&gt;Valores!$F$58,Valores!$F$58,Valores!$C$58*D228))</f>
        <v>327.60000000000002</v>
      </c>
      <c r="AO228" s="147">
        <f t="shared" si="43"/>
        <v>7239.98</v>
      </c>
      <c r="AP228" s="148">
        <f>AJ228*Valores!$C$69</f>
        <v>-10160.408170000001</v>
      </c>
      <c r="AQ228" s="149">
        <f>AJ228*-Valores!$C$70</f>
        <v>0</v>
      </c>
      <c r="AR228" s="142">
        <f>AJ228*Valores!$C$71</f>
        <v>-4156.5306150000006</v>
      </c>
      <c r="AS228" s="142">
        <f>Valores!$C$95</f>
        <v>-193.38</v>
      </c>
      <c r="AT228" s="142">
        <f>IF($H$6=0,Valores!$C$96,(Valores!$C$96+$H$6*(Valores!$C$96)))</f>
        <v>-178</v>
      </c>
      <c r="AU228" s="146">
        <f t="shared" si="44"/>
        <v>84919.008215000009</v>
      </c>
      <c r="AV228" s="199">
        <f t="shared" si="40"/>
        <v>-10160.408170000001</v>
      </c>
      <c r="AW228" s="142">
        <f>AJ228*Valores!$C$72</f>
        <v>-2493.918369</v>
      </c>
      <c r="AX228" s="142">
        <f>AJ228*Valores!$C$73</f>
        <v>-277.10204100000004</v>
      </c>
      <c r="AY228" s="146">
        <f t="shared" si="45"/>
        <v>86675.898419999998</v>
      </c>
      <c r="AZ228" s="150"/>
      <c r="BA228" s="150">
        <f t="shared" si="46"/>
        <v>35</v>
      </c>
      <c r="BB228" s="135" t="s">
        <v>8</v>
      </c>
    </row>
    <row r="229" spans="1:54" s="114" customFormat="1" ht="11.25" customHeight="1" x14ac:dyDescent="0.15">
      <c r="A229" s="134">
        <v>227</v>
      </c>
      <c r="B229" s="134"/>
      <c r="C229" s="135" t="s">
        <v>496</v>
      </c>
      <c r="D229" s="135">
        <v>36</v>
      </c>
      <c r="E229" s="135">
        <f t="shared" si="37"/>
        <v>37</v>
      </c>
      <c r="F229" s="136" t="str">
        <f t="shared" si="34"/>
        <v>Hora Cátedra Enseñanza Superior 36 hs</v>
      </c>
      <c r="G229" s="137">
        <f t="shared" si="35"/>
        <v>3564</v>
      </c>
      <c r="H229" s="138">
        <f>INT((G229*Valores!$C$2*100)+0.5)/100</f>
        <v>47695.59</v>
      </c>
      <c r="I229" s="156">
        <v>0</v>
      </c>
      <c r="J229" s="140">
        <f>INT((I229*Valores!$C$2*100)+0.5)/100</f>
        <v>0</v>
      </c>
      <c r="K229" s="155">
        <v>0</v>
      </c>
      <c r="L229" s="140">
        <f>INT((K229*Valores!$C$2*100)+0.5)/100</f>
        <v>0</v>
      </c>
      <c r="M229" s="153">
        <v>0</v>
      </c>
      <c r="N229" s="140">
        <f>INT((M229*Valores!$C$2*100)+0.5)/100</f>
        <v>0</v>
      </c>
      <c r="O229" s="140">
        <f t="shared" si="38"/>
        <v>8425.9199999999983</v>
      </c>
      <c r="P229" s="140">
        <f t="shared" si="39"/>
        <v>0</v>
      </c>
      <c r="Q229" s="154">
        <f>Valores!$C$14*D229</f>
        <v>16338.24</v>
      </c>
      <c r="R229" s="154">
        <f>IF(D229&lt;15,(Valores!$E$4*D229),Valores!$D$4)</f>
        <v>6841.19</v>
      </c>
      <c r="S229" s="140">
        <v>0</v>
      </c>
      <c r="T229" s="143">
        <f>IF($H$5="NO",IF(Valores!$C$47*D229&gt;Valores!$C$45,Valores!$C$45,Valores!$C$47*D229),IF(Valores!$C$47*D229&gt;Valores!$C$45,Valores!$C$45,Valores!$C$47*D229)/2)</f>
        <v>3338.57</v>
      </c>
      <c r="U229" s="154">
        <f>Valores!$C$24*D229</f>
        <v>5138.6400000000003</v>
      </c>
      <c r="V229" s="140">
        <f t="shared" si="33"/>
        <v>5138.6400000000003</v>
      </c>
      <c r="W229" s="140">
        <v>0</v>
      </c>
      <c r="X229" s="140">
        <v>0</v>
      </c>
      <c r="Y229" s="160">
        <v>0</v>
      </c>
      <c r="Z229" s="140">
        <f>Y229*Valores!$C$2</f>
        <v>0</v>
      </c>
      <c r="AA229" s="140">
        <v>0</v>
      </c>
      <c r="AB229" s="143">
        <f>IF(Valores!$C$93*D229&gt;Valores!$C$92,Valores!$C$92,Valores!$C$93*D229)</f>
        <v>4726.4399999999996</v>
      </c>
      <c r="AC229" s="145">
        <f>IF((Valores!$C$34)*D229&gt;Valores!$F$34,Valores!$F$34,(Valores!$C$34)*D229)</f>
        <v>403.56000000000006</v>
      </c>
      <c r="AD229" s="140">
        <f t="shared" si="41"/>
        <v>0</v>
      </c>
      <c r="AE229" s="140">
        <f>IF(Valores!$C$35*D229&gt;Valores!$F$35,Valores!$F$35,Valores!$C$35*D229)</f>
        <v>279.8</v>
      </c>
      <c r="AF229" s="144">
        <v>0</v>
      </c>
      <c r="AG229" s="140">
        <f>INT(((AF229*Valores!$C$2)*100)+0.5)/100</f>
        <v>0</v>
      </c>
      <c r="AH229" s="140">
        <f>IF($H$5="NO",IF(Valores!$D$60*'Escala Docente'!D229&gt;Valores!$F$60,Valores!$F$60,Valores!$D$60*'Escala Docente'!D229),IF(Valores!$D$60*'Escala Docente'!D229&gt;Valores!$F$60,Valores!$F$60,Valores!$D$60*'Escala Docente'!D229)/2)</f>
        <v>1138.28</v>
      </c>
      <c r="AI229" s="140">
        <f>IF($H$5="NO",IF(Valores!$D$62*D229&gt;Valores!$F$62,Valores!$F$62,Valores!$D$62*D229),IF(Valores!$D$62*D229&gt;Valores!$F$62,Valores!$F$62,Valores!$D$62*D229)/2)</f>
        <v>325.22000000000003</v>
      </c>
      <c r="AJ229" s="146">
        <f t="shared" si="42"/>
        <v>94651.450000000012</v>
      </c>
      <c r="AK229" s="154">
        <f>IF(Valores!$C$38*D229&gt;Valores!$F$38,Valores!$F$38,Valores!$C$38*D229)</f>
        <v>2931.13</v>
      </c>
      <c r="AL229" s="143">
        <f>IF(Valores!$C$88*D229&gt;Valores!$C$87,Valores!$C$87,Valores!$C$88*D229)</f>
        <v>4094.9999999999995</v>
      </c>
      <c r="AM229" s="143"/>
      <c r="AN229" s="145">
        <f>IF($H$4="NO",0,IF(Valores!$C$58*D229&gt;Valores!$F$58,Valores!$F$58,Valores!$C$58*D229))</f>
        <v>327.60000000000002</v>
      </c>
      <c r="AO229" s="147">
        <f t="shared" si="43"/>
        <v>7353.73</v>
      </c>
      <c r="AP229" s="148">
        <f>AJ229*Valores!$C$69</f>
        <v>-10411.659500000002</v>
      </c>
      <c r="AQ229" s="149">
        <f>AJ229*-Valores!$C$70</f>
        <v>0</v>
      </c>
      <c r="AR229" s="142">
        <f>AJ229*Valores!$C$71</f>
        <v>-4259.3152500000006</v>
      </c>
      <c r="AS229" s="142">
        <f>Valores!$C$95</f>
        <v>-193.38</v>
      </c>
      <c r="AT229" s="142">
        <f>IF($H$6=0,Valores!$C$96,(Valores!$C$96+$H$6*(Valores!$C$96)))</f>
        <v>-178</v>
      </c>
      <c r="AU229" s="146">
        <f t="shared" si="44"/>
        <v>86962.825250000009</v>
      </c>
      <c r="AV229" s="199">
        <f t="shared" si="40"/>
        <v>-10411.659500000002</v>
      </c>
      <c r="AW229" s="142">
        <f>AJ229*Valores!$C$72</f>
        <v>-2555.5891500000002</v>
      </c>
      <c r="AX229" s="142">
        <f>AJ229*Valores!$C$73</f>
        <v>-283.95435000000003</v>
      </c>
      <c r="AY229" s="146">
        <f t="shared" si="45"/>
        <v>88753.977000000014</v>
      </c>
      <c r="AZ229" s="150"/>
      <c r="BA229" s="150">
        <f t="shared" si="46"/>
        <v>36</v>
      </c>
      <c r="BB229" s="135" t="s">
        <v>8</v>
      </c>
    </row>
    <row r="230" spans="1:54" s="114" customFormat="1" ht="11.25" customHeight="1" x14ac:dyDescent="0.15">
      <c r="A230" s="134">
        <v>228</v>
      </c>
      <c r="B230" s="134"/>
      <c r="C230" s="135" t="s">
        <v>497</v>
      </c>
      <c r="D230" s="135">
        <v>1</v>
      </c>
      <c r="E230" s="135">
        <f t="shared" si="37"/>
        <v>33</v>
      </c>
      <c r="F230" s="136" t="str">
        <f>CONCATENATE("Hora Cátedra Enseñanza Media ",D230," hs")</f>
        <v>Hora Cátedra Enseñanza Media 1 hs</v>
      </c>
      <c r="G230" s="137">
        <f t="shared" ref="G230:G261" si="47">79*D230</f>
        <v>79</v>
      </c>
      <c r="H230" s="138">
        <f>INT((G230*Valores!$C$2*100)+0.49)/100</f>
        <v>1057.23</v>
      </c>
      <c r="I230" s="156">
        <v>0</v>
      </c>
      <c r="J230" s="140">
        <f>INT((I230*Valores!$C$2*100)+0.5)/100</f>
        <v>0</v>
      </c>
      <c r="K230" s="155">
        <v>0</v>
      </c>
      <c r="L230" s="140">
        <f>INT((K230*Valores!$C$2*100)+0.5)/100</f>
        <v>0</v>
      </c>
      <c r="M230" s="153">
        <v>0</v>
      </c>
      <c r="N230" s="140">
        <f>INT((M230*Valores!$C$2*100)+0.5)/100</f>
        <v>0</v>
      </c>
      <c r="O230" s="140">
        <f t="shared" si="38"/>
        <v>194.328</v>
      </c>
      <c r="P230" s="140">
        <f t="shared" si="39"/>
        <v>0</v>
      </c>
      <c r="Q230" s="154">
        <f>Valores!$C$14*D230</f>
        <v>453.84</v>
      </c>
      <c r="R230" s="154">
        <f>IF(D230&lt;15,(Valores!$E$4*D230),Valores!$D$4)</f>
        <v>456.08</v>
      </c>
      <c r="S230" s="140">
        <v>0</v>
      </c>
      <c r="T230" s="143">
        <f>IF($H$5="NO",IF(Valores!$C$47*D230&gt;Valores!$C$45,Valores!$C$45,Valores!$C$47*D230),IF(Valores!$C$47*D230&gt;Valores!$C$45,Valores!$C$45,Valores!$C$47*D230)/2)</f>
        <v>95.55</v>
      </c>
      <c r="U230" s="154">
        <f>Valores!$C$24*D230</f>
        <v>142.74</v>
      </c>
      <c r="V230" s="140">
        <f>U230*(1+$J$2)</f>
        <v>142.74</v>
      </c>
      <c r="W230" s="140">
        <v>0</v>
      </c>
      <c r="X230" s="140">
        <v>0</v>
      </c>
      <c r="Y230" s="160">
        <v>0</v>
      </c>
      <c r="Z230" s="140">
        <f>Y230*Valores!$C$2</f>
        <v>0</v>
      </c>
      <c r="AA230" s="140">
        <v>0</v>
      </c>
      <c r="AB230" s="143">
        <f>IF(Valores!$C$93*D230&gt;Valores!$C$92,Valores!$C$92,Valores!$C$93*D230)</f>
        <v>131.29</v>
      </c>
      <c r="AC230" s="145">
        <f>IF((Valores!$C$34)*D230&gt;Valores!$F$34,Valores!$F$34,(Valores!$C$34)*D230)</f>
        <v>11.21</v>
      </c>
      <c r="AD230" s="140">
        <f t="shared" si="41"/>
        <v>0</v>
      </c>
      <c r="AE230" s="140">
        <f>IF(Valores!$C$35*D230&gt;Valores!$F$35,Valores!$F$35,Valores!$C$35*D230)</f>
        <v>9.34</v>
      </c>
      <c r="AF230" s="144">
        <v>0</v>
      </c>
      <c r="AG230" s="140">
        <f>INT(((AF230*Valores!$C$2)*100)+0.5)/100</f>
        <v>0</v>
      </c>
      <c r="AH230" s="140">
        <f>IF($H$5="NO",IF(Valores!$D$60*'Escala Docente'!D230&gt;Valores!$F$60,Valores!$F$60,Valores!$D$60*'Escala Docente'!D230),IF(Valores!$D$60*'Escala Docente'!D230&gt;Valores!$F$60,Valores!$F$60,Valores!$D$60*'Escala Docente'!D230)/2)</f>
        <v>37.94</v>
      </c>
      <c r="AI230" s="140">
        <f>IF($H$5="NO",IF(Valores!$D$62*D230&gt;Valores!$F$62,Valores!$F$62,Valores!$D$62*D230),IF(Valores!$D$62*D230&gt;Valores!$F$62,Valores!$F$62,Valores!$D$62*D230)/2)</f>
        <v>10.850666666666667</v>
      </c>
      <c r="AJ230" s="146">
        <f t="shared" si="42"/>
        <v>2600.3986666666669</v>
      </c>
      <c r="AK230" s="154">
        <f>IF(Valores!$C$38*D230&gt;Valores!$F$38,Valores!$F$38,Valores!$C$38*D230)</f>
        <v>97.7</v>
      </c>
      <c r="AL230" s="143">
        <f>IF(Valores!$C$88*D230&gt;Valores!$C$87,Valores!$C$87,Valores!$C$88*D230)</f>
        <v>113.74999999999999</v>
      </c>
      <c r="AM230" s="143"/>
      <c r="AN230" s="145">
        <f>IF($H$4="NO",0,IF(Valores!$C$59*D230&gt;Valores!$F$59,Valores!$F$59,Valores!$C$59*D230))</f>
        <v>11.3559</v>
      </c>
      <c r="AO230" s="147">
        <f t="shared" si="43"/>
        <v>222.80589999999998</v>
      </c>
      <c r="AP230" s="148">
        <f>AJ230*Valores!$C$69</f>
        <v>-286.04385333333335</v>
      </c>
      <c r="AQ230" s="149">
        <f>AJ230*-Valores!$C$70</f>
        <v>0</v>
      </c>
      <c r="AR230" s="142">
        <f>AJ230*Valores!$C$71</f>
        <v>-117.01794000000001</v>
      </c>
      <c r="AS230" s="142">
        <f>Valores!$C$95</f>
        <v>-193.38</v>
      </c>
      <c r="AT230" s="142">
        <f>IF($H$6=0,Valores!$C$96,(Valores!$C$96+$H$6*(Valores!$C$96)))</f>
        <v>-178</v>
      </c>
      <c r="AU230" s="146">
        <f t="shared" si="44"/>
        <v>2048.7627733333338</v>
      </c>
      <c r="AV230" s="199">
        <f t="shared" si="40"/>
        <v>-286.04385333333335</v>
      </c>
      <c r="AW230" s="142">
        <f>AJ230*Valores!$C$72</f>
        <v>-70.210764000000012</v>
      </c>
      <c r="AX230" s="142">
        <f>AJ230*Valores!$C$73</f>
        <v>-7.8011960000000009</v>
      </c>
      <c r="AY230" s="146">
        <f t="shared" si="45"/>
        <v>2459.1487533333334</v>
      </c>
      <c r="AZ230" s="150"/>
      <c r="BA230" s="150">
        <f t="shared" si="46"/>
        <v>1</v>
      </c>
      <c r="BB230" s="135" t="s">
        <v>4</v>
      </c>
    </row>
    <row r="231" spans="1:54" s="114" customFormat="1" ht="11.25" customHeight="1" x14ac:dyDescent="0.15">
      <c r="A231" s="134">
        <v>229</v>
      </c>
      <c r="B231" s="134"/>
      <c r="C231" s="135" t="s">
        <v>497</v>
      </c>
      <c r="D231" s="135">
        <v>1</v>
      </c>
      <c r="E231" s="135">
        <f t="shared" si="37"/>
        <v>41</v>
      </c>
      <c r="F231" s="136" t="str">
        <f>CONCATENATE("Hora Cátedra Enseñanza Media ",D231," hs Esc Esp")</f>
        <v>Hora Cátedra Enseñanza Media 1 hs Esc Esp</v>
      </c>
      <c r="G231" s="137">
        <f t="shared" si="47"/>
        <v>79</v>
      </c>
      <c r="H231" s="138">
        <f>INT((G231*Valores!$C$2*100)+0.49)/100</f>
        <v>1057.23</v>
      </c>
      <c r="I231" s="156">
        <v>0</v>
      </c>
      <c r="J231" s="140">
        <f>INT((I231*Valores!$C$2*100)+0.5)/100</f>
        <v>0</v>
      </c>
      <c r="K231" s="155">
        <v>0</v>
      </c>
      <c r="L231" s="140">
        <f>INT((K231*Valores!$C$2*100)+0.5)/100</f>
        <v>0</v>
      </c>
      <c r="M231" s="153">
        <v>0</v>
      </c>
      <c r="N231" s="140">
        <f>INT((M231*Valores!$C$2*100)+0.5)/100</f>
        <v>0</v>
      </c>
      <c r="O231" s="140">
        <f t="shared" si="38"/>
        <v>194.328</v>
      </c>
      <c r="P231" s="140">
        <f t="shared" si="39"/>
        <v>0</v>
      </c>
      <c r="Q231" s="154">
        <f>Valores!$C$14*D231</f>
        <v>453.84</v>
      </c>
      <c r="R231" s="154">
        <f>IF(D231&lt;15,(Valores!$E$4*D231),Valores!$D$4)</f>
        <v>456.08</v>
      </c>
      <c r="S231" s="140">
        <v>0</v>
      </c>
      <c r="T231" s="143">
        <f>IF($H$5="NO",IF(Valores!$C$47*D231&gt;Valores!$C$45,Valores!$C$45,Valores!$C$47*D231),IF(Valores!$C$47*D231&gt;Valores!$C$45,Valores!$C$45,Valores!$C$47*D231)/2)</f>
        <v>95.55</v>
      </c>
      <c r="U231" s="154">
        <f>Valores!$C$24*D231</f>
        <v>142.74</v>
      </c>
      <c r="V231" s="140">
        <f t="shared" si="33"/>
        <v>142.74</v>
      </c>
      <c r="W231" s="140">
        <v>0</v>
      </c>
      <c r="X231" s="140">
        <v>0</v>
      </c>
      <c r="Y231" s="160">
        <v>0</v>
      </c>
      <c r="Z231" s="140">
        <f>Y231*Valores!$C$2</f>
        <v>0</v>
      </c>
      <c r="AA231" s="140">
        <v>0</v>
      </c>
      <c r="AB231" s="143">
        <f>IF(Valores!$C$93*D231&gt;Valores!$C$92,Valores!$C$92,Valores!$C$93*D231)</f>
        <v>131.29</v>
      </c>
      <c r="AC231" s="145">
        <f>IF((Valores!$C$34)*D231&gt;Valores!$F$34,Valores!$F$34,(Valores!$C$34)*D231)</f>
        <v>11.21</v>
      </c>
      <c r="AD231" s="140">
        <f t="shared" si="41"/>
        <v>0</v>
      </c>
      <c r="AE231" s="140">
        <f>IF(Valores!$C$35*D231&gt;Valores!$F$35,Valores!$F$35,Valores!$C$35*D231)</f>
        <v>9.34</v>
      </c>
      <c r="AF231" s="144">
        <v>94</v>
      </c>
      <c r="AG231" s="140">
        <f>INT(((AF231*Valores!$C$2)*100)+0.5)/100</f>
        <v>1257.96</v>
      </c>
      <c r="AH231" s="140">
        <f>IF($H$5="NO",IF(Valores!$D$60*'Escala Docente'!D231&gt;Valores!$F$60,Valores!$F$60,Valores!$D$60*'Escala Docente'!D231),IF(Valores!$D$60*'Escala Docente'!D231&gt;Valores!$F$60,Valores!$F$60,Valores!$D$60*'Escala Docente'!D231)/2)</f>
        <v>37.94</v>
      </c>
      <c r="AI231" s="140">
        <f>IF($H$5="NO",IF(Valores!$D$62*D231&gt;Valores!$F$62,Valores!$F$62,Valores!$D$62*D231),IF(Valores!$D$62*D231&gt;Valores!$F$62,Valores!$F$62,Valores!$D$62*D231)/2)</f>
        <v>10.850666666666667</v>
      </c>
      <c r="AJ231" s="146">
        <f t="shared" si="42"/>
        <v>3858.358666666667</v>
      </c>
      <c r="AK231" s="154">
        <f>IF(Valores!$C$38*D231&gt;Valores!$F$38,Valores!$F$38,Valores!$C$38*D231)</f>
        <v>97.7</v>
      </c>
      <c r="AL231" s="143">
        <f>IF(Valores!$C$88*D231&gt;Valores!$C$87,Valores!$C$87,Valores!$C$88*D231)</f>
        <v>113.74999999999999</v>
      </c>
      <c r="AM231" s="143"/>
      <c r="AN231" s="145">
        <f>IF($H$4="NO",0,IF(Valores!$C$59*D231&gt;Valores!$F$59,Valores!$F$59,Valores!$C$59*D231))</f>
        <v>11.3559</v>
      </c>
      <c r="AO231" s="147">
        <f t="shared" si="43"/>
        <v>222.80589999999998</v>
      </c>
      <c r="AP231" s="148">
        <f>AJ231*Valores!$C$69</f>
        <v>-424.41945333333337</v>
      </c>
      <c r="AQ231" s="149">
        <f>AJ231*-Valores!$C$70</f>
        <v>0</v>
      </c>
      <c r="AR231" s="142">
        <f>AJ231*Valores!$C$71</f>
        <v>-173.62614000000002</v>
      </c>
      <c r="AS231" s="142">
        <f>Valores!$C$95</f>
        <v>-193.38</v>
      </c>
      <c r="AT231" s="142">
        <f>IF($H$6=0,Valores!$C$96,(Valores!$C$96+$H$6*(Valores!$C$96)))</f>
        <v>-178</v>
      </c>
      <c r="AU231" s="146">
        <f t="shared" si="44"/>
        <v>3111.7389733333334</v>
      </c>
      <c r="AV231" s="199">
        <f t="shared" si="40"/>
        <v>-424.41945333333337</v>
      </c>
      <c r="AW231" s="142">
        <f>AJ231*Valores!$C$72</f>
        <v>-104.175684</v>
      </c>
      <c r="AX231" s="142">
        <f>AJ231*Valores!$C$73</f>
        <v>-11.575076000000001</v>
      </c>
      <c r="AY231" s="146">
        <f t="shared" si="45"/>
        <v>3540.9943533333335</v>
      </c>
      <c r="AZ231" s="150"/>
      <c r="BA231" s="150">
        <f t="shared" si="46"/>
        <v>1</v>
      </c>
      <c r="BB231" s="135" t="s">
        <v>4</v>
      </c>
    </row>
    <row r="232" spans="1:54" s="114" customFormat="1" ht="11.25" customHeight="1" x14ac:dyDescent="0.15">
      <c r="A232" s="152">
        <v>230</v>
      </c>
      <c r="B232" s="152" t="s">
        <v>139</v>
      </c>
      <c r="C232" s="135" t="s">
        <v>497</v>
      </c>
      <c r="D232" s="135">
        <v>2</v>
      </c>
      <c r="E232" s="135">
        <f t="shared" si="37"/>
        <v>33</v>
      </c>
      <c r="F232" s="136" t="str">
        <f>CONCATENATE("Hora Cátedra Enseñanza Media ",D232," hs")</f>
        <v>Hora Cátedra Enseñanza Media 2 hs</v>
      </c>
      <c r="G232" s="137">
        <f t="shared" si="47"/>
        <v>158</v>
      </c>
      <c r="H232" s="138">
        <f>INT((G232*Valores!$C$2*100)+0.49)/100</f>
        <v>2114.4499999999998</v>
      </c>
      <c r="I232" s="156">
        <v>0</v>
      </c>
      <c r="J232" s="140">
        <f>INT((I232*Valores!$C$2*100)+0.5)/100</f>
        <v>0</v>
      </c>
      <c r="K232" s="155">
        <v>0</v>
      </c>
      <c r="L232" s="140">
        <f>INT((K232*Valores!$C$2*100)+0.5)/100</f>
        <v>0</v>
      </c>
      <c r="M232" s="153">
        <v>0</v>
      </c>
      <c r="N232" s="140">
        <f>INT((M232*Valores!$C$2*100)+0.5)/100</f>
        <v>0</v>
      </c>
      <c r="O232" s="140">
        <f t="shared" si="38"/>
        <v>388.65449999999993</v>
      </c>
      <c r="P232" s="140">
        <f t="shared" si="39"/>
        <v>0</v>
      </c>
      <c r="Q232" s="154">
        <f>Valores!$C$14*D232</f>
        <v>907.68</v>
      </c>
      <c r="R232" s="154">
        <f>IF(D232&lt;15,(Valores!$E$4*D232),Valores!$D$4)</f>
        <v>912.16</v>
      </c>
      <c r="S232" s="140">
        <v>0</v>
      </c>
      <c r="T232" s="143">
        <f>IF($H$5="NO",IF(Valores!$C$47*D232&gt;Valores!$C$45,Valores!$C$45,Valores!$C$47*D232),IF(Valores!$C$47*D232&gt;Valores!$C$45,Valores!$C$45,Valores!$C$47*D232)/2)</f>
        <v>191.1</v>
      </c>
      <c r="U232" s="154">
        <f>Valores!$C$24*D232</f>
        <v>285.48</v>
      </c>
      <c r="V232" s="140">
        <f t="shared" si="33"/>
        <v>285.48</v>
      </c>
      <c r="W232" s="140">
        <v>0</v>
      </c>
      <c r="X232" s="140">
        <v>0</v>
      </c>
      <c r="Y232" s="160">
        <v>0</v>
      </c>
      <c r="Z232" s="140">
        <f>Y232*Valores!$C$2</f>
        <v>0</v>
      </c>
      <c r="AA232" s="140">
        <v>0</v>
      </c>
      <c r="AB232" s="143">
        <f>IF(Valores!$C$93*D232&gt;Valores!$C$92,Valores!$C$92,Valores!$C$93*D232)</f>
        <v>262.58</v>
      </c>
      <c r="AC232" s="145">
        <f>IF((Valores!$C$34)*D232&gt;Valores!$F$34,Valores!$F$34,(Valores!$C$34)*D232)</f>
        <v>22.42</v>
      </c>
      <c r="AD232" s="140">
        <f t="shared" si="41"/>
        <v>0</v>
      </c>
      <c r="AE232" s="140">
        <f>IF(Valores!$C$35*D232&gt;Valores!$F$35,Valores!$F$35,Valores!$C$35*D232)</f>
        <v>18.68</v>
      </c>
      <c r="AF232" s="144">
        <v>0</v>
      </c>
      <c r="AG232" s="140">
        <f>INT(((AF232*Valores!$C$2)*100)+0.5)/100</f>
        <v>0</v>
      </c>
      <c r="AH232" s="140">
        <f>IF($H$5="NO",IF(Valores!$D$60*'Escala Docente'!D232&gt;Valores!$F$60,Valores!$F$60,Valores!$D$60*'Escala Docente'!D232),IF(Valores!$D$60*'Escala Docente'!D232&gt;Valores!$F$60,Valores!$F$60,Valores!$D$60*'Escala Docente'!D232)/2)</f>
        <v>75.88</v>
      </c>
      <c r="AI232" s="140">
        <f>IF($H$5="NO",IF(Valores!$D$62*D232&gt;Valores!$F$62,Valores!$F$62,Valores!$D$62*D232),IF(Valores!$D$62*D232&gt;Valores!$F$62,Valores!$F$62,Valores!$D$62*D232)/2)</f>
        <v>21.701333333333334</v>
      </c>
      <c r="AJ232" s="146">
        <f t="shared" si="42"/>
        <v>5200.7858333333334</v>
      </c>
      <c r="AK232" s="154">
        <f>IF(Valores!$C$38*D232&gt;Valores!$F$38,Valores!$F$38,Valores!$C$38*D232)</f>
        <v>195.4</v>
      </c>
      <c r="AL232" s="143">
        <f>IF(Valores!$C$88*D232&gt;Valores!$C$87,Valores!$C$87,Valores!$C$88*D232)</f>
        <v>227.49999999999997</v>
      </c>
      <c r="AM232" s="143"/>
      <c r="AN232" s="145">
        <f>IF($H$4="NO",0,IF(Valores!$C$59*D232&gt;Valores!$F$59,Valores!$F$59,Valores!$C$59*D232))</f>
        <v>22.7118</v>
      </c>
      <c r="AO232" s="147">
        <f t="shared" si="43"/>
        <v>445.61179999999996</v>
      </c>
      <c r="AP232" s="148">
        <f>AJ232*Valores!$C$69</f>
        <v>-572.0864416666667</v>
      </c>
      <c r="AQ232" s="149">
        <f>AJ232*-Valores!$C$70</f>
        <v>0</v>
      </c>
      <c r="AR232" s="142">
        <f>AJ232*Valores!$C$71</f>
        <v>-234.03536249999999</v>
      </c>
      <c r="AS232" s="142">
        <f>Valores!$C$95</f>
        <v>-193.38</v>
      </c>
      <c r="AT232" s="142">
        <f>IF($H$6=0,Valores!$C$96,(Valores!$C$96+$H$6*(Valores!$C$96)))</f>
        <v>-178</v>
      </c>
      <c r="AU232" s="146">
        <f t="shared" si="44"/>
        <v>4468.8958291666668</v>
      </c>
      <c r="AV232" s="199">
        <f t="shared" si="40"/>
        <v>-572.0864416666667</v>
      </c>
      <c r="AW232" s="142">
        <f>AJ232*Valores!$C$72</f>
        <v>-140.42121750000001</v>
      </c>
      <c r="AX232" s="142">
        <f>AJ232*Valores!$C$73</f>
        <v>-15.6023575</v>
      </c>
      <c r="AY232" s="146">
        <f t="shared" si="45"/>
        <v>4918.2876166666665</v>
      </c>
      <c r="AZ232" s="150"/>
      <c r="BA232" s="150">
        <f t="shared" si="46"/>
        <v>2</v>
      </c>
      <c r="BB232" s="135" t="s">
        <v>4</v>
      </c>
    </row>
    <row r="233" spans="1:54" s="114" customFormat="1" ht="11.25" customHeight="1" x14ac:dyDescent="0.15">
      <c r="A233" s="134">
        <v>231</v>
      </c>
      <c r="B233" s="134"/>
      <c r="C233" s="135" t="s">
        <v>497</v>
      </c>
      <c r="D233" s="135">
        <v>2</v>
      </c>
      <c r="E233" s="135">
        <f t="shared" si="37"/>
        <v>41</v>
      </c>
      <c r="F233" s="136" t="str">
        <f>CONCATENATE("Hora Cátedra Enseñanza Media ",D233," hs Esc Esp")</f>
        <v>Hora Cátedra Enseñanza Media 2 hs Esc Esp</v>
      </c>
      <c r="G233" s="137">
        <f t="shared" si="47"/>
        <v>158</v>
      </c>
      <c r="H233" s="138">
        <f>INT((G233*Valores!$C$2*100)+0.49)/100</f>
        <v>2114.4499999999998</v>
      </c>
      <c r="I233" s="156">
        <v>0</v>
      </c>
      <c r="J233" s="140">
        <f>INT((I233*Valores!$C$2*100)+0.5)/100</f>
        <v>0</v>
      </c>
      <c r="K233" s="155">
        <v>0</v>
      </c>
      <c r="L233" s="140">
        <f>INT((K233*Valores!$C$2*100)+0.5)/100</f>
        <v>0</v>
      </c>
      <c r="M233" s="153">
        <v>0</v>
      </c>
      <c r="N233" s="140">
        <f>INT((M233*Valores!$C$2*100)+0.5)/100</f>
        <v>0</v>
      </c>
      <c r="O233" s="140">
        <f t="shared" si="38"/>
        <v>388.65449999999993</v>
      </c>
      <c r="P233" s="140">
        <f t="shared" si="39"/>
        <v>0</v>
      </c>
      <c r="Q233" s="154">
        <f>Valores!$C$14*D233</f>
        <v>907.68</v>
      </c>
      <c r="R233" s="154">
        <f>IF(D233&lt;15,(Valores!$E$4*D233),Valores!$D$4)</f>
        <v>912.16</v>
      </c>
      <c r="S233" s="140">
        <v>0</v>
      </c>
      <c r="T233" s="143">
        <f>IF($H$5="NO",IF(Valores!$C$47*D233&gt;Valores!$C$45,Valores!$C$45,Valores!$C$47*D233),IF(Valores!$C$47*D233&gt;Valores!$C$45,Valores!$C$45,Valores!$C$47*D233)/2)</f>
        <v>191.1</v>
      </c>
      <c r="U233" s="154">
        <f>Valores!$C$24*D233</f>
        <v>285.48</v>
      </c>
      <c r="V233" s="140">
        <f t="shared" si="33"/>
        <v>285.48</v>
      </c>
      <c r="W233" s="140">
        <v>0</v>
      </c>
      <c r="X233" s="140">
        <v>0</v>
      </c>
      <c r="Y233" s="160">
        <v>0</v>
      </c>
      <c r="Z233" s="140">
        <f>Y233*Valores!$C$2</f>
        <v>0</v>
      </c>
      <c r="AA233" s="140">
        <v>0</v>
      </c>
      <c r="AB233" s="143">
        <f>IF(Valores!$C$93*D233&gt;Valores!$C$92,Valores!$C$92,Valores!$C$93*D233)</f>
        <v>262.58</v>
      </c>
      <c r="AC233" s="145">
        <f>IF((Valores!$C$34)*D233&gt;Valores!$F$34,Valores!$F$34,(Valores!$C$34)*D233)</f>
        <v>22.42</v>
      </c>
      <c r="AD233" s="140">
        <f t="shared" si="41"/>
        <v>0</v>
      </c>
      <c r="AE233" s="140">
        <f>IF(Valores!$C$35*D233&gt;Valores!$F$35,Valores!$F$35,Valores!$C$35*D233)</f>
        <v>18.68</v>
      </c>
      <c r="AF233" s="144">
        <v>94</v>
      </c>
      <c r="AG233" s="140">
        <f>INT(((AF233*Valores!$C$2)*100)+0.5)/100</f>
        <v>1257.96</v>
      </c>
      <c r="AH233" s="140">
        <f>IF($H$5="NO",IF(Valores!$D$60*'Escala Docente'!D233&gt;Valores!$F$60,Valores!$F$60,Valores!$D$60*'Escala Docente'!D233),IF(Valores!$D$60*'Escala Docente'!D233&gt;Valores!$F$60,Valores!$F$60,Valores!$D$60*'Escala Docente'!D233)/2)</f>
        <v>75.88</v>
      </c>
      <c r="AI233" s="140">
        <f>IF($H$5="NO",IF(Valores!$D$62*D233&gt;Valores!$F$62,Valores!$F$62,Valores!$D$62*D233),IF(Valores!$D$62*D233&gt;Valores!$F$62,Valores!$F$62,Valores!$D$62*D233)/2)</f>
        <v>21.701333333333334</v>
      </c>
      <c r="AJ233" s="146">
        <f t="shared" si="42"/>
        <v>6458.7458333333334</v>
      </c>
      <c r="AK233" s="154">
        <f>IF(Valores!$C$38*D233&gt;Valores!$F$38,Valores!$F$38,Valores!$C$38*D233)</f>
        <v>195.4</v>
      </c>
      <c r="AL233" s="143">
        <f>IF(Valores!$C$88*D233&gt;Valores!$C$87,Valores!$C$87,Valores!$C$88*D233)</f>
        <v>227.49999999999997</v>
      </c>
      <c r="AM233" s="143"/>
      <c r="AN233" s="145">
        <f>IF($H$4="NO",0,IF(Valores!$C$59*D233&gt;Valores!$F$59,Valores!$F$59,Valores!$C$59*D233))</f>
        <v>22.7118</v>
      </c>
      <c r="AO233" s="147">
        <f t="shared" si="43"/>
        <v>445.61179999999996</v>
      </c>
      <c r="AP233" s="148">
        <f>AJ233*Valores!$C$69</f>
        <v>-710.46204166666666</v>
      </c>
      <c r="AQ233" s="149">
        <f>AJ233*-Valores!$C$70</f>
        <v>0</v>
      </c>
      <c r="AR233" s="142">
        <f>AJ233*Valores!$C$71</f>
        <v>-290.64356249999997</v>
      </c>
      <c r="AS233" s="142">
        <f>Valores!$C$95</f>
        <v>-193.38</v>
      </c>
      <c r="AT233" s="142">
        <f>IF($H$6=0,Valores!$C$96,(Valores!$C$96+$H$6*(Valores!$C$96)))</f>
        <v>-178</v>
      </c>
      <c r="AU233" s="146">
        <f t="shared" si="44"/>
        <v>5531.8720291666668</v>
      </c>
      <c r="AV233" s="199">
        <f t="shared" si="40"/>
        <v>-710.46204166666666</v>
      </c>
      <c r="AW233" s="142">
        <f>AJ233*Valores!$C$72</f>
        <v>-174.38613749999999</v>
      </c>
      <c r="AX233" s="142">
        <f>AJ233*Valores!$C$73</f>
        <v>-19.376237500000002</v>
      </c>
      <c r="AY233" s="146">
        <f t="shared" si="45"/>
        <v>6000.1332166666662</v>
      </c>
      <c r="AZ233" s="150"/>
      <c r="BA233" s="150">
        <f t="shared" si="46"/>
        <v>2</v>
      </c>
      <c r="BB233" s="135" t="s">
        <v>4</v>
      </c>
    </row>
    <row r="234" spans="1:54" s="114" customFormat="1" ht="11.25" customHeight="1" x14ac:dyDescent="0.15">
      <c r="A234" s="134">
        <v>232</v>
      </c>
      <c r="B234" s="134"/>
      <c r="C234" s="135" t="s">
        <v>497</v>
      </c>
      <c r="D234" s="135">
        <v>3</v>
      </c>
      <c r="E234" s="135">
        <f t="shared" si="37"/>
        <v>33</v>
      </c>
      <c r="F234" s="136" t="str">
        <f>CONCATENATE("Hora Cátedra Enseñanza Media ",D234," hs")</f>
        <v>Hora Cátedra Enseñanza Media 3 hs</v>
      </c>
      <c r="G234" s="137">
        <f t="shared" si="47"/>
        <v>237</v>
      </c>
      <c r="H234" s="138">
        <f>INT((G234*Valores!$C$2*100)+0.49)/100</f>
        <v>3171.68</v>
      </c>
      <c r="I234" s="156">
        <v>0</v>
      </c>
      <c r="J234" s="140">
        <f>INT((I234*Valores!$C$2*100)+0.5)/100</f>
        <v>0</v>
      </c>
      <c r="K234" s="155">
        <v>0</v>
      </c>
      <c r="L234" s="140">
        <f>INT((K234*Valores!$C$2*100)+0.5)/100</f>
        <v>0</v>
      </c>
      <c r="M234" s="153">
        <v>0</v>
      </c>
      <c r="N234" s="140">
        <f>INT((M234*Valores!$C$2*100)+0.5)/100</f>
        <v>0</v>
      </c>
      <c r="O234" s="140">
        <f t="shared" si="38"/>
        <v>582.98249999999996</v>
      </c>
      <c r="P234" s="140">
        <f t="shared" si="39"/>
        <v>0</v>
      </c>
      <c r="Q234" s="154">
        <f>Valores!$C$14*D234</f>
        <v>1361.52</v>
      </c>
      <c r="R234" s="154">
        <f>IF(D234&lt;15,(Valores!$E$4*D234),Valores!$D$4)</f>
        <v>1368.24</v>
      </c>
      <c r="S234" s="140">
        <v>0</v>
      </c>
      <c r="T234" s="143">
        <f>IF($H$5="NO",IF(Valores!$C$47*D234&gt;Valores!$C$45,Valores!$C$45,Valores!$C$47*D234),IF(Valores!$C$47*D234&gt;Valores!$C$45,Valores!$C$45,Valores!$C$47*D234)/2)</f>
        <v>286.64999999999998</v>
      </c>
      <c r="U234" s="154">
        <f>Valores!$C$24*D234</f>
        <v>428.22</v>
      </c>
      <c r="V234" s="140">
        <f t="shared" si="33"/>
        <v>428.22</v>
      </c>
      <c r="W234" s="140">
        <v>0</v>
      </c>
      <c r="X234" s="140">
        <v>0</v>
      </c>
      <c r="Y234" s="160">
        <v>0</v>
      </c>
      <c r="Z234" s="140">
        <f>Y234*Valores!$C$2</f>
        <v>0</v>
      </c>
      <c r="AA234" s="140">
        <v>0</v>
      </c>
      <c r="AB234" s="143">
        <f>IF(Valores!$C$93*D234&gt;Valores!$C$92,Valores!$C$92,Valores!$C$93*D234)</f>
        <v>393.87</v>
      </c>
      <c r="AC234" s="145">
        <f>IF((Valores!$C$34)*D234&gt;Valores!$F$34,Valores!$F$34,(Valores!$C$34)*D234)</f>
        <v>33.630000000000003</v>
      </c>
      <c r="AD234" s="140">
        <f t="shared" si="41"/>
        <v>0</v>
      </c>
      <c r="AE234" s="140">
        <f>IF(Valores!$C$35*D234&gt;Valores!$F$35,Valores!$F$35,Valores!$C$35*D234)</f>
        <v>28.02</v>
      </c>
      <c r="AF234" s="144">
        <v>0</v>
      </c>
      <c r="AG234" s="140">
        <f>INT(((AF234*Valores!$C$2)*100)+0.5)/100</f>
        <v>0</v>
      </c>
      <c r="AH234" s="140">
        <f>IF($H$5="NO",IF(Valores!$D$60*'Escala Docente'!D234&gt;Valores!$F$60,Valores!$F$60,Valores!$D$60*'Escala Docente'!D234),IF(Valores!$D$60*'Escala Docente'!D234&gt;Valores!$F$60,Valores!$F$60,Valores!$D$60*'Escala Docente'!D234)/2)</f>
        <v>113.82</v>
      </c>
      <c r="AI234" s="140">
        <f>IF($H$5="NO",IF(Valores!$D$62*D234&gt;Valores!$F$62,Valores!$F$62,Valores!$D$62*D234),IF(Valores!$D$62*D234&gt;Valores!$F$62,Valores!$F$62,Valores!$D$62*D234)/2)</f>
        <v>32.552</v>
      </c>
      <c r="AJ234" s="146">
        <f t="shared" si="42"/>
        <v>7801.1844999999994</v>
      </c>
      <c r="AK234" s="154">
        <f>IF(Valores!$C$38*D234&gt;Valores!$F$38,Valores!$F$38,Valores!$C$38*D234)</f>
        <v>293.10000000000002</v>
      </c>
      <c r="AL234" s="143">
        <f>IF(Valores!$C$88*D234&gt;Valores!$C$87,Valores!$C$87,Valores!$C$88*D234)</f>
        <v>341.24999999999994</v>
      </c>
      <c r="AM234" s="143"/>
      <c r="AN234" s="145">
        <f>IF($H$4="NO",0,IF(Valores!$C$59*D234&gt;Valores!$F$59,Valores!$F$59,Valores!$C$59*D234))</f>
        <v>34.067700000000002</v>
      </c>
      <c r="AO234" s="147">
        <f t="shared" si="43"/>
        <v>668.41769999999997</v>
      </c>
      <c r="AP234" s="148">
        <f>AJ234*Valores!$C$69</f>
        <v>-858.13029499999993</v>
      </c>
      <c r="AQ234" s="149">
        <f>AJ234*-Valores!$C$70</f>
        <v>0</v>
      </c>
      <c r="AR234" s="142">
        <f>AJ234*Valores!$C$71</f>
        <v>-351.05330249999997</v>
      </c>
      <c r="AS234" s="142">
        <f>Valores!$C$95</f>
        <v>-193.38</v>
      </c>
      <c r="AT234" s="142">
        <f>IF($H$6=0,Valores!$C$96,(Valores!$C$96+$H$6*(Valores!$C$96)))</f>
        <v>-178</v>
      </c>
      <c r="AU234" s="146">
        <f t="shared" si="44"/>
        <v>6889.0386024999998</v>
      </c>
      <c r="AV234" s="199">
        <f t="shared" si="40"/>
        <v>-858.13029499999993</v>
      </c>
      <c r="AW234" s="142">
        <f>AJ234*Valores!$C$72</f>
        <v>-210.63198149999999</v>
      </c>
      <c r="AX234" s="142">
        <f>AJ234*Valores!$C$73</f>
        <v>-23.403553499999997</v>
      </c>
      <c r="AY234" s="146">
        <f t="shared" si="45"/>
        <v>7377.4363699999994</v>
      </c>
      <c r="AZ234" s="150"/>
      <c r="BA234" s="150">
        <f t="shared" si="46"/>
        <v>3</v>
      </c>
      <c r="BB234" s="135" t="s">
        <v>4</v>
      </c>
    </row>
    <row r="235" spans="1:54" s="114" customFormat="1" ht="11.25" customHeight="1" x14ac:dyDescent="0.15">
      <c r="A235" s="134">
        <v>233</v>
      </c>
      <c r="B235" s="134"/>
      <c r="C235" s="135" t="s">
        <v>497</v>
      </c>
      <c r="D235" s="135">
        <v>3</v>
      </c>
      <c r="E235" s="135">
        <f t="shared" si="37"/>
        <v>41</v>
      </c>
      <c r="F235" s="136" t="str">
        <f>CONCATENATE("Hora Cátedra Enseñanza Media ",D235," hs Esc Esp")</f>
        <v>Hora Cátedra Enseñanza Media 3 hs Esc Esp</v>
      </c>
      <c r="G235" s="137">
        <f t="shared" si="47"/>
        <v>237</v>
      </c>
      <c r="H235" s="138">
        <f>INT((G235*Valores!$C$2*100)+0.49)/100</f>
        <v>3171.68</v>
      </c>
      <c r="I235" s="156">
        <v>0</v>
      </c>
      <c r="J235" s="140">
        <f>INT((I235*Valores!$C$2*100)+0.5)/100</f>
        <v>0</v>
      </c>
      <c r="K235" s="155">
        <v>0</v>
      </c>
      <c r="L235" s="140">
        <f>INT((K235*Valores!$C$2*100)+0.5)/100</f>
        <v>0</v>
      </c>
      <c r="M235" s="153">
        <v>0</v>
      </c>
      <c r="N235" s="140">
        <f>INT((M235*Valores!$C$2*100)+0.5)/100</f>
        <v>0</v>
      </c>
      <c r="O235" s="140">
        <f t="shared" si="38"/>
        <v>582.98249999999996</v>
      </c>
      <c r="P235" s="140">
        <f t="shared" si="39"/>
        <v>0</v>
      </c>
      <c r="Q235" s="154">
        <f>Valores!$C$14*D235</f>
        <v>1361.52</v>
      </c>
      <c r="R235" s="154">
        <f>IF(D235&lt;15,(Valores!$E$4*D235),Valores!$D$4)</f>
        <v>1368.24</v>
      </c>
      <c r="S235" s="140">
        <v>0</v>
      </c>
      <c r="T235" s="143">
        <f>IF($H$5="NO",IF(Valores!$C$47*D235&gt;Valores!$C$45,Valores!$C$45,Valores!$C$47*D235),IF(Valores!$C$47*D235&gt;Valores!$C$45,Valores!$C$45,Valores!$C$47*D235)/2)</f>
        <v>286.64999999999998</v>
      </c>
      <c r="U235" s="154">
        <f>Valores!$C$24*D235</f>
        <v>428.22</v>
      </c>
      <c r="V235" s="140">
        <f t="shared" si="33"/>
        <v>428.22</v>
      </c>
      <c r="W235" s="140">
        <v>0</v>
      </c>
      <c r="X235" s="140">
        <v>0</v>
      </c>
      <c r="Y235" s="160">
        <v>0</v>
      </c>
      <c r="Z235" s="140">
        <f>Y235*Valores!$C$2</f>
        <v>0</v>
      </c>
      <c r="AA235" s="140">
        <v>0</v>
      </c>
      <c r="AB235" s="143">
        <f>IF(Valores!$C$93*D235&gt;Valores!$C$92,Valores!$C$92,Valores!$C$93*D235)</f>
        <v>393.87</v>
      </c>
      <c r="AC235" s="145">
        <f>IF((Valores!$C$34)*D235&gt;Valores!$F$34,Valores!$F$34,(Valores!$C$34)*D235)</f>
        <v>33.630000000000003</v>
      </c>
      <c r="AD235" s="140">
        <f t="shared" si="41"/>
        <v>0</v>
      </c>
      <c r="AE235" s="140">
        <f>IF(Valores!$C$35*D235&gt;Valores!$F$35,Valores!$F$35,Valores!$C$35*D235)</f>
        <v>28.02</v>
      </c>
      <c r="AF235" s="144">
        <v>94</v>
      </c>
      <c r="AG235" s="140">
        <f>INT(((AF235*Valores!$C$2)*100)+0.5)/100</f>
        <v>1257.96</v>
      </c>
      <c r="AH235" s="140">
        <f>IF($H$5="NO",IF(Valores!$D$60*'Escala Docente'!D235&gt;Valores!$F$60,Valores!$F$60,Valores!$D$60*'Escala Docente'!D235),IF(Valores!$D$60*'Escala Docente'!D235&gt;Valores!$F$60,Valores!$F$60,Valores!$D$60*'Escala Docente'!D235)/2)</f>
        <v>113.82</v>
      </c>
      <c r="AI235" s="140">
        <f>IF($H$5="NO",IF(Valores!$D$62*D235&gt;Valores!$F$62,Valores!$F$62,Valores!$D$62*D235),IF(Valores!$D$62*D235&gt;Valores!$F$62,Valores!$F$62,Valores!$D$62*D235)/2)</f>
        <v>32.552</v>
      </c>
      <c r="AJ235" s="146">
        <f t="shared" si="42"/>
        <v>9059.1445000000003</v>
      </c>
      <c r="AK235" s="154">
        <f>IF(Valores!$C$38*D235&gt;Valores!$F$38,Valores!$F$38,Valores!$C$38*D235)</f>
        <v>293.10000000000002</v>
      </c>
      <c r="AL235" s="143">
        <f>IF(Valores!$C$88*D235&gt;Valores!$C$87,Valores!$C$87,Valores!$C$88*D235)</f>
        <v>341.24999999999994</v>
      </c>
      <c r="AM235" s="143"/>
      <c r="AN235" s="145">
        <f>IF($H$4="NO",0,IF(Valores!$C$59*D235&gt;Valores!$F$59,Valores!$F$59,Valores!$C$59*D235))</f>
        <v>34.067700000000002</v>
      </c>
      <c r="AO235" s="147">
        <f t="shared" si="43"/>
        <v>668.41769999999997</v>
      </c>
      <c r="AP235" s="148">
        <f>AJ235*Valores!$C$69</f>
        <v>-996.50589500000001</v>
      </c>
      <c r="AQ235" s="149">
        <f>AJ235*-Valores!$C$70</f>
        <v>0</v>
      </c>
      <c r="AR235" s="142">
        <f>AJ235*Valores!$C$71</f>
        <v>-407.66150249999998</v>
      </c>
      <c r="AS235" s="142">
        <f>Valores!$C$95</f>
        <v>-193.38</v>
      </c>
      <c r="AT235" s="142">
        <f>IF($H$6=0,Valores!$C$96,(Valores!$C$96+$H$6*(Valores!$C$96)))</f>
        <v>-178</v>
      </c>
      <c r="AU235" s="146">
        <f t="shared" si="44"/>
        <v>7952.0148024999999</v>
      </c>
      <c r="AV235" s="199">
        <f t="shared" si="40"/>
        <v>-996.50589500000001</v>
      </c>
      <c r="AW235" s="142">
        <f>AJ235*Valores!$C$72</f>
        <v>-244.5969015</v>
      </c>
      <c r="AX235" s="142">
        <f>AJ235*Valores!$C$73</f>
        <v>-27.177433500000003</v>
      </c>
      <c r="AY235" s="146">
        <f t="shared" si="45"/>
        <v>8459.28197</v>
      </c>
      <c r="AZ235" s="150"/>
      <c r="BA235" s="150">
        <f t="shared" si="46"/>
        <v>3</v>
      </c>
      <c r="BB235" s="135" t="s">
        <v>4</v>
      </c>
    </row>
    <row r="236" spans="1:54" s="114" customFormat="1" ht="11.25" customHeight="1" x14ac:dyDescent="0.15">
      <c r="A236" s="134">
        <v>234</v>
      </c>
      <c r="B236" s="134"/>
      <c r="C236" s="135" t="s">
        <v>497</v>
      </c>
      <c r="D236" s="135">
        <v>4</v>
      </c>
      <c r="E236" s="135">
        <f t="shared" si="37"/>
        <v>33</v>
      </c>
      <c r="F236" s="136" t="str">
        <f>CONCATENATE("Hora Cátedra Enseñanza Media ",D236," hs")</f>
        <v>Hora Cátedra Enseñanza Media 4 hs</v>
      </c>
      <c r="G236" s="137">
        <f t="shared" si="47"/>
        <v>316</v>
      </c>
      <c r="H236" s="138">
        <f>INT((G236*Valores!$C$2*100)+0.49)/100</f>
        <v>4228.8999999999996</v>
      </c>
      <c r="I236" s="156">
        <v>0</v>
      </c>
      <c r="J236" s="140">
        <f>INT((I236*Valores!$C$2*100)+0.5)/100</f>
        <v>0</v>
      </c>
      <c r="K236" s="155">
        <v>0</v>
      </c>
      <c r="L236" s="140">
        <f>INT((K236*Valores!$C$2*100)+0.5)/100</f>
        <v>0</v>
      </c>
      <c r="M236" s="153">
        <v>0</v>
      </c>
      <c r="N236" s="140">
        <f>INT((M236*Valores!$C$2*100)+0.5)/100</f>
        <v>0</v>
      </c>
      <c r="O236" s="140">
        <f t="shared" si="38"/>
        <v>777.30899999999986</v>
      </c>
      <c r="P236" s="140">
        <f t="shared" si="39"/>
        <v>0</v>
      </c>
      <c r="Q236" s="154">
        <f>Valores!$C$14*D236</f>
        <v>1815.36</v>
      </c>
      <c r="R236" s="154">
        <f>IF(D236&lt;15,(Valores!$E$4*D236),Valores!$D$4)</f>
        <v>1824.32</v>
      </c>
      <c r="S236" s="140">
        <v>0</v>
      </c>
      <c r="T236" s="143">
        <f>IF($H$5="NO",IF(Valores!$C$47*D236&gt;Valores!$C$45,Valores!$C$45,Valores!$C$47*D236),IF(Valores!$C$47*D236&gt;Valores!$C$45,Valores!$C$45,Valores!$C$47*D236)/2)</f>
        <v>382.2</v>
      </c>
      <c r="U236" s="154">
        <f>Valores!$C$24*D236</f>
        <v>570.96</v>
      </c>
      <c r="V236" s="140">
        <f t="shared" si="33"/>
        <v>570.96</v>
      </c>
      <c r="W236" s="140">
        <v>0</v>
      </c>
      <c r="X236" s="140">
        <v>0</v>
      </c>
      <c r="Y236" s="160">
        <v>0</v>
      </c>
      <c r="Z236" s="140">
        <f>Y236*Valores!$C$2</f>
        <v>0</v>
      </c>
      <c r="AA236" s="140">
        <v>0</v>
      </c>
      <c r="AB236" s="143">
        <f>IF(Valores!$C$93*D236&gt;Valores!$C$92,Valores!$C$92,Valores!$C$93*D236)</f>
        <v>525.16</v>
      </c>
      <c r="AC236" s="145">
        <f>IF((Valores!$C$34)*D236&gt;Valores!$F$34,Valores!$F$34,(Valores!$C$34)*D236)</f>
        <v>44.84</v>
      </c>
      <c r="AD236" s="140">
        <f t="shared" si="41"/>
        <v>0</v>
      </c>
      <c r="AE236" s="140">
        <f>IF(Valores!$C$35*D236&gt;Valores!$F$35,Valores!$F$35,Valores!$C$35*D236)</f>
        <v>37.36</v>
      </c>
      <c r="AF236" s="144">
        <v>0</v>
      </c>
      <c r="AG236" s="140">
        <f>INT(((AF236*Valores!$C$2)*100)+0.5)/100</f>
        <v>0</v>
      </c>
      <c r="AH236" s="140">
        <f>IF($H$5="NO",IF(Valores!$D$60*'Escala Docente'!D236&gt;Valores!$F$60,Valores!$F$60,Valores!$D$60*'Escala Docente'!D236),IF(Valores!$D$60*'Escala Docente'!D236&gt;Valores!$F$60,Valores!$F$60,Valores!$D$60*'Escala Docente'!D236)/2)</f>
        <v>151.76</v>
      </c>
      <c r="AI236" s="140">
        <f>IF($H$5="NO",IF(Valores!$D$62*D236&gt;Valores!$F$62,Valores!$F$62,Valores!$D$62*D236),IF(Valores!$D$62*D236&gt;Valores!$F$62,Valores!$F$62,Valores!$D$62*D236)/2)</f>
        <v>43.402666666666669</v>
      </c>
      <c r="AJ236" s="146">
        <f t="shared" si="42"/>
        <v>10401.571666666667</v>
      </c>
      <c r="AK236" s="154">
        <f>IF(Valores!$C$38*D236&gt;Valores!$F$38,Valores!$F$38,Valores!$C$38*D236)</f>
        <v>390.8</v>
      </c>
      <c r="AL236" s="143">
        <f>IF(Valores!$C$88*D236&gt;Valores!$C$87,Valores!$C$87,Valores!$C$88*D236)</f>
        <v>454.99999999999994</v>
      </c>
      <c r="AM236" s="143"/>
      <c r="AN236" s="145">
        <f>IF($H$4="NO",0,IF(Valores!$C$59*D236&gt;Valores!$F$59,Valores!$F$59,Valores!$C$59*D236))</f>
        <v>45.4236</v>
      </c>
      <c r="AO236" s="147">
        <f t="shared" si="43"/>
        <v>891.22359999999992</v>
      </c>
      <c r="AP236" s="148">
        <f>AJ236*Valores!$C$69</f>
        <v>-1144.1728833333334</v>
      </c>
      <c r="AQ236" s="149">
        <f>AJ236*-Valores!$C$70</f>
        <v>0</v>
      </c>
      <c r="AR236" s="142">
        <f>AJ236*Valores!$C$71</f>
        <v>-468.07072499999998</v>
      </c>
      <c r="AS236" s="142">
        <f>Valores!$C$95</f>
        <v>-193.38</v>
      </c>
      <c r="AT236" s="142">
        <f>IF($H$6=0,Valores!$C$96,(Valores!$C$96+$H$6*(Valores!$C$96)))</f>
        <v>-178</v>
      </c>
      <c r="AU236" s="146">
        <f t="shared" si="44"/>
        <v>9309.1716583333327</v>
      </c>
      <c r="AV236" s="199">
        <f t="shared" si="40"/>
        <v>-1144.1728833333334</v>
      </c>
      <c r="AW236" s="142">
        <f>AJ236*Valores!$C$72</f>
        <v>-280.84243500000002</v>
      </c>
      <c r="AX236" s="142">
        <f>AJ236*Valores!$C$73</f>
        <v>-31.204715</v>
      </c>
      <c r="AY236" s="146">
        <f t="shared" si="45"/>
        <v>9836.575233333333</v>
      </c>
      <c r="AZ236" s="150"/>
      <c r="BA236" s="150">
        <f t="shared" si="46"/>
        <v>4</v>
      </c>
      <c r="BB236" s="135" t="s">
        <v>4</v>
      </c>
    </row>
    <row r="237" spans="1:54" s="114" customFormat="1" ht="11.25" customHeight="1" x14ac:dyDescent="0.15">
      <c r="A237" s="152">
        <v>235</v>
      </c>
      <c r="B237" s="152" t="s">
        <v>139</v>
      </c>
      <c r="C237" s="135" t="s">
        <v>497</v>
      </c>
      <c r="D237" s="135">
        <v>4</v>
      </c>
      <c r="E237" s="135">
        <f t="shared" si="37"/>
        <v>41</v>
      </c>
      <c r="F237" s="136" t="str">
        <f>CONCATENATE("Hora Cátedra Enseñanza Media ",D237," hs Esc Esp")</f>
        <v>Hora Cátedra Enseñanza Media 4 hs Esc Esp</v>
      </c>
      <c r="G237" s="137">
        <f t="shared" si="47"/>
        <v>316</v>
      </c>
      <c r="H237" s="138">
        <f>INT((G237*Valores!$C$2*100)+0.49)/100</f>
        <v>4228.8999999999996</v>
      </c>
      <c r="I237" s="156">
        <v>0</v>
      </c>
      <c r="J237" s="140">
        <f>INT((I237*Valores!$C$2*100)+0.5)/100</f>
        <v>0</v>
      </c>
      <c r="K237" s="155">
        <v>0</v>
      </c>
      <c r="L237" s="140">
        <f>INT((K237*Valores!$C$2*100)+0.5)/100</f>
        <v>0</v>
      </c>
      <c r="M237" s="153">
        <v>0</v>
      </c>
      <c r="N237" s="140">
        <f>INT((M237*Valores!$C$2*100)+0.5)/100</f>
        <v>0</v>
      </c>
      <c r="O237" s="140">
        <f t="shared" si="38"/>
        <v>777.30899999999986</v>
      </c>
      <c r="P237" s="140">
        <f t="shared" si="39"/>
        <v>0</v>
      </c>
      <c r="Q237" s="154">
        <f>Valores!$C$14*D237</f>
        <v>1815.36</v>
      </c>
      <c r="R237" s="154">
        <f>IF(D237&lt;15,(Valores!$E$4*D237),Valores!$D$4)</f>
        <v>1824.32</v>
      </c>
      <c r="S237" s="140">
        <v>0</v>
      </c>
      <c r="T237" s="143">
        <f>IF($H$5="NO",IF(Valores!$C$47*D237&gt;Valores!$C$45,Valores!$C$45,Valores!$C$47*D237),IF(Valores!$C$47*D237&gt;Valores!$C$45,Valores!$C$45,Valores!$C$47*D237)/2)</f>
        <v>382.2</v>
      </c>
      <c r="U237" s="154">
        <f>Valores!$C$24*D237</f>
        <v>570.96</v>
      </c>
      <c r="V237" s="140">
        <f t="shared" si="33"/>
        <v>570.96</v>
      </c>
      <c r="W237" s="140">
        <v>0</v>
      </c>
      <c r="X237" s="140">
        <v>0</v>
      </c>
      <c r="Y237" s="160">
        <v>0</v>
      </c>
      <c r="Z237" s="140">
        <f>Y237*Valores!$C$2</f>
        <v>0</v>
      </c>
      <c r="AA237" s="140">
        <v>0</v>
      </c>
      <c r="AB237" s="143">
        <f>IF(Valores!$C$93*D237&gt;Valores!$C$92,Valores!$C$92,Valores!$C$93*D237)</f>
        <v>525.16</v>
      </c>
      <c r="AC237" s="145">
        <f>IF((Valores!$C$34)*D237&gt;Valores!$F$34,Valores!$F$34,(Valores!$C$34)*D237)</f>
        <v>44.84</v>
      </c>
      <c r="AD237" s="140">
        <f t="shared" si="41"/>
        <v>0</v>
      </c>
      <c r="AE237" s="140">
        <f>IF(Valores!$C$35*D237&gt;Valores!$F$35,Valores!$F$35,Valores!$C$35*D237)</f>
        <v>37.36</v>
      </c>
      <c r="AF237" s="144">
        <v>94</v>
      </c>
      <c r="AG237" s="140">
        <f>INT(((AF237*Valores!$C$2)*100)+0.5)/100</f>
        <v>1257.96</v>
      </c>
      <c r="AH237" s="140">
        <f>IF($H$5="NO",IF(Valores!$D$60*'Escala Docente'!D237&gt;Valores!$F$60,Valores!$F$60,Valores!$D$60*'Escala Docente'!D237),IF(Valores!$D$60*'Escala Docente'!D237&gt;Valores!$F$60,Valores!$F$60,Valores!$D$60*'Escala Docente'!D237)/2)</f>
        <v>151.76</v>
      </c>
      <c r="AI237" s="140">
        <f>IF($H$5="NO",IF(Valores!$D$62*D237&gt;Valores!$F$62,Valores!$F$62,Valores!$D$62*D237),IF(Valores!$D$62*D237&gt;Valores!$F$62,Valores!$F$62,Valores!$D$62*D237)/2)</f>
        <v>43.402666666666669</v>
      </c>
      <c r="AJ237" s="146">
        <f t="shared" si="42"/>
        <v>11659.531666666666</v>
      </c>
      <c r="AK237" s="154">
        <f>IF(Valores!$C$38*D237&gt;Valores!$F$38,Valores!$F$38,Valores!$C$38*D237)</f>
        <v>390.8</v>
      </c>
      <c r="AL237" s="143">
        <f>IF(Valores!$C$88*D237&gt;Valores!$C$87,Valores!$C$87,Valores!$C$88*D237)</f>
        <v>454.99999999999994</v>
      </c>
      <c r="AM237" s="143"/>
      <c r="AN237" s="145">
        <f>IF($H$4="NO",0,IF(Valores!$C$59*D237&gt;Valores!$F$59,Valores!$F$59,Valores!$C$59*D237))</f>
        <v>45.4236</v>
      </c>
      <c r="AO237" s="147">
        <f t="shared" si="43"/>
        <v>891.22359999999992</v>
      </c>
      <c r="AP237" s="148">
        <f>AJ237*Valores!$C$69</f>
        <v>-1282.5484833333333</v>
      </c>
      <c r="AQ237" s="149">
        <f>AJ237*-Valores!$C$70</f>
        <v>0</v>
      </c>
      <c r="AR237" s="142">
        <f>AJ237*Valores!$C$71</f>
        <v>-524.67892499999994</v>
      </c>
      <c r="AS237" s="142">
        <f>Valores!$C$95</f>
        <v>-193.38</v>
      </c>
      <c r="AT237" s="142">
        <f>IF($H$6=0,Valores!$C$96,(Valores!$C$96+$H$6*(Valores!$C$96)))</f>
        <v>-178</v>
      </c>
      <c r="AU237" s="146">
        <f t="shared" si="44"/>
        <v>10372.147858333332</v>
      </c>
      <c r="AV237" s="199">
        <f t="shared" si="40"/>
        <v>-1282.5484833333333</v>
      </c>
      <c r="AW237" s="142">
        <f>AJ237*Valores!$C$72</f>
        <v>-314.80735499999997</v>
      </c>
      <c r="AX237" s="142">
        <f>AJ237*Valores!$C$73</f>
        <v>-34.978594999999999</v>
      </c>
      <c r="AY237" s="146">
        <f t="shared" si="45"/>
        <v>10918.420833333332</v>
      </c>
      <c r="AZ237" s="150"/>
      <c r="BA237" s="150">
        <f t="shared" si="46"/>
        <v>4</v>
      </c>
      <c r="BB237" s="135" t="s">
        <v>4</v>
      </c>
    </row>
    <row r="238" spans="1:54" s="114" customFormat="1" ht="11.25" customHeight="1" x14ac:dyDescent="0.15">
      <c r="A238" s="134">
        <v>236</v>
      </c>
      <c r="B238" s="134"/>
      <c r="C238" s="135" t="s">
        <v>497</v>
      </c>
      <c r="D238" s="135">
        <v>5</v>
      </c>
      <c r="E238" s="135">
        <f t="shared" si="37"/>
        <v>33</v>
      </c>
      <c r="F238" s="136" t="str">
        <f>CONCATENATE("Hora Cátedra Enseñanza Media ",D238," hs")</f>
        <v>Hora Cátedra Enseñanza Media 5 hs</v>
      </c>
      <c r="G238" s="137">
        <f t="shared" si="47"/>
        <v>395</v>
      </c>
      <c r="H238" s="138">
        <f>INT((G238*Valores!$C$2*100)+0.49)/100</f>
        <v>5286.13</v>
      </c>
      <c r="I238" s="156">
        <v>0</v>
      </c>
      <c r="J238" s="140">
        <f>INT((I238*Valores!$C$2*100)+0.5)/100</f>
        <v>0</v>
      </c>
      <c r="K238" s="155">
        <v>0</v>
      </c>
      <c r="L238" s="140">
        <f>INT((K238*Valores!$C$2*100)+0.5)/100</f>
        <v>0</v>
      </c>
      <c r="M238" s="153">
        <v>0</v>
      </c>
      <c r="N238" s="140">
        <f>INT((M238*Valores!$C$2*100)+0.5)/100</f>
        <v>0</v>
      </c>
      <c r="O238" s="140">
        <f t="shared" si="38"/>
        <v>971.63699999999994</v>
      </c>
      <c r="P238" s="140">
        <f t="shared" si="39"/>
        <v>0</v>
      </c>
      <c r="Q238" s="154">
        <f>Valores!$C$14*D238</f>
        <v>2269.1999999999998</v>
      </c>
      <c r="R238" s="154">
        <f>IF(D238&lt;15,(Valores!$E$4*D238),Valores!$D$4)</f>
        <v>2280.4</v>
      </c>
      <c r="S238" s="140">
        <v>0</v>
      </c>
      <c r="T238" s="143">
        <f>IF($H$5="NO",IF(Valores!$C$47*D238&gt;Valores!$C$45,Valores!$C$45,Valores!$C$47*D238),IF(Valores!$C$47*D238&gt;Valores!$C$45,Valores!$C$45,Valores!$C$47*D238)/2)</f>
        <v>477.75</v>
      </c>
      <c r="U238" s="154">
        <f>Valores!$C$24*D238</f>
        <v>713.7</v>
      </c>
      <c r="V238" s="140">
        <f t="shared" si="33"/>
        <v>713.7</v>
      </c>
      <c r="W238" s="140">
        <v>0</v>
      </c>
      <c r="X238" s="140">
        <v>0</v>
      </c>
      <c r="Y238" s="160">
        <v>0</v>
      </c>
      <c r="Z238" s="140">
        <f>Y238*Valores!$C$2</f>
        <v>0</v>
      </c>
      <c r="AA238" s="140">
        <v>0</v>
      </c>
      <c r="AB238" s="143">
        <f>IF(Valores!$C$93*D238&gt;Valores!$C$92,Valores!$C$92,Valores!$C$93*D238)</f>
        <v>656.44999999999993</v>
      </c>
      <c r="AC238" s="145">
        <f>IF((Valores!$C$34)*D238&gt;Valores!$F$34,Valores!$F$34,(Valores!$C$34)*D238)</f>
        <v>56.050000000000004</v>
      </c>
      <c r="AD238" s="140">
        <f t="shared" si="41"/>
        <v>0</v>
      </c>
      <c r="AE238" s="140">
        <f>IF(Valores!$C$35*D238&gt;Valores!$F$35,Valores!$F$35,Valores!$C$35*D238)</f>
        <v>46.7</v>
      </c>
      <c r="AF238" s="144">
        <v>0</v>
      </c>
      <c r="AG238" s="140">
        <f>INT(((AF238*Valores!$C$2)*100)+0.5)/100</f>
        <v>0</v>
      </c>
      <c r="AH238" s="140">
        <f>IF($H$5="NO",IF(Valores!$D$60*'Escala Docente'!D238&gt;Valores!$F$60,Valores!$F$60,Valores!$D$60*'Escala Docente'!D238),IF(Valores!$D$60*'Escala Docente'!D238&gt;Valores!$F$60,Valores!$F$60,Valores!$D$60*'Escala Docente'!D238)/2)</f>
        <v>189.7</v>
      </c>
      <c r="AI238" s="140">
        <f>IF($H$5="NO",IF(Valores!$D$62*D238&gt;Valores!$F$62,Valores!$F$62,Valores!$D$62*D238),IF(Valores!$D$62*D238&gt;Valores!$F$62,Valores!$F$62,Valores!$D$62*D238)/2)</f>
        <v>54.253333333333337</v>
      </c>
      <c r="AJ238" s="146">
        <f t="shared" si="42"/>
        <v>13001.970333333336</v>
      </c>
      <c r="AK238" s="154">
        <f>IF(Valores!$C$38*D238&gt;Valores!$F$38,Valores!$F$38,Valores!$C$38*D238)</f>
        <v>488.5</v>
      </c>
      <c r="AL238" s="143">
        <f>IF(Valores!$C$88*D238&gt;Valores!$C$87,Valores!$C$87,Valores!$C$88*D238)</f>
        <v>568.74999999999989</v>
      </c>
      <c r="AM238" s="143"/>
      <c r="AN238" s="145">
        <f>IF($H$4="NO",0,IF(Valores!$C$59*D238&gt;Valores!$F$59,Valores!$F$59,Valores!$C$59*D238))</f>
        <v>56.779499999999999</v>
      </c>
      <c r="AO238" s="147">
        <f t="shared" si="43"/>
        <v>1114.0295000000001</v>
      </c>
      <c r="AP238" s="148">
        <f>AJ238*Valores!$C$69</f>
        <v>-1430.216736666667</v>
      </c>
      <c r="AQ238" s="149">
        <f>AJ238*-Valores!$C$70</f>
        <v>0</v>
      </c>
      <c r="AR238" s="142">
        <f>AJ238*Valores!$C$71</f>
        <v>-585.08866500000011</v>
      </c>
      <c r="AS238" s="142">
        <f>Valores!$C$95</f>
        <v>-193.38</v>
      </c>
      <c r="AT238" s="142">
        <f>IF($H$6=0,Valores!$C$96,(Valores!$C$96+$H$6*(Valores!$C$96)))</f>
        <v>-178</v>
      </c>
      <c r="AU238" s="146">
        <f t="shared" si="44"/>
        <v>11729.314431666669</v>
      </c>
      <c r="AV238" s="199">
        <f t="shared" si="40"/>
        <v>-1430.216736666667</v>
      </c>
      <c r="AW238" s="142">
        <f>AJ238*Valores!$C$72</f>
        <v>-351.05319900000006</v>
      </c>
      <c r="AX238" s="142">
        <f>AJ238*Valores!$C$73</f>
        <v>-39.005911000000012</v>
      </c>
      <c r="AY238" s="146">
        <f t="shared" si="45"/>
        <v>12295.72398666667</v>
      </c>
      <c r="AZ238" s="150"/>
      <c r="BA238" s="150">
        <f t="shared" si="46"/>
        <v>5</v>
      </c>
      <c r="BB238" s="135" t="s">
        <v>4</v>
      </c>
    </row>
    <row r="239" spans="1:54" s="114" customFormat="1" ht="11.25" customHeight="1" x14ac:dyDescent="0.15">
      <c r="A239" s="134">
        <v>237</v>
      </c>
      <c r="B239" s="134"/>
      <c r="C239" s="135" t="s">
        <v>497</v>
      </c>
      <c r="D239" s="135">
        <v>5</v>
      </c>
      <c r="E239" s="135">
        <f t="shared" si="37"/>
        <v>41</v>
      </c>
      <c r="F239" s="136" t="str">
        <f>CONCATENATE("Hora Cátedra Enseñanza Media ",D239," hs Esc Esp")</f>
        <v>Hora Cátedra Enseñanza Media 5 hs Esc Esp</v>
      </c>
      <c r="G239" s="137">
        <f t="shared" si="47"/>
        <v>395</v>
      </c>
      <c r="H239" s="138">
        <f>INT((G239*Valores!$C$2*100)+0.49)/100</f>
        <v>5286.13</v>
      </c>
      <c r="I239" s="156">
        <v>0</v>
      </c>
      <c r="J239" s="140">
        <f>INT((I239*Valores!$C$2*100)+0.5)/100</f>
        <v>0</v>
      </c>
      <c r="K239" s="155">
        <v>0</v>
      </c>
      <c r="L239" s="140">
        <f>INT((K239*Valores!$C$2*100)+0.5)/100</f>
        <v>0</v>
      </c>
      <c r="M239" s="153">
        <v>0</v>
      </c>
      <c r="N239" s="140">
        <f>INT((M239*Valores!$C$2*100)+0.5)/100</f>
        <v>0</v>
      </c>
      <c r="O239" s="140">
        <f t="shared" si="38"/>
        <v>971.63699999999994</v>
      </c>
      <c r="P239" s="140">
        <f t="shared" si="39"/>
        <v>0</v>
      </c>
      <c r="Q239" s="154">
        <f>Valores!$C$14*D239</f>
        <v>2269.1999999999998</v>
      </c>
      <c r="R239" s="154">
        <f>IF(D239&lt;15,(Valores!$E$4*D239),Valores!$D$4)</f>
        <v>2280.4</v>
      </c>
      <c r="S239" s="140">
        <v>0</v>
      </c>
      <c r="T239" s="143">
        <f>IF($H$5="NO",IF(Valores!$C$47*D239&gt;Valores!$C$45,Valores!$C$45,Valores!$C$47*D239),IF(Valores!$C$47*D239&gt;Valores!$C$45,Valores!$C$45,Valores!$C$47*D239)/2)</f>
        <v>477.75</v>
      </c>
      <c r="U239" s="154">
        <f>Valores!$C$24*D239</f>
        <v>713.7</v>
      </c>
      <c r="V239" s="140">
        <f t="shared" ref="V239:V302" si="48">U239*(1+$J$2)</f>
        <v>713.7</v>
      </c>
      <c r="W239" s="140">
        <v>0</v>
      </c>
      <c r="X239" s="140">
        <v>0</v>
      </c>
      <c r="Y239" s="160">
        <v>0</v>
      </c>
      <c r="Z239" s="140">
        <f>Y239*Valores!$C$2</f>
        <v>0</v>
      </c>
      <c r="AA239" s="140">
        <v>0</v>
      </c>
      <c r="AB239" s="143">
        <f>IF(Valores!$C$93*D239&gt;Valores!$C$92,Valores!$C$92,Valores!$C$93*D239)</f>
        <v>656.44999999999993</v>
      </c>
      <c r="AC239" s="145">
        <f>IF((Valores!$C$34)*D239&gt;Valores!$F$34,Valores!$F$34,(Valores!$C$34)*D239)</f>
        <v>56.050000000000004</v>
      </c>
      <c r="AD239" s="140">
        <f t="shared" si="41"/>
        <v>0</v>
      </c>
      <c r="AE239" s="140">
        <f>IF(Valores!$C$35*D239&gt;Valores!$F$35,Valores!$F$35,Valores!$C$35*D239)</f>
        <v>46.7</v>
      </c>
      <c r="AF239" s="144">
        <v>94</v>
      </c>
      <c r="AG239" s="140">
        <f>INT(((AF239*Valores!$C$2)*100)+0.5)/100</f>
        <v>1257.96</v>
      </c>
      <c r="AH239" s="140">
        <f>IF($H$5="NO",IF(Valores!$D$60*'Escala Docente'!D239&gt;Valores!$F$60,Valores!$F$60,Valores!$D$60*'Escala Docente'!D239),IF(Valores!$D$60*'Escala Docente'!D239&gt;Valores!$F$60,Valores!$F$60,Valores!$D$60*'Escala Docente'!D239)/2)</f>
        <v>189.7</v>
      </c>
      <c r="AI239" s="140">
        <f>IF($H$5="NO",IF(Valores!$D$62*D239&gt;Valores!$F$62,Valores!$F$62,Valores!$D$62*D239),IF(Valores!$D$62*D239&gt;Valores!$F$62,Valores!$F$62,Valores!$D$62*D239)/2)</f>
        <v>54.253333333333337</v>
      </c>
      <c r="AJ239" s="146">
        <f t="shared" si="42"/>
        <v>14259.930333333337</v>
      </c>
      <c r="AK239" s="154">
        <f>IF(Valores!$C$38*D239&gt;Valores!$F$38,Valores!$F$38,Valores!$C$38*D239)</f>
        <v>488.5</v>
      </c>
      <c r="AL239" s="143">
        <f>IF(Valores!$C$88*D239&gt;Valores!$C$87,Valores!$C$87,Valores!$C$88*D239)</f>
        <v>568.74999999999989</v>
      </c>
      <c r="AM239" s="143"/>
      <c r="AN239" s="145">
        <f>IF($H$4="NO",0,IF(Valores!$C$59*D239&gt;Valores!$F$59,Valores!$F$59,Valores!$C$59*D239))</f>
        <v>56.779499999999999</v>
      </c>
      <c r="AO239" s="147">
        <f t="shared" si="43"/>
        <v>1114.0295000000001</v>
      </c>
      <c r="AP239" s="148">
        <f>AJ239*Valores!$C$69</f>
        <v>-1568.5923366666671</v>
      </c>
      <c r="AQ239" s="149">
        <f>AJ239*-Valores!$C$70</f>
        <v>0</v>
      </c>
      <c r="AR239" s="142">
        <f>AJ239*Valores!$C$71</f>
        <v>-641.69686500000012</v>
      </c>
      <c r="AS239" s="142">
        <f>Valores!$C$95</f>
        <v>-193.38</v>
      </c>
      <c r="AT239" s="142">
        <f>IF($H$6=0,Valores!$C$96,(Valores!$C$96+$H$6*(Valores!$C$96)))</f>
        <v>-178</v>
      </c>
      <c r="AU239" s="146">
        <f t="shared" si="44"/>
        <v>12792.29063166667</v>
      </c>
      <c r="AV239" s="199">
        <f t="shared" si="40"/>
        <v>-1568.5923366666671</v>
      </c>
      <c r="AW239" s="142">
        <f>AJ239*Valores!$C$72</f>
        <v>-385.01811900000013</v>
      </c>
      <c r="AX239" s="142">
        <f>AJ239*Valores!$C$73</f>
        <v>-42.77979100000001</v>
      </c>
      <c r="AY239" s="146">
        <f t="shared" si="45"/>
        <v>13377.56958666667</v>
      </c>
      <c r="AZ239" s="150"/>
      <c r="BA239" s="150">
        <f t="shared" si="46"/>
        <v>5</v>
      </c>
      <c r="BB239" s="135" t="s">
        <v>4</v>
      </c>
    </row>
    <row r="240" spans="1:54" s="114" customFormat="1" ht="11.25" customHeight="1" x14ac:dyDescent="0.15">
      <c r="A240" s="134">
        <v>238</v>
      </c>
      <c r="B240" s="134"/>
      <c r="C240" s="135" t="s">
        <v>497</v>
      </c>
      <c r="D240" s="135">
        <v>6</v>
      </c>
      <c r="E240" s="135">
        <f t="shared" si="37"/>
        <v>33</v>
      </c>
      <c r="F240" s="136" t="str">
        <f>CONCATENATE("Hora Cátedra Enseñanza Media ",D240," hs")</f>
        <v>Hora Cátedra Enseñanza Media 6 hs</v>
      </c>
      <c r="G240" s="137">
        <f t="shared" si="47"/>
        <v>474</v>
      </c>
      <c r="H240" s="138">
        <f>INT((G240*Valores!$C$2*100)+0.49)/100</f>
        <v>6343.35</v>
      </c>
      <c r="I240" s="156">
        <v>0</v>
      </c>
      <c r="J240" s="140">
        <f>INT((I240*Valores!$C$2*100)+0.5)/100</f>
        <v>0</v>
      </c>
      <c r="K240" s="155">
        <v>0</v>
      </c>
      <c r="L240" s="140">
        <f>INT((K240*Valores!$C$2*100)+0.5)/100</f>
        <v>0</v>
      </c>
      <c r="M240" s="153">
        <v>0</v>
      </c>
      <c r="N240" s="140">
        <f>INT((M240*Valores!$C$2*100)+0.5)/100</f>
        <v>0</v>
      </c>
      <c r="O240" s="140">
        <f t="shared" si="38"/>
        <v>1165.9635000000001</v>
      </c>
      <c r="P240" s="140">
        <f t="shared" si="39"/>
        <v>0</v>
      </c>
      <c r="Q240" s="154">
        <f>Valores!$C$14*D240</f>
        <v>2723.04</v>
      </c>
      <c r="R240" s="154">
        <f>IF(D240&lt;15,(Valores!$E$4*D240),Valores!$D$4)</f>
        <v>2736.48</v>
      </c>
      <c r="S240" s="140">
        <v>0</v>
      </c>
      <c r="T240" s="143">
        <f>IF($H$5="NO",IF(Valores!$C$47*D240&gt;Valores!$C$45,Valores!$C$45,Valores!$C$47*D240),IF(Valores!$C$47*D240&gt;Valores!$C$45,Valores!$C$45,Valores!$C$47*D240)/2)</f>
        <v>573.29999999999995</v>
      </c>
      <c r="U240" s="154">
        <f>Valores!$C$24*D240</f>
        <v>856.44</v>
      </c>
      <c r="V240" s="140">
        <f t="shared" si="48"/>
        <v>856.44</v>
      </c>
      <c r="W240" s="140">
        <v>0</v>
      </c>
      <c r="X240" s="140">
        <v>0</v>
      </c>
      <c r="Y240" s="160">
        <v>0</v>
      </c>
      <c r="Z240" s="140">
        <f>Y240*Valores!$C$2</f>
        <v>0</v>
      </c>
      <c r="AA240" s="140">
        <v>0</v>
      </c>
      <c r="AB240" s="143">
        <f>IF(Valores!$C$93*D240&gt;Valores!$C$92,Valores!$C$92,Valores!$C$93*D240)</f>
        <v>787.74</v>
      </c>
      <c r="AC240" s="145">
        <f>IF((Valores!$C$34)*D240&gt;Valores!$F$34,Valores!$F$34,(Valores!$C$34)*D240)</f>
        <v>67.260000000000005</v>
      </c>
      <c r="AD240" s="140">
        <f t="shared" si="41"/>
        <v>0</v>
      </c>
      <c r="AE240" s="140">
        <f>IF(Valores!$C$35*D240&gt;Valores!$F$35,Valores!$F$35,Valores!$C$35*D240)</f>
        <v>56.04</v>
      </c>
      <c r="AF240" s="144">
        <v>0</v>
      </c>
      <c r="AG240" s="140">
        <f>INT(((AF240*Valores!$C$2)*100)+0.5)/100</f>
        <v>0</v>
      </c>
      <c r="AH240" s="140">
        <f>IF($H$5="NO",IF(Valores!$D$60*'Escala Docente'!D240&gt;Valores!$F$60,Valores!$F$60,Valores!$D$60*'Escala Docente'!D240),IF(Valores!$D$60*'Escala Docente'!D240&gt;Valores!$F$60,Valores!$F$60,Valores!$D$60*'Escala Docente'!D240)/2)</f>
        <v>227.64</v>
      </c>
      <c r="AI240" s="140">
        <f>IF($H$5="NO",IF(Valores!$D$62*D240&gt;Valores!$F$62,Valores!$F$62,Valores!$D$62*D240),IF(Valores!$D$62*D240&gt;Valores!$F$62,Valores!$F$62,Valores!$D$62*D240)/2)</f>
        <v>65.103999999999999</v>
      </c>
      <c r="AJ240" s="146">
        <f t="shared" si="42"/>
        <v>15602.3575</v>
      </c>
      <c r="AK240" s="154">
        <f>IF(Valores!$C$38*D240&gt;Valores!$F$38,Valores!$F$38,Valores!$C$38*D240)</f>
        <v>586.20000000000005</v>
      </c>
      <c r="AL240" s="143">
        <f>IF(Valores!$C$88*D240&gt;Valores!$C$87,Valores!$C$87,Valores!$C$88*D240)</f>
        <v>682.49999999999989</v>
      </c>
      <c r="AM240" s="143"/>
      <c r="AN240" s="145">
        <f>IF($H$4="NO",0,IF(Valores!$C$59*D240&gt;Valores!$F$59,Valores!$F$59,Valores!$C$59*D240))</f>
        <v>68.135400000000004</v>
      </c>
      <c r="AO240" s="147">
        <f t="shared" si="43"/>
        <v>1336.8353999999999</v>
      </c>
      <c r="AP240" s="148">
        <f>AJ240*Valores!$C$69</f>
        <v>-1716.259325</v>
      </c>
      <c r="AQ240" s="149">
        <f>AJ240*-Valores!$C$70</f>
        <v>0</v>
      </c>
      <c r="AR240" s="142">
        <f>AJ240*Valores!$C$71</f>
        <v>-702.10608749999994</v>
      </c>
      <c r="AS240" s="142">
        <f>Valores!$C$95</f>
        <v>-193.38</v>
      </c>
      <c r="AT240" s="142">
        <f>IF($H$6=0,Valores!$C$96,(Valores!$C$96+$H$6*(Valores!$C$96)))</f>
        <v>-178</v>
      </c>
      <c r="AU240" s="146">
        <f t="shared" si="44"/>
        <v>14149.4474875</v>
      </c>
      <c r="AV240" s="199">
        <f t="shared" si="40"/>
        <v>-1716.259325</v>
      </c>
      <c r="AW240" s="142">
        <f>AJ240*Valores!$C$72</f>
        <v>-421.26365249999998</v>
      </c>
      <c r="AX240" s="142">
        <f>AJ240*Valores!$C$73</f>
        <v>-46.807072500000004</v>
      </c>
      <c r="AY240" s="146">
        <f t="shared" si="45"/>
        <v>14754.862850000001</v>
      </c>
      <c r="AZ240" s="150"/>
      <c r="BA240" s="150">
        <f t="shared" si="46"/>
        <v>6</v>
      </c>
      <c r="BB240" s="135" t="s">
        <v>4</v>
      </c>
    </row>
    <row r="241" spans="1:54" s="114" customFormat="1" ht="11.25" customHeight="1" x14ac:dyDescent="0.15">
      <c r="A241" s="134">
        <v>239</v>
      </c>
      <c r="B241" s="134"/>
      <c r="C241" s="135" t="s">
        <v>497</v>
      </c>
      <c r="D241" s="135">
        <v>6</v>
      </c>
      <c r="E241" s="135">
        <f t="shared" si="37"/>
        <v>41</v>
      </c>
      <c r="F241" s="136" t="str">
        <f>CONCATENATE("Hora Cátedra Enseñanza Media ",D241," hs Esc Esp")</f>
        <v>Hora Cátedra Enseñanza Media 6 hs Esc Esp</v>
      </c>
      <c r="G241" s="137">
        <f t="shared" si="47"/>
        <v>474</v>
      </c>
      <c r="H241" s="138">
        <f>INT((G241*Valores!$C$2*100)+0.49)/100</f>
        <v>6343.35</v>
      </c>
      <c r="I241" s="156">
        <v>0</v>
      </c>
      <c r="J241" s="140">
        <f>INT((I241*Valores!$C$2*100)+0.5)/100</f>
        <v>0</v>
      </c>
      <c r="K241" s="155">
        <v>0</v>
      </c>
      <c r="L241" s="140">
        <f>INT((K241*Valores!$C$2*100)+0.5)/100</f>
        <v>0</v>
      </c>
      <c r="M241" s="153">
        <v>0</v>
      </c>
      <c r="N241" s="140">
        <f>INT((M241*Valores!$C$2*100)+0.5)/100</f>
        <v>0</v>
      </c>
      <c r="O241" s="140">
        <f t="shared" si="38"/>
        <v>1165.9635000000001</v>
      </c>
      <c r="P241" s="140">
        <f t="shared" si="39"/>
        <v>0</v>
      </c>
      <c r="Q241" s="154">
        <f>Valores!$C$14*D241</f>
        <v>2723.04</v>
      </c>
      <c r="R241" s="154">
        <f>IF(D241&lt;15,(Valores!$E$4*D241),Valores!$D$4)</f>
        <v>2736.48</v>
      </c>
      <c r="S241" s="140">
        <v>0</v>
      </c>
      <c r="T241" s="143">
        <f>IF($H$5="NO",IF(Valores!$C$47*D241&gt;Valores!$C$45,Valores!$C$45,Valores!$C$47*D241),IF(Valores!$C$47*D241&gt;Valores!$C$45,Valores!$C$45,Valores!$C$47*D241)/2)</f>
        <v>573.29999999999995</v>
      </c>
      <c r="U241" s="154">
        <f>Valores!$C$24*D241</f>
        <v>856.44</v>
      </c>
      <c r="V241" s="140">
        <f t="shared" si="48"/>
        <v>856.44</v>
      </c>
      <c r="W241" s="140">
        <v>0</v>
      </c>
      <c r="X241" s="140">
        <v>0</v>
      </c>
      <c r="Y241" s="160">
        <v>0</v>
      </c>
      <c r="Z241" s="140">
        <f>Y241*Valores!$C$2</f>
        <v>0</v>
      </c>
      <c r="AA241" s="140">
        <v>0</v>
      </c>
      <c r="AB241" s="143">
        <f>IF(Valores!$C$93*D241&gt;Valores!$C$92,Valores!$C$92,Valores!$C$93*D241)</f>
        <v>787.74</v>
      </c>
      <c r="AC241" s="145">
        <f>IF((Valores!$C$34)*D241&gt;Valores!$F$34,Valores!$F$34,(Valores!$C$34)*D241)</f>
        <v>67.260000000000005</v>
      </c>
      <c r="AD241" s="140">
        <f t="shared" si="41"/>
        <v>0</v>
      </c>
      <c r="AE241" s="140">
        <f>IF(Valores!$C$35*D241&gt;Valores!$F$35,Valores!$F$35,Valores!$C$35*D241)</f>
        <v>56.04</v>
      </c>
      <c r="AF241" s="144">
        <v>94</v>
      </c>
      <c r="AG241" s="140">
        <f>INT(((AF241*Valores!$C$2)*100)+0.5)/100</f>
        <v>1257.96</v>
      </c>
      <c r="AH241" s="140">
        <f>IF($H$5="NO",IF(Valores!$D$60*'Escala Docente'!D241&gt;Valores!$F$60,Valores!$F$60,Valores!$D$60*'Escala Docente'!D241),IF(Valores!$D$60*'Escala Docente'!D241&gt;Valores!$F$60,Valores!$F$60,Valores!$D$60*'Escala Docente'!D241)/2)</f>
        <v>227.64</v>
      </c>
      <c r="AI241" s="140">
        <f>IF($H$5="NO",IF(Valores!$D$62*D241&gt;Valores!$F$62,Valores!$F$62,Valores!$D$62*D241),IF(Valores!$D$62*D241&gt;Valores!$F$62,Valores!$F$62,Valores!$D$62*D241)/2)</f>
        <v>65.103999999999999</v>
      </c>
      <c r="AJ241" s="146">
        <f t="shared" si="42"/>
        <v>16860.317500000001</v>
      </c>
      <c r="AK241" s="154">
        <f>IF(Valores!$C$38*D241&gt;Valores!$F$38,Valores!$F$38,Valores!$C$38*D241)</f>
        <v>586.20000000000005</v>
      </c>
      <c r="AL241" s="143">
        <f>IF(Valores!$C$88*D241&gt;Valores!$C$87,Valores!$C$87,Valores!$C$88*D241)</f>
        <v>682.49999999999989</v>
      </c>
      <c r="AM241" s="143"/>
      <c r="AN241" s="145">
        <f>IF($H$4="NO",0,IF(Valores!$C$59*D241&gt;Valores!$F$59,Valores!$F$59,Valores!$C$59*D241))</f>
        <v>68.135400000000004</v>
      </c>
      <c r="AO241" s="147">
        <f t="shared" si="43"/>
        <v>1336.8353999999999</v>
      </c>
      <c r="AP241" s="148">
        <f>AJ241*Valores!$C$69</f>
        <v>-1854.6349250000001</v>
      </c>
      <c r="AQ241" s="149">
        <f>AJ241*-Valores!$C$70</f>
        <v>0</v>
      </c>
      <c r="AR241" s="142">
        <f>AJ241*Valores!$C$71</f>
        <v>-758.71428750000007</v>
      </c>
      <c r="AS241" s="142">
        <f>Valores!$C$95</f>
        <v>-193.38</v>
      </c>
      <c r="AT241" s="142">
        <f>IF($H$6=0,Valores!$C$96,(Valores!$C$96+$H$6*(Valores!$C$96)))</f>
        <v>-178</v>
      </c>
      <c r="AU241" s="146">
        <f t="shared" si="44"/>
        <v>15212.423687500001</v>
      </c>
      <c r="AV241" s="199">
        <f t="shared" si="40"/>
        <v>-1854.6349250000001</v>
      </c>
      <c r="AW241" s="142">
        <f>AJ241*Valores!$C$72</f>
        <v>-455.22857250000004</v>
      </c>
      <c r="AX241" s="142">
        <f>AJ241*Valores!$C$73</f>
        <v>-50.580952500000002</v>
      </c>
      <c r="AY241" s="146">
        <f t="shared" si="45"/>
        <v>15836.708450000002</v>
      </c>
      <c r="AZ241" s="150"/>
      <c r="BA241" s="150">
        <f t="shared" si="46"/>
        <v>6</v>
      </c>
      <c r="BB241" s="135" t="s">
        <v>4</v>
      </c>
    </row>
    <row r="242" spans="1:54" s="114" customFormat="1" ht="11.25" customHeight="1" x14ac:dyDescent="0.15">
      <c r="A242" s="152">
        <v>240</v>
      </c>
      <c r="B242" s="152" t="s">
        <v>139</v>
      </c>
      <c r="C242" s="135" t="s">
        <v>497</v>
      </c>
      <c r="D242" s="135">
        <v>7</v>
      </c>
      <c r="E242" s="135">
        <f t="shared" si="37"/>
        <v>33</v>
      </c>
      <c r="F242" s="136" t="str">
        <f>CONCATENATE("Hora Cátedra Enseñanza Media ",D242," hs")</f>
        <v>Hora Cátedra Enseñanza Media 7 hs</v>
      </c>
      <c r="G242" s="137">
        <f t="shared" si="47"/>
        <v>553</v>
      </c>
      <c r="H242" s="138">
        <f>INT((G242*Valores!$C$2*100)+0.49)/100</f>
        <v>7400.58</v>
      </c>
      <c r="I242" s="156">
        <v>0</v>
      </c>
      <c r="J242" s="140">
        <f>INT((I242*Valores!$C$2*100)+0.5)/100</f>
        <v>0</v>
      </c>
      <c r="K242" s="155">
        <v>0</v>
      </c>
      <c r="L242" s="140">
        <f>INT((K242*Valores!$C$2*100)+0.5)/100</f>
        <v>0</v>
      </c>
      <c r="M242" s="153">
        <v>0</v>
      </c>
      <c r="N242" s="140">
        <f>INT((M242*Valores!$C$2*100)+0.5)/100</f>
        <v>0</v>
      </c>
      <c r="O242" s="140">
        <f t="shared" si="38"/>
        <v>1360.2915</v>
      </c>
      <c r="P242" s="140">
        <f t="shared" si="39"/>
        <v>0</v>
      </c>
      <c r="Q242" s="154">
        <f>Valores!$C$14*D242</f>
        <v>3176.8799999999997</v>
      </c>
      <c r="R242" s="154">
        <f>IF(D242&lt;15,(Valores!$E$4*D242),Valores!$D$4)</f>
        <v>3192.56</v>
      </c>
      <c r="S242" s="140">
        <v>0</v>
      </c>
      <c r="T242" s="143">
        <f>IF($H$5="NO",IF(Valores!$C$47*D242&gt;Valores!$C$45,Valores!$C$45,Valores!$C$47*D242),IF(Valores!$C$47*D242&gt;Valores!$C$45,Valores!$C$45,Valores!$C$47*D242)/2)</f>
        <v>668.85</v>
      </c>
      <c r="U242" s="154">
        <f>Valores!$C$24*D242</f>
        <v>999.18000000000006</v>
      </c>
      <c r="V242" s="140">
        <f t="shared" si="48"/>
        <v>999.18000000000006</v>
      </c>
      <c r="W242" s="140">
        <v>0</v>
      </c>
      <c r="X242" s="140">
        <v>0</v>
      </c>
      <c r="Y242" s="160">
        <v>0</v>
      </c>
      <c r="Z242" s="140">
        <f>Y242*Valores!$C$2</f>
        <v>0</v>
      </c>
      <c r="AA242" s="140">
        <v>0</v>
      </c>
      <c r="AB242" s="143">
        <f>IF(Valores!$C$93*D242&gt;Valores!$C$92,Valores!$C$92,Valores!$C$93*D242)</f>
        <v>919.03</v>
      </c>
      <c r="AC242" s="145">
        <f>IF((Valores!$C$34)*D242&gt;Valores!$F$34,Valores!$F$34,(Valores!$C$34)*D242)</f>
        <v>78.47</v>
      </c>
      <c r="AD242" s="140">
        <f t="shared" si="41"/>
        <v>0</v>
      </c>
      <c r="AE242" s="140">
        <f>IF(Valores!$C$35*D242&gt;Valores!$F$35,Valores!$F$35,Valores!$C$35*D242)</f>
        <v>65.38</v>
      </c>
      <c r="AF242" s="144">
        <v>0</v>
      </c>
      <c r="AG242" s="140">
        <f>INT(((AF242*Valores!$C$2)*100)+0.5)/100</f>
        <v>0</v>
      </c>
      <c r="AH242" s="140">
        <f>IF($H$5="NO",IF(Valores!$D$60*'Escala Docente'!D242&gt;Valores!$F$60,Valores!$F$60,Valores!$D$60*'Escala Docente'!D242),IF(Valores!$D$60*'Escala Docente'!D242&gt;Valores!$F$60,Valores!$F$60,Valores!$D$60*'Escala Docente'!D242)/2)</f>
        <v>265.58</v>
      </c>
      <c r="AI242" s="140">
        <f>IF($H$5="NO",IF(Valores!$D$62*D242&gt;Valores!$F$62,Valores!$F$62,Valores!$D$62*D242),IF(Valores!$D$62*D242&gt;Valores!$F$62,Valores!$F$62,Valores!$D$62*D242)/2)</f>
        <v>75.954666666666668</v>
      </c>
      <c r="AJ242" s="146">
        <f t="shared" si="42"/>
        <v>18202.756166666666</v>
      </c>
      <c r="AK242" s="154">
        <f>IF(Valores!$C$38*D242&gt;Valores!$F$38,Valores!$F$38,Valores!$C$38*D242)</f>
        <v>683.9</v>
      </c>
      <c r="AL242" s="143">
        <f>IF(Valores!$C$88*D242&gt;Valores!$C$87,Valores!$C$87,Valores!$C$88*D242)</f>
        <v>796.24999999999989</v>
      </c>
      <c r="AM242" s="143"/>
      <c r="AN242" s="145">
        <f>IF($H$4="NO",0,IF(Valores!$C$59*D242&gt;Valores!$F$59,Valores!$F$59,Valores!$C$59*D242))</f>
        <v>79.491299999999995</v>
      </c>
      <c r="AO242" s="147">
        <f t="shared" si="43"/>
        <v>1559.6412999999998</v>
      </c>
      <c r="AP242" s="148">
        <f>AJ242*Valores!$C$69</f>
        <v>-2002.3031783333333</v>
      </c>
      <c r="AQ242" s="149">
        <f>AJ242*-Valores!$C$70</f>
        <v>0</v>
      </c>
      <c r="AR242" s="142">
        <f>AJ242*Valores!$C$71</f>
        <v>-819.1240274999999</v>
      </c>
      <c r="AS242" s="142">
        <f>Valores!$C$95</f>
        <v>-193.38</v>
      </c>
      <c r="AT242" s="142">
        <f>IF($H$6=0,Valores!$C$96,(Valores!$C$96+$H$6*(Valores!$C$96)))</f>
        <v>-178</v>
      </c>
      <c r="AU242" s="146">
        <f t="shared" si="44"/>
        <v>16569.590260833334</v>
      </c>
      <c r="AV242" s="199">
        <f t="shared" si="40"/>
        <v>-2002.3031783333333</v>
      </c>
      <c r="AW242" s="142">
        <f>AJ242*Valores!$C$72</f>
        <v>-491.47441649999996</v>
      </c>
      <c r="AX242" s="142">
        <f>AJ242*Valores!$C$73</f>
        <v>-54.608268500000001</v>
      </c>
      <c r="AY242" s="146">
        <f t="shared" si="45"/>
        <v>17214.011603333332</v>
      </c>
      <c r="AZ242" s="150"/>
      <c r="BA242" s="150">
        <f t="shared" si="46"/>
        <v>7</v>
      </c>
      <c r="BB242" s="135" t="s">
        <v>4</v>
      </c>
    </row>
    <row r="243" spans="1:54" s="114" customFormat="1" ht="11.25" customHeight="1" x14ac:dyDescent="0.15">
      <c r="A243" s="134">
        <v>241</v>
      </c>
      <c r="B243" s="134"/>
      <c r="C243" s="135" t="s">
        <v>497</v>
      </c>
      <c r="D243" s="135">
        <v>7</v>
      </c>
      <c r="E243" s="135">
        <f t="shared" si="37"/>
        <v>41</v>
      </c>
      <c r="F243" s="136" t="str">
        <f>CONCATENATE("Hora Cátedra Enseñanza Media ",D243," hs Esc Esp")</f>
        <v>Hora Cátedra Enseñanza Media 7 hs Esc Esp</v>
      </c>
      <c r="G243" s="137">
        <f t="shared" si="47"/>
        <v>553</v>
      </c>
      <c r="H243" s="138">
        <f>INT((G243*Valores!$C$2*100)+0.49)/100</f>
        <v>7400.58</v>
      </c>
      <c r="I243" s="156">
        <v>0</v>
      </c>
      <c r="J243" s="140">
        <f>INT((I243*Valores!$C$2*100)+0.5)/100</f>
        <v>0</v>
      </c>
      <c r="K243" s="155">
        <v>0</v>
      </c>
      <c r="L243" s="140">
        <f>INT((K243*Valores!$C$2*100)+0.5)/100</f>
        <v>0</v>
      </c>
      <c r="M243" s="153">
        <v>0</v>
      </c>
      <c r="N243" s="140">
        <f>INT((M243*Valores!$C$2*100)+0.5)/100</f>
        <v>0</v>
      </c>
      <c r="O243" s="140">
        <f t="shared" si="38"/>
        <v>1360.2915</v>
      </c>
      <c r="P243" s="140">
        <f t="shared" si="39"/>
        <v>0</v>
      </c>
      <c r="Q243" s="154">
        <f>Valores!$C$14*D243</f>
        <v>3176.8799999999997</v>
      </c>
      <c r="R243" s="154">
        <f>IF(D243&lt;15,(Valores!$E$4*D243),Valores!$D$4)</f>
        <v>3192.56</v>
      </c>
      <c r="S243" s="140">
        <v>0</v>
      </c>
      <c r="T243" s="143">
        <f>IF($H$5="NO",IF(Valores!$C$47*D243&gt;Valores!$C$45,Valores!$C$45,Valores!$C$47*D243),IF(Valores!$C$47*D243&gt;Valores!$C$45,Valores!$C$45,Valores!$C$47*D243)/2)</f>
        <v>668.85</v>
      </c>
      <c r="U243" s="154">
        <f>Valores!$C$24*D243</f>
        <v>999.18000000000006</v>
      </c>
      <c r="V243" s="140">
        <f t="shared" si="48"/>
        <v>999.18000000000006</v>
      </c>
      <c r="W243" s="140">
        <v>0</v>
      </c>
      <c r="X243" s="140">
        <v>0</v>
      </c>
      <c r="Y243" s="160">
        <v>0</v>
      </c>
      <c r="Z243" s="140">
        <f>Y243*Valores!$C$2</f>
        <v>0</v>
      </c>
      <c r="AA243" s="140">
        <v>0</v>
      </c>
      <c r="AB243" s="143">
        <f>IF(Valores!$C$93*D243&gt;Valores!$C$92,Valores!$C$92,Valores!$C$93*D243)</f>
        <v>919.03</v>
      </c>
      <c r="AC243" s="145">
        <f>IF((Valores!$C$34)*D243&gt;Valores!$F$34,Valores!$F$34,(Valores!$C$34)*D243)</f>
        <v>78.47</v>
      </c>
      <c r="AD243" s="140">
        <f t="shared" si="41"/>
        <v>0</v>
      </c>
      <c r="AE243" s="140">
        <f>IF(Valores!$C$35*D243&gt;Valores!$F$35,Valores!$F$35,Valores!$C$35*D243)</f>
        <v>65.38</v>
      </c>
      <c r="AF243" s="144">
        <v>94</v>
      </c>
      <c r="AG243" s="140">
        <f>INT(((AF243*Valores!$C$2)*100)+0.5)/100</f>
        <v>1257.96</v>
      </c>
      <c r="AH243" s="140">
        <f>IF($H$5="NO",IF(Valores!$D$60*'Escala Docente'!D243&gt;Valores!$F$60,Valores!$F$60,Valores!$D$60*'Escala Docente'!D243),IF(Valores!$D$60*'Escala Docente'!D243&gt;Valores!$F$60,Valores!$F$60,Valores!$D$60*'Escala Docente'!D243)/2)</f>
        <v>265.58</v>
      </c>
      <c r="AI243" s="140">
        <f>IF($H$5="NO",IF(Valores!$D$62*D243&gt;Valores!$F$62,Valores!$F$62,Valores!$D$62*D243),IF(Valores!$D$62*D243&gt;Valores!$F$62,Valores!$F$62,Valores!$D$62*D243)/2)</f>
        <v>75.954666666666668</v>
      </c>
      <c r="AJ243" s="146">
        <f t="shared" si="42"/>
        <v>19460.716166666665</v>
      </c>
      <c r="AK243" s="154">
        <f>IF(Valores!$C$38*D243&gt;Valores!$F$38,Valores!$F$38,Valores!$C$38*D243)</f>
        <v>683.9</v>
      </c>
      <c r="AL243" s="143">
        <f>IF(Valores!$C$88*D243&gt;Valores!$C$87,Valores!$C$87,Valores!$C$88*D243)</f>
        <v>796.24999999999989</v>
      </c>
      <c r="AM243" s="143"/>
      <c r="AN243" s="145">
        <f>IF($H$4="NO",0,IF(Valores!$C$59*D243&gt;Valores!$F$59,Valores!$F$59,Valores!$C$59*D243))</f>
        <v>79.491299999999995</v>
      </c>
      <c r="AO243" s="147">
        <f t="shared" si="43"/>
        <v>1559.6412999999998</v>
      </c>
      <c r="AP243" s="148">
        <f>AJ243*Valores!$C$69</f>
        <v>-2140.6787783333334</v>
      </c>
      <c r="AQ243" s="149">
        <f>AJ243*-Valores!$C$70</f>
        <v>0</v>
      </c>
      <c r="AR243" s="142">
        <f>AJ243*Valores!$C$71</f>
        <v>-875.73222749999991</v>
      </c>
      <c r="AS243" s="142">
        <f>Valores!$C$95</f>
        <v>-193.38</v>
      </c>
      <c r="AT243" s="142">
        <f>IF($H$6=0,Valores!$C$96,(Valores!$C$96+$H$6*(Valores!$C$96)))</f>
        <v>-178</v>
      </c>
      <c r="AU243" s="146">
        <f t="shared" si="44"/>
        <v>17632.566460833332</v>
      </c>
      <c r="AV243" s="199">
        <f t="shared" si="40"/>
        <v>-2140.6787783333334</v>
      </c>
      <c r="AW243" s="142">
        <f>AJ243*Valores!$C$72</f>
        <v>-525.43933649999997</v>
      </c>
      <c r="AX243" s="142">
        <f>AJ243*Valores!$C$73</f>
        <v>-58.3821485</v>
      </c>
      <c r="AY243" s="146">
        <f t="shared" si="45"/>
        <v>18295.857203333333</v>
      </c>
      <c r="AZ243" s="150"/>
      <c r="BA243" s="150">
        <f t="shared" si="46"/>
        <v>7</v>
      </c>
      <c r="BB243" s="135" t="s">
        <v>4</v>
      </c>
    </row>
    <row r="244" spans="1:54" s="114" customFormat="1" ht="11.25" customHeight="1" x14ac:dyDescent="0.15">
      <c r="A244" s="134">
        <v>242</v>
      </c>
      <c r="B244" s="134"/>
      <c r="C244" s="135" t="s">
        <v>497</v>
      </c>
      <c r="D244" s="135">
        <v>8</v>
      </c>
      <c r="E244" s="135">
        <f t="shared" si="37"/>
        <v>33</v>
      </c>
      <c r="F244" s="136" t="str">
        <f>CONCATENATE("Hora Cátedra Enseñanza Media ",D244," hs")</f>
        <v>Hora Cátedra Enseñanza Media 8 hs</v>
      </c>
      <c r="G244" s="137">
        <f t="shared" si="47"/>
        <v>632</v>
      </c>
      <c r="H244" s="138">
        <f>INT((G244*Valores!$C$2*100)+0.49)/100</f>
        <v>8457.7999999999993</v>
      </c>
      <c r="I244" s="156">
        <v>0</v>
      </c>
      <c r="J244" s="140">
        <f>INT((I244*Valores!$C$2*100)+0.5)/100</f>
        <v>0</v>
      </c>
      <c r="K244" s="155">
        <v>0</v>
      </c>
      <c r="L244" s="140">
        <f>INT((K244*Valores!$C$2*100)+0.5)/100</f>
        <v>0</v>
      </c>
      <c r="M244" s="153">
        <v>0</v>
      </c>
      <c r="N244" s="140">
        <f>INT((M244*Valores!$C$2*100)+0.5)/100</f>
        <v>0</v>
      </c>
      <c r="O244" s="140">
        <f t="shared" si="38"/>
        <v>1554.6179999999997</v>
      </c>
      <c r="P244" s="140">
        <f t="shared" si="39"/>
        <v>0</v>
      </c>
      <c r="Q244" s="154">
        <f>Valores!$C$14*D244</f>
        <v>3630.72</v>
      </c>
      <c r="R244" s="154">
        <f>IF(D244&lt;15,(Valores!$E$4*D244),Valores!$D$4)</f>
        <v>3648.64</v>
      </c>
      <c r="S244" s="140">
        <v>0</v>
      </c>
      <c r="T244" s="143">
        <f>IF($H$5="NO",IF(Valores!$C$47*D244&gt;Valores!$C$45,Valores!$C$45,Valores!$C$47*D244),IF(Valores!$C$47*D244&gt;Valores!$C$45,Valores!$C$45,Valores!$C$47*D244)/2)</f>
        <v>764.4</v>
      </c>
      <c r="U244" s="154">
        <f>Valores!$C$24*D244</f>
        <v>1141.92</v>
      </c>
      <c r="V244" s="140">
        <f t="shared" si="48"/>
        <v>1141.92</v>
      </c>
      <c r="W244" s="140">
        <v>0</v>
      </c>
      <c r="X244" s="140">
        <v>0</v>
      </c>
      <c r="Y244" s="160">
        <v>0</v>
      </c>
      <c r="Z244" s="140">
        <f>Y244*Valores!$C$2</f>
        <v>0</v>
      </c>
      <c r="AA244" s="140">
        <v>0</v>
      </c>
      <c r="AB244" s="143">
        <f>IF(Valores!$C$93*D244&gt;Valores!$C$92,Valores!$C$92,Valores!$C$93*D244)</f>
        <v>1050.32</v>
      </c>
      <c r="AC244" s="145">
        <f>IF((Valores!$C$34)*D244&gt;Valores!$F$34,Valores!$F$34,(Valores!$C$34)*D244)</f>
        <v>89.68</v>
      </c>
      <c r="AD244" s="140">
        <f t="shared" si="41"/>
        <v>0</v>
      </c>
      <c r="AE244" s="140">
        <f>IF(Valores!$C$35*D244&gt;Valores!$F$35,Valores!$F$35,Valores!$C$35*D244)</f>
        <v>74.72</v>
      </c>
      <c r="AF244" s="144">
        <v>0</v>
      </c>
      <c r="AG244" s="140">
        <f>INT(((AF244*Valores!$C$2)*100)+0.5)/100</f>
        <v>0</v>
      </c>
      <c r="AH244" s="140">
        <f>IF($H$5="NO",IF(Valores!$D$60*'Escala Docente'!D244&gt;Valores!$F$60,Valores!$F$60,Valores!$D$60*'Escala Docente'!D244),IF(Valores!$D$60*'Escala Docente'!D244&gt;Valores!$F$60,Valores!$F$60,Valores!$D$60*'Escala Docente'!D244)/2)</f>
        <v>303.52</v>
      </c>
      <c r="AI244" s="140">
        <f>IF($H$5="NO",IF(Valores!$D$62*D244&gt;Valores!$F$62,Valores!$F$62,Valores!$D$62*D244),IF(Valores!$D$62*D244&gt;Valores!$F$62,Valores!$F$62,Valores!$D$62*D244)/2)</f>
        <v>86.805333333333337</v>
      </c>
      <c r="AJ244" s="146">
        <f t="shared" si="42"/>
        <v>20803.143333333333</v>
      </c>
      <c r="AK244" s="154">
        <f>IF(Valores!$C$38*D244&gt;Valores!$F$38,Valores!$F$38,Valores!$C$38*D244)</f>
        <v>781.6</v>
      </c>
      <c r="AL244" s="143">
        <f>IF(Valores!$C$88*D244&gt;Valores!$C$87,Valores!$C$87,Valores!$C$88*D244)</f>
        <v>909.99999999999989</v>
      </c>
      <c r="AM244" s="143"/>
      <c r="AN244" s="145">
        <f>IF($H$4="NO",0,IF(Valores!$C$59*D244&gt;Valores!$F$59,Valores!$F$59,Valores!$C$59*D244))</f>
        <v>90.847200000000001</v>
      </c>
      <c r="AO244" s="147">
        <f t="shared" si="43"/>
        <v>1782.4471999999998</v>
      </c>
      <c r="AP244" s="148">
        <f>AJ244*Valores!$C$69</f>
        <v>-2288.3457666666668</v>
      </c>
      <c r="AQ244" s="149">
        <f>AJ244*-Valores!$C$70</f>
        <v>0</v>
      </c>
      <c r="AR244" s="142">
        <f>AJ244*Valores!$C$71</f>
        <v>-936.14144999999996</v>
      </c>
      <c r="AS244" s="142">
        <f>Valores!$C$95</f>
        <v>-193.38</v>
      </c>
      <c r="AT244" s="142">
        <f>IF($H$6=0,Valores!$C$96,(Valores!$C$96+$H$6*(Valores!$C$96)))</f>
        <v>-178</v>
      </c>
      <c r="AU244" s="146">
        <f t="shared" si="44"/>
        <v>18989.723316666667</v>
      </c>
      <c r="AV244" s="199">
        <f t="shared" si="40"/>
        <v>-2288.3457666666668</v>
      </c>
      <c r="AW244" s="142">
        <f>AJ244*Valores!$C$72</f>
        <v>-561.68487000000005</v>
      </c>
      <c r="AX244" s="142">
        <f>AJ244*Valores!$C$73</f>
        <v>-62.40943</v>
      </c>
      <c r="AY244" s="146">
        <f t="shared" si="45"/>
        <v>19673.150466666666</v>
      </c>
      <c r="AZ244" s="150"/>
      <c r="BA244" s="150">
        <f t="shared" si="46"/>
        <v>8</v>
      </c>
      <c r="BB244" s="135" t="s">
        <v>4</v>
      </c>
    </row>
    <row r="245" spans="1:54" s="114" customFormat="1" ht="11.25" customHeight="1" x14ac:dyDescent="0.15">
      <c r="A245" s="134">
        <v>243</v>
      </c>
      <c r="B245" s="134"/>
      <c r="C245" s="135" t="s">
        <v>497</v>
      </c>
      <c r="D245" s="135">
        <v>8</v>
      </c>
      <c r="E245" s="135">
        <f t="shared" si="37"/>
        <v>41</v>
      </c>
      <c r="F245" s="136" t="str">
        <f>CONCATENATE("Hora Cátedra Enseñanza Media ",D245," hs Esc Esp")</f>
        <v>Hora Cátedra Enseñanza Media 8 hs Esc Esp</v>
      </c>
      <c r="G245" s="137">
        <f t="shared" si="47"/>
        <v>632</v>
      </c>
      <c r="H245" s="138">
        <f>INT((G245*Valores!$C$2*100)+0.49)/100</f>
        <v>8457.7999999999993</v>
      </c>
      <c r="I245" s="156">
        <v>0</v>
      </c>
      <c r="J245" s="140">
        <f>INT((I245*Valores!$C$2*100)+0.5)/100</f>
        <v>0</v>
      </c>
      <c r="K245" s="155">
        <v>0</v>
      </c>
      <c r="L245" s="140">
        <f>INT((K245*Valores!$C$2*100)+0.5)/100</f>
        <v>0</v>
      </c>
      <c r="M245" s="153">
        <v>0</v>
      </c>
      <c r="N245" s="140">
        <f>INT((M245*Valores!$C$2*100)+0.5)/100</f>
        <v>0</v>
      </c>
      <c r="O245" s="140">
        <f t="shared" si="38"/>
        <v>1554.6179999999997</v>
      </c>
      <c r="P245" s="140">
        <f t="shared" si="39"/>
        <v>0</v>
      </c>
      <c r="Q245" s="154">
        <f>Valores!$C$14*D245</f>
        <v>3630.72</v>
      </c>
      <c r="R245" s="154">
        <f>IF(D245&lt;15,(Valores!$E$4*D245),Valores!$D$4)</f>
        <v>3648.64</v>
      </c>
      <c r="S245" s="140">
        <v>0</v>
      </c>
      <c r="T245" s="143">
        <f>IF($H$5="NO",IF(Valores!$C$47*D245&gt;Valores!$C$45,Valores!$C$45,Valores!$C$47*D245),IF(Valores!$C$47*D245&gt;Valores!$C$45,Valores!$C$45,Valores!$C$47*D245)/2)</f>
        <v>764.4</v>
      </c>
      <c r="U245" s="154">
        <f>Valores!$C$24*D245</f>
        <v>1141.92</v>
      </c>
      <c r="V245" s="140">
        <f t="shared" si="48"/>
        <v>1141.92</v>
      </c>
      <c r="W245" s="140">
        <v>0</v>
      </c>
      <c r="X245" s="140">
        <v>0</v>
      </c>
      <c r="Y245" s="160">
        <v>0</v>
      </c>
      <c r="Z245" s="140">
        <f>Y245*Valores!$C$2</f>
        <v>0</v>
      </c>
      <c r="AA245" s="140">
        <v>0</v>
      </c>
      <c r="AB245" s="143">
        <f>IF(Valores!$C$93*D245&gt;Valores!$C$92,Valores!$C$92,Valores!$C$93*D245)</f>
        <v>1050.32</v>
      </c>
      <c r="AC245" s="145">
        <f>IF((Valores!$C$34)*D245&gt;Valores!$F$34,Valores!$F$34,(Valores!$C$34)*D245)</f>
        <v>89.68</v>
      </c>
      <c r="AD245" s="140">
        <f t="shared" si="41"/>
        <v>0</v>
      </c>
      <c r="AE245" s="140">
        <f>IF(Valores!$C$35*D245&gt;Valores!$F$35,Valores!$F$35,Valores!$C$35*D245)</f>
        <v>74.72</v>
      </c>
      <c r="AF245" s="144">
        <v>94</v>
      </c>
      <c r="AG245" s="140">
        <f>INT(((AF245*Valores!$C$2)*100)+0.5)/100</f>
        <v>1257.96</v>
      </c>
      <c r="AH245" s="140">
        <f>IF($H$5="NO",IF(Valores!$D$60*'Escala Docente'!D245&gt;Valores!$F$60,Valores!$F$60,Valores!$D$60*'Escala Docente'!D245),IF(Valores!$D$60*'Escala Docente'!D245&gt;Valores!$F$60,Valores!$F$60,Valores!$D$60*'Escala Docente'!D245)/2)</f>
        <v>303.52</v>
      </c>
      <c r="AI245" s="140">
        <f>IF($H$5="NO",IF(Valores!$D$62*D245&gt;Valores!$F$62,Valores!$F$62,Valores!$D$62*D245),IF(Valores!$D$62*D245&gt;Valores!$F$62,Valores!$F$62,Valores!$D$62*D245)/2)</f>
        <v>86.805333333333337</v>
      </c>
      <c r="AJ245" s="146">
        <f t="shared" si="42"/>
        <v>22061.103333333333</v>
      </c>
      <c r="AK245" s="154">
        <f>IF(Valores!$C$38*D245&gt;Valores!$F$38,Valores!$F$38,Valores!$C$38*D245)</f>
        <v>781.6</v>
      </c>
      <c r="AL245" s="143">
        <f>IF(Valores!$C$88*D245&gt;Valores!$C$87,Valores!$C$87,Valores!$C$88*D245)</f>
        <v>909.99999999999989</v>
      </c>
      <c r="AM245" s="143"/>
      <c r="AN245" s="145">
        <f>IF($H$4="NO",0,IF(Valores!$C$59*D245&gt;Valores!$F$59,Valores!$F$59,Valores!$C$59*D245))</f>
        <v>90.847200000000001</v>
      </c>
      <c r="AO245" s="147">
        <f t="shared" si="43"/>
        <v>1782.4471999999998</v>
      </c>
      <c r="AP245" s="148">
        <f>AJ245*Valores!$C$69</f>
        <v>-2426.7213666666667</v>
      </c>
      <c r="AQ245" s="149">
        <f>AJ245*-Valores!$C$70</f>
        <v>0</v>
      </c>
      <c r="AR245" s="142">
        <f>AJ245*Valores!$C$71</f>
        <v>-992.74964999999997</v>
      </c>
      <c r="AS245" s="142">
        <f>Valores!$C$95</f>
        <v>-193.38</v>
      </c>
      <c r="AT245" s="142">
        <f>IF($H$6=0,Valores!$C$96,(Valores!$C$96+$H$6*(Valores!$C$96)))</f>
        <v>-178</v>
      </c>
      <c r="AU245" s="146">
        <f t="shared" si="44"/>
        <v>20052.699516666667</v>
      </c>
      <c r="AV245" s="199">
        <f t="shared" si="40"/>
        <v>-2426.7213666666667</v>
      </c>
      <c r="AW245" s="142">
        <f>AJ245*Valores!$C$72</f>
        <v>-595.64978999999994</v>
      </c>
      <c r="AX245" s="142">
        <f>AJ245*Valores!$C$73</f>
        <v>-66.183310000000006</v>
      </c>
      <c r="AY245" s="146">
        <f t="shared" si="45"/>
        <v>20754.996066666667</v>
      </c>
      <c r="AZ245" s="150"/>
      <c r="BA245" s="150">
        <f t="shared" si="46"/>
        <v>8</v>
      </c>
      <c r="BB245" s="135" t="s">
        <v>4</v>
      </c>
    </row>
    <row r="246" spans="1:54" s="114" customFormat="1" ht="11.25" customHeight="1" x14ac:dyDescent="0.15">
      <c r="A246" s="134">
        <v>244</v>
      </c>
      <c r="B246" s="134"/>
      <c r="C246" s="135" t="s">
        <v>497</v>
      </c>
      <c r="D246" s="135">
        <v>9</v>
      </c>
      <c r="E246" s="135">
        <f t="shared" si="37"/>
        <v>33</v>
      </c>
      <c r="F246" s="136" t="str">
        <f>CONCATENATE("Hora Cátedra Enseñanza Media ",D246," hs")</f>
        <v>Hora Cátedra Enseñanza Media 9 hs</v>
      </c>
      <c r="G246" s="137">
        <f t="shared" si="47"/>
        <v>711</v>
      </c>
      <c r="H246" s="138">
        <f>INT((G246*Valores!$C$2*100)+0.49)/100</f>
        <v>9515.0300000000007</v>
      </c>
      <c r="I246" s="156">
        <v>0</v>
      </c>
      <c r="J246" s="140">
        <f>INT((I246*Valores!$C$2*100)+0.5)/100</f>
        <v>0</v>
      </c>
      <c r="K246" s="155">
        <v>0</v>
      </c>
      <c r="L246" s="140">
        <f>INT((K246*Valores!$C$2*100)+0.5)/100</f>
        <v>0</v>
      </c>
      <c r="M246" s="153">
        <v>0</v>
      </c>
      <c r="N246" s="140">
        <f>INT((M246*Valores!$C$2*100)+0.5)/100</f>
        <v>0</v>
      </c>
      <c r="O246" s="140">
        <f t="shared" si="38"/>
        <v>1748.9460000000001</v>
      </c>
      <c r="P246" s="140">
        <f t="shared" si="39"/>
        <v>0</v>
      </c>
      <c r="Q246" s="154">
        <f>Valores!$C$14*D246</f>
        <v>4084.56</v>
      </c>
      <c r="R246" s="154">
        <f>IF(D246&lt;15,(Valores!$E$4*D246),Valores!$D$4)</f>
        <v>4104.72</v>
      </c>
      <c r="S246" s="140">
        <v>0</v>
      </c>
      <c r="T246" s="143">
        <f>IF($H$5="NO",IF(Valores!$C$47*D246&gt;Valores!$C$45,Valores!$C$45,Valores!$C$47*D246),IF(Valores!$C$47*D246&gt;Valores!$C$45,Valores!$C$45,Valores!$C$47*D246)/2)</f>
        <v>859.94999999999993</v>
      </c>
      <c r="U246" s="154">
        <f>Valores!$C$24*D246</f>
        <v>1284.6600000000001</v>
      </c>
      <c r="V246" s="140">
        <f t="shared" si="48"/>
        <v>1284.6600000000001</v>
      </c>
      <c r="W246" s="140">
        <v>0</v>
      </c>
      <c r="X246" s="140">
        <v>0</v>
      </c>
      <c r="Y246" s="160">
        <v>0</v>
      </c>
      <c r="Z246" s="140">
        <f>Y246*Valores!$C$2</f>
        <v>0</v>
      </c>
      <c r="AA246" s="140">
        <v>0</v>
      </c>
      <c r="AB246" s="143">
        <f>IF(Valores!$C$93*D246&gt;Valores!$C$92,Valores!$C$92,Valores!$C$93*D246)</f>
        <v>1181.6099999999999</v>
      </c>
      <c r="AC246" s="145">
        <f>IF((Valores!$C$34)*D246&gt;Valores!$F$34,Valores!$F$34,(Valores!$C$34)*D246)</f>
        <v>100.89000000000001</v>
      </c>
      <c r="AD246" s="140">
        <f t="shared" si="41"/>
        <v>0</v>
      </c>
      <c r="AE246" s="140">
        <f>IF(Valores!$C$35*D246&gt;Valores!$F$35,Valores!$F$35,Valores!$C$35*D246)</f>
        <v>84.06</v>
      </c>
      <c r="AF246" s="144">
        <v>0</v>
      </c>
      <c r="AG246" s="140">
        <f>INT(((AF246*Valores!$C$2)*100)+0.5)/100</f>
        <v>0</v>
      </c>
      <c r="AH246" s="140">
        <f>IF($H$5="NO",IF(Valores!$D$60*'Escala Docente'!D246&gt;Valores!$F$60,Valores!$F$60,Valores!$D$60*'Escala Docente'!D246),IF(Valores!$D$60*'Escala Docente'!D246&gt;Valores!$F$60,Valores!$F$60,Valores!$D$60*'Escala Docente'!D246)/2)</f>
        <v>341.46</v>
      </c>
      <c r="AI246" s="140">
        <f>IF($H$5="NO",IF(Valores!$D$62*D246&gt;Valores!$F$62,Valores!$F$62,Valores!$D$62*D246),IF(Valores!$D$62*D246&gt;Valores!$F$62,Valores!$F$62,Valores!$D$62*D246)/2)</f>
        <v>97.656000000000006</v>
      </c>
      <c r="AJ246" s="146">
        <f t="shared" si="42"/>
        <v>23403.542000000001</v>
      </c>
      <c r="AK246" s="154">
        <f>IF(Valores!$C$38*D246&gt;Valores!$F$38,Valores!$F$38,Valores!$C$38*D246)</f>
        <v>879.30000000000007</v>
      </c>
      <c r="AL246" s="143">
        <f>IF(Valores!$C$88*D246&gt;Valores!$C$87,Valores!$C$87,Valores!$C$88*D246)</f>
        <v>1023.7499999999999</v>
      </c>
      <c r="AM246" s="143"/>
      <c r="AN246" s="145">
        <f>IF($H$4="NO",0,IF(Valores!$C$59*D246&gt;Valores!$F$59,Valores!$F$59,Valores!$C$59*D246))</f>
        <v>102.20310000000001</v>
      </c>
      <c r="AO246" s="147">
        <f t="shared" si="43"/>
        <v>2005.2530999999999</v>
      </c>
      <c r="AP246" s="148">
        <f>AJ246*Valores!$C$69</f>
        <v>-2574.3896200000004</v>
      </c>
      <c r="AQ246" s="149">
        <f>AJ246*-Valores!$C$70</f>
        <v>0</v>
      </c>
      <c r="AR246" s="142">
        <f>AJ246*Valores!$C$71</f>
        <v>-1053.15939</v>
      </c>
      <c r="AS246" s="142">
        <f>Valores!$C$95</f>
        <v>-193.38</v>
      </c>
      <c r="AT246" s="142">
        <f>IF($H$6=0,Valores!$C$96,(Valores!$C$96+$H$6*(Valores!$C$96)))</f>
        <v>-178</v>
      </c>
      <c r="AU246" s="146">
        <f t="shared" si="44"/>
        <v>21409.86609</v>
      </c>
      <c r="AV246" s="199">
        <f t="shared" si="40"/>
        <v>-2574.3896200000004</v>
      </c>
      <c r="AW246" s="142">
        <f>AJ246*Valores!$C$72</f>
        <v>-631.89563399999997</v>
      </c>
      <c r="AX246" s="142">
        <f>AJ246*Valores!$C$73</f>
        <v>-70.210626000000005</v>
      </c>
      <c r="AY246" s="146">
        <f t="shared" si="45"/>
        <v>22132.299220000001</v>
      </c>
      <c r="AZ246" s="150"/>
      <c r="BA246" s="150">
        <f t="shared" si="46"/>
        <v>9</v>
      </c>
      <c r="BB246" s="135" t="s">
        <v>4</v>
      </c>
    </row>
    <row r="247" spans="1:54" s="114" customFormat="1" ht="11.25" customHeight="1" x14ac:dyDescent="0.15">
      <c r="A247" s="152">
        <v>245</v>
      </c>
      <c r="B247" s="152" t="s">
        <v>139</v>
      </c>
      <c r="C247" s="135" t="s">
        <v>497</v>
      </c>
      <c r="D247" s="135">
        <v>9</v>
      </c>
      <c r="E247" s="135">
        <f t="shared" si="37"/>
        <v>41</v>
      </c>
      <c r="F247" s="136" t="str">
        <f>CONCATENATE("Hora Cátedra Enseñanza Media ",D247," hs Esc Esp")</f>
        <v>Hora Cátedra Enseñanza Media 9 hs Esc Esp</v>
      </c>
      <c r="G247" s="137">
        <f t="shared" si="47"/>
        <v>711</v>
      </c>
      <c r="H247" s="138">
        <f>INT((G247*Valores!$C$2*100)+0.49)/100</f>
        <v>9515.0300000000007</v>
      </c>
      <c r="I247" s="156">
        <v>0</v>
      </c>
      <c r="J247" s="140">
        <f>INT((I247*Valores!$C$2*100)+0.5)/100</f>
        <v>0</v>
      </c>
      <c r="K247" s="155">
        <v>0</v>
      </c>
      <c r="L247" s="140">
        <f>INT((K247*Valores!$C$2*100)+0.5)/100</f>
        <v>0</v>
      </c>
      <c r="M247" s="153">
        <v>0</v>
      </c>
      <c r="N247" s="140">
        <f>INT((M247*Valores!$C$2*100)+0.5)/100</f>
        <v>0</v>
      </c>
      <c r="O247" s="140">
        <f t="shared" si="38"/>
        <v>1748.9460000000001</v>
      </c>
      <c r="P247" s="140">
        <f t="shared" si="39"/>
        <v>0</v>
      </c>
      <c r="Q247" s="154">
        <f>Valores!$C$14*D247</f>
        <v>4084.56</v>
      </c>
      <c r="R247" s="154">
        <f>IF(D247&lt;15,(Valores!$E$4*D247),Valores!$D$4)</f>
        <v>4104.72</v>
      </c>
      <c r="S247" s="140">
        <v>0</v>
      </c>
      <c r="T247" s="143">
        <f>IF($H$5="NO",IF(Valores!$C$47*D247&gt;Valores!$C$45,Valores!$C$45,Valores!$C$47*D247),IF(Valores!$C$47*D247&gt;Valores!$C$45,Valores!$C$45,Valores!$C$47*D247)/2)</f>
        <v>859.94999999999993</v>
      </c>
      <c r="U247" s="154">
        <f>Valores!$C$24*D247</f>
        <v>1284.6600000000001</v>
      </c>
      <c r="V247" s="140">
        <f t="shared" si="48"/>
        <v>1284.6600000000001</v>
      </c>
      <c r="W247" s="140">
        <v>0</v>
      </c>
      <c r="X247" s="140">
        <v>0</v>
      </c>
      <c r="Y247" s="160">
        <v>0</v>
      </c>
      <c r="Z247" s="140">
        <f>Y247*Valores!$C$2</f>
        <v>0</v>
      </c>
      <c r="AA247" s="140">
        <v>0</v>
      </c>
      <c r="AB247" s="143">
        <f>IF(Valores!$C$93*D247&gt;Valores!$C$92,Valores!$C$92,Valores!$C$93*D247)</f>
        <v>1181.6099999999999</v>
      </c>
      <c r="AC247" s="145">
        <f>IF((Valores!$C$34)*D247&gt;Valores!$F$34,Valores!$F$34,(Valores!$C$34)*D247)</f>
        <v>100.89000000000001</v>
      </c>
      <c r="AD247" s="140">
        <f t="shared" si="41"/>
        <v>0</v>
      </c>
      <c r="AE247" s="140">
        <f>IF(Valores!$C$35*D247&gt;Valores!$F$35,Valores!$F$35,Valores!$C$35*D247)</f>
        <v>84.06</v>
      </c>
      <c r="AF247" s="144">
        <v>94</v>
      </c>
      <c r="AG247" s="140">
        <f>INT(((AF247*Valores!$C$2)*100)+0.5)/100</f>
        <v>1257.96</v>
      </c>
      <c r="AH247" s="140">
        <f>IF($H$5="NO",IF(Valores!$D$60*'Escala Docente'!D247&gt;Valores!$F$60,Valores!$F$60,Valores!$D$60*'Escala Docente'!D247),IF(Valores!$D$60*'Escala Docente'!D247&gt;Valores!$F$60,Valores!$F$60,Valores!$D$60*'Escala Docente'!D247)/2)</f>
        <v>341.46</v>
      </c>
      <c r="AI247" s="140">
        <f>IF($H$5="NO",IF(Valores!$D$62*D247&gt;Valores!$F$62,Valores!$F$62,Valores!$D$62*D247),IF(Valores!$D$62*D247&gt;Valores!$F$62,Valores!$F$62,Valores!$D$62*D247)/2)</f>
        <v>97.656000000000006</v>
      </c>
      <c r="AJ247" s="146">
        <f t="shared" si="42"/>
        <v>24661.502</v>
      </c>
      <c r="AK247" s="154">
        <f>IF(Valores!$C$38*D247&gt;Valores!$F$38,Valores!$F$38,Valores!$C$38*D247)</f>
        <v>879.30000000000007</v>
      </c>
      <c r="AL247" s="143">
        <f>IF(Valores!$C$88*D247&gt;Valores!$C$87,Valores!$C$87,Valores!$C$88*D247)</f>
        <v>1023.7499999999999</v>
      </c>
      <c r="AM247" s="143"/>
      <c r="AN247" s="145">
        <f>IF($H$4="NO",0,IF(Valores!$C$59*D247&gt;Valores!$F$59,Valores!$F$59,Valores!$C$59*D247))</f>
        <v>102.20310000000001</v>
      </c>
      <c r="AO247" s="147">
        <f t="shared" si="43"/>
        <v>2005.2530999999999</v>
      </c>
      <c r="AP247" s="148">
        <f>AJ247*Valores!$C$69</f>
        <v>-2712.7652200000002</v>
      </c>
      <c r="AQ247" s="149">
        <f>AJ247*-Valores!$C$70</f>
        <v>0</v>
      </c>
      <c r="AR247" s="142">
        <f>AJ247*Valores!$C$71</f>
        <v>-1109.7675899999999</v>
      </c>
      <c r="AS247" s="142">
        <f>Valores!$C$95</f>
        <v>-193.38</v>
      </c>
      <c r="AT247" s="142">
        <f>IF($H$6=0,Valores!$C$96,(Valores!$C$96+$H$6*(Valores!$C$96)))</f>
        <v>-178</v>
      </c>
      <c r="AU247" s="146">
        <f t="shared" si="44"/>
        <v>22472.842290000001</v>
      </c>
      <c r="AV247" s="199">
        <f t="shared" si="40"/>
        <v>-2712.7652200000002</v>
      </c>
      <c r="AW247" s="142">
        <f>AJ247*Valores!$C$72</f>
        <v>-665.86055399999998</v>
      </c>
      <c r="AX247" s="142">
        <f>AJ247*Valores!$C$73</f>
        <v>-73.984505999999996</v>
      </c>
      <c r="AY247" s="146">
        <f t="shared" si="45"/>
        <v>23214.144820000001</v>
      </c>
      <c r="AZ247" s="150"/>
      <c r="BA247" s="150">
        <f t="shared" si="46"/>
        <v>9</v>
      </c>
      <c r="BB247" s="135" t="s">
        <v>4</v>
      </c>
    </row>
    <row r="248" spans="1:54" s="114" customFormat="1" ht="11.25" customHeight="1" x14ac:dyDescent="0.15">
      <c r="A248" s="134">
        <v>246</v>
      </c>
      <c r="B248" s="134"/>
      <c r="C248" s="135" t="s">
        <v>497</v>
      </c>
      <c r="D248" s="135">
        <v>10</v>
      </c>
      <c r="E248" s="135">
        <f t="shared" si="37"/>
        <v>34</v>
      </c>
      <c r="F248" s="136" t="str">
        <f>CONCATENATE("Hora Cátedra Enseñanza Media ",D248," hs")</f>
        <v>Hora Cátedra Enseñanza Media 10 hs</v>
      </c>
      <c r="G248" s="137">
        <f t="shared" si="47"/>
        <v>790</v>
      </c>
      <c r="H248" s="138">
        <f>INT((G248*Valores!$C$2*100)+0.49)/100</f>
        <v>10572.25</v>
      </c>
      <c r="I248" s="156">
        <v>0</v>
      </c>
      <c r="J248" s="140">
        <f>INT((I248*Valores!$C$2*100)+0.5)/100</f>
        <v>0</v>
      </c>
      <c r="K248" s="155">
        <v>0</v>
      </c>
      <c r="L248" s="140">
        <f>INT((K248*Valores!$C$2*100)+0.5)/100</f>
        <v>0</v>
      </c>
      <c r="M248" s="153">
        <v>0</v>
      </c>
      <c r="N248" s="140">
        <f>INT((M248*Valores!$C$2*100)+0.5)/100</f>
        <v>0</v>
      </c>
      <c r="O248" s="140">
        <f t="shared" si="38"/>
        <v>1943.2724999999998</v>
      </c>
      <c r="P248" s="140">
        <f t="shared" si="39"/>
        <v>0</v>
      </c>
      <c r="Q248" s="154">
        <f>Valores!$C$14*D248</f>
        <v>4538.3999999999996</v>
      </c>
      <c r="R248" s="154">
        <f>IF(D248&lt;15,(Valores!$E$4*D248),Valores!$D$4)</f>
        <v>4560.8</v>
      </c>
      <c r="S248" s="140">
        <v>0</v>
      </c>
      <c r="T248" s="143">
        <f>IF($H$5="NO",IF(Valores!$C$47*D248&gt;Valores!$C$45,Valores!$C$45,Valores!$C$47*D248),IF(Valores!$C$47*D248&gt;Valores!$C$45,Valores!$C$45,Valores!$C$47*D248)/2)</f>
        <v>955.5</v>
      </c>
      <c r="U248" s="154">
        <f>Valores!$C$24*D248</f>
        <v>1427.4</v>
      </c>
      <c r="V248" s="140">
        <f t="shared" si="48"/>
        <v>1427.4</v>
      </c>
      <c r="W248" s="140">
        <v>0</v>
      </c>
      <c r="X248" s="140">
        <v>0</v>
      </c>
      <c r="Y248" s="160">
        <v>0</v>
      </c>
      <c r="Z248" s="140">
        <f>Y248*Valores!$C$2</f>
        <v>0</v>
      </c>
      <c r="AA248" s="140">
        <v>0</v>
      </c>
      <c r="AB248" s="143">
        <f>IF(Valores!$C$93*D248&gt;Valores!$C$92,Valores!$C$92,Valores!$C$93*D248)</f>
        <v>1312.8999999999999</v>
      </c>
      <c r="AC248" s="145">
        <f>IF((Valores!$C$34)*D248&gt;Valores!$F$34,Valores!$F$34,(Valores!$C$34)*D248)</f>
        <v>112.10000000000001</v>
      </c>
      <c r="AD248" s="140">
        <f t="shared" si="41"/>
        <v>0</v>
      </c>
      <c r="AE248" s="140">
        <f>IF(Valores!$C$35*D248&gt;Valores!$F$35,Valores!$F$35,Valores!$C$35*D248)</f>
        <v>93.4</v>
      </c>
      <c r="AF248" s="144">
        <v>0</v>
      </c>
      <c r="AG248" s="140">
        <f>INT(((AF248*Valores!$C$2)*100)+0.5)/100</f>
        <v>0</v>
      </c>
      <c r="AH248" s="140">
        <f>IF($H$5="NO",IF(Valores!$D$60*'Escala Docente'!D248&gt;Valores!$F$60,Valores!$F$60,Valores!$D$60*'Escala Docente'!D248),IF(Valores!$D$60*'Escala Docente'!D248&gt;Valores!$F$60,Valores!$F$60,Valores!$D$60*'Escala Docente'!D248)/2)</f>
        <v>379.4</v>
      </c>
      <c r="AI248" s="140">
        <f>IF($H$5="NO",IF(Valores!$D$62*D248&gt;Valores!$F$62,Valores!$F$62,Valores!$D$62*D248),IF(Valores!$D$62*D248&gt;Valores!$F$62,Valores!$F$62,Valores!$D$62*D248)/2)</f>
        <v>108.50666666666667</v>
      </c>
      <c r="AJ248" s="146">
        <f t="shared" si="42"/>
        <v>26003.929166666672</v>
      </c>
      <c r="AK248" s="154">
        <f>IF(Valores!$C$38*D248&gt;Valores!$F$38,Valores!$F$38,Valores!$C$38*D248)</f>
        <v>977</v>
      </c>
      <c r="AL248" s="143">
        <f>IF(Valores!$C$88*D248&gt;Valores!$C$87,Valores!$C$87,Valores!$C$88*D248)</f>
        <v>1137.4999999999998</v>
      </c>
      <c r="AM248" s="143"/>
      <c r="AN248" s="145">
        <f>IF($H$4="NO",0,IF(Valores!$C$59*D248&gt;Valores!$F$59,Valores!$F$59,Valores!$C$59*D248))</f>
        <v>113.559</v>
      </c>
      <c r="AO248" s="147">
        <f t="shared" si="43"/>
        <v>2228.0590000000002</v>
      </c>
      <c r="AP248" s="148">
        <f>AJ248*Valores!$C$69</f>
        <v>-2860.4322083333341</v>
      </c>
      <c r="AQ248" s="149">
        <f>AJ248*-Valores!$C$70</f>
        <v>0</v>
      </c>
      <c r="AR248" s="142">
        <f>AJ248*Valores!$C$71</f>
        <v>-1170.1768125000001</v>
      </c>
      <c r="AS248" s="142">
        <f>Valores!$C$95</f>
        <v>-193.38</v>
      </c>
      <c r="AT248" s="142">
        <f>IF($H$6=0,Valores!$C$96,(Valores!$C$96+$H$6*(Valores!$C$96)))</f>
        <v>-178</v>
      </c>
      <c r="AU248" s="146">
        <f t="shared" si="44"/>
        <v>23829.999145833339</v>
      </c>
      <c r="AV248" s="199">
        <f t="shared" si="40"/>
        <v>-2860.4322083333341</v>
      </c>
      <c r="AW248" s="142">
        <f>AJ248*Valores!$C$72</f>
        <v>-702.10608750000017</v>
      </c>
      <c r="AX248" s="142">
        <f>AJ248*Valores!$C$73</f>
        <v>-78.011787500000025</v>
      </c>
      <c r="AY248" s="146">
        <f t="shared" si="45"/>
        <v>24591.438083333338</v>
      </c>
      <c r="AZ248" s="150"/>
      <c r="BA248" s="150">
        <f t="shared" si="46"/>
        <v>10</v>
      </c>
      <c r="BB248" s="135" t="s">
        <v>4</v>
      </c>
    </row>
    <row r="249" spans="1:54" s="114" customFormat="1" ht="11.25" customHeight="1" x14ac:dyDescent="0.15">
      <c r="A249" s="134">
        <v>247</v>
      </c>
      <c r="B249" s="134"/>
      <c r="C249" s="135" t="s">
        <v>497</v>
      </c>
      <c r="D249" s="135">
        <v>10</v>
      </c>
      <c r="E249" s="135">
        <f t="shared" si="37"/>
        <v>42</v>
      </c>
      <c r="F249" s="136" t="str">
        <f>CONCATENATE("Hora Cátedra Enseñanza Media ",D249," hs Esc Esp")</f>
        <v>Hora Cátedra Enseñanza Media 10 hs Esc Esp</v>
      </c>
      <c r="G249" s="137">
        <f t="shared" si="47"/>
        <v>790</v>
      </c>
      <c r="H249" s="138">
        <f>INT((G249*Valores!$C$2*100)+0.49)/100</f>
        <v>10572.25</v>
      </c>
      <c r="I249" s="156">
        <v>0</v>
      </c>
      <c r="J249" s="140">
        <f>INT((I249*Valores!$C$2*100)+0.5)/100</f>
        <v>0</v>
      </c>
      <c r="K249" s="155">
        <v>0</v>
      </c>
      <c r="L249" s="140">
        <f>INT((K249*Valores!$C$2*100)+0.5)/100</f>
        <v>0</v>
      </c>
      <c r="M249" s="153">
        <v>0</v>
      </c>
      <c r="N249" s="140">
        <f>INT((M249*Valores!$C$2*100)+0.5)/100</f>
        <v>0</v>
      </c>
      <c r="O249" s="140">
        <f t="shared" si="38"/>
        <v>1943.2724999999998</v>
      </c>
      <c r="P249" s="140">
        <f t="shared" si="39"/>
        <v>0</v>
      </c>
      <c r="Q249" s="154">
        <f>Valores!$C$14*D249</f>
        <v>4538.3999999999996</v>
      </c>
      <c r="R249" s="154">
        <f>IF(D249&lt;15,(Valores!$E$4*D249),Valores!$D$4)</f>
        <v>4560.8</v>
      </c>
      <c r="S249" s="140">
        <v>0</v>
      </c>
      <c r="T249" s="143">
        <f>IF($H$5="NO",IF(Valores!$C$47*D249&gt;Valores!$C$45,Valores!$C$45,Valores!$C$47*D249),IF(Valores!$C$47*D249&gt;Valores!$C$45,Valores!$C$45,Valores!$C$47*D249)/2)</f>
        <v>955.5</v>
      </c>
      <c r="U249" s="154">
        <f>Valores!$C$24*D249</f>
        <v>1427.4</v>
      </c>
      <c r="V249" s="140">
        <f t="shared" si="48"/>
        <v>1427.4</v>
      </c>
      <c r="W249" s="140">
        <v>0</v>
      </c>
      <c r="X249" s="140">
        <v>0</v>
      </c>
      <c r="Y249" s="160">
        <v>0</v>
      </c>
      <c r="Z249" s="140">
        <f>Y249*Valores!$C$2</f>
        <v>0</v>
      </c>
      <c r="AA249" s="140">
        <v>0</v>
      </c>
      <c r="AB249" s="143">
        <f>IF(Valores!$C$93*D249&gt;Valores!$C$92,Valores!$C$92,Valores!$C$93*D249)</f>
        <v>1312.8999999999999</v>
      </c>
      <c r="AC249" s="145">
        <f>IF((Valores!$C$34)*D249&gt;Valores!$F$34,Valores!$F$34,(Valores!$C$34)*D249)</f>
        <v>112.10000000000001</v>
      </c>
      <c r="AD249" s="140">
        <f t="shared" si="41"/>
        <v>0</v>
      </c>
      <c r="AE249" s="140">
        <f>IF(Valores!$C$35*D249&gt;Valores!$F$35,Valores!$F$35,Valores!$C$35*D249)</f>
        <v>93.4</v>
      </c>
      <c r="AF249" s="144">
        <v>94</v>
      </c>
      <c r="AG249" s="140">
        <f>INT(((AF249*Valores!$C$2)*100)+0.5)/100</f>
        <v>1257.96</v>
      </c>
      <c r="AH249" s="140">
        <f>IF($H$5="NO",IF(Valores!$D$60*'Escala Docente'!D249&gt;Valores!$F$60,Valores!$F$60,Valores!$D$60*'Escala Docente'!D249),IF(Valores!$D$60*'Escala Docente'!D249&gt;Valores!$F$60,Valores!$F$60,Valores!$D$60*'Escala Docente'!D249)/2)</f>
        <v>379.4</v>
      </c>
      <c r="AI249" s="140">
        <f>IF($H$5="NO",IF(Valores!$D$62*D249&gt;Valores!$F$62,Valores!$F$62,Valores!$D$62*D249),IF(Valores!$D$62*D249&gt;Valores!$F$62,Valores!$F$62,Valores!$D$62*D249)/2)</f>
        <v>108.50666666666667</v>
      </c>
      <c r="AJ249" s="146">
        <f t="shared" si="42"/>
        <v>27261.889166666671</v>
      </c>
      <c r="AK249" s="154">
        <f>IF(Valores!$C$38*D249&gt;Valores!$F$38,Valores!$F$38,Valores!$C$38*D249)</f>
        <v>977</v>
      </c>
      <c r="AL249" s="143">
        <f>IF(Valores!$C$88*D249&gt;Valores!$C$87,Valores!$C$87,Valores!$C$88*D249)</f>
        <v>1137.4999999999998</v>
      </c>
      <c r="AM249" s="143"/>
      <c r="AN249" s="145">
        <f>IF($H$4="NO",0,IF(Valores!$C$59*D249&gt;Valores!$F$59,Valores!$F$59,Valores!$C$59*D249))</f>
        <v>113.559</v>
      </c>
      <c r="AO249" s="147">
        <f t="shared" si="43"/>
        <v>2228.0590000000002</v>
      </c>
      <c r="AP249" s="148">
        <f>AJ249*Valores!$C$69</f>
        <v>-2998.8078083333339</v>
      </c>
      <c r="AQ249" s="149">
        <f>AJ249*-Valores!$C$70</f>
        <v>0</v>
      </c>
      <c r="AR249" s="142">
        <f>AJ249*Valores!$C$71</f>
        <v>-1226.7850125000002</v>
      </c>
      <c r="AS249" s="142">
        <f>Valores!$C$95</f>
        <v>-193.38</v>
      </c>
      <c r="AT249" s="142">
        <f>IF($H$6=0,Valores!$C$96,(Valores!$C$96+$H$6*(Valores!$C$96)))</f>
        <v>-178</v>
      </c>
      <c r="AU249" s="146">
        <f t="shared" si="44"/>
        <v>24892.975345833336</v>
      </c>
      <c r="AV249" s="199">
        <f t="shared" si="40"/>
        <v>-2998.8078083333339</v>
      </c>
      <c r="AW249" s="142">
        <f>AJ249*Valores!$C$72</f>
        <v>-736.07100750000006</v>
      </c>
      <c r="AX249" s="142">
        <f>AJ249*Valores!$C$73</f>
        <v>-81.785667500000017</v>
      </c>
      <c r="AY249" s="146">
        <f t="shared" si="45"/>
        <v>25673.283683333339</v>
      </c>
      <c r="AZ249" s="150"/>
      <c r="BA249" s="150">
        <f t="shared" si="46"/>
        <v>10</v>
      </c>
      <c r="BB249" s="135" t="s">
        <v>4</v>
      </c>
    </row>
    <row r="250" spans="1:54" s="114" customFormat="1" ht="11.25" customHeight="1" x14ac:dyDescent="0.15">
      <c r="A250" s="134">
        <v>248</v>
      </c>
      <c r="B250" s="134"/>
      <c r="C250" s="135" t="s">
        <v>497</v>
      </c>
      <c r="D250" s="135">
        <v>11</v>
      </c>
      <c r="E250" s="135">
        <f t="shared" si="37"/>
        <v>34</v>
      </c>
      <c r="F250" s="136" t="str">
        <f>CONCATENATE("Hora Cátedra Enseñanza Media ",D250," hs")</f>
        <v>Hora Cátedra Enseñanza Media 11 hs</v>
      </c>
      <c r="G250" s="137">
        <f t="shared" si="47"/>
        <v>869</v>
      </c>
      <c r="H250" s="138">
        <f>INT((G250*Valores!$C$2*100)+0.49)/100</f>
        <v>11629.48</v>
      </c>
      <c r="I250" s="156">
        <v>0</v>
      </c>
      <c r="J250" s="140">
        <f>INT((I250*Valores!$C$2*100)+0.5)/100</f>
        <v>0</v>
      </c>
      <c r="K250" s="155">
        <v>0</v>
      </c>
      <c r="L250" s="140">
        <f>INT((K250*Valores!$C$2*100)+0.5)/100</f>
        <v>0</v>
      </c>
      <c r="M250" s="153">
        <v>0</v>
      </c>
      <c r="N250" s="140">
        <f>INT((M250*Valores!$C$2*100)+0.5)/100</f>
        <v>0</v>
      </c>
      <c r="O250" s="140">
        <f t="shared" si="38"/>
        <v>2137.6004999999996</v>
      </c>
      <c r="P250" s="140">
        <f t="shared" si="39"/>
        <v>0</v>
      </c>
      <c r="Q250" s="154">
        <f>Valores!$C$14*D250</f>
        <v>4992.24</v>
      </c>
      <c r="R250" s="154">
        <f>IF(D250&lt;15,(Valores!$E$4*D250),Valores!$D$4)</f>
        <v>5016.88</v>
      </c>
      <c r="S250" s="140">
        <v>0</v>
      </c>
      <c r="T250" s="143">
        <f>IF($H$5="NO",IF(Valores!$C$47*D250&gt;Valores!$C$45,Valores!$C$45,Valores!$C$47*D250),IF(Valores!$C$47*D250&gt;Valores!$C$45,Valores!$C$45,Valores!$C$47*D250)/2)</f>
        <v>1051.05</v>
      </c>
      <c r="U250" s="154">
        <f>Valores!$C$24*D250</f>
        <v>1570.14</v>
      </c>
      <c r="V250" s="140">
        <f t="shared" si="48"/>
        <v>1570.14</v>
      </c>
      <c r="W250" s="140">
        <v>0</v>
      </c>
      <c r="X250" s="140">
        <v>0</v>
      </c>
      <c r="Y250" s="160">
        <v>0</v>
      </c>
      <c r="Z250" s="140">
        <f>Y250*Valores!$C$2</f>
        <v>0</v>
      </c>
      <c r="AA250" s="140">
        <v>0</v>
      </c>
      <c r="AB250" s="143">
        <f>IF(Valores!$C$93*D250&gt;Valores!$C$92,Valores!$C$92,Valores!$C$93*D250)</f>
        <v>1444.1899999999998</v>
      </c>
      <c r="AC250" s="145">
        <f>IF((Valores!$C$34)*D250&gt;Valores!$F$34,Valores!$F$34,(Valores!$C$34)*D250)</f>
        <v>123.31</v>
      </c>
      <c r="AD250" s="140">
        <f t="shared" si="41"/>
        <v>0</v>
      </c>
      <c r="AE250" s="140">
        <f>IF(Valores!$C$35*D250&gt;Valores!$F$35,Valores!$F$35,Valores!$C$35*D250)</f>
        <v>102.74</v>
      </c>
      <c r="AF250" s="144">
        <v>0</v>
      </c>
      <c r="AG250" s="140">
        <f>INT(((AF250*Valores!$C$2)*100)+0.5)/100</f>
        <v>0</v>
      </c>
      <c r="AH250" s="140">
        <f>IF($H$5="NO",IF(Valores!$D$60*'Escala Docente'!D250&gt;Valores!$F$60,Valores!$F$60,Valores!$D$60*'Escala Docente'!D250),IF(Valores!$D$60*'Escala Docente'!D250&gt;Valores!$F$60,Valores!$F$60,Valores!$D$60*'Escala Docente'!D250)/2)</f>
        <v>417.34</v>
      </c>
      <c r="AI250" s="140">
        <f>IF($H$5="NO",IF(Valores!$D$62*D250&gt;Valores!$F$62,Valores!$F$62,Valores!$D$62*D250),IF(Valores!$D$62*D250&gt;Valores!$F$62,Valores!$F$62,Valores!$D$62*D250)/2)</f>
        <v>119.35733333333334</v>
      </c>
      <c r="AJ250" s="146">
        <f t="shared" si="42"/>
        <v>28604.327833333336</v>
      </c>
      <c r="AK250" s="154">
        <f>IF(Valores!$C$38*D250&gt;Valores!$F$38,Valores!$F$38,Valores!$C$38*D250)</f>
        <v>1074.7</v>
      </c>
      <c r="AL250" s="143">
        <f>IF(Valores!$C$88*D250&gt;Valores!$C$87,Valores!$C$87,Valores!$C$88*D250)</f>
        <v>1251.2499999999998</v>
      </c>
      <c r="AM250" s="143"/>
      <c r="AN250" s="145">
        <f>IF($H$4="NO",0,IF(Valores!$C$59*D250&gt;Valores!$F$59,Valores!$F$59,Valores!$C$59*D250))</f>
        <v>124.9149</v>
      </c>
      <c r="AO250" s="147">
        <f t="shared" si="43"/>
        <v>2450.8649</v>
      </c>
      <c r="AP250" s="148">
        <f>AJ250*Valores!$C$69</f>
        <v>-3146.4760616666672</v>
      </c>
      <c r="AQ250" s="149">
        <f>AJ250*-Valores!$C$70</f>
        <v>0</v>
      </c>
      <c r="AR250" s="142">
        <f>AJ250*Valores!$C$71</f>
        <v>-1287.1947525</v>
      </c>
      <c r="AS250" s="142">
        <f>Valores!$C$95</f>
        <v>-193.38</v>
      </c>
      <c r="AT250" s="142">
        <f>IF($H$6=0,Valores!$C$96,(Valores!$C$96+$H$6*(Valores!$C$96)))</f>
        <v>-178</v>
      </c>
      <c r="AU250" s="146">
        <f t="shared" si="44"/>
        <v>26250.141919166668</v>
      </c>
      <c r="AV250" s="199">
        <f t="shared" si="40"/>
        <v>-3146.4760616666672</v>
      </c>
      <c r="AW250" s="142">
        <f>AJ250*Valores!$C$72</f>
        <v>-772.3168515000001</v>
      </c>
      <c r="AX250" s="142">
        <f>AJ250*Valores!$C$73</f>
        <v>-85.812983500000016</v>
      </c>
      <c r="AY250" s="146">
        <f t="shared" si="45"/>
        <v>27050.586836666669</v>
      </c>
      <c r="AZ250" s="150"/>
      <c r="BA250" s="150">
        <f t="shared" si="46"/>
        <v>11</v>
      </c>
      <c r="BB250" s="135" t="s">
        <v>4</v>
      </c>
    </row>
    <row r="251" spans="1:54" s="114" customFormat="1" ht="11.25" customHeight="1" x14ac:dyDescent="0.15">
      <c r="A251" s="134">
        <v>249</v>
      </c>
      <c r="B251" s="134"/>
      <c r="C251" s="135" t="s">
        <v>497</v>
      </c>
      <c r="D251" s="135">
        <v>11</v>
      </c>
      <c r="E251" s="135">
        <f t="shared" si="37"/>
        <v>42</v>
      </c>
      <c r="F251" s="136" t="str">
        <f>CONCATENATE("Hora Cátedra Enseñanza Media ",D251," hs Esc Esp")</f>
        <v>Hora Cátedra Enseñanza Media 11 hs Esc Esp</v>
      </c>
      <c r="G251" s="137">
        <f t="shared" si="47"/>
        <v>869</v>
      </c>
      <c r="H251" s="138">
        <f>INT((G251*Valores!$C$2*100)+0.49)/100</f>
        <v>11629.48</v>
      </c>
      <c r="I251" s="156">
        <v>0</v>
      </c>
      <c r="J251" s="140">
        <f>INT((I251*Valores!$C$2*100)+0.5)/100</f>
        <v>0</v>
      </c>
      <c r="K251" s="155">
        <v>0</v>
      </c>
      <c r="L251" s="140">
        <f>INT((K251*Valores!$C$2*100)+0.5)/100</f>
        <v>0</v>
      </c>
      <c r="M251" s="153">
        <v>0</v>
      </c>
      <c r="N251" s="140">
        <f>INT((M251*Valores!$C$2*100)+0.5)/100</f>
        <v>0</v>
      </c>
      <c r="O251" s="140">
        <f t="shared" si="38"/>
        <v>2137.6004999999996</v>
      </c>
      <c r="P251" s="140">
        <f t="shared" si="39"/>
        <v>0</v>
      </c>
      <c r="Q251" s="154">
        <f>Valores!$C$14*D251</f>
        <v>4992.24</v>
      </c>
      <c r="R251" s="154">
        <f>IF(D251&lt;15,(Valores!$E$4*D251),Valores!$D$4)</f>
        <v>5016.88</v>
      </c>
      <c r="S251" s="140">
        <v>0</v>
      </c>
      <c r="T251" s="143">
        <f>IF($H$5="NO",IF(Valores!$C$47*D251&gt;Valores!$C$45,Valores!$C$45,Valores!$C$47*D251),IF(Valores!$C$47*D251&gt;Valores!$C$45,Valores!$C$45,Valores!$C$47*D251)/2)</f>
        <v>1051.05</v>
      </c>
      <c r="U251" s="154">
        <f>Valores!$C$24*D251</f>
        <v>1570.14</v>
      </c>
      <c r="V251" s="140">
        <f t="shared" si="48"/>
        <v>1570.14</v>
      </c>
      <c r="W251" s="140">
        <v>0</v>
      </c>
      <c r="X251" s="140">
        <v>0</v>
      </c>
      <c r="Y251" s="160">
        <v>0</v>
      </c>
      <c r="Z251" s="140">
        <f>Y251*Valores!$C$2</f>
        <v>0</v>
      </c>
      <c r="AA251" s="140">
        <v>0</v>
      </c>
      <c r="AB251" s="143">
        <f>IF(Valores!$C$93*D251&gt;Valores!$C$92,Valores!$C$92,Valores!$C$93*D251)</f>
        <v>1444.1899999999998</v>
      </c>
      <c r="AC251" s="145">
        <f>IF((Valores!$C$34)*D251&gt;Valores!$F$34,Valores!$F$34,(Valores!$C$34)*D251)</f>
        <v>123.31</v>
      </c>
      <c r="AD251" s="140">
        <f t="shared" si="41"/>
        <v>0</v>
      </c>
      <c r="AE251" s="140">
        <f>IF(Valores!$C$35*D251&gt;Valores!$F$35,Valores!$F$35,Valores!$C$35*D251)</f>
        <v>102.74</v>
      </c>
      <c r="AF251" s="144">
        <v>94</v>
      </c>
      <c r="AG251" s="140">
        <f>INT(((AF251*Valores!$C$2)*100)+0.5)/100</f>
        <v>1257.96</v>
      </c>
      <c r="AH251" s="140">
        <f>IF($H$5="NO",IF(Valores!$D$60*'Escala Docente'!D251&gt;Valores!$F$60,Valores!$F$60,Valores!$D$60*'Escala Docente'!D251),IF(Valores!$D$60*'Escala Docente'!D251&gt;Valores!$F$60,Valores!$F$60,Valores!$D$60*'Escala Docente'!D251)/2)</f>
        <v>417.34</v>
      </c>
      <c r="AI251" s="140">
        <f>IF($H$5="NO",IF(Valores!$D$62*D251&gt;Valores!$F$62,Valores!$F$62,Valores!$D$62*D251),IF(Valores!$D$62*D251&gt;Valores!$F$62,Valores!$F$62,Valores!$D$62*D251)/2)</f>
        <v>119.35733333333334</v>
      </c>
      <c r="AJ251" s="146">
        <f t="shared" si="42"/>
        <v>29862.287833333336</v>
      </c>
      <c r="AK251" s="154">
        <f>IF(Valores!$C$38*D251&gt;Valores!$F$38,Valores!$F$38,Valores!$C$38*D251)</f>
        <v>1074.7</v>
      </c>
      <c r="AL251" s="143">
        <f>IF(Valores!$C$88*D251&gt;Valores!$C$87,Valores!$C$87,Valores!$C$88*D251)</f>
        <v>1251.2499999999998</v>
      </c>
      <c r="AM251" s="143"/>
      <c r="AN251" s="145">
        <f>IF($H$4="NO",0,IF(Valores!$C$59*D251&gt;Valores!$F$59,Valores!$F$59,Valores!$C$59*D251))</f>
        <v>124.9149</v>
      </c>
      <c r="AO251" s="147">
        <f t="shared" si="43"/>
        <v>2450.8649</v>
      </c>
      <c r="AP251" s="148">
        <f>AJ251*Valores!$C$69</f>
        <v>-3284.851661666667</v>
      </c>
      <c r="AQ251" s="149">
        <f>AJ251*-Valores!$C$70</f>
        <v>0</v>
      </c>
      <c r="AR251" s="142">
        <f>AJ251*Valores!$C$71</f>
        <v>-1343.8029524999999</v>
      </c>
      <c r="AS251" s="142">
        <f>Valores!$C$95</f>
        <v>-193.38</v>
      </c>
      <c r="AT251" s="142">
        <f>IF($H$6=0,Valores!$C$96,(Valores!$C$96+$H$6*(Valores!$C$96)))</f>
        <v>-178</v>
      </c>
      <c r="AU251" s="146">
        <f t="shared" si="44"/>
        <v>27313.118119166669</v>
      </c>
      <c r="AV251" s="199">
        <f t="shared" si="40"/>
        <v>-3284.851661666667</v>
      </c>
      <c r="AW251" s="142">
        <f>AJ251*Valores!$C$72</f>
        <v>-806.2817715000001</v>
      </c>
      <c r="AX251" s="142">
        <f>AJ251*Valores!$C$73</f>
        <v>-89.586863500000007</v>
      </c>
      <c r="AY251" s="146">
        <f t="shared" si="45"/>
        <v>28132.43243666667</v>
      </c>
      <c r="AZ251" s="150"/>
      <c r="BA251" s="150">
        <f t="shared" si="46"/>
        <v>11</v>
      </c>
      <c r="BB251" s="135" t="s">
        <v>4</v>
      </c>
    </row>
    <row r="252" spans="1:54" s="114" customFormat="1" ht="11.25" customHeight="1" x14ac:dyDescent="0.15">
      <c r="A252" s="152">
        <v>250</v>
      </c>
      <c r="B252" s="152" t="s">
        <v>139</v>
      </c>
      <c r="C252" s="135" t="s">
        <v>497</v>
      </c>
      <c r="D252" s="135">
        <v>12</v>
      </c>
      <c r="E252" s="135">
        <f t="shared" si="37"/>
        <v>34</v>
      </c>
      <c r="F252" s="136" t="str">
        <f>CONCATENATE("Hora Cátedra Enseñanza Media ",D252," hs")</f>
        <v>Hora Cátedra Enseñanza Media 12 hs</v>
      </c>
      <c r="G252" s="137">
        <f t="shared" si="47"/>
        <v>948</v>
      </c>
      <c r="H252" s="138">
        <f>INT((G252*Valores!$C$2*100)+0.49)/100</f>
        <v>12686.7</v>
      </c>
      <c r="I252" s="156">
        <v>0</v>
      </c>
      <c r="J252" s="140">
        <f>INT((I252*Valores!$C$2*100)+0.5)/100</f>
        <v>0</v>
      </c>
      <c r="K252" s="155">
        <v>0</v>
      </c>
      <c r="L252" s="140">
        <f>INT((K252*Valores!$C$2*100)+0.5)/100</f>
        <v>0</v>
      </c>
      <c r="M252" s="153">
        <v>0</v>
      </c>
      <c r="N252" s="140">
        <f>INT((M252*Valores!$C$2*100)+0.5)/100</f>
        <v>0</v>
      </c>
      <c r="O252" s="140">
        <f t="shared" si="38"/>
        <v>2331.9270000000001</v>
      </c>
      <c r="P252" s="140">
        <f>SUM(H252,J252,L252,N252,Z252,T252)*$J$2</f>
        <v>0</v>
      </c>
      <c r="Q252" s="154">
        <f>Valores!$C$14*D252</f>
        <v>5446.08</v>
      </c>
      <c r="R252" s="154">
        <f>IF(D252&lt;15,(Valores!$E$4*D252),Valores!$D$4)</f>
        <v>5472.96</v>
      </c>
      <c r="S252" s="140">
        <v>0</v>
      </c>
      <c r="T252" s="143">
        <f>IF($H$5="NO",IF(Valores!$C$47*D252&gt;Valores!$C$45,Valores!$C$45,Valores!$C$47*D252),IF(Valores!$C$47*D252&gt;Valores!$C$45,Valores!$C$45,Valores!$C$47*D252)/2)</f>
        <v>1146.5999999999999</v>
      </c>
      <c r="U252" s="154">
        <f>Valores!$C$24*D252</f>
        <v>1712.88</v>
      </c>
      <c r="V252" s="140">
        <f t="shared" si="48"/>
        <v>1712.88</v>
      </c>
      <c r="W252" s="140">
        <v>0</v>
      </c>
      <c r="X252" s="140">
        <v>0</v>
      </c>
      <c r="Y252" s="160">
        <v>0</v>
      </c>
      <c r="Z252" s="140">
        <f>Y252*Valores!$C$2</f>
        <v>0</v>
      </c>
      <c r="AA252" s="140">
        <v>0</v>
      </c>
      <c r="AB252" s="143">
        <f>IF(Valores!$C$93*D252&gt;Valores!$C$92,Valores!$C$92,Valores!$C$93*D252)</f>
        <v>1575.48</v>
      </c>
      <c r="AC252" s="145">
        <f>IF((Valores!$C$34)*D252&gt;Valores!$F$34,Valores!$F$34,(Valores!$C$34)*D252)</f>
        <v>134.52000000000001</v>
      </c>
      <c r="AD252" s="140">
        <f t="shared" si="41"/>
        <v>0</v>
      </c>
      <c r="AE252" s="140">
        <f>IF(Valores!$C$35*D252&gt;Valores!$F$35,Valores!$F$35,Valores!$C$35*D252)</f>
        <v>112.08</v>
      </c>
      <c r="AF252" s="144">
        <v>0</v>
      </c>
      <c r="AG252" s="140">
        <f>INT(((AF252*Valores!$C$2)*100)+0.5)/100</f>
        <v>0</v>
      </c>
      <c r="AH252" s="140">
        <f>IF($H$5="NO",IF(Valores!$D$60*'Escala Docente'!D252&gt;Valores!$F$60,Valores!$F$60,Valores!$D$60*'Escala Docente'!D252),IF(Valores!$D$60*'Escala Docente'!D252&gt;Valores!$F$60,Valores!$F$60,Valores!$D$60*'Escala Docente'!D252)/2)</f>
        <v>455.28</v>
      </c>
      <c r="AI252" s="140">
        <f>IF($H$5="NO",IF(Valores!$D$62*D252&gt;Valores!$F$62,Valores!$F$62,Valores!$D$62*D252),IF(Valores!$D$62*D252&gt;Valores!$F$62,Valores!$F$62,Valores!$D$62*D252)/2)</f>
        <v>130.208</v>
      </c>
      <c r="AJ252" s="146">
        <f t="shared" si="42"/>
        <v>31204.715</v>
      </c>
      <c r="AK252" s="154">
        <f>IF(Valores!$C$38*D252&gt;Valores!$F$38,Valores!$F$38,Valores!$C$38*D252)</f>
        <v>1172.4000000000001</v>
      </c>
      <c r="AL252" s="143">
        <f>IF(Valores!$C$88*D252&gt;Valores!$C$87,Valores!$C$87,Valores!$C$88*D252)</f>
        <v>1364.9999999999998</v>
      </c>
      <c r="AM252" s="143"/>
      <c r="AN252" s="145">
        <f>IF($H$4="NO",0,IF(Valores!$C$59*D252&gt;Valores!$F$59,Valores!$F$59,Valores!$C$59*D252))</f>
        <v>136.27080000000001</v>
      </c>
      <c r="AO252" s="147">
        <f t="shared" si="43"/>
        <v>2673.6707999999999</v>
      </c>
      <c r="AP252" s="148">
        <f>AJ252*Valores!$C$69</f>
        <v>-3432.51865</v>
      </c>
      <c r="AQ252" s="149">
        <f>AJ252*-Valores!$C$70</f>
        <v>0</v>
      </c>
      <c r="AR252" s="142">
        <f>AJ252*Valores!$C$71</f>
        <v>-1404.2121749999999</v>
      </c>
      <c r="AS252" s="142">
        <f>Valores!$C$95</f>
        <v>-193.38</v>
      </c>
      <c r="AT252" s="142">
        <f>IF($H$6=0,Valores!$C$96,(Valores!$C$96+$H$6*(Valores!$C$96)))</f>
        <v>-178</v>
      </c>
      <c r="AU252" s="146">
        <f t="shared" si="44"/>
        <v>28670.274975</v>
      </c>
      <c r="AV252" s="199">
        <f t="shared" si="40"/>
        <v>-3432.51865</v>
      </c>
      <c r="AW252" s="142">
        <f>AJ252*Valores!$C$72</f>
        <v>-842.52730499999996</v>
      </c>
      <c r="AX252" s="142">
        <f>AJ252*Valores!$C$73</f>
        <v>-93.614145000000008</v>
      </c>
      <c r="AY252" s="146">
        <f t="shared" si="45"/>
        <v>29509.725700000003</v>
      </c>
      <c r="AZ252" s="150"/>
      <c r="BA252" s="150">
        <f t="shared" si="46"/>
        <v>12</v>
      </c>
      <c r="BB252" s="135" t="s">
        <v>4</v>
      </c>
    </row>
    <row r="253" spans="1:54" s="114" customFormat="1" ht="11.25" customHeight="1" x14ac:dyDescent="0.15">
      <c r="A253" s="134">
        <v>251</v>
      </c>
      <c r="B253" s="134"/>
      <c r="C253" s="135" t="s">
        <v>497</v>
      </c>
      <c r="D253" s="135">
        <v>12</v>
      </c>
      <c r="E253" s="135">
        <f t="shared" si="37"/>
        <v>42</v>
      </c>
      <c r="F253" s="136" t="str">
        <f>CONCATENATE("Hora Cátedra Enseñanza Media ",D253," hs Esc Esp")</f>
        <v>Hora Cátedra Enseñanza Media 12 hs Esc Esp</v>
      </c>
      <c r="G253" s="137">
        <f t="shared" si="47"/>
        <v>948</v>
      </c>
      <c r="H253" s="138">
        <f>INT((G253*Valores!$C$2*100)+0.49)/100</f>
        <v>12686.7</v>
      </c>
      <c r="I253" s="156">
        <v>0</v>
      </c>
      <c r="J253" s="140">
        <f>INT((I253*Valores!$C$2*100)+0.5)/100</f>
        <v>0</v>
      </c>
      <c r="K253" s="155">
        <v>0</v>
      </c>
      <c r="L253" s="140">
        <f>INT((K253*Valores!$C$2*100)+0.5)/100</f>
        <v>0</v>
      </c>
      <c r="M253" s="153">
        <v>0</v>
      </c>
      <c r="N253" s="140">
        <f>INT((M253*Valores!$C$2*100)+0.5)/100</f>
        <v>0</v>
      </c>
      <c r="O253" s="140">
        <f t="shared" si="38"/>
        <v>2331.9270000000001</v>
      </c>
      <c r="P253" s="140">
        <f t="shared" si="39"/>
        <v>0</v>
      </c>
      <c r="Q253" s="154">
        <f>Valores!$C$14*D253</f>
        <v>5446.08</v>
      </c>
      <c r="R253" s="154">
        <f>IF(D253&lt;15,(Valores!$E$4*D253),Valores!$D$4)</f>
        <v>5472.96</v>
      </c>
      <c r="S253" s="140">
        <v>0</v>
      </c>
      <c r="T253" s="143">
        <f>IF($H$5="NO",IF(Valores!$C$47*D253&gt;Valores!$C$45,Valores!$C$45,Valores!$C$47*D253),IF(Valores!$C$47*D253&gt;Valores!$C$45,Valores!$C$45,Valores!$C$47*D253)/2)</f>
        <v>1146.5999999999999</v>
      </c>
      <c r="U253" s="154">
        <f>Valores!$C$24*D253</f>
        <v>1712.88</v>
      </c>
      <c r="V253" s="140">
        <f t="shared" si="48"/>
        <v>1712.88</v>
      </c>
      <c r="W253" s="140">
        <v>0</v>
      </c>
      <c r="X253" s="140">
        <v>0</v>
      </c>
      <c r="Y253" s="160">
        <v>0</v>
      </c>
      <c r="Z253" s="140">
        <f>Y253*Valores!$C$2</f>
        <v>0</v>
      </c>
      <c r="AA253" s="140">
        <v>0</v>
      </c>
      <c r="AB253" s="143">
        <f>IF(Valores!$C$93*D253&gt;Valores!$C$92,Valores!$C$92,Valores!$C$93*D253)</f>
        <v>1575.48</v>
      </c>
      <c r="AC253" s="145">
        <f>IF((Valores!$C$34)*D253&gt;Valores!$F$34,Valores!$F$34,(Valores!$C$34)*D253)</f>
        <v>134.52000000000001</v>
      </c>
      <c r="AD253" s="140">
        <f t="shared" si="41"/>
        <v>0</v>
      </c>
      <c r="AE253" s="140">
        <f>IF(Valores!$C$35*D253&gt;Valores!$F$35,Valores!$F$35,Valores!$C$35*D253)</f>
        <v>112.08</v>
      </c>
      <c r="AF253" s="144">
        <v>94</v>
      </c>
      <c r="AG253" s="140">
        <f>INT(((AF253*Valores!$C$2)*100)+0.5)/100</f>
        <v>1257.96</v>
      </c>
      <c r="AH253" s="140">
        <f>IF($H$5="NO",IF(Valores!$D$60*'Escala Docente'!D253&gt;Valores!$F$60,Valores!$F$60,Valores!$D$60*'Escala Docente'!D253),IF(Valores!$D$60*'Escala Docente'!D253&gt;Valores!$F$60,Valores!$F$60,Valores!$D$60*'Escala Docente'!D253)/2)</f>
        <v>455.28</v>
      </c>
      <c r="AI253" s="140">
        <f>IF($H$5="NO",IF(Valores!$D$62*D253&gt;Valores!$F$62,Valores!$F$62,Valores!$D$62*D253),IF(Valores!$D$62*D253&gt;Valores!$F$62,Valores!$F$62,Valores!$D$62*D253)/2)</f>
        <v>130.208</v>
      </c>
      <c r="AJ253" s="146">
        <f t="shared" si="42"/>
        <v>32462.674999999999</v>
      </c>
      <c r="AK253" s="154">
        <f>IF(Valores!$C$38*D253&gt;Valores!$F$38,Valores!$F$38,Valores!$C$38*D253)</f>
        <v>1172.4000000000001</v>
      </c>
      <c r="AL253" s="143">
        <f>IF(Valores!$C$88*D253&gt;Valores!$C$87,Valores!$C$87,Valores!$C$88*D253)</f>
        <v>1364.9999999999998</v>
      </c>
      <c r="AM253" s="143"/>
      <c r="AN253" s="145">
        <f>IF($H$4="NO",0,IF(Valores!$C$59*D253&gt;Valores!$F$59,Valores!$F$59,Valores!$C$59*D253))</f>
        <v>136.27080000000001</v>
      </c>
      <c r="AO253" s="147">
        <f t="shared" si="43"/>
        <v>2673.6707999999999</v>
      </c>
      <c r="AP253" s="148">
        <f>AJ253*Valores!$C$69</f>
        <v>-3570.8942499999998</v>
      </c>
      <c r="AQ253" s="149">
        <f>AJ253*-Valores!$C$70</f>
        <v>0</v>
      </c>
      <c r="AR253" s="142">
        <f>AJ253*Valores!$C$71</f>
        <v>-1460.820375</v>
      </c>
      <c r="AS253" s="142">
        <f>Valores!$C$95</f>
        <v>-193.38</v>
      </c>
      <c r="AT253" s="142">
        <f>IF($H$6=0,Valores!$C$96,(Valores!$C$96+$H$6*(Valores!$C$96)))</f>
        <v>-178</v>
      </c>
      <c r="AU253" s="146">
        <f t="shared" si="44"/>
        <v>29733.251174999998</v>
      </c>
      <c r="AV253" s="199">
        <f t="shared" si="40"/>
        <v>-3570.8942499999998</v>
      </c>
      <c r="AW253" s="142">
        <f>AJ253*Valores!$C$72</f>
        <v>-876.49222499999996</v>
      </c>
      <c r="AX253" s="142">
        <f>AJ253*Valores!$C$73</f>
        <v>-97.388024999999999</v>
      </c>
      <c r="AY253" s="146">
        <f t="shared" si="45"/>
        <v>30591.571299999996</v>
      </c>
      <c r="AZ253" s="150"/>
      <c r="BA253" s="150">
        <f t="shared" si="46"/>
        <v>12</v>
      </c>
      <c r="BB253" s="135" t="s">
        <v>4</v>
      </c>
    </row>
    <row r="254" spans="1:54" s="114" customFormat="1" ht="11.25" customHeight="1" x14ac:dyDescent="0.15">
      <c r="A254" s="134">
        <v>252</v>
      </c>
      <c r="B254" s="134"/>
      <c r="C254" s="135" t="s">
        <v>497</v>
      </c>
      <c r="D254" s="135">
        <v>13</v>
      </c>
      <c r="E254" s="135">
        <f t="shared" si="37"/>
        <v>34</v>
      </c>
      <c r="F254" s="136" t="str">
        <f>CONCATENATE("Hora Cátedra Enseñanza Media ",D254," hs")</f>
        <v>Hora Cátedra Enseñanza Media 13 hs</v>
      </c>
      <c r="G254" s="137">
        <f t="shared" si="47"/>
        <v>1027</v>
      </c>
      <c r="H254" s="138">
        <f>INT((G254*Valores!$C$2*100)+0.49)/100</f>
        <v>13743.93</v>
      </c>
      <c r="I254" s="156">
        <v>0</v>
      </c>
      <c r="J254" s="140">
        <f>INT((I254*Valores!$C$2*100)+0.5)/100</f>
        <v>0</v>
      </c>
      <c r="K254" s="155">
        <v>0</v>
      </c>
      <c r="L254" s="140">
        <f>INT((K254*Valores!$C$2*100)+0.5)/100</f>
        <v>0</v>
      </c>
      <c r="M254" s="153">
        <v>0</v>
      </c>
      <c r="N254" s="140">
        <f>INT((M254*Valores!$C$2*100)+0.5)/100</f>
        <v>0</v>
      </c>
      <c r="O254" s="140">
        <f t="shared" si="38"/>
        <v>2526.2550000000001</v>
      </c>
      <c r="P254" s="140">
        <f t="shared" si="39"/>
        <v>0</v>
      </c>
      <c r="Q254" s="154">
        <f>Valores!$C$14*D254</f>
        <v>5899.92</v>
      </c>
      <c r="R254" s="154">
        <f>IF(D254&lt;15,(Valores!$E$4*D254),Valores!$D$4)</f>
        <v>5929.04</v>
      </c>
      <c r="S254" s="140">
        <v>0</v>
      </c>
      <c r="T254" s="143">
        <f>IF($H$5="NO",IF(Valores!$C$47*D254&gt;Valores!$C$45,Valores!$C$45,Valores!$C$47*D254),IF(Valores!$C$47*D254&gt;Valores!$C$45,Valores!$C$45,Valores!$C$47*D254)/2)</f>
        <v>1242.1499999999999</v>
      </c>
      <c r="U254" s="154">
        <f>Valores!$C$24*D254</f>
        <v>1855.6200000000001</v>
      </c>
      <c r="V254" s="140">
        <f t="shared" si="48"/>
        <v>1855.6200000000001</v>
      </c>
      <c r="W254" s="140">
        <v>0</v>
      </c>
      <c r="X254" s="140">
        <v>0</v>
      </c>
      <c r="Y254" s="160">
        <v>0</v>
      </c>
      <c r="Z254" s="140">
        <f>Y254*Valores!$C$2</f>
        <v>0</v>
      </c>
      <c r="AA254" s="140">
        <v>0</v>
      </c>
      <c r="AB254" s="143">
        <f>IF(Valores!$C$93*D254&gt;Valores!$C$92,Valores!$C$92,Valores!$C$93*D254)</f>
        <v>1706.77</v>
      </c>
      <c r="AC254" s="145">
        <f>IF((Valores!$C$34)*D254&gt;Valores!$F$34,Valores!$F$34,(Valores!$C$34)*D254)</f>
        <v>145.73000000000002</v>
      </c>
      <c r="AD254" s="140">
        <f t="shared" si="41"/>
        <v>0</v>
      </c>
      <c r="AE254" s="140">
        <f>IF(Valores!$C$35*D254&gt;Valores!$F$35,Valores!$F$35,Valores!$C$35*D254)</f>
        <v>121.42</v>
      </c>
      <c r="AF254" s="144">
        <v>0</v>
      </c>
      <c r="AG254" s="140">
        <f>INT(((AF254*Valores!$C$2)*100)+0.5)/100</f>
        <v>0</v>
      </c>
      <c r="AH254" s="140">
        <f>IF($H$5="NO",IF(Valores!$D$60*'Escala Docente'!D254&gt;Valores!$F$60,Valores!$F$60,Valores!$D$60*'Escala Docente'!D254),IF(Valores!$D$60*'Escala Docente'!D254&gt;Valores!$F$60,Valores!$F$60,Valores!$D$60*'Escala Docente'!D254)/2)</f>
        <v>493.21999999999997</v>
      </c>
      <c r="AI254" s="140">
        <f>IF($H$5="NO",IF(Valores!$D$62*D254&gt;Valores!$F$62,Valores!$F$62,Valores!$D$62*D254),IF(Valores!$D$62*D254&gt;Valores!$F$62,Valores!$F$62,Valores!$D$62*D254)/2)</f>
        <v>141.05866666666668</v>
      </c>
      <c r="AJ254" s="146">
        <f t="shared" si="42"/>
        <v>33805.113666666672</v>
      </c>
      <c r="AK254" s="154">
        <f>IF(Valores!$C$38*D254&gt;Valores!$F$38,Valores!$F$38,Valores!$C$38*D254)</f>
        <v>1270.1000000000001</v>
      </c>
      <c r="AL254" s="143">
        <f>IF(Valores!$C$88*D254&gt;Valores!$C$87,Valores!$C$87,Valores!$C$88*D254)</f>
        <v>1478.7499999999998</v>
      </c>
      <c r="AM254" s="143"/>
      <c r="AN254" s="145">
        <f>IF($H$4="NO",0,IF(Valores!$C$59*D254&gt;Valores!$F$59,Valores!$F$59,Valores!$C$59*D254))</f>
        <v>147.6267</v>
      </c>
      <c r="AO254" s="147">
        <f t="shared" si="43"/>
        <v>2896.4766999999997</v>
      </c>
      <c r="AP254" s="148">
        <f>AJ254*Valores!$C$69</f>
        <v>-3718.562503333334</v>
      </c>
      <c r="AQ254" s="149">
        <f>AJ254*-Valores!$C$70</f>
        <v>0</v>
      </c>
      <c r="AR254" s="142">
        <f>AJ254*Valores!$C$71</f>
        <v>-1521.2301150000001</v>
      </c>
      <c r="AS254" s="142">
        <f>Valores!$C$95</f>
        <v>-193.38</v>
      </c>
      <c r="AT254" s="142">
        <f>IF($H$6=0,Valores!$C$96,(Valores!$C$96+$H$6*(Valores!$C$96)))</f>
        <v>-178</v>
      </c>
      <c r="AU254" s="146">
        <f t="shared" si="44"/>
        <v>31090.417748333337</v>
      </c>
      <c r="AV254" s="199">
        <f t="shared" si="40"/>
        <v>-3718.562503333334</v>
      </c>
      <c r="AW254" s="142">
        <f>AJ254*Valores!$C$72</f>
        <v>-912.73806900000011</v>
      </c>
      <c r="AX254" s="142">
        <f>AJ254*Valores!$C$73</f>
        <v>-101.41534100000001</v>
      </c>
      <c r="AY254" s="146">
        <f t="shared" si="45"/>
        <v>31968.874453333337</v>
      </c>
      <c r="AZ254" s="150"/>
      <c r="BA254" s="150">
        <f t="shared" si="46"/>
        <v>13</v>
      </c>
      <c r="BB254" s="135" t="s">
        <v>4</v>
      </c>
    </row>
    <row r="255" spans="1:54" s="114" customFormat="1" ht="11.25" customHeight="1" x14ac:dyDescent="0.15">
      <c r="A255" s="134">
        <v>253</v>
      </c>
      <c r="B255" s="134"/>
      <c r="C255" s="135" t="s">
        <v>497</v>
      </c>
      <c r="D255" s="135">
        <v>13</v>
      </c>
      <c r="E255" s="135">
        <f t="shared" si="37"/>
        <v>42</v>
      </c>
      <c r="F255" s="136" t="str">
        <f>CONCATENATE("Hora Cátedra Enseñanza Media ",D255," hs Esc Esp")</f>
        <v>Hora Cátedra Enseñanza Media 13 hs Esc Esp</v>
      </c>
      <c r="G255" s="137">
        <f t="shared" si="47"/>
        <v>1027</v>
      </c>
      <c r="H255" s="138">
        <f>INT((G255*Valores!$C$2*100)+0.49)/100</f>
        <v>13743.93</v>
      </c>
      <c r="I255" s="156">
        <v>0</v>
      </c>
      <c r="J255" s="140">
        <f>INT((I255*Valores!$C$2*100)+0.5)/100</f>
        <v>0</v>
      </c>
      <c r="K255" s="155">
        <v>0</v>
      </c>
      <c r="L255" s="140">
        <f>INT((K255*Valores!$C$2*100)+0.5)/100</f>
        <v>0</v>
      </c>
      <c r="M255" s="153">
        <v>0</v>
      </c>
      <c r="N255" s="140">
        <f>INT((M255*Valores!$C$2*100)+0.5)/100</f>
        <v>0</v>
      </c>
      <c r="O255" s="140">
        <f t="shared" si="38"/>
        <v>2526.2550000000001</v>
      </c>
      <c r="P255" s="140">
        <f t="shared" si="39"/>
        <v>0</v>
      </c>
      <c r="Q255" s="154">
        <f>Valores!$C$14*D255</f>
        <v>5899.92</v>
      </c>
      <c r="R255" s="154">
        <f>IF(D255&lt;15,(Valores!$E$4*D255),Valores!$D$4)</f>
        <v>5929.04</v>
      </c>
      <c r="S255" s="140">
        <v>0</v>
      </c>
      <c r="T255" s="143">
        <f>IF($H$5="NO",IF(Valores!$C$47*D255&gt;Valores!$C$45,Valores!$C$45,Valores!$C$47*D255),IF(Valores!$C$47*D255&gt;Valores!$C$45,Valores!$C$45,Valores!$C$47*D255)/2)</f>
        <v>1242.1499999999999</v>
      </c>
      <c r="U255" s="154">
        <f>Valores!$C$24*D255</f>
        <v>1855.6200000000001</v>
      </c>
      <c r="V255" s="140">
        <f t="shared" si="48"/>
        <v>1855.6200000000001</v>
      </c>
      <c r="W255" s="140">
        <v>0</v>
      </c>
      <c r="X255" s="140">
        <v>0</v>
      </c>
      <c r="Y255" s="160">
        <v>0</v>
      </c>
      <c r="Z255" s="140">
        <f>Y255*Valores!$C$2</f>
        <v>0</v>
      </c>
      <c r="AA255" s="140">
        <v>0</v>
      </c>
      <c r="AB255" s="143">
        <f>IF(Valores!$C$93*D255&gt;Valores!$C$92,Valores!$C$92,Valores!$C$93*D255)</f>
        <v>1706.77</v>
      </c>
      <c r="AC255" s="145">
        <f>IF((Valores!$C$34)*D255&gt;Valores!$F$34,Valores!$F$34,(Valores!$C$34)*D255)</f>
        <v>145.73000000000002</v>
      </c>
      <c r="AD255" s="140">
        <f t="shared" si="41"/>
        <v>0</v>
      </c>
      <c r="AE255" s="140">
        <f>IF(Valores!$C$35*D255&gt;Valores!$F$35,Valores!$F$35,Valores!$C$35*D255)</f>
        <v>121.42</v>
      </c>
      <c r="AF255" s="144">
        <v>94</v>
      </c>
      <c r="AG255" s="140">
        <f>INT(((AF255*Valores!$C$2)*100)+0.5)/100</f>
        <v>1257.96</v>
      </c>
      <c r="AH255" s="140">
        <f>IF($H$5="NO",IF(Valores!$D$60*'Escala Docente'!D255&gt;Valores!$F$60,Valores!$F$60,Valores!$D$60*'Escala Docente'!D255),IF(Valores!$D$60*'Escala Docente'!D255&gt;Valores!$F$60,Valores!$F$60,Valores!$D$60*'Escala Docente'!D255)/2)</f>
        <v>493.21999999999997</v>
      </c>
      <c r="AI255" s="140">
        <f>IF($H$5="NO",IF(Valores!$D$62*D255&gt;Valores!$F$62,Valores!$F$62,Valores!$D$62*D255),IF(Valores!$D$62*D255&gt;Valores!$F$62,Valores!$F$62,Valores!$D$62*D255)/2)</f>
        <v>141.05866666666668</v>
      </c>
      <c r="AJ255" s="146">
        <f t="shared" si="42"/>
        <v>35063.073666666663</v>
      </c>
      <c r="AK255" s="154">
        <f>IF(Valores!$C$38*D255&gt;Valores!$F$38,Valores!$F$38,Valores!$C$38*D255)</f>
        <v>1270.1000000000001</v>
      </c>
      <c r="AL255" s="143">
        <f>IF(Valores!$C$88*D255&gt;Valores!$C$87,Valores!$C$87,Valores!$C$88*D255)</f>
        <v>1478.7499999999998</v>
      </c>
      <c r="AM255" s="143"/>
      <c r="AN255" s="145">
        <f>IF($H$4="NO",0,IF(Valores!$C$59*D255&gt;Valores!$F$59,Valores!$F$59,Valores!$C$59*D255))</f>
        <v>147.6267</v>
      </c>
      <c r="AO255" s="147">
        <f t="shared" si="43"/>
        <v>2896.4766999999997</v>
      </c>
      <c r="AP255" s="148">
        <f>AJ255*Valores!$C$69</f>
        <v>-3856.9381033333329</v>
      </c>
      <c r="AQ255" s="149">
        <f>AJ255*-Valores!$C$70</f>
        <v>0</v>
      </c>
      <c r="AR255" s="142">
        <f>AJ255*Valores!$C$71</f>
        <v>-1577.8383149999997</v>
      </c>
      <c r="AS255" s="142">
        <f>Valores!$C$95</f>
        <v>-193.38</v>
      </c>
      <c r="AT255" s="142">
        <f>IF($H$6=0,Valores!$C$96,(Valores!$C$96+$H$6*(Valores!$C$96)))</f>
        <v>-178</v>
      </c>
      <c r="AU255" s="146">
        <f t="shared" si="44"/>
        <v>32153.393948333331</v>
      </c>
      <c r="AV255" s="199">
        <f t="shared" si="40"/>
        <v>-3856.9381033333329</v>
      </c>
      <c r="AW255" s="142">
        <f>AJ255*Valores!$C$72</f>
        <v>-946.70298899999989</v>
      </c>
      <c r="AX255" s="142">
        <f>AJ255*Valores!$C$73</f>
        <v>-105.18922099999999</v>
      </c>
      <c r="AY255" s="146">
        <f t="shared" si="45"/>
        <v>33050.720053333331</v>
      </c>
      <c r="AZ255" s="150"/>
      <c r="BA255" s="150">
        <f t="shared" si="46"/>
        <v>13</v>
      </c>
      <c r="BB255" s="135" t="s">
        <v>4</v>
      </c>
    </row>
    <row r="256" spans="1:54" s="114" customFormat="1" ht="11.25" customHeight="1" x14ac:dyDescent="0.15">
      <c r="A256" s="134">
        <v>254</v>
      </c>
      <c r="B256" s="134"/>
      <c r="C256" s="135" t="s">
        <v>497</v>
      </c>
      <c r="D256" s="135">
        <v>14</v>
      </c>
      <c r="E256" s="135">
        <f t="shared" si="37"/>
        <v>34</v>
      </c>
      <c r="F256" s="136" t="str">
        <f>CONCATENATE("Hora Cátedra Enseñanza Media ",D256," hs")</f>
        <v>Hora Cátedra Enseñanza Media 14 hs</v>
      </c>
      <c r="G256" s="137">
        <f t="shared" si="47"/>
        <v>1106</v>
      </c>
      <c r="H256" s="138">
        <f>INT((G256*Valores!$C$2*100)+0.49)/100</f>
        <v>14801.16</v>
      </c>
      <c r="I256" s="156">
        <v>0</v>
      </c>
      <c r="J256" s="140">
        <f>INT((I256*Valores!$C$2*100)+0.5)/100</f>
        <v>0</v>
      </c>
      <c r="K256" s="155">
        <v>0</v>
      </c>
      <c r="L256" s="140">
        <f>INT((K256*Valores!$C$2*100)+0.5)/100</f>
        <v>0</v>
      </c>
      <c r="M256" s="153">
        <v>0</v>
      </c>
      <c r="N256" s="140">
        <f>INT((M256*Valores!$C$2*100)+0.5)/100</f>
        <v>0</v>
      </c>
      <c r="O256" s="140">
        <f t="shared" si="38"/>
        <v>2720.5830000000001</v>
      </c>
      <c r="P256" s="140">
        <f t="shared" si="39"/>
        <v>0</v>
      </c>
      <c r="Q256" s="154">
        <f>Valores!$C$14*D256</f>
        <v>6353.7599999999993</v>
      </c>
      <c r="R256" s="154">
        <f>IF(D256&lt;15,(Valores!$E$4*D256),Valores!$D$4)</f>
        <v>6385.12</v>
      </c>
      <c r="S256" s="140">
        <v>0</v>
      </c>
      <c r="T256" s="143">
        <f>IF($H$5="NO",IF(Valores!$C$47*D256&gt;Valores!$C$45,Valores!$C$45,Valores!$C$47*D256),IF(Valores!$C$47*D256&gt;Valores!$C$45,Valores!$C$45,Valores!$C$47*D256)/2)</f>
        <v>1337.7</v>
      </c>
      <c r="U256" s="154">
        <f>Valores!$C$24*D256</f>
        <v>1998.3600000000001</v>
      </c>
      <c r="V256" s="140">
        <f t="shared" si="48"/>
        <v>1998.3600000000001</v>
      </c>
      <c r="W256" s="140">
        <v>0</v>
      </c>
      <c r="X256" s="140">
        <v>0</v>
      </c>
      <c r="Y256" s="160">
        <v>0</v>
      </c>
      <c r="Z256" s="140">
        <f>Y256*Valores!$C$2</f>
        <v>0</v>
      </c>
      <c r="AA256" s="140">
        <v>0</v>
      </c>
      <c r="AB256" s="143">
        <f>IF(Valores!$C$93*D256&gt;Valores!$C$92,Valores!$C$92,Valores!$C$93*D256)</f>
        <v>1838.06</v>
      </c>
      <c r="AC256" s="145">
        <f>IF((Valores!$C$34)*D256&gt;Valores!$F$34,Valores!$F$34,(Valores!$C$34)*D256)</f>
        <v>156.94</v>
      </c>
      <c r="AD256" s="140">
        <f t="shared" si="41"/>
        <v>0</v>
      </c>
      <c r="AE256" s="140">
        <f>IF(Valores!$C$35*D256&gt;Valores!$F$35,Valores!$F$35,Valores!$C$35*D256)</f>
        <v>130.76</v>
      </c>
      <c r="AF256" s="144">
        <v>0</v>
      </c>
      <c r="AG256" s="140">
        <f>INT(((AF256*Valores!$C$2)*100)+0.5)/100</f>
        <v>0</v>
      </c>
      <c r="AH256" s="140">
        <f>IF($H$5="NO",IF(Valores!$D$60*'Escala Docente'!D256&gt;Valores!$F$60,Valores!$F$60,Valores!$D$60*'Escala Docente'!D256),IF(Valores!$D$60*'Escala Docente'!D256&gt;Valores!$F$60,Valores!$F$60,Valores!$D$60*'Escala Docente'!D256)/2)</f>
        <v>531.16</v>
      </c>
      <c r="AI256" s="140">
        <f>IF($H$5="NO",IF(Valores!$D$62*D256&gt;Valores!$F$62,Valores!$F$62,Valores!$D$62*D256),IF(Valores!$D$62*D256&gt;Valores!$F$62,Valores!$F$62,Valores!$D$62*D256)/2)</f>
        <v>151.90933333333334</v>
      </c>
      <c r="AJ256" s="146">
        <f t="shared" si="42"/>
        <v>36405.512333333332</v>
      </c>
      <c r="AK256" s="154">
        <f>IF(Valores!$C$38*D256&gt;Valores!$F$38,Valores!$F$38,Valores!$C$38*D256)</f>
        <v>1367.8</v>
      </c>
      <c r="AL256" s="143">
        <f>IF(Valores!$C$88*D256&gt;Valores!$C$87,Valores!$C$87,Valores!$C$88*D256)</f>
        <v>1592.4999999999998</v>
      </c>
      <c r="AM256" s="143"/>
      <c r="AN256" s="145">
        <f>IF($H$4="NO",0,IF(Valores!$C$59*D256&gt;Valores!$F$59,Valores!$F$59,Valores!$C$59*D256))</f>
        <v>158.98259999999999</v>
      </c>
      <c r="AO256" s="147">
        <f t="shared" si="43"/>
        <v>3119.2825999999995</v>
      </c>
      <c r="AP256" s="148">
        <f>AJ256*Valores!$C$69</f>
        <v>-4004.6063566666667</v>
      </c>
      <c r="AQ256" s="149">
        <f>AJ256*-Valores!$C$70</f>
        <v>0</v>
      </c>
      <c r="AR256" s="142">
        <f>AJ256*Valores!$C$71</f>
        <v>-1638.2480549999998</v>
      </c>
      <c r="AS256" s="142">
        <f>Valores!$C$95</f>
        <v>-193.38</v>
      </c>
      <c r="AT256" s="142">
        <f>IF($H$6=0,Valores!$C$96,(Valores!$C$96+$H$6*(Valores!$C$96)))</f>
        <v>-178</v>
      </c>
      <c r="AU256" s="146">
        <f t="shared" si="44"/>
        <v>33510.560521666666</v>
      </c>
      <c r="AV256" s="199">
        <f t="shared" si="40"/>
        <v>-4004.6063566666667</v>
      </c>
      <c r="AW256" s="142">
        <f>AJ256*Valores!$C$72</f>
        <v>-982.94883299999992</v>
      </c>
      <c r="AX256" s="142">
        <f>AJ256*Valores!$C$73</f>
        <v>-109.216537</v>
      </c>
      <c r="AY256" s="146">
        <f t="shared" si="45"/>
        <v>34428.023206666665</v>
      </c>
      <c r="AZ256" s="150"/>
      <c r="BA256" s="150">
        <f t="shared" si="46"/>
        <v>14</v>
      </c>
      <c r="BB256" s="135" t="s">
        <v>4</v>
      </c>
    </row>
    <row r="257" spans="1:54" s="114" customFormat="1" ht="11.25" customHeight="1" x14ac:dyDescent="0.15">
      <c r="A257" s="152">
        <v>255</v>
      </c>
      <c r="B257" s="152" t="s">
        <v>139</v>
      </c>
      <c r="C257" s="135" t="s">
        <v>497</v>
      </c>
      <c r="D257" s="135">
        <v>14</v>
      </c>
      <c r="E257" s="135">
        <f t="shared" si="37"/>
        <v>42</v>
      </c>
      <c r="F257" s="136" t="str">
        <f>CONCATENATE("Hora Cátedra Enseñanza Media ",D257," hs Esc Esp")</f>
        <v>Hora Cátedra Enseñanza Media 14 hs Esc Esp</v>
      </c>
      <c r="G257" s="137">
        <f t="shared" si="47"/>
        <v>1106</v>
      </c>
      <c r="H257" s="138">
        <f>INT((G257*Valores!$C$2*100)+0.49)/100</f>
        <v>14801.16</v>
      </c>
      <c r="I257" s="156">
        <v>0</v>
      </c>
      <c r="J257" s="140">
        <f>INT((I257*Valores!$C$2*100)+0.5)/100</f>
        <v>0</v>
      </c>
      <c r="K257" s="155">
        <v>0</v>
      </c>
      <c r="L257" s="140">
        <f>INT((K257*Valores!$C$2*100)+0.5)/100</f>
        <v>0</v>
      </c>
      <c r="M257" s="153">
        <v>0</v>
      </c>
      <c r="N257" s="140">
        <f>INT((M257*Valores!$C$2*100)+0.5)/100</f>
        <v>0</v>
      </c>
      <c r="O257" s="140">
        <f t="shared" si="38"/>
        <v>2720.5830000000001</v>
      </c>
      <c r="P257" s="140">
        <f t="shared" si="39"/>
        <v>0</v>
      </c>
      <c r="Q257" s="154">
        <f>Valores!$C$14*D257</f>
        <v>6353.7599999999993</v>
      </c>
      <c r="R257" s="154">
        <f>IF(D257&lt;15,(Valores!$E$4*D257),Valores!$D$4)</f>
        <v>6385.12</v>
      </c>
      <c r="S257" s="140">
        <v>0</v>
      </c>
      <c r="T257" s="143">
        <f>IF($H$5="NO",IF(Valores!$C$47*D257&gt;Valores!$C$45,Valores!$C$45,Valores!$C$47*D257),IF(Valores!$C$47*D257&gt;Valores!$C$45,Valores!$C$45,Valores!$C$47*D257)/2)</f>
        <v>1337.7</v>
      </c>
      <c r="U257" s="154">
        <f>Valores!$C$24*D257</f>
        <v>1998.3600000000001</v>
      </c>
      <c r="V257" s="140">
        <f t="shared" si="48"/>
        <v>1998.3600000000001</v>
      </c>
      <c r="W257" s="140">
        <v>0</v>
      </c>
      <c r="X257" s="140">
        <v>0</v>
      </c>
      <c r="Y257" s="160">
        <v>0</v>
      </c>
      <c r="Z257" s="140">
        <f>Y257*Valores!$C$2</f>
        <v>0</v>
      </c>
      <c r="AA257" s="140">
        <v>0</v>
      </c>
      <c r="AB257" s="143">
        <f>IF(Valores!$C$93*D257&gt;Valores!$C$92,Valores!$C$92,Valores!$C$93*D257)</f>
        <v>1838.06</v>
      </c>
      <c r="AC257" s="145">
        <f>IF((Valores!$C$34)*D257&gt;Valores!$F$34,Valores!$F$34,(Valores!$C$34)*D257)</f>
        <v>156.94</v>
      </c>
      <c r="AD257" s="140">
        <f t="shared" si="41"/>
        <v>0</v>
      </c>
      <c r="AE257" s="140">
        <f>IF(Valores!$C$35*D257&gt;Valores!$F$35,Valores!$F$35,Valores!$C$35*D257)</f>
        <v>130.76</v>
      </c>
      <c r="AF257" s="144">
        <v>94</v>
      </c>
      <c r="AG257" s="140">
        <f>INT(((AF257*Valores!$C$2)*100)+0.5)/100</f>
        <v>1257.96</v>
      </c>
      <c r="AH257" s="140">
        <f>IF($H$5="NO",IF(Valores!$D$60*'Escala Docente'!D257&gt;Valores!$F$60,Valores!$F$60,Valores!$D$60*'Escala Docente'!D257),IF(Valores!$D$60*'Escala Docente'!D257&gt;Valores!$F$60,Valores!$F$60,Valores!$D$60*'Escala Docente'!D257)/2)</f>
        <v>531.16</v>
      </c>
      <c r="AI257" s="140">
        <f>IF($H$5="NO",IF(Valores!$D$62*D257&gt;Valores!$F$62,Valores!$F$62,Valores!$D$62*D257),IF(Valores!$D$62*D257&gt;Valores!$F$62,Valores!$F$62,Valores!$D$62*D257)/2)</f>
        <v>151.90933333333334</v>
      </c>
      <c r="AJ257" s="146">
        <f t="shared" si="42"/>
        <v>37663.472333333331</v>
      </c>
      <c r="AK257" s="154">
        <f>IF(Valores!$C$38*D257&gt;Valores!$F$38,Valores!$F$38,Valores!$C$38*D257)</f>
        <v>1367.8</v>
      </c>
      <c r="AL257" s="143">
        <f>IF(Valores!$C$88*D257&gt;Valores!$C$87,Valores!$C$87,Valores!$C$88*D257)</f>
        <v>1592.4999999999998</v>
      </c>
      <c r="AM257" s="143"/>
      <c r="AN257" s="145">
        <f>IF($H$4="NO",0,IF(Valores!$C$59*D257&gt;Valores!$F$59,Valores!$F$59,Valores!$C$59*D257))</f>
        <v>158.98259999999999</v>
      </c>
      <c r="AO257" s="147">
        <f t="shared" si="43"/>
        <v>3119.2825999999995</v>
      </c>
      <c r="AP257" s="148">
        <f>AJ257*Valores!$C$69</f>
        <v>-4142.9819566666665</v>
      </c>
      <c r="AQ257" s="149">
        <f>AJ257*-Valores!$C$70</f>
        <v>0</v>
      </c>
      <c r="AR257" s="142">
        <f>AJ257*Valores!$C$71</f>
        <v>-1694.8562549999999</v>
      </c>
      <c r="AS257" s="142">
        <f>Valores!$C$95</f>
        <v>-193.38</v>
      </c>
      <c r="AT257" s="142">
        <f>IF($H$6=0,Valores!$C$96,(Valores!$C$96+$H$6*(Valores!$C$96)))</f>
        <v>-178</v>
      </c>
      <c r="AU257" s="146">
        <f t="shared" si="44"/>
        <v>34573.536721666664</v>
      </c>
      <c r="AV257" s="199">
        <f t="shared" si="40"/>
        <v>-4142.9819566666665</v>
      </c>
      <c r="AW257" s="142">
        <f>AJ257*Valores!$C$72</f>
        <v>-1016.9137529999999</v>
      </c>
      <c r="AX257" s="142">
        <f>AJ257*Valores!$C$73</f>
        <v>-112.99041699999999</v>
      </c>
      <c r="AY257" s="146">
        <f t="shared" si="45"/>
        <v>35509.868806666665</v>
      </c>
      <c r="AZ257" s="150"/>
      <c r="BA257" s="150">
        <f t="shared" si="46"/>
        <v>14</v>
      </c>
      <c r="BB257" s="135" t="s">
        <v>4</v>
      </c>
    </row>
    <row r="258" spans="1:54" s="114" customFormat="1" ht="11.25" customHeight="1" x14ac:dyDescent="0.15">
      <c r="A258" s="134">
        <v>256</v>
      </c>
      <c r="B258" s="134"/>
      <c r="C258" s="135" t="s">
        <v>497</v>
      </c>
      <c r="D258" s="135">
        <v>15</v>
      </c>
      <c r="E258" s="135">
        <f t="shared" si="37"/>
        <v>34</v>
      </c>
      <c r="F258" s="136" t="str">
        <f>CONCATENATE("Hora Cátedra Enseñanza Media ",D258," hs")</f>
        <v>Hora Cátedra Enseñanza Media 15 hs</v>
      </c>
      <c r="G258" s="137">
        <f t="shared" si="47"/>
        <v>1185</v>
      </c>
      <c r="H258" s="138">
        <f>INT((G258*Valores!$C$2*100)+0.49)/100</f>
        <v>15858.38</v>
      </c>
      <c r="I258" s="156">
        <v>0</v>
      </c>
      <c r="J258" s="140">
        <f>INT((I258*Valores!$C$2*100)+0.5)/100</f>
        <v>0</v>
      </c>
      <c r="K258" s="155">
        <v>0</v>
      </c>
      <c r="L258" s="140">
        <f>INT((K258*Valores!$C$2*100)+0.5)/100</f>
        <v>0</v>
      </c>
      <c r="M258" s="153">
        <v>0</v>
      </c>
      <c r="N258" s="140">
        <f>INT((M258*Valores!$C$2*100)+0.5)/100</f>
        <v>0</v>
      </c>
      <c r="O258" s="140">
        <f t="shared" si="38"/>
        <v>2914.9094999999998</v>
      </c>
      <c r="P258" s="140">
        <f t="shared" si="39"/>
        <v>0</v>
      </c>
      <c r="Q258" s="154">
        <f>Valores!$C$14*D258</f>
        <v>6807.5999999999995</v>
      </c>
      <c r="R258" s="154">
        <f>IF(D258&lt;15,(Valores!$E$4*D258),Valores!$D$4)</f>
        <v>6841.19</v>
      </c>
      <c r="S258" s="140">
        <v>0</v>
      </c>
      <c r="T258" s="143">
        <f>IF($H$5="NO",IF(Valores!$C$47*D258&gt;Valores!$C$45,Valores!$C$45,Valores!$C$47*D258),IF(Valores!$C$47*D258&gt;Valores!$C$45,Valores!$C$45,Valores!$C$47*D258)/2)</f>
        <v>1433.25</v>
      </c>
      <c r="U258" s="154">
        <f>Valores!$C$24*D258</f>
        <v>2141.1000000000004</v>
      </c>
      <c r="V258" s="140">
        <f t="shared" si="48"/>
        <v>2141.1000000000004</v>
      </c>
      <c r="W258" s="140">
        <v>0</v>
      </c>
      <c r="X258" s="140">
        <v>0</v>
      </c>
      <c r="Y258" s="160">
        <v>0</v>
      </c>
      <c r="Z258" s="140">
        <f>Y258*Valores!$C$2</f>
        <v>0</v>
      </c>
      <c r="AA258" s="140">
        <v>0</v>
      </c>
      <c r="AB258" s="143">
        <f>IF(Valores!$C$93*D258&gt;Valores!$C$92,Valores!$C$92,Valores!$C$93*D258)</f>
        <v>1969.35</v>
      </c>
      <c r="AC258" s="145">
        <f>IF((Valores!$C$34)*D258&gt;Valores!$F$34,Valores!$F$34,(Valores!$C$34)*D258)</f>
        <v>168.15</v>
      </c>
      <c r="AD258" s="140">
        <f t="shared" si="41"/>
        <v>0</v>
      </c>
      <c r="AE258" s="140">
        <f>IF(Valores!$C$35*D258&gt;Valores!$F$35,Valores!$F$35,Valores!$C$35*D258)</f>
        <v>140.1</v>
      </c>
      <c r="AF258" s="144">
        <v>0</v>
      </c>
      <c r="AG258" s="140">
        <f>INT(((AF258*Valores!$C$2)*100)+0.5)/100</f>
        <v>0</v>
      </c>
      <c r="AH258" s="140">
        <f>IF($H$5="NO",IF(Valores!$D$60*'Escala Docente'!D258&gt;Valores!$F$60,Valores!$F$60,Valores!$D$60*'Escala Docente'!D258),IF(Valores!$D$60*'Escala Docente'!D258&gt;Valores!$F$60,Valores!$F$60,Valores!$D$60*'Escala Docente'!D258)/2)</f>
        <v>569.09999999999991</v>
      </c>
      <c r="AI258" s="140">
        <f>IF($H$5="NO",IF(Valores!$D$62*D258&gt;Valores!$F$62,Valores!$F$62,Valores!$D$62*D258),IF(Valores!$D$62*D258&gt;Valores!$F$62,Valores!$F$62,Valores!$D$62*D258)/2)</f>
        <v>162.76000000000002</v>
      </c>
      <c r="AJ258" s="146">
        <f t="shared" si="42"/>
        <v>39005.889499999997</v>
      </c>
      <c r="AK258" s="154">
        <f>IF(Valores!$C$38*D258&gt;Valores!$F$38,Valores!$F$38,Valores!$C$38*D258)</f>
        <v>1465.5</v>
      </c>
      <c r="AL258" s="143">
        <f>IF(Valores!$C$88*D258&gt;Valores!$C$87,Valores!$C$87,Valores!$C$88*D258)</f>
        <v>1706.2499999999998</v>
      </c>
      <c r="AM258" s="143"/>
      <c r="AN258" s="145">
        <f>IF($H$4="NO",0,IF(Valores!$C$59*D258&gt;Valores!$F$59,Valores!$F$59,Valores!$C$59*D258))</f>
        <v>170.33850000000001</v>
      </c>
      <c r="AO258" s="147">
        <f t="shared" si="43"/>
        <v>3342.0884999999998</v>
      </c>
      <c r="AP258" s="148">
        <f>AJ258*Valores!$C$69</f>
        <v>-4290.6478449999995</v>
      </c>
      <c r="AQ258" s="149">
        <f>AJ258*-Valores!$C$70</f>
        <v>0</v>
      </c>
      <c r="AR258" s="142">
        <f>AJ258*Valores!$C$71</f>
        <v>-1755.2650274999999</v>
      </c>
      <c r="AS258" s="142">
        <f>Valores!$C$95</f>
        <v>-193.38</v>
      </c>
      <c r="AT258" s="142">
        <f>IF($H$6=0,Valores!$C$96,(Valores!$C$96+$H$6*(Valores!$C$96)))</f>
        <v>-178</v>
      </c>
      <c r="AU258" s="146">
        <f t="shared" si="44"/>
        <v>35930.685127500001</v>
      </c>
      <c r="AV258" s="199">
        <f t="shared" si="40"/>
        <v>-4290.6478449999995</v>
      </c>
      <c r="AW258" s="142">
        <f>AJ258*Valores!$C$72</f>
        <v>-1053.1590165</v>
      </c>
      <c r="AX258" s="142">
        <f>AJ258*Valores!$C$73</f>
        <v>-117.0176685</v>
      </c>
      <c r="AY258" s="146">
        <f t="shared" si="45"/>
        <v>36887.153469999997</v>
      </c>
      <c r="AZ258" s="150"/>
      <c r="BA258" s="150">
        <f t="shared" ref="BA258:BA289" si="49">1*D258</f>
        <v>15</v>
      </c>
      <c r="BB258" s="135" t="s">
        <v>4</v>
      </c>
    </row>
    <row r="259" spans="1:54" s="114" customFormat="1" ht="11.25" customHeight="1" x14ac:dyDescent="0.15">
      <c r="A259" s="134">
        <v>257</v>
      </c>
      <c r="B259" s="134"/>
      <c r="C259" s="135" t="s">
        <v>497</v>
      </c>
      <c r="D259" s="135">
        <v>15</v>
      </c>
      <c r="E259" s="135">
        <f t="shared" si="37"/>
        <v>42</v>
      </c>
      <c r="F259" s="136" t="str">
        <f>CONCATENATE("Hora Cátedra Enseñanza Media ",D259," hs Esc Esp")</f>
        <v>Hora Cátedra Enseñanza Media 15 hs Esc Esp</v>
      </c>
      <c r="G259" s="137">
        <f t="shared" si="47"/>
        <v>1185</v>
      </c>
      <c r="H259" s="138">
        <f>INT((G259*Valores!$C$2*100)+0.49)/100</f>
        <v>15858.38</v>
      </c>
      <c r="I259" s="156">
        <v>0</v>
      </c>
      <c r="J259" s="140">
        <f>INT((I259*Valores!$C$2*100)+0.5)/100</f>
        <v>0</v>
      </c>
      <c r="K259" s="155">
        <v>0</v>
      </c>
      <c r="L259" s="140">
        <f>INT((K259*Valores!$C$2*100)+0.5)/100</f>
        <v>0</v>
      </c>
      <c r="M259" s="153">
        <v>0</v>
      </c>
      <c r="N259" s="140">
        <f>INT((M259*Valores!$C$2*100)+0.5)/100</f>
        <v>0</v>
      </c>
      <c r="O259" s="140">
        <f t="shared" si="38"/>
        <v>2914.9094999999998</v>
      </c>
      <c r="P259" s="140">
        <f t="shared" si="39"/>
        <v>0</v>
      </c>
      <c r="Q259" s="154">
        <f>Valores!$C$14*D259</f>
        <v>6807.5999999999995</v>
      </c>
      <c r="R259" s="154">
        <f>IF(D259&lt;15,(Valores!$E$4*D259),Valores!$D$4)</f>
        <v>6841.19</v>
      </c>
      <c r="S259" s="140">
        <v>0</v>
      </c>
      <c r="T259" s="143">
        <f>IF($H$5="NO",IF(Valores!$C$47*D259&gt;Valores!$C$45,Valores!$C$45,Valores!$C$47*D259),IF(Valores!$C$47*D259&gt;Valores!$C$45,Valores!$C$45,Valores!$C$47*D259)/2)</f>
        <v>1433.25</v>
      </c>
      <c r="U259" s="154">
        <f>Valores!$C$24*D259</f>
        <v>2141.1000000000004</v>
      </c>
      <c r="V259" s="140">
        <f t="shared" si="48"/>
        <v>2141.1000000000004</v>
      </c>
      <c r="W259" s="140">
        <v>0</v>
      </c>
      <c r="X259" s="140">
        <v>0</v>
      </c>
      <c r="Y259" s="160">
        <v>0</v>
      </c>
      <c r="Z259" s="140">
        <f>Y259*Valores!$C$2</f>
        <v>0</v>
      </c>
      <c r="AA259" s="140">
        <v>0</v>
      </c>
      <c r="AB259" s="143">
        <f>IF(Valores!$C$93*D259&gt;Valores!$C$92,Valores!$C$92,Valores!$C$93*D259)</f>
        <v>1969.35</v>
      </c>
      <c r="AC259" s="145">
        <f>IF((Valores!$C$34)*D259&gt;Valores!$F$34,Valores!$F$34,(Valores!$C$34)*D259)</f>
        <v>168.15</v>
      </c>
      <c r="AD259" s="140">
        <f t="shared" si="41"/>
        <v>0</v>
      </c>
      <c r="AE259" s="140">
        <f>IF(Valores!$C$35*D259&gt;Valores!$F$35,Valores!$F$35,Valores!$C$35*D259)</f>
        <v>140.1</v>
      </c>
      <c r="AF259" s="144">
        <v>94</v>
      </c>
      <c r="AG259" s="140">
        <f>INT(((AF259*Valores!$C$2)*100)+0.5)/100</f>
        <v>1257.96</v>
      </c>
      <c r="AH259" s="140">
        <f>IF($H$5="NO",IF(Valores!$D$60*'Escala Docente'!D259&gt;Valores!$F$60,Valores!$F$60,Valores!$D$60*'Escala Docente'!D259),IF(Valores!$D$60*'Escala Docente'!D259&gt;Valores!$F$60,Valores!$F$60,Valores!$D$60*'Escala Docente'!D259)/2)</f>
        <v>569.09999999999991</v>
      </c>
      <c r="AI259" s="140">
        <f>IF($H$5="NO",IF(Valores!$D$62*D259&gt;Valores!$F$62,Valores!$F$62,Valores!$D$62*D259),IF(Valores!$D$62*D259&gt;Valores!$F$62,Valores!$F$62,Valores!$D$62*D259)/2)</f>
        <v>162.76000000000002</v>
      </c>
      <c r="AJ259" s="146">
        <f t="shared" si="42"/>
        <v>40263.849499999997</v>
      </c>
      <c r="AK259" s="154">
        <f>IF(Valores!$C$38*D259&gt;Valores!$F$38,Valores!$F$38,Valores!$C$38*D259)</f>
        <v>1465.5</v>
      </c>
      <c r="AL259" s="143">
        <f>IF(Valores!$C$88*D259&gt;Valores!$C$87,Valores!$C$87,Valores!$C$88*D259)</f>
        <v>1706.2499999999998</v>
      </c>
      <c r="AM259" s="143"/>
      <c r="AN259" s="145">
        <f>IF($H$4="NO",0,IF(Valores!$C$59*D259&gt;Valores!$F$59,Valores!$F$59,Valores!$C$59*D259))</f>
        <v>170.33850000000001</v>
      </c>
      <c r="AO259" s="147">
        <f t="shared" si="43"/>
        <v>3342.0884999999998</v>
      </c>
      <c r="AP259" s="148">
        <f>AJ259*Valores!$C$69</f>
        <v>-4429.0234449999998</v>
      </c>
      <c r="AQ259" s="149">
        <f>AJ259*-Valores!$C$70</f>
        <v>0</v>
      </c>
      <c r="AR259" s="142">
        <f>AJ259*Valores!$C$71</f>
        <v>-1811.8732274999998</v>
      </c>
      <c r="AS259" s="142">
        <f>Valores!$C$95</f>
        <v>-193.38</v>
      </c>
      <c r="AT259" s="142">
        <f>IF($H$6=0,Valores!$C$96,(Valores!$C$96+$H$6*(Valores!$C$96)))</f>
        <v>-178</v>
      </c>
      <c r="AU259" s="146">
        <f t="shared" si="44"/>
        <v>36993.661327499998</v>
      </c>
      <c r="AV259" s="199">
        <f t="shared" si="40"/>
        <v>-4429.0234449999998</v>
      </c>
      <c r="AW259" s="142">
        <f>AJ259*Valores!$C$72</f>
        <v>-1087.1239364999999</v>
      </c>
      <c r="AX259" s="142">
        <f>AJ259*Valores!$C$73</f>
        <v>-120.79154849999999</v>
      </c>
      <c r="AY259" s="146">
        <f t="shared" si="45"/>
        <v>37968.999069999991</v>
      </c>
      <c r="AZ259" s="150"/>
      <c r="BA259" s="150">
        <f t="shared" si="49"/>
        <v>15</v>
      </c>
      <c r="BB259" s="135" t="s">
        <v>4</v>
      </c>
    </row>
    <row r="260" spans="1:54" s="114" customFormat="1" ht="11.25" customHeight="1" x14ac:dyDescent="0.15">
      <c r="A260" s="134">
        <v>258</v>
      </c>
      <c r="B260" s="134"/>
      <c r="C260" s="135" t="s">
        <v>497</v>
      </c>
      <c r="D260" s="135">
        <v>16</v>
      </c>
      <c r="E260" s="135">
        <f t="shared" si="37"/>
        <v>34</v>
      </c>
      <c r="F260" s="136" t="str">
        <f>CONCATENATE("Hora Cátedra Enseñanza Media ",D260," hs")</f>
        <v>Hora Cátedra Enseñanza Media 16 hs</v>
      </c>
      <c r="G260" s="137">
        <f t="shared" si="47"/>
        <v>1264</v>
      </c>
      <c r="H260" s="138">
        <f>INT((G260*Valores!$C$2*100)+0.49)/100</f>
        <v>16915.61</v>
      </c>
      <c r="I260" s="156">
        <v>0</v>
      </c>
      <c r="J260" s="140">
        <f>INT((I260*Valores!$C$2*100)+0.5)/100</f>
        <v>0</v>
      </c>
      <c r="K260" s="155">
        <v>0</v>
      </c>
      <c r="L260" s="140">
        <f>INT((K260*Valores!$C$2*100)+0.5)/100</f>
        <v>0</v>
      </c>
      <c r="M260" s="153">
        <v>0</v>
      </c>
      <c r="N260" s="140">
        <f>INT((M260*Valores!$C$2*100)+0.5)/100</f>
        <v>0</v>
      </c>
      <c r="O260" s="140">
        <f t="shared" si="38"/>
        <v>3109.2374999999997</v>
      </c>
      <c r="P260" s="140">
        <f t="shared" si="39"/>
        <v>0</v>
      </c>
      <c r="Q260" s="154">
        <f>Valores!$C$14*D260</f>
        <v>7261.44</v>
      </c>
      <c r="R260" s="154">
        <f>IF(D260&lt;15,(Valores!$E$4*D260),Valores!$D$4)</f>
        <v>6841.19</v>
      </c>
      <c r="S260" s="140">
        <v>0</v>
      </c>
      <c r="T260" s="143">
        <f>IF($H$5="NO",IF(Valores!$C$47*D260&gt;Valores!$C$45,Valores!$C$45,Valores!$C$47*D260),IF(Valores!$C$47*D260&gt;Valores!$C$45,Valores!$C$45,Valores!$C$47*D260)/2)</f>
        <v>1528.8</v>
      </c>
      <c r="U260" s="154">
        <f>Valores!$C$24*D260</f>
        <v>2283.84</v>
      </c>
      <c r="V260" s="140">
        <f t="shared" si="48"/>
        <v>2283.84</v>
      </c>
      <c r="W260" s="140">
        <v>0</v>
      </c>
      <c r="X260" s="140">
        <v>0</v>
      </c>
      <c r="Y260" s="160">
        <v>0</v>
      </c>
      <c r="Z260" s="140">
        <f>Y260*Valores!$C$2</f>
        <v>0</v>
      </c>
      <c r="AA260" s="140">
        <v>0</v>
      </c>
      <c r="AB260" s="143">
        <f>IF(Valores!$C$93*D260&gt;Valores!$C$92,Valores!$C$92,Valores!$C$93*D260)</f>
        <v>2100.64</v>
      </c>
      <c r="AC260" s="145">
        <f>IF((Valores!$C$34)*D260&gt;Valores!$F$34,Valores!$F$34,(Valores!$C$34)*D260)</f>
        <v>179.36</v>
      </c>
      <c r="AD260" s="140">
        <f t="shared" si="41"/>
        <v>0</v>
      </c>
      <c r="AE260" s="140">
        <f>IF(Valores!$C$35*D260&gt;Valores!$F$35,Valores!$F$35,Valores!$C$35*D260)</f>
        <v>149.44</v>
      </c>
      <c r="AF260" s="144">
        <v>0</v>
      </c>
      <c r="AG260" s="140">
        <f>INT(((AF260*Valores!$C$2)*100)+0.5)/100</f>
        <v>0</v>
      </c>
      <c r="AH260" s="140">
        <f>IF($H$5="NO",IF(Valores!$D$60*'Escala Docente'!D260&gt;Valores!$F$60,Valores!$F$60,Valores!$D$60*'Escala Docente'!D260),IF(Valores!$D$60*'Escala Docente'!D260&gt;Valores!$F$60,Valores!$F$60,Valores!$D$60*'Escala Docente'!D260)/2)</f>
        <v>607.04</v>
      </c>
      <c r="AI260" s="140">
        <f>IF($H$5="NO",IF(Valores!$D$62*D260&gt;Valores!$F$62,Valores!$F$62,Valores!$D$62*D260),IF(Valores!$D$62*D260&gt;Valores!$F$62,Valores!$F$62,Valores!$D$62*D260)/2)</f>
        <v>173.61066666666667</v>
      </c>
      <c r="AJ260" s="146">
        <f t="shared" si="42"/>
        <v>41150.208166666678</v>
      </c>
      <c r="AK260" s="154">
        <f>IF(Valores!$C$38*D260&gt;Valores!$F$38,Valores!$F$38,Valores!$C$38*D260)</f>
        <v>1563.2</v>
      </c>
      <c r="AL260" s="143">
        <f>IF(Valores!$C$88*D260&gt;Valores!$C$87,Valores!$C$87,Valores!$C$88*D260)</f>
        <v>1819.9999999999998</v>
      </c>
      <c r="AM260" s="143"/>
      <c r="AN260" s="145">
        <f>IF($H$4="NO",0,IF(Valores!$C$59*D260&gt;Valores!$F$59,Valores!$F$59,Valores!$C$59*D260))</f>
        <v>181.6944</v>
      </c>
      <c r="AO260" s="147">
        <f t="shared" si="43"/>
        <v>3564.8943999999997</v>
      </c>
      <c r="AP260" s="148">
        <f>AJ260*Valores!$C$69</f>
        <v>-4526.5228983333345</v>
      </c>
      <c r="AQ260" s="149">
        <f>AJ260*-Valores!$C$70</f>
        <v>0</v>
      </c>
      <c r="AR260" s="142">
        <f>AJ260*Valores!$C$71</f>
        <v>-1851.7593675000005</v>
      </c>
      <c r="AS260" s="142">
        <f>Valores!$C$95</f>
        <v>-193.38</v>
      </c>
      <c r="AT260" s="142">
        <f>IF($H$6=0,Valores!$C$96,(Valores!$C$96+$H$6*(Valores!$C$96)))</f>
        <v>-178</v>
      </c>
      <c r="AU260" s="146">
        <f t="shared" si="44"/>
        <v>37965.440300833347</v>
      </c>
      <c r="AV260" s="199">
        <f t="shared" si="40"/>
        <v>-4526.5228983333345</v>
      </c>
      <c r="AW260" s="142">
        <f>AJ260*Valores!$C$72</f>
        <v>-1111.0556205000003</v>
      </c>
      <c r="AX260" s="142">
        <f>AJ260*Valores!$C$73</f>
        <v>-123.45062450000003</v>
      </c>
      <c r="AY260" s="146">
        <f t="shared" si="45"/>
        <v>38954.073423333342</v>
      </c>
      <c r="AZ260" s="150"/>
      <c r="BA260" s="150">
        <f t="shared" si="49"/>
        <v>16</v>
      </c>
      <c r="BB260" s="135" t="s">
        <v>4</v>
      </c>
    </row>
    <row r="261" spans="1:54" s="114" customFormat="1" ht="11.25" customHeight="1" x14ac:dyDescent="0.15">
      <c r="A261" s="134">
        <v>259</v>
      </c>
      <c r="B261" s="134"/>
      <c r="C261" s="135" t="s">
        <v>497</v>
      </c>
      <c r="D261" s="135">
        <v>16</v>
      </c>
      <c r="E261" s="135">
        <f t="shared" si="37"/>
        <v>42</v>
      </c>
      <c r="F261" s="136" t="str">
        <f>CONCATENATE("Hora Cátedra Enseñanza Media ",D261," hs Esc Esp")</f>
        <v>Hora Cátedra Enseñanza Media 16 hs Esc Esp</v>
      </c>
      <c r="G261" s="137">
        <f t="shared" si="47"/>
        <v>1264</v>
      </c>
      <c r="H261" s="138">
        <f>INT((G261*Valores!$C$2*100)+0.49)/100</f>
        <v>16915.61</v>
      </c>
      <c r="I261" s="156">
        <v>0</v>
      </c>
      <c r="J261" s="140">
        <f>INT((I261*Valores!$C$2*100)+0.5)/100</f>
        <v>0</v>
      </c>
      <c r="K261" s="155">
        <v>0</v>
      </c>
      <c r="L261" s="140">
        <f>INT((K261*Valores!$C$2*100)+0.5)/100</f>
        <v>0</v>
      </c>
      <c r="M261" s="153">
        <v>0</v>
      </c>
      <c r="N261" s="140">
        <f>INT((M261*Valores!$C$2*100)+0.5)/100</f>
        <v>0</v>
      </c>
      <c r="O261" s="140">
        <f t="shared" si="38"/>
        <v>3109.2374999999997</v>
      </c>
      <c r="P261" s="140">
        <f t="shared" si="39"/>
        <v>0</v>
      </c>
      <c r="Q261" s="154">
        <f>Valores!$C$14*D261</f>
        <v>7261.44</v>
      </c>
      <c r="R261" s="154">
        <f>IF(D261&lt;15,(Valores!$E$4*D261),Valores!$D$4)</f>
        <v>6841.19</v>
      </c>
      <c r="S261" s="140">
        <v>0</v>
      </c>
      <c r="T261" s="143">
        <f>IF($H$5="NO",IF(Valores!$C$47*D261&gt;Valores!$C$45,Valores!$C$45,Valores!$C$47*D261),IF(Valores!$C$47*D261&gt;Valores!$C$45,Valores!$C$45,Valores!$C$47*D261)/2)</f>
        <v>1528.8</v>
      </c>
      <c r="U261" s="154">
        <f>Valores!$C$24*D261</f>
        <v>2283.84</v>
      </c>
      <c r="V261" s="140">
        <f t="shared" si="48"/>
        <v>2283.84</v>
      </c>
      <c r="W261" s="140">
        <v>0</v>
      </c>
      <c r="X261" s="140">
        <v>0</v>
      </c>
      <c r="Y261" s="160">
        <v>0</v>
      </c>
      <c r="Z261" s="140">
        <f>Y261*Valores!$C$2</f>
        <v>0</v>
      </c>
      <c r="AA261" s="140">
        <v>0</v>
      </c>
      <c r="AB261" s="143">
        <f>IF(Valores!$C$93*D261&gt;Valores!$C$92,Valores!$C$92,Valores!$C$93*D261)</f>
        <v>2100.64</v>
      </c>
      <c r="AC261" s="145">
        <f>IF((Valores!$C$34)*D261&gt;Valores!$F$34,Valores!$F$34,(Valores!$C$34)*D261)</f>
        <v>179.36</v>
      </c>
      <c r="AD261" s="140">
        <f t="shared" si="41"/>
        <v>0</v>
      </c>
      <c r="AE261" s="140">
        <f>IF(Valores!$C$35*D261&gt;Valores!$F$35,Valores!$F$35,Valores!$C$35*D261)</f>
        <v>149.44</v>
      </c>
      <c r="AF261" s="144">
        <v>94</v>
      </c>
      <c r="AG261" s="140">
        <f>INT(((AF261*Valores!$C$2)*100)+0.5)/100</f>
        <v>1257.96</v>
      </c>
      <c r="AH261" s="140">
        <f>IF($H$5="NO",IF(Valores!$D$60*'Escala Docente'!D261&gt;Valores!$F$60,Valores!$F$60,Valores!$D$60*'Escala Docente'!D261),IF(Valores!$D$60*'Escala Docente'!D261&gt;Valores!$F$60,Valores!$F$60,Valores!$D$60*'Escala Docente'!D261)/2)</f>
        <v>607.04</v>
      </c>
      <c r="AI261" s="140">
        <f>IF($H$5="NO",IF(Valores!$D$62*D261&gt;Valores!$F$62,Valores!$F$62,Valores!$D$62*D261),IF(Valores!$D$62*D261&gt;Valores!$F$62,Valores!$F$62,Valores!$D$62*D261)/2)</f>
        <v>173.61066666666667</v>
      </c>
      <c r="AJ261" s="146">
        <f t="shared" si="42"/>
        <v>42408.168166666677</v>
      </c>
      <c r="AK261" s="154">
        <f>IF(Valores!$C$38*D261&gt;Valores!$F$38,Valores!$F$38,Valores!$C$38*D261)</f>
        <v>1563.2</v>
      </c>
      <c r="AL261" s="143">
        <f>IF(Valores!$C$88*D261&gt;Valores!$C$87,Valores!$C$87,Valores!$C$88*D261)</f>
        <v>1819.9999999999998</v>
      </c>
      <c r="AM261" s="143"/>
      <c r="AN261" s="145">
        <f>IF($H$4="NO",0,IF(Valores!$C$59*D261&gt;Valores!$F$59,Valores!$F$59,Valores!$C$59*D261))</f>
        <v>181.6944</v>
      </c>
      <c r="AO261" s="147">
        <f t="shared" si="43"/>
        <v>3564.8943999999997</v>
      </c>
      <c r="AP261" s="148">
        <f>AJ261*Valores!$C$69</f>
        <v>-4664.8984983333348</v>
      </c>
      <c r="AQ261" s="149">
        <f>AJ261*-Valores!$C$70</f>
        <v>0</v>
      </c>
      <c r="AR261" s="142">
        <f>AJ261*Valores!$C$71</f>
        <v>-1908.3675675000004</v>
      </c>
      <c r="AS261" s="142">
        <f>Valores!$C$95</f>
        <v>-193.38</v>
      </c>
      <c r="AT261" s="142">
        <f>IF($H$6=0,Valores!$C$96,(Valores!$C$96+$H$6*(Valores!$C$96)))</f>
        <v>-178</v>
      </c>
      <c r="AU261" s="146">
        <f t="shared" si="44"/>
        <v>39028.416500833344</v>
      </c>
      <c r="AV261" s="199">
        <f t="shared" si="40"/>
        <v>-4664.8984983333348</v>
      </c>
      <c r="AW261" s="142">
        <f>AJ261*Valores!$C$72</f>
        <v>-1145.0205405000004</v>
      </c>
      <c r="AX261" s="142">
        <f>AJ261*Valores!$C$73</f>
        <v>-127.22450450000004</v>
      </c>
      <c r="AY261" s="146">
        <f t="shared" si="45"/>
        <v>40035.919023333336</v>
      </c>
      <c r="AZ261" s="150"/>
      <c r="BA261" s="150">
        <f t="shared" si="49"/>
        <v>16</v>
      </c>
      <c r="BB261" s="135" t="s">
        <v>4</v>
      </c>
    </row>
    <row r="262" spans="1:54" s="114" customFormat="1" ht="11.25" customHeight="1" x14ac:dyDescent="0.15">
      <c r="A262" s="152">
        <v>260</v>
      </c>
      <c r="B262" s="152" t="s">
        <v>139</v>
      </c>
      <c r="C262" s="135" t="s">
        <v>497</v>
      </c>
      <c r="D262" s="135">
        <v>17</v>
      </c>
      <c r="E262" s="135">
        <f t="shared" si="37"/>
        <v>34</v>
      </c>
      <c r="F262" s="136" t="str">
        <f>CONCATENATE("Hora Cátedra Enseñanza Media ",D262," hs")</f>
        <v>Hora Cátedra Enseñanza Media 17 hs</v>
      </c>
      <c r="G262" s="137">
        <f t="shared" ref="G262:G293" si="50">79*D262</f>
        <v>1343</v>
      </c>
      <c r="H262" s="138">
        <f>INT((G262*Valores!$C$2*100)+0.49)/100</f>
        <v>17972.830000000002</v>
      </c>
      <c r="I262" s="156">
        <v>0</v>
      </c>
      <c r="J262" s="140">
        <f>INT((I262*Valores!$C$2*100)+0.5)/100</f>
        <v>0</v>
      </c>
      <c r="K262" s="155">
        <v>0</v>
      </c>
      <c r="L262" s="140">
        <f>INT((K262*Valores!$C$2*100)+0.5)/100</f>
        <v>0</v>
      </c>
      <c r="M262" s="153">
        <v>0</v>
      </c>
      <c r="N262" s="140">
        <f>INT((M262*Valores!$C$2*100)+0.5)/100</f>
        <v>0</v>
      </c>
      <c r="O262" s="140">
        <f t="shared" si="38"/>
        <v>3303.5640000000003</v>
      </c>
      <c r="P262" s="140">
        <f t="shared" si="39"/>
        <v>0</v>
      </c>
      <c r="Q262" s="154">
        <f>Valores!$C$14*D262</f>
        <v>7715.28</v>
      </c>
      <c r="R262" s="154">
        <f>IF(D262&lt;15,(Valores!$E$4*D262),Valores!$D$4)</f>
        <v>6841.19</v>
      </c>
      <c r="S262" s="140">
        <v>0</v>
      </c>
      <c r="T262" s="143">
        <f>IF($H$5="NO",IF(Valores!$C$47*D262&gt;Valores!$C$45,Valores!$C$45,Valores!$C$47*D262),IF(Valores!$C$47*D262&gt;Valores!$C$45,Valores!$C$45,Valores!$C$47*D262)/2)</f>
        <v>1624.35</v>
      </c>
      <c r="U262" s="154">
        <f>Valores!$C$24*D262</f>
        <v>2426.58</v>
      </c>
      <c r="V262" s="140">
        <f t="shared" si="48"/>
        <v>2426.58</v>
      </c>
      <c r="W262" s="140">
        <v>0</v>
      </c>
      <c r="X262" s="140">
        <v>0</v>
      </c>
      <c r="Y262" s="160">
        <v>0</v>
      </c>
      <c r="Z262" s="140">
        <f>Y262*Valores!$C$2</f>
        <v>0</v>
      </c>
      <c r="AA262" s="140">
        <v>0</v>
      </c>
      <c r="AB262" s="143">
        <f>IF(Valores!$C$93*D262&gt;Valores!$C$92,Valores!$C$92,Valores!$C$93*D262)</f>
        <v>2231.9299999999998</v>
      </c>
      <c r="AC262" s="145">
        <f>IF((Valores!$C$34)*D262&gt;Valores!$F$34,Valores!$F$34,(Valores!$C$34)*D262)</f>
        <v>190.57000000000002</v>
      </c>
      <c r="AD262" s="140">
        <f t="shared" si="41"/>
        <v>0</v>
      </c>
      <c r="AE262" s="140">
        <f>IF(Valores!$C$35*D262&gt;Valores!$F$35,Valores!$F$35,Valores!$C$35*D262)</f>
        <v>158.78</v>
      </c>
      <c r="AF262" s="144">
        <v>0</v>
      </c>
      <c r="AG262" s="140">
        <f>INT(((AF262*Valores!$C$2)*100)+0.5)/100</f>
        <v>0</v>
      </c>
      <c r="AH262" s="140">
        <f>IF($H$5="NO",IF(Valores!$D$60*'Escala Docente'!D262&gt;Valores!$F$60,Valores!$F$60,Valores!$D$60*'Escala Docente'!D262),IF(Valores!$D$60*'Escala Docente'!D262&gt;Valores!$F$60,Valores!$F$60,Valores!$D$60*'Escala Docente'!D262)/2)</f>
        <v>644.98</v>
      </c>
      <c r="AI262" s="140">
        <f>IF($H$5="NO",IF(Valores!$D$62*D262&gt;Valores!$F$62,Valores!$F$62,Valores!$D$62*D262),IF(Valores!$D$62*D262&gt;Valores!$F$62,Valores!$F$62,Valores!$D$62*D262)/2)</f>
        <v>184.46133333333333</v>
      </c>
      <c r="AJ262" s="146">
        <f t="shared" si="42"/>
        <v>43294.515333333336</v>
      </c>
      <c r="AK262" s="154">
        <f>IF(Valores!$C$38*D262&gt;Valores!$F$38,Valores!$F$38,Valores!$C$38*D262)</f>
        <v>1660.9</v>
      </c>
      <c r="AL262" s="143">
        <f>IF(Valores!$C$88*D262&gt;Valores!$C$87,Valores!$C$87,Valores!$C$88*D262)</f>
        <v>1933.7499999999998</v>
      </c>
      <c r="AM262" s="143"/>
      <c r="AN262" s="145">
        <f>IF($H$4="NO",0,IF(Valores!$C$59*D262&gt;Valores!$F$59,Valores!$F$59,Valores!$C$59*D262))</f>
        <v>193.05029999999999</v>
      </c>
      <c r="AO262" s="147">
        <f t="shared" si="43"/>
        <v>3787.7002999999995</v>
      </c>
      <c r="AP262" s="148">
        <f>AJ262*Valores!$C$69</f>
        <v>-4762.3966866666669</v>
      </c>
      <c r="AQ262" s="149">
        <f>AJ262*-Valores!$C$70</f>
        <v>0</v>
      </c>
      <c r="AR262" s="142">
        <f>AJ262*Valores!$C$71</f>
        <v>-1948.2531900000001</v>
      </c>
      <c r="AS262" s="142">
        <f>Valores!$C$95</f>
        <v>-193.38</v>
      </c>
      <c r="AT262" s="142">
        <f>IF($H$6=0,Valores!$C$96,(Valores!$C$96+$H$6*(Valores!$C$96)))</f>
        <v>-178</v>
      </c>
      <c r="AU262" s="146">
        <f t="shared" si="44"/>
        <v>40000.185756666666</v>
      </c>
      <c r="AV262" s="199">
        <f t="shared" si="40"/>
        <v>-4762.3966866666669</v>
      </c>
      <c r="AW262" s="142">
        <f>AJ262*Valores!$C$72</f>
        <v>-1168.951914</v>
      </c>
      <c r="AX262" s="142">
        <f>AJ262*Valores!$C$73</f>
        <v>-129.88354600000002</v>
      </c>
      <c r="AY262" s="146">
        <f t="shared" si="45"/>
        <v>41020.983486666664</v>
      </c>
      <c r="AZ262" s="150"/>
      <c r="BA262" s="150">
        <f t="shared" si="49"/>
        <v>17</v>
      </c>
      <c r="BB262" s="135" t="s">
        <v>4</v>
      </c>
    </row>
    <row r="263" spans="1:54" s="114" customFormat="1" ht="11.25" customHeight="1" x14ac:dyDescent="0.15">
      <c r="A263" s="134">
        <v>261</v>
      </c>
      <c r="B263" s="134"/>
      <c r="C263" s="135" t="s">
        <v>497</v>
      </c>
      <c r="D263" s="135">
        <v>17</v>
      </c>
      <c r="E263" s="135">
        <f t="shared" si="37"/>
        <v>42</v>
      </c>
      <c r="F263" s="136" t="str">
        <f>CONCATENATE("Hora Cátedra Enseñanza Media ",D263," hs Esc Esp")</f>
        <v>Hora Cátedra Enseñanza Media 17 hs Esc Esp</v>
      </c>
      <c r="G263" s="137">
        <f t="shared" si="50"/>
        <v>1343</v>
      </c>
      <c r="H263" s="138">
        <f>INT((G263*Valores!$C$2*100)+0.49)/100</f>
        <v>17972.830000000002</v>
      </c>
      <c r="I263" s="156">
        <v>0</v>
      </c>
      <c r="J263" s="140">
        <f>INT((I263*Valores!$C$2*100)+0.5)/100</f>
        <v>0</v>
      </c>
      <c r="K263" s="155">
        <v>0</v>
      </c>
      <c r="L263" s="140">
        <f>INT((K263*Valores!$C$2*100)+0.5)/100</f>
        <v>0</v>
      </c>
      <c r="M263" s="153">
        <v>0</v>
      </c>
      <c r="N263" s="140">
        <f>INT((M263*Valores!$C$2*100)+0.5)/100</f>
        <v>0</v>
      </c>
      <c r="O263" s="140">
        <f t="shared" si="38"/>
        <v>3303.5640000000003</v>
      </c>
      <c r="P263" s="140">
        <f t="shared" si="39"/>
        <v>0</v>
      </c>
      <c r="Q263" s="154">
        <f>Valores!$C$14*D263</f>
        <v>7715.28</v>
      </c>
      <c r="R263" s="154">
        <f>IF(D263&lt;15,(Valores!$E$4*D263),Valores!$D$4)</f>
        <v>6841.19</v>
      </c>
      <c r="S263" s="140">
        <v>0</v>
      </c>
      <c r="T263" s="143">
        <f>IF($H$5="NO",IF(Valores!$C$47*D263&gt;Valores!$C$45,Valores!$C$45,Valores!$C$47*D263),IF(Valores!$C$47*D263&gt;Valores!$C$45,Valores!$C$45,Valores!$C$47*D263)/2)</f>
        <v>1624.35</v>
      </c>
      <c r="U263" s="154">
        <f>Valores!$C$24*D263</f>
        <v>2426.58</v>
      </c>
      <c r="V263" s="140">
        <f t="shared" si="48"/>
        <v>2426.58</v>
      </c>
      <c r="W263" s="140">
        <v>0</v>
      </c>
      <c r="X263" s="140">
        <v>0</v>
      </c>
      <c r="Y263" s="160">
        <v>0</v>
      </c>
      <c r="Z263" s="140">
        <f>Y263*Valores!$C$2</f>
        <v>0</v>
      </c>
      <c r="AA263" s="140">
        <v>0</v>
      </c>
      <c r="AB263" s="143">
        <f>IF(Valores!$C$93*D263&gt;Valores!$C$92,Valores!$C$92,Valores!$C$93*D263)</f>
        <v>2231.9299999999998</v>
      </c>
      <c r="AC263" s="145">
        <f>IF((Valores!$C$34)*D263&gt;Valores!$F$34,Valores!$F$34,(Valores!$C$34)*D263)</f>
        <v>190.57000000000002</v>
      </c>
      <c r="AD263" s="140">
        <f t="shared" si="41"/>
        <v>0</v>
      </c>
      <c r="AE263" s="140">
        <f>IF(Valores!$C$35*D263&gt;Valores!$F$35,Valores!$F$35,Valores!$C$35*D263)</f>
        <v>158.78</v>
      </c>
      <c r="AF263" s="144">
        <v>94</v>
      </c>
      <c r="AG263" s="140">
        <f>INT(((AF263*Valores!$C$2)*100)+0.5)/100</f>
        <v>1257.96</v>
      </c>
      <c r="AH263" s="140">
        <f>IF($H$5="NO",IF(Valores!$D$60*'Escala Docente'!D263&gt;Valores!$F$60,Valores!$F$60,Valores!$D$60*'Escala Docente'!D263),IF(Valores!$D$60*'Escala Docente'!D263&gt;Valores!$F$60,Valores!$F$60,Valores!$D$60*'Escala Docente'!D263)/2)</f>
        <v>644.98</v>
      </c>
      <c r="AI263" s="140">
        <f>IF($H$5="NO",IF(Valores!$D$62*D263&gt;Valores!$F$62,Valores!$F$62,Valores!$D$62*D263),IF(Valores!$D$62*D263&gt;Valores!$F$62,Valores!$F$62,Valores!$D$62*D263)/2)</f>
        <v>184.46133333333333</v>
      </c>
      <c r="AJ263" s="146">
        <f t="shared" si="42"/>
        <v>44552.475333333336</v>
      </c>
      <c r="AK263" s="154">
        <f>IF(Valores!$C$38*D263&gt;Valores!$F$38,Valores!$F$38,Valores!$C$38*D263)</f>
        <v>1660.9</v>
      </c>
      <c r="AL263" s="143">
        <f>IF(Valores!$C$88*D263&gt;Valores!$C$87,Valores!$C$87,Valores!$C$88*D263)</f>
        <v>1933.7499999999998</v>
      </c>
      <c r="AM263" s="143"/>
      <c r="AN263" s="145">
        <f>IF($H$4="NO",0,IF(Valores!$C$59*D263&gt;Valores!$F$59,Valores!$F$59,Valores!$C$59*D263))</f>
        <v>193.05029999999999</v>
      </c>
      <c r="AO263" s="147">
        <f t="shared" si="43"/>
        <v>3787.7002999999995</v>
      </c>
      <c r="AP263" s="148">
        <f>AJ263*Valores!$C$69</f>
        <v>-4900.7722866666672</v>
      </c>
      <c r="AQ263" s="149">
        <f>AJ263*-Valores!$C$70</f>
        <v>0</v>
      </c>
      <c r="AR263" s="142">
        <f>AJ263*Valores!$C$71</f>
        <v>-2004.86139</v>
      </c>
      <c r="AS263" s="142">
        <f>Valores!$C$95</f>
        <v>-193.38</v>
      </c>
      <c r="AT263" s="142">
        <f>IF($H$6=0,Valores!$C$96,(Valores!$C$96+$H$6*(Valores!$C$96)))</f>
        <v>-178</v>
      </c>
      <c r="AU263" s="146">
        <f t="shared" si="44"/>
        <v>41063.16195666667</v>
      </c>
      <c r="AV263" s="199">
        <f t="shared" si="40"/>
        <v>-4900.7722866666672</v>
      </c>
      <c r="AW263" s="142">
        <f>AJ263*Valores!$C$72</f>
        <v>-1202.9168340000001</v>
      </c>
      <c r="AX263" s="142">
        <f>AJ263*Valores!$C$73</f>
        <v>-133.65742600000002</v>
      </c>
      <c r="AY263" s="146">
        <f t="shared" si="45"/>
        <v>42102.829086666665</v>
      </c>
      <c r="AZ263" s="150"/>
      <c r="BA263" s="150">
        <f t="shared" si="49"/>
        <v>17</v>
      </c>
      <c r="BB263" s="135" t="s">
        <v>4</v>
      </c>
    </row>
    <row r="264" spans="1:54" s="114" customFormat="1" ht="11.25" customHeight="1" x14ac:dyDescent="0.15">
      <c r="A264" s="134">
        <v>262</v>
      </c>
      <c r="B264" s="134"/>
      <c r="C264" s="135" t="s">
        <v>497</v>
      </c>
      <c r="D264" s="135">
        <v>18</v>
      </c>
      <c r="E264" s="135">
        <f t="shared" ref="E264:E327" si="51">LEN(F264)</f>
        <v>34</v>
      </c>
      <c r="F264" s="136" t="str">
        <f>CONCATENATE("Hora Cátedra Enseñanza Media ",D264," hs")</f>
        <v>Hora Cátedra Enseñanza Media 18 hs</v>
      </c>
      <c r="G264" s="137">
        <f t="shared" si="50"/>
        <v>1422</v>
      </c>
      <c r="H264" s="138">
        <f>INT((G264*Valores!$C$2*100)+0.49)/100</f>
        <v>19030.060000000001</v>
      </c>
      <c r="I264" s="156">
        <v>0</v>
      </c>
      <c r="J264" s="140">
        <f>INT((I264*Valores!$C$2*100)+0.5)/100</f>
        <v>0</v>
      </c>
      <c r="K264" s="155">
        <v>0</v>
      </c>
      <c r="L264" s="140">
        <f>INT((K264*Valores!$C$2*100)+0.5)/100</f>
        <v>0</v>
      </c>
      <c r="M264" s="153">
        <v>0</v>
      </c>
      <c r="N264" s="140">
        <f>INT((M264*Valores!$C$2*100)+0.5)/100</f>
        <v>0</v>
      </c>
      <c r="O264" s="140">
        <f t="shared" ref="O264:O327" si="52">IF($J$2=0,IF(C264&lt;&gt;"13-930",(SUM(H264,J264,L264,N264,Z264,U264,T264)*$O$2),0),0)</f>
        <v>3497.8920000000003</v>
      </c>
      <c r="P264" s="140">
        <f t="shared" ref="P264:P328" si="53">SUM(H264,J264,L264,N264,Z264,T264)*$J$2</f>
        <v>0</v>
      </c>
      <c r="Q264" s="154">
        <f>Valores!$C$14*D264</f>
        <v>8169.12</v>
      </c>
      <c r="R264" s="154">
        <f>IF(D264&lt;15,(Valores!$E$4*D264),Valores!$D$4)</f>
        <v>6841.19</v>
      </c>
      <c r="S264" s="140">
        <v>0</v>
      </c>
      <c r="T264" s="143">
        <f>IF($H$5="NO",IF(Valores!$C$47*D264&gt;Valores!$C$45,Valores!$C$45,Valores!$C$47*D264),IF(Valores!$C$47*D264&gt;Valores!$C$45,Valores!$C$45,Valores!$C$47*D264)/2)</f>
        <v>1719.8999999999999</v>
      </c>
      <c r="U264" s="154">
        <f>Valores!$C$24*D264</f>
        <v>2569.3200000000002</v>
      </c>
      <c r="V264" s="140">
        <f t="shared" si="48"/>
        <v>2569.3200000000002</v>
      </c>
      <c r="W264" s="140">
        <v>0</v>
      </c>
      <c r="X264" s="140">
        <v>0</v>
      </c>
      <c r="Y264" s="160">
        <v>0</v>
      </c>
      <c r="Z264" s="140">
        <f>Y264*Valores!$C$2</f>
        <v>0</v>
      </c>
      <c r="AA264" s="140">
        <v>0</v>
      </c>
      <c r="AB264" s="143">
        <f>IF(Valores!$C$93*D264&gt;Valores!$C$92,Valores!$C$92,Valores!$C$93*D264)</f>
        <v>2363.2199999999998</v>
      </c>
      <c r="AC264" s="145">
        <f>IF((Valores!$C$34)*D264&gt;Valores!$F$34,Valores!$F$34,(Valores!$C$34)*D264)</f>
        <v>201.78000000000003</v>
      </c>
      <c r="AD264" s="140">
        <f t="shared" si="41"/>
        <v>0</v>
      </c>
      <c r="AE264" s="140">
        <f>IF(Valores!$C$35*D264&gt;Valores!$F$35,Valores!$F$35,Valores!$C$35*D264)</f>
        <v>168.12</v>
      </c>
      <c r="AF264" s="144">
        <v>0</v>
      </c>
      <c r="AG264" s="140">
        <f>INT(((AF264*Valores!$C$2)*100)+0.5)/100</f>
        <v>0</v>
      </c>
      <c r="AH264" s="140">
        <f>IF($H$5="NO",IF(Valores!$D$60*'Escala Docente'!D264&gt;Valores!$F$60,Valores!$F$60,Valores!$D$60*'Escala Docente'!D264),IF(Valores!$D$60*'Escala Docente'!D264&gt;Valores!$F$60,Valores!$F$60,Valores!$D$60*'Escala Docente'!D264)/2)</f>
        <v>682.92</v>
      </c>
      <c r="AI264" s="140">
        <f>IF($H$5="NO",IF(Valores!$D$62*D264&gt;Valores!$F$62,Valores!$F$62,Valores!$D$62*D264),IF(Valores!$D$62*D264&gt;Valores!$F$62,Valores!$F$62,Valores!$D$62*D264)/2)</f>
        <v>195.31200000000001</v>
      </c>
      <c r="AJ264" s="146">
        <f t="shared" si="42"/>
        <v>45438.834000000003</v>
      </c>
      <c r="AK264" s="154">
        <f>IF(Valores!$C$38*D264&gt;Valores!$F$38,Valores!$F$38,Valores!$C$38*D264)</f>
        <v>1758.6000000000001</v>
      </c>
      <c r="AL264" s="143">
        <f>IF(Valores!$C$88*D264&gt;Valores!$C$87,Valores!$C$87,Valores!$C$88*D264)</f>
        <v>2047.4999999999998</v>
      </c>
      <c r="AM264" s="143"/>
      <c r="AN264" s="145">
        <f>IF($H$4="NO",0,IF(Valores!$C$59*D264&gt;Valores!$F$59,Valores!$F$59,Valores!$C$59*D264))</f>
        <v>204.40620000000001</v>
      </c>
      <c r="AO264" s="147">
        <f t="shared" si="43"/>
        <v>4010.5061999999998</v>
      </c>
      <c r="AP264" s="148">
        <f>AJ264*Valores!$C$69</f>
        <v>-4998.2717400000001</v>
      </c>
      <c r="AQ264" s="149">
        <f>AJ264*-Valores!$C$70</f>
        <v>0</v>
      </c>
      <c r="AR264" s="142">
        <f>AJ264*Valores!$C$71</f>
        <v>-2044.7475300000001</v>
      </c>
      <c r="AS264" s="142">
        <f>Valores!$C$95</f>
        <v>-193.38</v>
      </c>
      <c r="AT264" s="142">
        <f>IF($H$6=0,Valores!$C$96,(Valores!$C$96+$H$6*(Valores!$C$96)))</f>
        <v>-178</v>
      </c>
      <c r="AU264" s="146">
        <f t="shared" si="44"/>
        <v>42034.940930000004</v>
      </c>
      <c r="AV264" s="199">
        <f t="shared" ref="AV264:AV327" si="54">AP264</f>
        <v>-4998.2717400000001</v>
      </c>
      <c r="AW264" s="142">
        <f>AJ264*Valores!$C$72</f>
        <v>-1226.848518</v>
      </c>
      <c r="AX264" s="142">
        <f>AJ264*Valores!$C$73</f>
        <v>-136.31650200000001</v>
      </c>
      <c r="AY264" s="146">
        <f t="shared" si="45"/>
        <v>43087.903440000009</v>
      </c>
      <c r="AZ264" s="150"/>
      <c r="BA264" s="150">
        <f t="shared" si="49"/>
        <v>18</v>
      </c>
      <c r="BB264" s="135" t="s">
        <v>4</v>
      </c>
    </row>
    <row r="265" spans="1:54" s="114" customFormat="1" ht="11.25" customHeight="1" x14ac:dyDescent="0.15">
      <c r="A265" s="134">
        <v>263</v>
      </c>
      <c r="B265" s="134"/>
      <c r="C265" s="135" t="s">
        <v>497</v>
      </c>
      <c r="D265" s="135">
        <v>18</v>
      </c>
      <c r="E265" s="135">
        <f t="shared" si="51"/>
        <v>42</v>
      </c>
      <c r="F265" s="136" t="str">
        <f>CONCATENATE("Hora Cátedra Enseñanza Media ",D265," hs Esc Esp")</f>
        <v>Hora Cátedra Enseñanza Media 18 hs Esc Esp</v>
      </c>
      <c r="G265" s="137">
        <f t="shared" si="50"/>
        <v>1422</v>
      </c>
      <c r="H265" s="138">
        <f>INT((G265*Valores!$C$2*100)+0.49)/100</f>
        <v>19030.060000000001</v>
      </c>
      <c r="I265" s="156">
        <v>0</v>
      </c>
      <c r="J265" s="140">
        <f>INT((I265*Valores!$C$2*100)+0.5)/100</f>
        <v>0</v>
      </c>
      <c r="K265" s="155">
        <v>0</v>
      </c>
      <c r="L265" s="140">
        <f>INT((K265*Valores!$C$2*100)+0.5)/100</f>
        <v>0</v>
      </c>
      <c r="M265" s="153">
        <v>0</v>
      </c>
      <c r="N265" s="140">
        <f>INT((M265*Valores!$C$2*100)+0.5)/100</f>
        <v>0</v>
      </c>
      <c r="O265" s="140">
        <f t="shared" si="52"/>
        <v>3497.8920000000003</v>
      </c>
      <c r="P265" s="140">
        <f t="shared" si="53"/>
        <v>0</v>
      </c>
      <c r="Q265" s="154">
        <f>Valores!$C$14*D265</f>
        <v>8169.12</v>
      </c>
      <c r="R265" s="154">
        <f>IF(D265&lt;15,(Valores!$E$4*D265),Valores!$D$4)</f>
        <v>6841.19</v>
      </c>
      <c r="S265" s="140">
        <v>0</v>
      </c>
      <c r="T265" s="143">
        <f>IF($H$5="NO",IF(Valores!$C$47*D265&gt;Valores!$C$45,Valores!$C$45,Valores!$C$47*D265),IF(Valores!$C$47*D265&gt;Valores!$C$45,Valores!$C$45,Valores!$C$47*D265)/2)</f>
        <v>1719.8999999999999</v>
      </c>
      <c r="U265" s="154">
        <f>Valores!$C$24*D265</f>
        <v>2569.3200000000002</v>
      </c>
      <c r="V265" s="140">
        <f t="shared" si="48"/>
        <v>2569.3200000000002</v>
      </c>
      <c r="W265" s="140">
        <v>0</v>
      </c>
      <c r="X265" s="140">
        <v>0</v>
      </c>
      <c r="Y265" s="160">
        <v>0</v>
      </c>
      <c r="Z265" s="140">
        <f>Y265*Valores!$C$2</f>
        <v>0</v>
      </c>
      <c r="AA265" s="140">
        <v>0</v>
      </c>
      <c r="AB265" s="143">
        <f>IF(Valores!$C$93*D265&gt;Valores!$C$92,Valores!$C$92,Valores!$C$93*D265)</f>
        <v>2363.2199999999998</v>
      </c>
      <c r="AC265" s="145">
        <f>IF((Valores!$C$34)*D265&gt;Valores!$F$34,Valores!$F$34,(Valores!$C$34)*D265)</f>
        <v>201.78000000000003</v>
      </c>
      <c r="AD265" s="140">
        <f t="shared" ref="AD265:AD328" si="55">SUM(H265,J265,L265,Z265,T265)*$H$3/100</f>
        <v>0</v>
      </c>
      <c r="AE265" s="140">
        <f>IF(Valores!$C$35*D265&gt;Valores!$F$35,Valores!$F$35,Valores!$C$35*D265)</f>
        <v>168.12</v>
      </c>
      <c r="AF265" s="144">
        <v>94</v>
      </c>
      <c r="AG265" s="140">
        <f>INT(((AF265*Valores!$C$2)*100)+0.5)/100</f>
        <v>1257.96</v>
      </c>
      <c r="AH265" s="140">
        <f>IF($H$5="NO",IF(Valores!$D$60*'Escala Docente'!D265&gt;Valores!$F$60,Valores!$F$60,Valores!$D$60*'Escala Docente'!D265),IF(Valores!$D$60*'Escala Docente'!D265&gt;Valores!$F$60,Valores!$F$60,Valores!$D$60*'Escala Docente'!D265)/2)</f>
        <v>682.92</v>
      </c>
      <c r="AI265" s="140">
        <f>IF($H$5="NO",IF(Valores!$D$62*D265&gt;Valores!$F$62,Valores!$F$62,Valores!$D$62*D265),IF(Valores!$D$62*D265&gt;Valores!$F$62,Valores!$F$62,Valores!$D$62*D265)/2)</f>
        <v>195.31200000000001</v>
      </c>
      <c r="AJ265" s="146">
        <f t="shared" ref="AJ265:AJ328" si="56">SUM(H265,J265,L265,N265,O265,P265,Q265,R265,S265,V265,W265,X265,Z265,AA265,AC265,AD265,AE265,AG265,T265,AH265,AI265,AB265)</f>
        <v>46696.794000000002</v>
      </c>
      <c r="AK265" s="154">
        <f>IF(Valores!$C$38*D265&gt;Valores!$F$38,Valores!$F$38,Valores!$C$38*D265)</f>
        <v>1758.6000000000001</v>
      </c>
      <c r="AL265" s="143">
        <f>IF(Valores!$C$88*D265&gt;Valores!$C$87,Valores!$C$87,Valores!$C$88*D265)</f>
        <v>2047.4999999999998</v>
      </c>
      <c r="AM265" s="143"/>
      <c r="AN265" s="145">
        <f>IF($H$4="NO",0,IF(Valores!$C$59*D265&gt;Valores!$F$59,Valores!$F$59,Valores!$C$59*D265))</f>
        <v>204.40620000000001</v>
      </c>
      <c r="AO265" s="147">
        <f t="shared" ref="AO265:AO328" si="57">IF($H$4="SI",SUM(AK265:AN265),SUM(AK265:AL265))</f>
        <v>4010.5061999999998</v>
      </c>
      <c r="AP265" s="148">
        <f>AJ265*Valores!$C$69</f>
        <v>-5136.6473400000004</v>
      </c>
      <c r="AQ265" s="149">
        <f>AJ265*-Valores!$C$70</f>
        <v>0</v>
      </c>
      <c r="AR265" s="142">
        <f>AJ265*Valores!$C$71</f>
        <v>-2101.3557300000002</v>
      </c>
      <c r="AS265" s="142">
        <f>Valores!$C$95</f>
        <v>-193.38</v>
      </c>
      <c r="AT265" s="142">
        <f>IF($H$6=0,Valores!$C$96,(Valores!$C$96+$H$6*(Valores!$C$96)))</f>
        <v>-178</v>
      </c>
      <c r="AU265" s="146">
        <f t="shared" si="44"/>
        <v>43097.917130000002</v>
      </c>
      <c r="AV265" s="199">
        <f t="shared" si="54"/>
        <v>-5136.6473400000004</v>
      </c>
      <c r="AW265" s="142">
        <f>AJ265*Valores!$C$72</f>
        <v>-1260.8134380000001</v>
      </c>
      <c r="AX265" s="142">
        <f>AJ265*Valores!$C$73</f>
        <v>-140.09038200000001</v>
      </c>
      <c r="AY265" s="146">
        <f t="shared" si="45"/>
        <v>44169.749039999995</v>
      </c>
      <c r="AZ265" s="150"/>
      <c r="BA265" s="150">
        <f t="shared" si="49"/>
        <v>18</v>
      </c>
      <c r="BB265" s="135" t="s">
        <v>4</v>
      </c>
    </row>
    <row r="266" spans="1:54" s="114" customFormat="1" ht="11.25" customHeight="1" x14ac:dyDescent="0.15">
      <c r="A266" s="134">
        <v>264</v>
      </c>
      <c r="B266" s="134"/>
      <c r="C266" s="135" t="s">
        <v>497</v>
      </c>
      <c r="D266" s="135">
        <v>19</v>
      </c>
      <c r="E266" s="135">
        <f t="shared" si="51"/>
        <v>34</v>
      </c>
      <c r="F266" s="136" t="str">
        <f>CONCATENATE("Hora Cátedra Enseñanza Media ",D266," hs")</f>
        <v>Hora Cátedra Enseñanza Media 19 hs</v>
      </c>
      <c r="G266" s="137">
        <f t="shared" si="50"/>
        <v>1501</v>
      </c>
      <c r="H266" s="138">
        <f>INT((G266*Valores!$C$2*100)+0.49)/100</f>
        <v>20087.28</v>
      </c>
      <c r="I266" s="156">
        <v>0</v>
      </c>
      <c r="J266" s="140">
        <f>INT((I266*Valores!$C$2*100)+0.5)/100</f>
        <v>0</v>
      </c>
      <c r="K266" s="155">
        <v>0</v>
      </c>
      <c r="L266" s="140">
        <f>INT((K266*Valores!$C$2*100)+0.5)/100</f>
        <v>0</v>
      </c>
      <c r="M266" s="153">
        <v>0</v>
      </c>
      <c r="N266" s="140">
        <f>INT((M266*Valores!$C$2*100)+0.5)/100</f>
        <v>0</v>
      </c>
      <c r="O266" s="140">
        <f t="shared" si="52"/>
        <v>3692.2184999999999</v>
      </c>
      <c r="P266" s="140">
        <f t="shared" si="53"/>
        <v>0</v>
      </c>
      <c r="Q266" s="154">
        <f>Valores!$C$14*D266</f>
        <v>8622.9599999999991</v>
      </c>
      <c r="R266" s="154">
        <f>IF(D266&lt;15,(Valores!$E$4*D266),Valores!$D$4)</f>
        <v>6841.19</v>
      </c>
      <c r="S266" s="140">
        <v>0</v>
      </c>
      <c r="T266" s="143">
        <f>IF($H$5="NO",IF(Valores!$C$47*D266&gt;Valores!$C$45,Valores!$C$45,Valores!$C$47*D266),IF(Valores!$C$47*D266&gt;Valores!$C$45,Valores!$C$45,Valores!$C$47*D266)/2)</f>
        <v>1815.45</v>
      </c>
      <c r="U266" s="154">
        <f>Valores!$C$24*D266</f>
        <v>2712.0600000000004</v>
      </c>
      <c r="V266" s="140">
        <f t="shared" si="48"/>
        <v>2712.0600000000004</v>
      </c>
      <c r="W266" s="140">
        <v>0</v>
      </c>
      <c r="X266" s="140">
        <v>0</v>
      </c>
      <c r="Y266" s="160">
        <v>0</v>
      </c>
      <c r="Z266" s="140">
        <f>Y266*Valores!$C$2</f>
        <v>0</v>
      </c>
      <c r="AA266" s="140">
        <v>0</v>
      </c>
      <c r="AB266" s="143">
        <f>IF(Valores!$C$93*D266&gt;Valores!$C$92,Valores!$C$92,Valores!$C$93*D266)</f>
        <v>2494.5099999999998</v>
      </c>
      <c r="AC266" s="145">
        <f>IF((Valores!$C$34)*D266&gt;Valores!$F$34,Valores!$F$34,(Valores!$C$34)*D266)</f>
        <v>212.99</v>
      </c>
      <c r="AD266" s="140">
        <f t="shared" si="55"/>
        <v>0</v>
      </c>
      <c r="AE266" s="140">
        <f>IF(Valores!$C$35*D266&gt;Valores!$F$35,Valores!$F$35,Valores!$C$35*D266)</f>
        <v>177.46</v>
      </c>
      <c r="AF266" s="144">
        <v>0</v>
      </c>
      <c r="AG266" s="140">
        <f>INT(((AF266*Valores!$C$2)*100)+0.5)/100</f>
        <v>0</v>
      </c>
      <c r="AH266" s="140">
        <f>IF($H$5="NO",IF(Valores!$D$60*'Escala Docente'!D266&gt;Valores!$F$60,Valores!$F$60,Valores!$D$60*'Escala Docente'!D266),IF(Valores!$D$60*'Escala Docente'!D266&gt;Valores!$F$60,Valores!$F$60,Valores!$D$60*'Escala Docente'!D266)/2)</f>
        <v>720.8599999999999</v>
      </c>
      <c r="AI266" s="140">
        <f>IF($H$5="NO",IF(Valores!$D$62*D266&gt;Valores!$F$62,Valores!$F$62,Valores!$D$62*D266),IF(Valores!$D$62*D266&gt;Valores!$F$62,Valores!$F$62,Valores!$D$62*D266)/2)</f>
        <v>206.16266666666667</v>
      </c>
      <c r="AJ266" s="146">
        <f t="shared" si="56"/>
        <v>47583.141166666654</v>
      </c>
      <c r="AK266" s="154">
        <f>IF(Valores!$C$38*D266&gt;Valores!$F$38,Valores!$F$38,Valores!$C$38*D266)</f>
        <v>1856.3</v>
      </c>
      <c r="AL266" s="143">
        <f>IF(Valores!$C$88*D266&gt;Valores!$C$87,Valores!$C$87,Valores!$C$88*D266)</f>
        <v>2161.2499999999995</v>
      </c>
      <c r="AM266" s="143"/>
      <c r="AN266" s="145">
        <f>IF($H$4="NO",0,IF(Valores!$C$59*D266&gt;Valores!$F$59,Valores!$F$59,Valores!$C$59*D266))</f>
        <v>215.7621</v>
      </c>
      <c r="AO266" s="147">
        <f t="shared" si="57"/>
        <v>4233.3120999999992</v>
      </c>
      <c r="AP266" s="148">
        <f>AJ266*Valores!$C$69</f>
        <v>-5234.1455283333316</v>
      </c>
      <c r="AQ266" s="149">
        <f>AJ266*-Valores!$C$70</f>
        <v>0</v>
      </c>
      <c r="AR266" s="142">
        <f>AJ266*Valores!$C$71</f>
        <v>-2141.2413524999993</v>
      </c>
      <c r="AS266" s="142">
        <f>Valores!$C$95</f>
        <v>-193.38</v>
      </c>
      <c r="AT266" s="142">
        <f>IF($H$6=0,Valores!$C$96,(Valores!$C$96+$H$6*(Valores!$C$96)))</f>
        <v>-178</v>
      </c>
      <c r="AU266" s="146">
        <f t="shared" ref="AU266:AU328" si="58">AJ266+SUM(AO266:AT266)</f>
        <v>44069.686385833324</v>
      </c>
      <c r="AV266" s="199">
        <f t="shared" si="54"/>
        <v>-5234.1455283333316</v>
      </c>
      <c r="AW266" s="142">
        <f>AJ266*Valores!$C$72</f>
        <v>-1284.7448114999997</v>
      </c>
      <c r="AX266" s="142">
        <f>AJ266*Valores!$C$73</f>
        <v>-142.74942349999998</v>
      </c>
      <c r="AY266" s="146">
        <f t="shared" ref="AY266:AY328" si="59">AJ266+AO266+SUM(AV266:AX266)</f>
        <v>45154.813503333316</v>
      </c>
      <c r="AZ266" s="150"/>
      <c r="BA266" s="150">
        <f t="shared" si="49"/>
        <v>19</v>
      </c>
      <c r="BB266" s="135" t="s">
        <v>4</v>
      </c>
    </row>
    <row r="267" spans="1:54" s="114" customFormat="1" ht="11.25" customHeight="1" x14ac:dyDescent="0.15">
      <c r="A267" s="152">
        <v>265</v>
      </c>
      <c r="B267" s="152" t="s">
        <v>139</v>
      </c>
      <c r="C267" s="135" t="s">
        <v>497</v>
      </c>
      <c r="D267" s="135">
        <v>19</v>
      </c>
      <c r="E267" s="135">
        <f t="shared" si="51"/>
        <v>42</v>
      </c>
      <c r="F267" s="136" t="str">
        <f>CONCATENATE("Hora Cátedra Enseñanza Media ",D267," hs Esc Esp")</f>
        <v>Hora Cátedra Enseñanza Media 19 hs Esc Esp</v>
      </c>
      <c r="G267" s="137">
        <f t="shared" si="50"/>
        <v>1501</v>
      </c>
      <c r="H267" s="138">
        <f>INT((G267*Valores!$C$2*100)+0.49)/100</f>
        <v>20087.28</v>
      </c>
      <c r="I267" s="156">
        <v>0</v>
      </c>
      <c r="J267" s="140">
        <f>INT((I267*Valores!$C$2*100)+0.5)/100</f>
        <v>0</v>
      </c>
      <c r="K267" s="155">
        <v>0</v>
      </c>
      <c r="L267" s="140">
        <f>INT((K267*Valores!$C$2*100)+0.5)/100</f>
        <v>0</v>
      </c>
      <c r="M267" s="153">
        <v>0</v>
      </c>
      <c r="N267" s="140">
        <f>INT((M267*Valores!$C$2*100)+0.5)/100</f>
        <v>0</v>
      </c>
      <c r="O267" s="140">
        <f t="shared" si="52"/>
        <v>3692.2184999999999</v>
      </c>
      <c r="P267" s="140">
        <f t="shared" si="53"/>
        <v>0</v>
      </c>
      <c r="Q267" s="154">
        <f>Valores!$C$14*D267</f>
        <v>8622.9599999999991</v>
      </c>
      <c r="R267" s="154">
        <f>IF(D267&lt;15,(Valores!$E$4*D267),Valores!$D$4)</f>
        <v>6841.19</v>
      </c>
      <c r="S267" s="140">
        <v>0</v>
      </c>
      <c r="T267" s="143">
        <f>IF($H$5="NO",IF(Valores!$C$47*D267&gt;Valores!$C$45,Valores!$C$45,Valores!$C$47*D267),IF(Valores!$C$47*D267&gt;Valores!$C$45,Valores!$C$45,Valores!$C$47*D267)/2)</f>
        <v>1815.45</v>
      </c>
      <c r="U267" s="154">
        <f>Valores!$C$24*D267</f>
        <v>2712.0600000000004</v>
      </c>
      <c r="V267" s="140">
        <f t="shared" si="48"/>
        <v>2712.0600000000004</v>
      </c>
      <c r="W267" s="140">
        <v>0</v>
      </c>
      <c r="X267" s="140">
        <v>0</v>
      </c>
      <c r="Y267" s="160">
        <v>0</v>
      </c>
      <c r="Z267" s="140">
        <f>Y267*Valores!$C$2</f>
        <v>0</v>
      </c>
      <c r="AA267" s="140">
        <v>0</v>
      </c>
      <c r="AB267" s="143">
        <f>IF(Valores!$C$93*D267&gt;Valores!$C$92,Valores!$C$92,Valores!$C$93*D267)</f>
        <v>2494.5099999999998</v>
      </c>
      <c r="AC267" s="145">
        <f>IF((Valores!$C$34)*D267&gt;Valores!$F$34,Valores!$F$34,(Valores!$C$34)*D267)</f>
        <v>212.99</v>
      </c>
      <c r="AD267" s="140">
        <f t="shared" si="55"/>
        <v>0</v>
      </c>
      <c r="AE267" s="140">
        <f>IF(Valores!$C$35*D267&gt;Valores!$F$35,Valores!$F$35,Valores!$C$35*D267)</f>
        <v>177.46</v>
      </c>
      <c r="AF267" s="144">
        <v>94</v>
      </c>
      <c r="AG267" s="140">
        <f>INT(((AF267*Valores!$C$2)*100)+0.5)/100</f>
        <v>1257.96</v>
      </c>
      <c r="AH267" s="140">
        <f>IF($H$5="NO",IF(Valores!$D$60*'Escala Docente'!D267&gt;Valores!$F$60,Valores!$F$60,Valores!$D$60*'Escala Docente'!D267),IF(Valores!$D$60*'Escala Docente'!D267&gt;Valores!$F$60,Valores!$F$60,Valores!$D$60*'Escala Docente'!D267)/2)</f>
        <v>720.8599999999999</v>
      </c>
      <c r="AI267" s="140">
        <f>IF($H$5="NO",IF(Valores!$D$62*D267&gt;Valores!$F$62,Valores!$F$62,Valores!$D$62*D267),IF(Valores!$D$62*D267&gt;Valores!$F$62,Valores!$F$62,Valores!$D$62*D267)/2)</f>
        <v>206.16266666666667</v>
      </c>
      <c r="AJ267" s="146">
        <f t="shared" si="56"/>
        <v>48841.101166666653</v>
      </c>
      <c r="AK267" s="154">
        <f>IF(Valores!$C$38*D267&gt;Valores!$F$38,Valores!$F$38,Valores!$C$38*D267)</f>
        <v>1856.3</v>
      </c>
      <c r="AL267" s="143">
        <f>IF(Valores!$C$88*D267&gt;Valores!$C$87,Valores!$C$87,Valores!$C$88*D267)</f>
        <v>2161.2499999999995</v>
      </c>
      <c r="AM267" s="143"/>
      <c r="AN267" s="145">
        <f>IF($H$4="NO",0,IF(Valores!$C$59*D267&gt;Valores!$F$59,Valores!$F$59,Valores!$C$59*D267))</f>
        <v>215.7621</v>
      </c>
      <c r="AO267" s="147">
        <f t="shared" si="57"/>
        <v>4233.3120999999992</v>
      </c>
      <c r="AP267" s="148">
        <f>AJ267*Valores!$C$69</f>
        <v>-5372.5211283333319</v>
      </c>
      <c r="AQ267" s="149">
        <f>AJ267*-Valores!$C$70</f>
        <v>0</v>
      </c>
      <c r="AR267" s="142">
        <f>AJ267*Valores!$C$71</f>
        <v>-2197.8495524999994</v>
      </c>
      <c r="AS267" s="142">
        <f>Valores!$C$95</f>
        <v>-193.38</v>
      </c>
      <c r="AT267" s="142">
        <f>IF($H$6=0,Valores!$C$96,(Valores!$C$96+$H$6*(Valores!$C$96)))</f>
        <v>-178</v>
      </c>
      <c r="AU267" s="146">
        <f t="shared" si="58"/>
        <v>45132.662585833321</v>
      </c>
      <c r="AV267" s="199">
        <f t="shared" si="54"/>
        <v>-5372.5211283333319</v>
      </c>
      <c r="AW267" s="142">
        <f>AJ267*Valores!$C$72</f>
        <v>-1318.7097314999996</v>
      </c>
      <c r="AX267" s="142">
        <f>AJ267*Valores!$C$73</f>
        <v>-146.52330349999997</v>
      </c>
      <c r="AY267" s="146">
        <f t="shared" si="59"/>
        <v>46236.659103333324</v>
      </c>
      <c r="AZ267" s="150"/>
      <c r="BA267" s="150">
        <f t="shared" si="49"/>
        <v>19</v>
      </c>
      <c r="BB267" s="135" t="s">
        <v>4</v>
      </c>
    </row>
    <row r="268" spans="1:54" s="114" customFormat="1" ht="11.25" customHeight="1" x14ac:dyDescent="0.15">
      <c r="A268" s="134">
        <v>266</v>
      </c>
      <c r="B268" s="134"/>
      <c r="C268" s="135" t="s">
        <v>497</v>
      </c>
      <c r="D268" s="135">
        <v>20</v>
      </c>
      <c r="E268" s="135">
        <f t="shared" si="51"/>
        <v>34</v>
      </c>
      <c r="F268" s="136" t="str">
        <f>CONCATENATE("Hora Cátedra Enseñanza Media ",D268," hs")</f>
        <v>Hora Cátedra Enseñanza Media 20 hs</v>
      </c>
      <c r="G268" s="137">
        <f t="shared" si="50"/>
        <v>1580</v>
      </c>
      <c r="H268" s="138">
        <f>INT((G268*Valores!$C$2*100)+0.49)/100</f>
        <v>21144.51</v>
      </c>
      <c r="I268" s="156">
        <v>0</v>
      </c>
      <c r="J268" s="140">
        <f>INT((I268*Valores!$C$2*100)+0.5)/100</f>
        <v>0</v>
      </c>
      <c r="K268" s="155">
        <v>0</v>
      </c>
      <c r="L268" s="140">
        <f>INT((K268*Valores!$C$2*100)+0.5)/100</f>
        <v>0</v>
      </c>
      <c r="M268" s="153">
        <v>0</v>
      </c>
      <c r="N268" s="140">
        <f>INT((M268*Valores!$C$2*100)+0.5)/100</f>
        <v>0</v>
      </c>
      <c r="O268" s="140">
        <f t="shared" si="52"/>
        <v>3886.5464999999995</v>
      </c>
      <c r="P268" s="140">
        <f t="shared" si="53"/>
        <v>0</v>
      </c>
      <c r="Q268" s="154">
        <f>Valores!$C$14*D268</f>
        <v>9076.7999999999993</v>
      </c>
      <c r="R268" s="154">
        <f>IF(D268&lt;15,(Valores!$E$4*D268),Valores!$D$4)</f>
        <v>6841.19</v>
      </c>
      <c r="S268" s="140">
        <v>0</v>
      </c>
      <c r="T268" s="143">
        <f>IF($H$5="NO",IF(Valores!$C$47*D268&gt;Valores!$C$45,Valores!$C$45,Valores!$C$47*D268),IF(Valores!$C$47*D268&gt;Valores!$C$45,Valores!$C$45,Valores!$C$47*D268)/2)</f>
        <v>1911</v>
      </c>
      <c r="U268" s="154">
        <f>Valores!$C$24*D268</f>
        <v>2854.8</v>
      </c>
      <c r="V268" s="140">
        <f t="shared" si="48"/>
        <v>2854.8</v>
      </c>
      <c r="W268" s="140">
        <v>0</v>
      </c>
      <c r="X268" s="140">
        <v>0</v>
      </c>
      <c r="Y268" s="160">
        <v>0</v>
      </c>
      <c r="Z268" s="140">
        <f>Y268*Valores!$C$2</f>
        <v>0</v>
      </c>
      <c r="AA268" s="140">
        <v>0</v>
      </c>
      <c r="AB268" s="143">
        <f>IF(Valores!$C$93*D268&gt;Valores!$C$92,Valores!$C$92,Valores!$C$93*D268)</f>
        <v>2625.7999999999997</v>
      </c>
      <c r="AC268" s="145">
        <f>IF((Valores!$C$34)*D268&gt;Valores!$F$34,Valores!$F$34,(Valores!$C$34)*D268)</f>
        <v>224.20000000000002</v>
      </c>
      <c r="AD268" s="140">
        <f t="shared" si="55"/>
        <v>0</v>
      </c>
      <c r="AE268" s="140">
        <f>IF(Valores!$C$35*D268&gt;Valores!$F$35,Valores!$F$35,Valores!$C$35*D268)</f>
        <v>186.8</v>
      </c>
      <c r="AF268" s="144">
        <v>0</v>
      </c>
      <c r="AG268" s="140">
        <f>INT(((AF268*Valores!$C$2)*100)+0.5)/100</f>
        <v>0</v>
      </c>
      <c r="AH268" s="140">
        <f>IF($H$5="NO",IF(Valores!$D$60*'Escala Docente'!D268&gt;Valores!$F$60,Valores!$F$60,Valores!$D$60*'Escala Docente'!D268),IF(Valores!$D$60*'Escala Docente'!D268&gt;Valores!$F$60,Valores!$F$60,Valores!$D$60*'Escala Docente'!D268)/2)</f>
        <v>758.8</v>
      </c>
      <c r="AI268" s="140">
        <f>IF($H$5="NO",IF(Valores!$D$62*D268&gt;Valores!$F$62,Valores!$F$62,Valores!$D$62*D268),IF(Valores!$D$62*D268&gt;Valores!$F$62,Valores!$F$62,Valores!$D$62*D268)/2)</f>
        <v>217.01333333333335</v>
      </c>
      <c r="AJ268" s="146">
        <f t="shared" si="56"/>
        <v>49727.459833333342</v>
      </c>
      <c r="AK268" s="154">
        <f>IF(Valores!$C$38*D268&gt;Valores!$F$38,Valores!$F$38,Valores!$C$38*D268)</f>
        <v>1954</v>
      </c>
      <c r="AL268" s="143">
        <f>IF(Valores!$C$88*D268&gt;Valores!$C$87,Valores!$C$87,Valores!$C$88*D268)</f>
        <v>2274.9999999999995</v>
      </c>
      <c r="AM268" s="143"/>
      <c r="AN268" s="145">
        <f>IF($H$4="NO",0,IF(Valores!$C$59*D268&gt;Valores!$F$59,Valores!$F$59,Valores!$C$59*D268))</f>
        <v>227.11799999999999</v>
      </c>
      <c r="AO268" s="147">
        <f t="shared" si="57"/>
        <v>4456.1180000000004</v>
      </c>
      <c r="AP268" s="148">
        <f>AJ268*Valores!$C$69</f>
        <v>-5470.0205816666676</v>
      </c>
      <c r="AQ268" s="149">
        <f>AJ268*-Valores!$C$70</f>
        <v>0</v>
      </c>
      <c r="AR268" s="142">
        <f>AJ268*Valores!$C$71</f>
        <v>-2237.7356925000004</v>
      </c>
      <c r="AS268" s="142">
        <f>Valores!$C$95</f>
        <v>-193.38</v>
      </c>
      <c r="AT268" s="142">
        <f>IF($H$6=0,Valores!$C$96,(Valores!$C$96+$H$6*(Valores!$C$96)))</f>
        <v>-178</v>
      </c>
      <c r="AU268" s="146">
        <f t="shared" si="58"/>
        <v>46104.441559166677</v>
      </c>
      <c r="AV268" s="199">
        <f t="shared" si="54"/>
        <v>-5470.0205816666676</v>
      </c>
      <c r="AW268" s="142">
        <f>AJ268*Valores!$C$72</f>
        <v>-1342.6414155000002</v>
      </c>
      <c r="AX268" s="142">
        <f>AJ268*Valores!$C$73</f>
        <v>-149.18237950000002</v>
      </c>
      <c r="AY268" s="146">
        <f t="shared" si="59"/>
        <v>47221.733456666676</v>
      </c>
      <c r="AZ268" s="150"/>
      <c r="BA268" s="150">
        <f t="shared" si="49"/>
        <v>20</v>
      </c>
      <c r="BB268" s="135" t="s">
        <v>4</v>
      </c>
    </row>
    <row r="269" spans="1:54" s="114" customFormat="1" ht="11.25" customHeight="1" x14ac:dyDescent="0.15">
      <c r="A269" s="134">
        <v>267</v>
      </c>
      <c r="B269" s="134"/>
      <c r="C269" s="135" t="s">
        <v>497</v>
      </c>
      <c r="D269" s="135">
        <v>20</v>
      </c>
      <c r="E269" s="135">
        <f t="shared" si="51"/>
        <v>42</v>
      </c>
      <c r="F269" s="136" t="str">
        <f>CONCATENATE("Hora Cátedra Enseñanza Media ",D269," hs Esc Esp")</f>
        <v>Hora Cátedra Enseñanza Media 20 hs Esc Esp</v>
      </c>
      <c r="G269" s="137">
        <f t="shared" si="50"/>
        <v>1580</v>
      </c>
      <c r="H269" s="138">
        <f>INT((G269*Valores!$C$2*100)+0.49)/100</f>
        <v>21144.51</v>
      </c>
      <c r="I269" s="156">
        <v>0</v>
      </c>
      <c r="J269" s="140">
        <f>INT((I269*Valores!$C$2*100)+0.5)/100</f>
        <v>0</v>
      </c>
      <c r="K269" s="155">
        <v>0</v>
      </c>
      <c r="L269" s="140">
        <f>INT((K269*Valores!$C$2*100)+0.5)/100</f>
        <v>0</v>
      </c>
      <c r="M269" s="153">
        <v>0</v>
      </c>
      <c r="N269" s="140">
        <f>INT((M269*Valores!$C$2*100)+0.5)/100</f>
        <v>0</v>
      </c>
      <c r="O269" s="140">
        <f t="shared" si="52"/>
        <v>3886.5464999999995</v>
      </c>
      <c r="P269" s="140">
        <f t="shared" si="53"/>
        <v>0</v>
      </c>
      <c r="Q269" s="154">
        <f>Valores!$C$14*D269</f>
        <v>9076.7999999999993</v>
      </c>
      <c r="R269" s="154">
        <f>IF(D269&lt;15,(Valores!$E$4*D269),Valores!$D$4)</f>
        <v>6841.19</v>
      </c>
      <c r="S269" s="140">
        <v>0</v>
      </c>
      <c r="T269" s="143">
        <f>IF($H$5="NO",IF(Valores!$C$47*D269&gt;Valores!$C$45,Valores!$C$45,Valores!$C$47*D269),IF(Valores!$C$47*D269&gt;Valores!$C$45,Valores!$C$45,Valores!$C$47*D269)/2)</f>
        <v>1911</v>
      </c>
      <c r="U269" s="154">
        <f>Valores!$C$24*D269</f>
        <v>2854.8</v>
      </c>
      <c r="V269" s="140">
        <f t="shared" si="48"/>
        <v>2854.8</v>
      </c>
      <c r="W269" s="140">
        <v>0</v>
      </c>
      <c r="X269" s="140">
        <v>0</v>
      </c>
      <c r="Y269" s="160">
        <v>0</v>
      </c>
      <c r="Z269" s="140">
        <f>Y269*Valores!$C$2</f>
        <v>0</v>
      </c>
      <c r="AA269" s="140">
        <v>0</v>
      </c>
      <c r="AB269" s="143">
        <f>IF(Valores!$C$93*D269&gt;Valores!$C$92,Valores!$C$92,Valores!$C$93*D269)</f>
        <v>2625.7999999999997</v>
      </c>
      <c r="AC269" s="145">
        <f>IF((Valores!$C$34)*D269&gt;Valores!$F$34,Valores!$F$34,(Valores!$C$34)*D269)</f>
        <v>224.20000000000002</v>
      </c>
      <c r="AD269" s="140">
        <f t="shared" si="55"/>
        <v>0</v>
      </c>
      <c r="AE269" s="140">
        <f>IF(Valores!$C$35*D269&gt;Valores!$F$35,Valores!$F$35,Valores!$C$35*D269)</f>
        <v>186.8</v>
      </c>
      <c r="AF269" s="144">
        <v>94</v>
      </c>
      <c r="AG269" s="140">
        <f>INT(((AF269*Valores!$C$2)*100)+0.5)/100</f>
        <v>1257.96</v>
      </c>
      <c r="AH269" s="140">
        <f>IF($H$5="NO",IF(Valores!$D$60*'Escala Docente'!D269&gt;Valores!$F$60,Valores!$F$60,Valores!$D$60*'Escala Docente'!D269),IF(Valores!$D$60*'Escala Docente'!D269&gt;Valores!$F$60,Valores!$F$60,Valores!$D$60*'Escala Docente'!D269)/2)</f>
        <v>758.8</v>
      </c>
      <c r="AI269" s="140">
        <f>IF($H$5="NO",IF(Valores!$D$62*D269&gt;Valores!$F$62,Valores!$F$62,Valores!$D$62*D269),IF(Valores!$D$62*D269&gt;Valores!$F$62,Valores!$F$62,Valores!$D$62*D269)/2)</f>
        <v>217.01333333333335</v>
      </c>
      <c r="AJ269" s="146">
        <f t="shared" si="56"/>
        <v>50985.419833333341</v>
      </c>
      <c r="AK269" s="154">
        <f>IF(Valores!$C$38*D269&gt;Valores!$F$38,Valores!$F$38,Valores!$C$38*D269)</f>
        <v>1954</v>
      </c>
      <c r="AL269" s="143">
        <f>IF(Valores!$C$88*D269&gt;Valores!$C$87,Valores!$C$87,Valores!$C$88*D269)</f>
        <v>2274.9999999999995</v>
      </c>
      <c r="AM269" s="143"/>
      <c r="AN269" s="145">
        <f>IF($H$4="NO",0,IF(Valores!$C$59*D269&gt;Valores!$F$59,Valores!$F$59,Valores!$C$59*D269))</f>
        <v>227.11799999999999</v>
      </c>
      <c r="AO269" s="147">
        <f t="shared" si="57"/>
        <v>4456.1180000000004</v>
      </c>
      <c r="AP269" s="148">
        <f>AJ269*Valores!$C$69</f>
        <v>-5608.3961816666679</v>
      </c>
      <c r="AQ269" s="149">
        <f>AJ269*-Valores!$C$70</f>
        <v>0</v>
      </c>
      <c r="AR269" s="142">
        <f>AJ269*Valores!$C$71</f>
        <v>-2294.3438925</v>
      </c>
      <c r="AS269" s="142">
        <f>Valores!$C$95</f>
        <v>-193.38</v>
      </c>
      <c r="AT269" s="142">
        <f>IF($H$6=0,Valores!$C$96,(Valores!$C$96+$H$6*(Valores!$C$96)))</f>
        <v>-178</v>
      </c>
      <c r="AU269" s="146">
        <f t="shared" si="58"/>
        <v>47167.417759166674</v>
      </c>
      <c r="AV269" s="199">
        <f t="shared" si="54"/>
        <v>-5608.3961816666679</v>
      </c>
      <c r="AW269" s="142">
        <f>AJ269*Valores!$C$72</f>
        <v>-1376.6063355000001</v>
      </c>
      <c r="AX269" s="142">
        <f>AJ269*Valores!$C$73</f>
        <v>-152.95625950000002</v>
      </c>
      <c r="AY269" s="146">
        <f t="shared" si="59"/>
        <v>48303.579056666676</v>
      </c>
      <c r="AZ269" s="150"/>
      <c r="BA269" s="150">
        <f t="shared" si="49"/>
        <v>20</v>
      </c>
      <c r="BB269" s="135" t="s">
        <v>4</v>
      </c>
    </row>
    <row r="270" spans="1:54" s="114" customFormat="1" ht="11.25" customHeight="1" x14ac:dyDescent="0.15">
      <c r="A270" s="134">
        <v>268</v>
      </c>
      <c r="B270" s="134"/>
      <c r="C270" s="135" t="s">
        <v>497</v>
      </c>
      <c r="D270" s="135">
        <v>21</v>
      </c>
      <c r="E270" s="135">
        <f t="shared" si="51"/>
        <v>34</v>
      </c>
      <c r="F270" s="136" t="str">
        <f>CONCATENATE("Hora Cátedra Enseñanza Media ",D270," hs")</f>
        <v>Hora Cátedra Enseñanza Media 21 hs</v>
      </c>
      <c r="G270" s="137">
        <f t="shared" si="50"/>
        <v>1659</v>
      </c>
      <c r="H270" s="138">
        <f>INT((G270*Valores!$C$2*100)+0.49)/100</f>
        <v>22201.73</v>
      </c>
      <c r="I270" s="156">
        <v>0</v>
      </c>
      <c r="J270" s="140">
        <f>INT((I270*Valores!$C$2*100)+0.5)/100</f>
        <v>0</v>
      </c>
      <c r="K270" s="155">
        <v>0</v>
      </c>
      <c r="L270" s="140">
        <f>INT((K270*Valores!$C$2*100)+0.5)/100</f>
        <v>0</v>
      </c>
      <c r="M270" s="153">
        <v>0</v>
      </c>
      <c r="N270" s="140">
        <f>INT((M270*Valores!$C$2*100)+0.5)/100</f>
        <v>0</v>
      </c>
      <c r="O270" s="140">
        <f t="shared" si="52"/>
        <v>4080.8729999999996</v>
      </c>
      <c r="P270" s="140">
        <f t="shared" si="53"/>
        <v>0</v>
      </c>
      <c r="Q270" s="154">
        <f>Valores!$C$14*D270</f>
        <v>9530.64</v>
      </c>
      <c r="R270" s="154">
        <f>IF(D270&lt;15,(Valores!$E$4*D270),Valores!$D$4)</f>
        <v>6841.19</v>
      </c>
      <c r="S270" s="140">
        <v>0</v>
      </c>
      <c r="T270" s="143">
        <f>IF($H$5="NO",IF(Valores!$C$47*D270&gt;Valores!$C$45,Valores!$C$45,Valores!$C$47*D270),IF(Valores!$C$47*D270&gt;Valores!$C$45,Valores!$C$45,Valores!$C$47*D270)/2)</f>
        <v>2006.55</v>
      </c>
      <c r="U270" s="154">
        <f>Valores!$C$24*D270</f>
        <v>2997.54</v>
      </c>
      <c r="V270" s="140">
        <f t="shared" si="48"/>
        <v>2997.54</v>
      </c>
      <c r="W270" s="140">
        <v>0</v>
      </c>
      <c r="X270" s="140">
        <v>0</v>
      </c>
      <c r="Y270" s="160">
        <v>0</v>
      </c>
      <c r="Z270" s="140">
        <f>Y270*Valores!$C$2</f>
        <v>0</v>
      </c>
      <c r="AA270" s="140">
        <v>0</v>
      </c>
      <c r="AB270" s="143">
        <f>IF(Valores!$C$93*D270&gt;Valores!$C$92,Valores!$C$92,Valores!$C$93*D270)</f>
        <v>2757.0899999999997</v>
      </c>
      <c r="AC270" s="145">
        <f>IF((Valores!$C$34)*D270&gt;Valores!$F$34,Valores!$F$34,(Valores!$C$34)*D270)</f>
        <v>235.41000000000003</v>
      </c>
      <c r="AD270" s="140">
        <f t="shared" si="55"/>
        <v>0</v>
      </c>
      <c r="AE270" s="140">
        <f>IF(Valores!$C$35*D270&gt;Valores!$F$35,Valores!$F$35,Valores!$C$35*D270)</f>
        <v>196.14</v>
      </c>
      <c r="AF270" s="144">
        <v>0</v>
      </c>
      <c r="AG270" s="140">
        <f>INT(((AF270*Valores!$C$2)*100)+0.5)/100</f>
        <v>0</v>
      </c>
      <c r="AH270" s="140">
        <f>IF($H$5="NO",IF(Valores!$D$60*'Escala Docente'!D270&gt;Valores!$F$60,Valores!$F$60,Valores!$D$60*'Escala Docente'!D270),IF(Valores!$D$60*'Escala Docente'!D270&gt;Valores!$F$60,Valores!$F$60,Valores!$D$60*'Escala Docente'!D270)/2)</f>
        <v>796.74</v>
      </c>
      <c r="AI270" s="140">
        <f>IF($H$5="NO",IF(Valores!$D$62*D270&gt;Valores!$F$62,Valores!$F$62,Valores!$D$62*D270),IF(Valores!$D$62*D270&gt;Valores!$F$62,Valores!$F$62,Valores!$D$62*D270)/2)</f>
        <v>227.864</v>
      </c>
      <c r="AJ270" s="146">
        <f t="shared" si="56"/>
        <v>51871.767000000007</v>
      </c>
      <c r="AK270" s="154">
        <f>IF(Valores!$C$38*D270&gt;Valores!$F$38,Valores!$F$38,Valores!$C$38*D270)</f>
        <v>2051.7000000000003</v>
      </c>
      <c r="AL270" s="143">
        <f>IF(Valores!$C$88*D270&gt;Valores!$C$87,Valores!$C$87,Valores!$C$88*D270)</f>
        <v>2388.7499999999995</v>
      </c>
      <c r="AM270" s="143"/>
      <c r="AN270" s="145">
        <f>IF($H$4="NO",0,IF(Valores!$C$59*D270&gt;Valores!$F$59,Valores!$F$59,Valores!$C$59*D270))</f>
        <v>238.47390000000001</v>
      </c>
      <c r="AO270" s="147">
        <f t="shared" si="57"/>
        <v>4678.9238999999998</v>
      </c>
      <c r="AP270" s="148">
        <f>AJ270*Valores!$C$69</f>
        <v>-5705.8943700000009</v>
      </c>
      <c r="AQ270" s="149">
        <f>AJ270*-Valores!$C$70</f>
        <v>0</v>
      </c>
      <c r="AR270" s="142">
        <f>AJ270*Valores!$C$71</f>
        <v>-2334.2295150000004</v>
      </c>
      <c r="AS270" s="142">
        <f>Valores!$C$95</f>
        <v>-193.38</v>
      </c>
      <c r="AT270" s="142">
        <f>IF($H$6=0,Valores!$C$96,(Valores!$C$96+$H$6*(Valores!$C$96)))</f>
        <v>-178</v>
      </c>
      <c r="AU270" s="146">
        <f t="shared" si="58"/>
        <v>48139.187015000003</v>
      </c>
      <c r="AV270" s="199">
        <f t="shared" si="54"/>
        <v>-5705.8943700000009</v>
      </c>
      <c r="AW270" s="142">
        <f>AJ270*Valores!$C$72</f>
        <v>-1400.5377090000002</v>
      </c>
      <c r="AX270" s="142">
        <f>AJ270*Valores!$C$73</f>
        <v>-155.61530100000002</v>
      </c>
      <c r="AY270" s="146">
        <f t="shared" si="59"/>
        <v>49288.643520000005</v>
      </c>
      <c r="AZ270" s="150"/>
      <c r="BA270" s="150">
        <f t="shared" si="49"/>
        <v>21</v>
      </c>
      <c r="BB270" s="135" t="s">
        <v>4</v>
      </c>
    </row>
    <row r="271" spans="1:54" s="114" customFormat="1" ht="11.25" customHeight="1" x14ac:dyDescent="0.15">
      <c r="A271" s="134">
        <v>269</v>
      </c>
      <c r="B271" s="134"/>
      <c r="C271" s="135" t="s">
        <v>497</v>
      </c>
      <c r="D271" s="135">
        <v>21</v>
      </c>
      <c r="E271" s="135">
        <f t="shared" si="51"/>
        <v>42</v>
      </c>
      <c r="F271" s="136" t="str">
        <f>CONCATENATE("Hora Cátedra Enseñanza Media ",D271," hs Esc Esp")</f>
        <v>Hora Cátedra Enseñanza Media 21 hs Esc Esp</v>
      </c>
      <c r="G271" s="137">
        <f t="shared" si="50"/>
        <v>1659</v>
      </c>
      <c r="H271" s="138">
        <f>INT((G271*Valores!$C$2*100)+0.49)/100</f>
        <v>22201.73</v>
      </c>
      <c r="I271" s="156">
        <v>0</v>
      </c>
      <c r="J271" s="140">
        <f>INT((I271*Valores!$C$2*100)+0.5)/100</f>
        <v>0</v>
      </c>
      <c r="K271" s="155">
        <v>0</v>
      </c>
      <c r="L271" s="140">
        <f>INT((K271*Valores!$C$2*100)+0.5)/100</f>
        <v>0</v>
      </c>
      <c r="M271" s="153">
        <v>0</v>
      </c>
      <c r="N271" s="140">
        <f>INT((M271*Valores!$C$2*100)+0.5)/100</f>
        <v>0</v>
      </c>
      <c r="O271" s="140">
        <f t="shared" si="52"/>
        <v>4080.8729999999996</v>
      </c>
      <c r="P271" s="140">
        <f t="shared" si="53"/>
        <v>0</v>
      </c>
      <c r="Q271" s="154">
        <f>Valores!$C$14*D271</f>
        <v>9530.64</v>
      </c>
      <c r="R271" s="154">
        <f>IF(D271&lt;15,(Valores!$E$4*D271),Valores!$D$4)</f>
        <v>6841.19</v>
      </c>
      <c r="S271" s="140">
        <v>0</v>
      </c>
      <c r="T271" s="143">
        <f>IF($H$5="NO",IF(Valores!$C$47*D271&gt;Valores!$C$45,Valores!$C$45,Valores!$C$47*D271),IF(Valores!$C$47*D271&gt;Valores!$C$45,Valores!$C$45,Valores!$C$47*D271)/2)</f>
        <v>2006.55</v>
      </c>
      <c r="U271" s="154">
        <f>Valores!$C$24*D271</f>
        <v>2997.54</v>
      </c>
      <c r="V271" s="140">
        <f t="shared" si="48"/>
        <v>2997.54</v>
      </c>
      <c r="W271" s="140">
        <v>0</v>
      </c>
      <c r="X271" s="140">
        <v>0</v>
      </c>
      <c r="Y271" s="160">
        <v>0</v>
      </c>
      <c r="Z271" s="140">
        <f>Y271*Valores!$C$2</f>
        <v>0</v>
      </c>
      <c r="AA271" s="140">
        <v>0</v>
      </c>
      <c r="AB271" s="143">
        <f>IF(Valores!$C$93*D271&gt;Valores!$C$92,Valores!$C$92,Valores!$C$93*D271)</f>
        <v>2757.0899999999997</v>
      </c>
      <c r="AC271" s="145">
        <f>IF((Valores!$C$34)*D271&gt;Valores!$F$34,Valores!$F$34,(Valores!$C$34)*D271)</f>
        <v>235.41000000000003</v>
      </c>
      <c r="AD271" s="140">
        <f t="shared" si="55"/>
        <v>0</v>
      </c>
      <c r="AE271" s="140">
        <f>IF(Valores!$C$35*D271&gt;Valores!$F$35,Valores!$F$35,Valores!$C$35*D271)</f>
        <v>196.14</v>
      </c>
      <c r="AF271" s="144">
        <v>94</v>
      </c>
      <c r="AG271" s="140">
        <f>INT(((AF271*Valores!$C$2)*100)+0.5)/100</f>
        <v>1257.96</v>
      </c>
      <c r="AH271" s="140">
        <f>IF($H$5="NO",IF(Valores!$D$60*'Escala Docente'!D271&gt;Valores!$F$60,Valores!$F$60,Valores!$D$60*'Escala Docente'!D271),IF(Valores!$D$60*'Escala Docente'!D271&gt;Valores!$F$60,Valores!$F$60,Valores!$D$60*'Escala Docente'!D271)/2)</f>
        <v>796.74</v>
      </c>
      <c r="AI271" s="140">
        <f>IF($H$5="NO",IF(Valores!$D$62*D271&gt;Valores!$F$62,Valores!$F$62,Valores!$D$62*D271),IF(Valores!$D$62*D271&gt;Valores!$F$62,Valores!$F$62,Valores!$D$62*D271)/2)</f>
        <v>227.864</v>
      </c>
      <c r="AJ271" s="146">
        <f t="shared" si="56"/>
        <v>53129.727000000006</v>
      </c>
      <c r="AK271" s="154">
        <f>IF(Valores!$C$38*D271&gt;Valores!$F$38,Valores!$F$38,Valores!$C$38*D271)</f>
        <v>2051.7000000000003</v>
      </c>
      <c r="AL271" s="143">
        <f>IF(Valores!$C$88*D271&gt;Valores!$C$87,Valores!$C$87,Valores!$C$88*D271)</f>
        <v>2388.7499999999995</v>
      </c>
      <c r="AM271" s="143"/>
      <c r="AN271" s="145">
        <f>IF($H$4="NO",0,IF(Valores!$C$59*D271&gt;Valores!$F$59,Valores!$F$59,Valores!$C$59*D271))</f>
        <v>238.47390000000001</v>
      </c>
      <c r="AO271" s="147">
        <f t="shared" si="57"/>
        <v>4678.9238999999998</v>
      </c>
      <c r="AP271" s="148">
        <f>AJ271*Valores!$C$69</f>
        <v>-5844.2699700000003</v>
      </c>
      <c r="AQ271" s="149">
        <f>AJ271*-Valores!$C$70</f>
        <v>0</v>
      </c>
      <c r="AR271" s="142">
        <f>AJ271*Valores!$C$71</f>
        <v>-2390.8377150000001</v>
      </c>
      <c r="AS271" s="142">
        <f>Valores!$C$95</f>
        <v>-193.38</v>
      </c>
      <c r="AT271" s="142">
        <f>IF($H$6=0,Valores!$C$96,(Valores!$C$96+$H$6*(Valores!$C$96)))</f>
        <v>-178</v>
      </c>
      <c r="AU271" s="146">
        <f t="shared" si="58"/>
        <v>49202.163215000008</v>
      </c>
      <c r="AV271" s="199">
        <f t="shared" si="54"/>
        <v>-5844.2699700000003</v>
      </c>
      <c r="AW271" s="142">
        <f>AJ271*Valores!$C$72</f>
        <v>-1434.5026290000001</v>
      </c>
      <c r="AX271" s="142">
        <f>AJ271*Valores!$C$73</f>
        <v>-159.38918100000004</v>
      </c>
      <c r="AY271" s="146">
        <f t="shared" si="59"/>
        <v>50370.489120000006</v>
      </c>
      <c r="AZ271" s="150"/>
      <c r="BA271" s="150">
        <f t="shared" si="49"/>
        <v>21</v>
      </c>
      <c r="BB271" s="135" t="s">
        <v>4</v>
      </c>
    </row>
    <row r="272" spans="1:54" s="114" customFormat="1" ht="11.25" customHeight="1" x14ac:dyDescent="0.15">
      <c r="A272" s="152">
        <v>270</v>
      </c>
      <c r="B272" s="152" t="s">
        <v>139</v>
      </c>
      <c r="C272" s="135" t="s">
        <v>497</v>
      </c>
      <c r="D272" s="135">
        <v>22</v>
      </c>
      <c r="E272" s="135">
        <f t="shared" si="51"/>
        <v>34</v>
      </c>
      <c r="F272" s="136" t="str">
        <f>CONCATENATE("Hora Cátedra Enseñanza Media ",D272," hs")</f>
        <v>Hora Cátedra Enseñanza Media 22 hs</v>
      </c>
      <c r="G272" s="137">
        <f t="shared" si="50"/>
        <v>1738</v>
      </c>
      <c r="H272" s="138">
        <f>INT((G272*Valores!$C$2*100)+0.49)/100</f>
        <v>23258.959999999999</v>
      </c>
      <c r="I272" s="156">
        <v>0</v>
      </c>
      <c r="J272" s="140">
        <f>INT((I272*Valores!$C$2*100)+0.5)/100</f>
        <v>0</v>
      </c>
      <c r="K272" s="155">
        <v>0</v>
      </c>
      <c r="L272" s="140">
        <f>INT((K272*Valores!$C$2*100)+0.5)/100</f>
        <v>0</v>
      </c>
      <c r="M272" s="153">
        <v>0</v>
      </c>
      <c r="N272" s="140">
        <f>INT((M272*Valores!$C$2*100)+0.5)/100</f>
        <v>0</v>
      </c>
      <c r="O272" s="140">
        <f t="shared" si="52"/>
        <v>4275.2009999999991</v>
      </c>
      <c r="P272" s="140">
        <f t="shared" si="53"/>
        <v>0</v>
      </c>
      <c r="Q272" s="154">
        <f>Valores!$C$14*D272</f>
        <v>9984.48</v>
      </c>
      <c r="R272" s="154">
        <f>IF(D272&lt;15,(Valores!$E$4*D272),Valores!$D$4)</f>
        <v>6841.19</v>
      </c>
      <c r="S272" s="140">
        <v>0</v>
      </c>
      <c r="T272" s="143">
        <f>IF($H$5="NO",IF(Valores!$C$47*D272&gt;Valores!$C$45,Valores!$C$45,Valores!$C$47*D272),IF(Valores!$C$47*D272&gt;Valores!$C$45,Valores!$C$45,Valores!$C$47*D272)/2)</f>
        <v>2102.1</v>
      </c>
      <c r="U272" s="154">
        <f>Valores!$C$24*D272</f>
        <v>3140.28</v>
      </c>
      <c r="V272" s="140">
        <f t="shared" si="48"/>
        <v>3140.28</v>
      </c>
      <c r="W272" s="140">
        <v>0</v>
      </c>
      <c r="X272" s="140">
        <v>0</v>
      </c>
      <c r="Y272" s="160">
        <v>0</v>
      </c>
      <c r="Z272" s="140">
        <f>Y272*Valores!$C$2</f>
        <v>0</v>
      </c>
      <c r="AA272" s="140">
        <v>0</v>
      </c>
      <c r="AB272" s="143">
        <f>IF(Valores!$C$93*D272&gt;Valores!$C$92,Valores!$C$92,Valores!$C$93*D272)</f>
        <v>2888.3799999999997</v>
      </c>
      <c r="AC272" s="145">
        <f>IF((Valores!$C$34)*D272&gt;Valores!$F$34,Valores!$F$34,(Valores!$C$34)*D272)</f>
        <v>246.62</v>
      </c>
      <c r="AD272" s="140">
        <f t="shared" si="55"/>
        <v>0</v>
      </c>
      <c r="AE272" s="140">
        <f>IF(Valores!$C$35*D272&gt;Valores!$F$35,Valores!$F$35,Valores!$C$35*D272)</f>
        <v>205.48</v>
      </c>
      <c r="AF272" s="144">
        <v>0</v>
      </c>
      <c r="AG272" s="140">
        <f>INT(((AF272*Valores!$C$2)*100)+0.5)/100</f>
        <v>0</v>
      </c>
      <c r="AH272" s="140">
        <f>IF($H$5="NO",IF(Valores!$D$60*'Escala Docente'!D272&gt;Valores!$F$60,Valores!$F$60,Valores!$D$60*'Escala Docente'!D272),IF(Valores!$D$60*'Escala Docente'!D272&gt;Valores!$F$60,Valores!$F$60,Valores!$D$60*'Escala Docente'!D272)/2)</f>
        <v>834.68</v>
      </c>
      <c r="AI272" s="140">
        <f>IF($H$5="NO",IF(Valores!$D$62*D272&gt;Valores!$F$62,Valores!$F$62,Valores!$D$62*D272),IF(Valores!$D$62*D272&gt;Valores!$F$62,Valores!$F$62,Valores!$D$62*D272)/2)</f>
        <v>238.71466666666669</v>
      </c>
      <c r="AJ272" s="146">
        <f t="shared" si="56"/>
        <v>54016.085666666673</v>
      </c>
      <c r="AK272" s="154">
        <f>IF(Valores!$C$38*D272&gt;Valores!$F$38,Valores!$F$38,Valores!$C$38*D272)</f>
        <v>2149.4</v>
      </c>
      <c r="AL272" s="143">
        <f>IF(Valores!$C$88*D272&gt;Valores!$C$87,Valores!$C$87,Valores!$C$88*D272)</f>
        <v>2502.4999999999995</v>
      </c>
      <c r="AM272" s="143"/>
      <c r="AN272" s="145">
        <f>IF($H$4="NO",0,IF(Valores!$C$59*D272&gt;Valores!$F$59,Valores!$F$59,Valores!$C$59*D272))</f>
        <v>249.82980000000001</v>
      </c>
      <c r="AO272" s="147">
        <f t="shared" si="57"/>
        <v>4901.7298000000001</v>
      </c>
      <c r="AP272" s="148">
        <f>AJ272*Valores!$C$69</f>
        <v>-5941.7694233333341</v>
      </c>
      <c r="AQ272" s="149">
        <f>AJ272*-Valores!$C$70</f>
        <v>0</v>
      </c>
      <c r="AR272" s="142">
        <f>AJ272*Valores!$C$71</f>
        <v>-2430.7238550000002</v>
      </c>
      <c r="AS272" s="142">
        <f>Valores!$C$95</f>
        <v>-193.38</v>
      </c>
      <c r="AT272" s="142">
        <f>IF($H$6=0,Valores!$C$96,(Valores!$C$96+$H$6*(Valores!$C$96)))</f>
        <v>-178</v>
      </c>
      <c r="AU272" s="146">
        <f t="shared" si="58"/>
        <v>50173.942188333342</v>
      </c>
      <c r="AV272" s="199">
        <f t="shared" si="54"/>
        <v>-5941.7694233333341</v>
      </c>
      <c r="AW272" s="142">
        <f>AJ272*Valores!$C$72</f>
        <v>-1458.4343130000002</v>
      </c>
      <c r="AX272" s="142">
        <f>AJ272*Valores!$C$73</f>
        <v>-162.04825700000004</v>
      </c>
      <c r="AY272" s="146">
        <f t="shared" si="59"/>
        <v>51355.563473333343</v>
      </c>
      <c r="AZ272" s="150"/>
      <c r="BA272" s="150">
        <f t="shared" si="49"/>
        <v>22</v>
      </c>
      <c r="BB272" s="135" t="s">
        <v>4</v>
      </c>
    </row>
    <row r="273" spans="1:54" s="114" customFormat="1" ht="11.25" customHeight="1" x14ac:dyDescent="0.15">
      <c r="A273" s="134">
        <v>271</v>
      </c>
      <c r="B273" s="134"/>
      <c r="C273" s="135" t="s">
        <v>497</v>
      </c>
      <c r="D273" s="135">
        <v>22</v>
      </c>
      <c r="E273" s="135">
        <f t="shared" si="51"/>
        <v>42</v>
      </c>
      <c r="F273" s="136" t="str">
        <f>CONCATENATE("Hora Cátedra Enseñanza Media ",D273," hs Esc Esp")</f>
        <v>Hora Cátedra Enseñanza Media 22 hs Esc Esp</v>
      </c>
      <c r="G273" s="137">
        <f t="shared" si="50"/>
        <v>1738</v>
      </c>
      <c r="H273" s="138">
        <f>INT((G273*Valores!$C$2*100)+0.49)/100</f>
        <v>23258.959999999999</v>
      </c>
      <c r="I273" s="156">
        <v>0</v>
      </c>
      <c r="J273" s="140">
        <f>INT((I273*Valores!$C$2*100)+0.5)/100</f>
        <v>0</v>
      </c>
      <c r="K273" s="155">
        <v>0</v>
      </c>
      <c r="L273" s="140">
        <f>INT((K273*Valores!$C$2*100)+0.5)/100</f>
        <v>0</v>
      </c>
      <c r="M273" s="153">
        <v>0</v>
      </c>
      <c r="N273" s="140">
        <f>INT((M273*Valores!$C$2*100)+0.5)/100</f>
        <v>0</v>
      </c>
      <c r="O273" s="140">
        <f t="shared" si="52"/>
        <v>4275.2009999999991</v>
      </c>
      <c r="P273" s="140">
        <f t="shared" si="53"/>
        <v>0</v>
      </c>
      <c r="Q273" s="154">
        <f>Valores!$C$14*D273</f>
        <v>9984.48</v>
      </c>
      <c r="R273" s="154">
        <f>IF(D273&lt;15,(Valores!$E$4*D273),Valores!$D$4)</f>
        <v>6841.19</v>
      </c>
      <c r="S273" s="140">
        <v>0</v>
      </c>
      <c r="T273" s="143">
        <f>IF($H$5="NO",IF(Valores!$C$47*D273&gt;Valores!$C$45,Valores!$C$45,Valores!$C$47*D273),IF(Valores!$C$47*D273&gt;Valores!$C$45,Valores!$C$45,Valores!$C$47*D273)/2)</f>
        <v>2102.1</v>
      </c>
      <c r="U273" s="154">
        <f>Valores!$C$24*D273</f>
        <v>3140.28</v>
      </c>
      <c r="V273" s="140">
        <f t="shared" si="48"/>
        <v>3140.28</v>
      </c>
      <c r="W273" s="140">
        <v>0</v>
      </c>
      <c r="X273" s="140">
        <v>0</v>
      </c>
      <c r="Y273" s="160">
        <v>0</v>
      </c>
      <c r="Z273" s="140">
        <f>Y273*Valores!$C$2</f>
        <v>0</v>
      </c>
      <c r="AA273" s="140">
        <v>0</v>
      </c>
      <c r="AB273" s="143">
        <f>IF(Valores!$C$93*D273&gt;Valores!$C$92,Valores!$C$92,Valores!$C$93*D273)</f>
        <v>2888.3799999999997</v>
      </c>
      <c r="AC273" s="145">
        <f>IF((Valores!$C$34)*D273&gt;Valores!$F$34,Valores!$F$34,(Valores!$C$34)*D273)</f>
        <v>246.62</v>
      </c>
      <c r="AD273" s="140">
        <f t="shared" si="55"/>
        <v>0</v>
      </c>
      <c r="AE273" s="140">
        <f>IF(Valores!$C$35*D273&gt;Valores!$F$35,Valores!$F$35,Valores!$C$35*D273)</f>
        <v>205.48</v>
      </c>
      <c r="AF273" s="144">
        <v>94</v>
      </c>
      <c r="AG273" s="140">
        <f>INT(((AF273*Valores!$C$2)*100)+0.5)/100</f>
        <v>1257.96</v>
      </c>
      <c r="AH273" s="140">
        <f>IF($H$5="NO",IF(Valores!$D$60*'Escala Docente'!D273&gt;Valores!$F$60,Valores!$F$60,Valores!$D$60*'Escala Docente'!D273),IF(Valores!$D$60*'Escala Docente'!D273&gt;Valores!$F$60,Valores!$F$60,Valores!$D$60*'Escala Docente'!D273)/2)</f>
        <v>834.68</v>
      </c>
      <c r="AI273" s="140">
        <f>IF($H$5="NO",IF(Valores!$D$62*D273&gt;Valores!$F$62,Valores!$F$62,Valores!$D$62*D273),IF(Valores!$D$62*D273&gt;Valores!$F$62,Valores!$F$62,Valores!$D$62*D273)/2)</f>
        <v>238.71466666666669</v>
      </c>
      <c r="AJ273" s="146">
        <f t="shared" si="56"/>
        <v>55274.045666666672</v>
      </c>
      <c r="AK273" s="154">
        <f>IF(Valores!$C$38*D273&gt;Valores!$F$38,Valores!$F$38,Valores!$C$38*D273)</f>
        <v>2149.4</v>
      </c>
      <c r="AL273" s="143">
        <f>IF(Valores!$C$88*D273&gt;Valores!$C$87,Valores!$C$87,Valores!$C$88*D273)</f>
        <v>2502.4999999999995</v>
      </c>
      <c r="AM273" s="143"/>
      <c r="AN273" s="145">
        <f>IF($H$4="NO",0,IF(Valores!$C$59*D273&gt;Valores!$F$59,Valores!$F$59,Valores!$C$59*D273))</f>
        <v>249.82980000000001</v>
      </c>
      <c r="AO273" s="147">
        <f t="shared" si="57"/>
        <v>4901.7298000000001</v>
      </c>
      <c r="AP273" s="148">
        <f>AJ273*Valores!$C$69</f>
        <v>-6080.1450233333344</v>
      </c>
      <c r="AQ273" s="149">
        <f>AJ273*-Valores!$C$70</f>
        <v>0</v>
      </c>
      <c r="AR273" s="142">
        <f>AJ273*Valores!$C$71</f>
        <v>-2487.3320550000003</v>
      </c>
      <c r="AS273" s="142">
        <f>Valores!$C$95</f>
        <v>-193.38</v>
      </c>
      <c r="AT273" s="142">
        <f>IF($H$6=0,Valores!$C$96,(Valores!$C$96+$H$6*(Valores!$C$96)))</f>
        <v>-178</v>
      </c>
      <c r="AU273" s="146">
        <f t="shared" si="58"/>
        <v>51236.918388333339</v>
      </c>
      <c r="AV273" s="199">
        <f t="shared" si="54"/>
        <v>-6080.1450233333344</v>
      </c>
      <c r="AW273" s="142">
        <f>AJ273*Valores!$C$72</f>
        <v>-1492.3992330000001</v>
      </c>
      <c r="AX273" s="142">
        <f>AJ273*Valores!$C$73</f>
        <v>-165.82213700000003</v>
      </c>
      <c r="AY273" s="146">
        <f t="shared" si="59"/>
        <v>52437.409073333336</v>
      </c>
      <c r="AZ273" s="150"/>
      <c r="BA273" s="150">
        <f t="shared" si="49"/>
        <v>22</v>
      </c>
      <c r="BB273" s="135" t="s">
        <v>4</v>
      </c>
    </row>
    <row r="274" spans="1:54" s="114" customFormat="1" ht="11.25" customHeight="1" x14ac:dyDescent="0.15">
      <c r="A274" s="134">
        <v>272</v>
      </c>
      <c r="B274" s="134"/>
      <c r="C274" s="135" t="s">
        <v>497</v>
      </c>
      <c r="D274" s="135">
        <v>23</v>
      </c>
      <c r="E274" s="135">
        <f t="shared" si="51"/>
        <v>34</v>
      </c>
      <c r="F274" s="136" t="str">
        <f>CONCATENATE("Hora Cátedra Enseñanza Media ",D274," hs")</f>
        <v>Hora Cátedra Enseñanza Media 23 hs</v>
      </c>
      <c r="G274" s="137">
        <f t="shared" si="50"/>
        <v>1817</v>
      </c>
      <c r="H274" s="138">
        <f>INT((G274*Valores!$C$2*100)+0.49)/100</f>
        <v>24316.18</v>
      </c>
      <c r="I274" s="156">
        <v>0</v>
      </c>
      <c r="J274" s="140">
        <f>INT((I274*Valores!$C$2*100)+0.5)/100</f>
        <v>0</v>
      </c>
      <c r="K274" s="155">
        <v>0</v>
      </c>
      <c r="L274" s="140">
        <f>INT((K274*Valores!$C$2*100)+0.5)/100</f>
        <v>0</v>
      </c>
      <c r="M274" s="153">
        <v>0</v>
      </c>
      <c r="N274" s="140">
        <f>INT((M274*Valores!$C$2*100)+0.5)/100</f>
        <v>0</v>
      </c>
      <c r="O274" s="140">
        <f t="shared" si="52"/>
        <v>4469.5275000000001</v>
      </c>
      <c r="P274" s="140">
        <f t="shared" si="53"/>
        <v>0</v>
      </c>
      <c r="Q274" s="154">
        <f>Valores!$C$14*D274</f>
        <v>10438.32</v>
      </c>
      <c r="R274" s="154">
        <f>IF(D274&lt;15,(Valores!$E$4*D274),Valores!$D$4)</f>
        <v>6841.19</v>
      </c>
      <c r="S274" s="140">
        <v>0</v>
      </c>
      <c r="T274" s="143">
        <f>IF($H$5="NO",IF(Valores!$C$47*D274&gt;Valores!$C$45,Valores!$C$45,Valores!$C$47*D274),IF(Valores!$C$47*D274&gt;Valores!$C$45,Valores!$C$45,Valores!$C$47*D274)/2)</f>
        <v>2197.65</v>
      </c>
      <c r="U274" s="154">
        <f>Valores!$C$24*D274</f>
        <v>3283.0200000000004</v>
      </c>
      <c r="V274" s="140">
        <f t="shared" si="48"/>
        <v>3283.0200000000004</v>
      </c>
      <c r="W274" s="140">
        <v>0</v>
      </c>
      <c r="X274" s="140">
        <v>0</v>
      </c>
      <c r="Y274" s="160">
        <v>0</v>
      </c>
      <c r="Z274" s="140">
        <f>Y274*Valores!$C$2</f>
        <v>0</v>
      </c>
      <c r="AA274" s="140">
        <v>0</v>
      </c>
      <c r="AB274" s="143">
        <f>IF(Valores!$C$93*D274&gt;Valores!$C$92,Valores!$C$92,Valores!$C$93*D274)</f>
        <v>3019.6699999999996</v>
      </c>
      <c r="AC274" s="145">
        <f>IF((Valores!$C$34)*D274&gt;Valores!$F$34,Valores!$F$34,(Valores!$C$34)*D274)</f>
        <v>257.83000000000004</v>
      </c>
      <c r="AD274" s="140">
        <f t="shared" si="55"/>
        <v>0</v>
      </c>
      <c r="AE274" s="140">
        <f>IF(Valores!$C$35*D274&gt;Valores!$F$35,Valores!$F$35,Valores!$C$35*D274)</f>
        <v>214.82</v>
      </c>
      <c r="AF274" s="144">
        <v>0</v>
      </c>
      <c r="AG274" s="140">
        <f>INT(((AF274*Valores!$C$2)*100)+0.5)/100</f>
        <v>0</v>
      </c>
      <c r="AH274" s="140">
        <f>IF($H$5="NO",IF(Valores!$D$60*'Escala Docente'!D274&gt;Valores!$F$60,Valores!$F$60,Valores!$D$60*'Escala Docente'!D274),IF(Valores!$D$60*'Escala Docente'!D274&gt;Valores!$F$60,Valores!$F$60,Valores!$D$60*'Escala Docente'!D274)/2)</f>
        <v>872.61999999999989</v>
      </c>
      <c r="AI274" s="140">
        <f>IF($H$5="NO",IF(Valores!$D$62*D274&gt;Valores!$F$62,Valores!$F$62,Valores!$D$62*D274),IF(Valores!$D$62*D274&gt;Valores!$F$62,Valores!$F$62,Valores!$D$62*D274)/2)</f>
        <v>249.56533333333334</v>
      </c>
      <c r="AJ274" s="146">
        <f t="shared" si="56"/>
        <v>56160.392833333339</v>
      </c>
      <c r="AK274" s="154">
        <f>IF(Valores!$C$38*D274&gt;Valores!$F$38,Valores!$F$38,Valores!$C$38*D274)</f>
        <v>2247.1</v>
      </c>
      <c r="AL274" s="143">
        <f>IF(Valores!$C$88*D274&gt;Valores!$C$87,Valores!$C$87,Valores!$C$88*D274)</f>
        <v>2616.2499999999995</v>
      </c>
      <c r="AM274" s="143"/>
      <c r="AN274" s="145">
        <f>IF($H$4="NO",0,IF(Valores!$C$59*D274&gt;Valores!$F$59,Valores!$F$59,Valores!$C$59*D274))</f>
        <v>261.1857</v>
      </c>
      <c r="AO274" s="147">
        <f t="shared" si="57"/>
        <v>5124.5356999999995</v>
      </c>
      <c r="AP274" s="148">
        <f>AJ274*Valores!$C$69</f>
        <v>-6177.6432116666674</v>
      </c>
      <c r="AQ274" s="149">
        <f>AJ274*-Valores!$C$70</f>
        <v>0</v>
      </c>
      <c r="AR274" s="142">
        <f>AJ274*Valores!$C$71</f>
        <v>-2527.2176775000003</v>
      </c>
      <c r="AS274" s="142">
        <f>Valores!$C$95</f>
        <v>-193.38</v>
      </c>
      <c r="AT274" s="142">
        <f>IF($H$6=0,Valores!$C$96,(Valores!$C$96+$H$6*(Valores!$C$96)))</f>
        <v>-178</v>
      </c>
      <c r="AU274" s="146">
        <f t="shared" si="58"/>
        <v>52208.687644166668</v>
      </c>
      <c r="AV274" s="199">
        <f t="shared" si="54"/>
        <v>-6177.6432116666674</v>
      </c>
      <c r="AW274" s="142">
        <f>AJ274*Valores!$C$72</f>
        <v>-1516.3306065000002</v>
      </c>
      <c r="AX274" s="142">
        <f>AJ274*Valores!$C$73</f>
        <v>-168.48117850000003</v>
      </c>
      <c r="AY274" s="146">
        <f t="shared" si="59"/>
        <v>53422.473536666672</v>
      </c>
      <c r="AZ274" s="150"/>
      <c r="BA274" s="150">
        <f t="shared" si="49"/>
        <v>23</v>
      </c>
      <c r="BB274" s="135" t="s">
        <v>8</v>
      </c>
    </row>
    <row r="275" spans="1:54" s="114" customFormat="1" ht="11.25" customHeight="1" x14ac:dyDescent="0.15">
      <c r="A275" s="134">
        <v>273</v>
      </c>
      <c r="B275" s="134"/>
      <c r="C275" s="135" t="s">
        <v>497</v>
      </c>
      <c r="D275" s="135">
        <v>23</v>
      </c>
      <c r="E275" s="135">
        <f t="shared" si="51"/>
        <v>42</v>
      </c>
      <c r="F275" s="136" t="str">
        <f>CONCATENATE("Hora Cátedra Enseñanza Media ",D275," hs Esc Esp")</f>
        <v>Hora Cátedra Enseñanza Media 23 hs Esc Esp</v>
      </c>
      <c r="G275" s="137">
        <f t="shared" si="50"/>
        <v>1817</v>
      </c>
      <c r="H275" s="138">
        <f>INT((G275*Valores!$C$2*100)+0.49)/100</f>
        <v>24316.18</v>
      </c>
      <c r="I275" s="156">
        <v>0</v>
      </c>
      <c r="J275" s="140">
        <f>INT((I275*Valores!$C$2*100)+0.5)/100</f>
        <v>0</v>
      </c>
      <c r="K275" s="155">
        <v>0</v>
      </c>
      <c r="L275" s="140">
        <f>INT((K275*Valores!$C$2*100)+0.5)/100</f>
        <v>0</v>
      </c>
      <c r="M275" s="153">
        <v>0</v>
      </c>
      <c r="N275" s="140">
        <f>INT((M275*Valores!$C$2*100)+0.5)/100</f>
        <v>0</v>
      </c>
      <c r="O275" s="140">
        <f t="shared" si="52"/>
        <v>4469.5275000000001</v>
      </c>
      <c r="P275" s="140">
        <f t="shared" si="53"/>
        <v>0</v>
      </c>
      <c r="Q275" s="154">
        <f>Valores!$C$14*D275</f>
        <v>10438.32</v>
      </c>
      <c r="R275" s="154">
        <f>IF(D275&lt;15,(Valores!$E$4*D275),Valores!$D$4)</f>
        <v>6841.19</v>
      </c>
      <c r="S275" s="140">
        <v>0</v>
      </c>
      <c r="T275" s="143">
        <f>IF($H$5="NO",IF(Valores!$C$47*D275&gt;Valores!$C$45,Valores!$C$45,Valores!$C$47*D275),IF(Valores!$C$47*D275&gt;Valores!$C$45,Valores!$C$45,Valores!$C$47*D275)/2)</f>
        <v>2197.65</v>
      </c>
      <c r="U275" s="154">
        <f>Valores!$C$24*D275</f>
        <v>3283.0200000000004</v>
      </c>
      <c r="V275" s="140">
        <f t="shared" si="48"/>
        <v>3283.0200000000004</v>
      </c>
      <c r="W275" s="140">
        <v>0</v>
      </c>
      <c r="X275" s="140">
        <v>0</v>
      </c>
      <c r="Y275" s="160">
        <v>0</v>
      </c>
      <c r="Z275" s="140">
        <f>Y275*Valores!$C$2</f>
        <v>0</v>
      </c>
      <c r="AA275" s="140">
        <v>0</v>
      </c>
      <c r="AB275" s="143">
        <f>IF(Valores!$C$93*D275&gt;Valores!$C$92,Valores!$C$92,Valores!$C$93*D275)</f>
        <v>3019.6699999999996</v>
      </c>
      <c r="AC275" s="145">
        <f>IF((Valores!$C$34)*D275&gt;Valores!$F$34,Valores!$F$34,(Valores!$C$34)*D275)</f>
        <v>257.83000000000004</v>
      </c>
      <c r="AD275" s="140">
        <f t="shared" si="55"/>
        <v>0</v>
      </c>
      <c r="AE275" s="140">
        <f>IF(Valores!$C$35*D275&gt;Valores!$F$35,Valores!$F$35,Valores!$C$35*D275)</f>
        <v>214.82</v>
      </c>
      <c r="AF275" s="144">
        <v>94</v>
      </c>
      <c r="AG275" s="140">
        <f>INT(((AF275*Valores!$C$2)*100)+0.5)/100</f>
        <v>1257.96</v>
      </c>
      <c r="AH275" s="140">
        <f>IF($H$5="NO",IF(Valores!$D$60*'Escala Docente'!D275&gt;Valores!$F$60,Valores!$F$60,Valores!$D$60*'Escala Docente'!D275),IF(Valores!$D$60*'Escala Docente'!D275&gt;Valores!$F$60,Valores!$F$60,Valores!$D$60*'Escala Docente'!D275)/2)</f>
        <v>872.61999999999989</v>
      </c>
      <c r="AI275" s="140">
        <f>IF($H$5="NO",IF(Valores!$D$62*D275&gt;Valores!$F$62,Valores!$F$62,Valores!$D$62*D275),IF(Valores!$D$62*D275&gt;Valores!$F$62,Valores!$F$62,Valores!$D$62*D275)/2)</f>
        <v>249.56533333333334</v>
      </c>
      <c r="AJ275" s="146">
        <f t="shared" si="56"/>
        <v>57418.352833333338</v>
      </c>
      <c r="AK275" s="154">
        <f>IF(Valores!$C$38*D275&gt;Valores!$F$38,Valores!$F$38,Valores!$C$38*D275)</f>
        <v>2247.1</v>
      </c>
      <c r="AL275" s="143">
        <f>IF(Valores!$C$88*D275&gt;Valores!$C$87,Valores!$C$87,Valores!$C$88*D275)</f>
        <v>2616.2499999999995</v>
      </c>
      <c r="AM275" s="143"/>
      <c r="AN275" s="145">
        <f>IF($H$4="NO",0,IF(Valores!$C$59*D275&gt;Valores!$F$59,Valores!$F$59,Valores!$C$59*D275))</f>
        <v>261.1857</v>
      </c>
      <c r="AO275" s="147">
        <f t="shared" si="57"/>
        <v>5124.5356999999995</v>
      </c>
      <c r="AP275" s="148">
        <f>AJ275*Valores!$C$69</f>
        <v>-6316.0188116666668</v>
      </c>
      <c r="AQ275" s="149">
        <f>AJ275*-Valores!$C$70</f>
        <v>0</v>
      </c>
      <c r="AR275" s="142">
        <f>AJ275*Valores!$C$71</f>
        <v>-2583.8258774999999</v>
      </c>
      <c r="AS275" s="142">
        <f>Valores!$C$95</f>
        <v>-193.38</v>
      </c>
      <c r="AT275" s="142">
        <f>IF($H$6=0,Valores!$C$96,(Valores!$C$96+$H$6*(Valores!$C$96)))</f>
        <v>-178</v>
      </c>
      <c r="AU275" s="146">
        <f t="shared" si="58"/>
        <v>53271.663844166673</v>
      </c>
      <c r="AV275" s="199">
        <f t="shared" si="54"/>
        <v>-6316.0188116666668</v>
      </c>
      <c r="AW275" s="142">
        <f>AJ275*Valores!$C$72</f>
        <v>-1550.2955265000001</v>
      </c>
      <c r="AX275" s="142">
        <f>AJ275*Valores!$C$73</f>
        <v>-172.25505850000002</v>
      </c>
      <c r="AY275" s="146">
        <f t="shared" si="59"/>
        <v>54504.319136666672</v>
      </c>
      <c r="AZ275" s="150"/>
      <c r="BA275" s="150">
        <f t="shared" si="49"/>
        <v>23</v>
      </c>
      <c r="BB275" s="135" t="s">
        <v>8</v>
      </c>
    </row>
    <row r="276" spans="1:54" s="114" customFormat="1" ht="11.25" customHeight="1" x14ac:dyDescent="0.15">
      <c r="A276" s="134">
        <v>274</v>
      </c>
      <c r="B276" s="134"/>
      <c r="C276" s="135" t="s">
        <v>497</v>
      </c>
      <c r="D276" s="135">
        <v>24</v>
      </c>
      <c r="E276" s="135">
        <f t="shared" si="51"/>
        <v>34</v>
      </c>
      <c r="F276" s="136" t="str">
        <f>CONCATENATE("Hora Cátedra Enseñanza Media ",D276," hs")</f>
        <v>Hora Cátedra Enseñanza Media 24 hs</v>
      </c>
      <c r="G276" s="137">
        <f t="shared" si="50"/>
        <v>1896</v>
      </c>
      <c r="H276" s="138">
        <f>INT((G276*Valores!$C$2*100)+0.49)/100</f>
        <v>25373.41</v>
      </c>
      <c r="I276" s="156">
        <v>0</v>
      </c>
      <c r="J276" s="140">
        <f>INT((I276*Valores!$C$2*100)+0.5)/100</f>
        <v>0</v>
      </c>
      <c r="K276" s="155">
        <v>0</v>
      </c>
      <c r="L276" s="140">
        <f>INT((K276*Valores!$C$2*100)+0.5)/100</f>
        <v>0</v>
      </c>
      <c r="M276" s="153">
        <v>0</v>
      </c>
      <c r="N276" s="140">
        <f>INT((M276*Valores!$C$2*100)+0.5)/100</f>
        <v>0</v>
      </c>
      <c r="O276" s="140">
        <f t="shared" si="52"/>
        <v>4663.8554999999997</v>
      </c>
      <c r="P276" s="140">
        <f t="shared" si="53"/>
        <v>0</v>
      </c>
      <c r="Q276" s="154">
        <f>Valores!$C$14*D276</f>
        <v>10892.16</v>
      </c>
      <c r="R276" s="154">
        <f>IF(D276&lt;15,(Valores!$E$4*D276),Valores!$D$4)</f>
        <v>6841.19</v>
      </c>
      <c r="S276" s="140">
        <v>0</v>
      </c>
      <c r="T276" s="143">
        <f>IF($H$5="NO",IF(Valores!$C$47*D276&gt;Valores!$C$45,Valores!$C$45,Valores!$C$47*D276),IF(Valores!$C$47*D276&gt;Valores!$C$45,Valores!$C$45,Valores!$C$47*D276)/2)</f>
        <v>2293.1999999999998</v>
      </c>
      <c r="U276" s="154">
        <f>Valores!$C$24*D276</f>
        <v>3425.76</v>
      </c>
      <c r="V276" s="140">
        <f t="shared" si="48"/>
        <v>3425.76</v>
      </c>
      <c r="W276" s="140">
        <v>0</v>
      </c>
      <c r="X276" s="140">
        <v>0</v>
      </c>
      <c r="Y276" s="160">
        <v>0</v>
      </c>
      <c r="Z276" s="140">
        <f>Y276*Valores!$C$2</f>
        <v>0</v>
      </c>
      <c r="AA276" s="140">
        <v>0</v>
      </c>
      <c r="AB276" s="143">
        <f>IF(Valores!$C$93*D276&gt;Valores!$C$92,Valores!$C$92,Valores!$C$93*D276)</f>
        <v>3150.96</v>
      </c>
      <c r="AC276" s="145">
        <f>IF((Valores!$C$34)*D276&gt;Valores!$F$34,Valores!$F$34,(Valores!$C$34)*D276)</f>
        <v>269.04000000000002</v>
      </c>
      <c r="AD276" s="140">
        <f t="shared" si="55"/>
        <v>0</v>
      </c>
      <c r="AE276" s="140">
        <f>IF(Valores!$C$35*D276&gt;Valores!$F$35,Valores!$F$35,Valores!$C$35*D276)</f>
        <v>224.16</v>
      </c>
      <c r="AF276" s="144">
        <v>0</v>
      </c>
      <c r="AG276" s="140">
        <f>INT(((AF276*Valores!$C$2)*100)+0.5)/100</f>
        <v>0</v>
      </c>
      <c r="AH276" s="140">
        <f>IF($H$5="NO",IF(Valores!$D$60*'Escala Docente'!D276&gt;Valores!$F$60,Valores!$F$60,Valores!$D$60*'Escala Docente'!D276),IF(Valores!$D$60*'Escala Docente'!D276&gt;Valores!$F$60,Valores!$F$60,Valores!$D$60*'Escala Docente'!D276)/2)</f>
        <v>910.56</v>
      </c>
      <c r="AI276" s="140">
        <f>IF($H$5="NO",IF(Valores!$D$62*D276&gt;Valores!$F$62,Valores!$F$62,Valores!$D$62*D276),IF(Valores!$D$62*D276&gt;Valores!$F$62,Valores!$F$62,Valores!$D$62*D276)/2)</f>
        <v>260.416</v>
      </c>
      <c r="AJ276" s="146">
        <f t="shared" si="56"/>
        <v>58304.711499999998</v>
      </c>
      <c r="AK276" s="154">
        <f>IF(Valores!$C$38*D276&gt;Valores!$F$38,Valores!$F$38,Valores!$C$38*D276)</f>
        <v>2344.8000000000002</v>
      </c>
      <c r="AL276" s="143">
        <f>IF(Valores!$C$88*D276&gt;Valores!$C$87,Valores!$C$87,Valores!$C$88*D276)</f>
        <v>2729.9999999999995</v>
      </c>
      <c r="AM276" s="143"/>
      <c r="AN276" s="145">
        <f>IF($H$4="NO",0,IF(Valores!$C$59*D276&gt;Valores!$F$59,Valores!$F$59,Valores!$C$59*D276))</f>
        <v>272.54160000000002</v>
      </c>
      <c r="AO276" s="147">
        <f t="shared" si="57"/>
        <v>5347.3415999999997</v>
      </c>
      <c r="AP276" s="148">
        <f>AJ276*Valores!$C$69</f>
        <v>-6413.5182649999997</v>
      </c>
      <c r="AQ276" s="149">
        <f>AJ276*-Valores!$C$70</f>
        <v>0</v>
      </c>
      <c r="AR276" s="142">
        <f>AJ276*Valores!$C$71</f>
        <v>-2623.7120175</v>
      </c>
      <c r="AS276" s="142">
        <f>Valores!$C$95</f>
        <v>-193.38</v>
      </c>
      <c r="AT276" s="142">
        <f>IF($H$6=0,Valores!$C$96,(Valores!$C$96+$H$6*(Valores!$C$96)))</f>
        <v>-178</v>
      </c>
      <c r="AU276" s="146">
        <f t="shared" si="58"/>
        <v>54243.442817499999</v>
      </c>
      <c r="AV276" s="199">
        <f t="shared" si="54"/>
        <v>-6413.5182649999997</v>
      </c>
      <c r="AW276" s="142">
        <f>AJ276*Valores!$C$72</f>
        <v>-1574.2272105</v>
      </c>
      <c r="AX276" s="142">
        <f>AJ276*Valores!$C$73</f>
        <v>-174.91413449999999</v>
      </c>
      <c r="AY276" s="146">
        <f t="shared" si="59"/>
        <v>55489.393489999995</v>
      </c>
      <c r="AZ276" s="150"/>
      <c r="BA276" s="150">
        <f t="shared" si="49"/>
        <v>24</v>
      </c>
      <c r="BB276" s="135" t="s">
        <v>8</v>
      </c>
    </row>
    <row r="277" spans="1:54" s="114" customFormat="1" ht="11.25" customHeight="1" x14ac:dyDescent="0.15">
      <c r="A277" s="152">
        <v>275</v>
      </c>
      <c r="B277" s="152" t="s">
        <v>139</v>
      </c>
      <c r="C277" s="135" t="s">
        <v>497</v>
      </c>
      <c r="D277" s="135">
        <v>24</v>
      </c>
      <c r="E277" s="135">
        <f t="shared" si="51"/>
        <v>42</v>
      </c>
      <c r="F277" s="136" t="str">
        <f>CONCATENATE("Hora Cátedra Enseñanza Media ",D277," hs Esc Esp")</f>
        <v>Hora Cátedra Enseñanza Media 24 hs Esc Esp</v>
      </c>
      <c r="G277" s="137">
        <f t="shared" si="50"/>
        <v>1896</v>
      </c>
      <c r="H277" s="138">
        <f>INT((G277*Valores!$C$2*100)+0.49)/100</f>
        <v>25373.41</v>
      </c>
      <c r="I277" s="156">
        <v>0</v>
      </c>
      <c r="J277" s="140">
        <f>INT((I277*Valores!$C$2*100)+0.5)/100</f>
        <v>0</v>
      </c>
      <c r="K277" s="155">
        <v>0</v>
      </c>
      <c r="L277" s="140">
        <f>INT((K277*Valores!$C$2*100)+0.5)/100</f>
        <v>0</v>
      </c>
      <c r="M277" s="153">
        <v>0</v>
      </c>
      <c r="N277" s="140">
        <f>INT((M277*Valores!$C$2*100)+0.5)/100</f>
        <v>0</v>
      </c>
      <c r="O277" s="140">
        <f t="shared" si="52"/>
        <v>4663.8554999999997</v>
      </c>
      <c r="P277" s="140">
        <f t="shared" si="53"/>
        <v>0</v>
      </c>
      <c r="Q277" s="154">
        <f>Valores!$C$14*D277</f>
        <v>10892.16</v>
      </c>
      <c r="R277" s="154">
        <f>IF(D277&lt;15,(Valores!$E$4*D277),Valores!$D$4)</f>
        <v>6841.19</v>
      </c>
      <c r="S277" s="140">
        <v>0</v>
      </c>
      <c r="T277" s="143">
        <f>IF($H$5="NO",IF(Valores!$C$47*D277&gt;Valores!$C$45,Valores!$C$45,Valores!$C$47*D277),IF(Valores!$C$47*D277&gt;Valores!$C$45,Valores!$C$45,Valores!$C$47*D277)/2)</f>
        <v>2293.1999999999998</v>
      </c>
      <c r="U277" s="154">
        <f>Valores!$C$24*D277</f>
        <v>3425.76</v>
      </c>
      <c r="V277" s="140">
        <f t="shared" si="48"/>
        <v>3425.76</v>
      </c>
      <c r="W277" s="140">
        <v>0</v>
      </c>
      <c r="X277" s="140">
        <v>0</v>
      </c>
      <c r="Y277" s="160">
        <v>0</v>
      </c>
      <c r="Z277" s="140">
        <f>Y277*Valores!$C$2</f>
        <v>0</v>
      </c>
      <c r="AA277" s="140">
        <v>0</v>
      </c>
      <c r="AB277" s="143">
        <f>IF(Valores!$C$93*D277&gt;Valores!$C$92,Valores!$C$92,Valores!$C$93*D277)</f>
        <v>3150.96</v>
      </c>
      <c r="AC277" s="145">
        <f>IF((Valores!$C$34)*D277&gt;Valores!$F$34,Valores!$F$34,(Valores!$C$34)*D277)</f>
        <v>269.04000000000002</v>
      </c>
      <c r="AD277" s="140">
        <f t="shared" si="55"/>
        <v>0</v>
      </c>
      <c r="AE277" s="140">
        <f>IF(Valores!$C$35*D277&gt;Valores!$F$35,Valores!$F$35,Valores!$C$35*D277)</f>
        <v>224.16</v>
      </c>
      <c r="AF277" s="144">
        <v>94</v>
      </c>
      <c r="AG277" s="140">
        <f>INT(((AF277*Valores!$C$2)*100)+0.5)/100</f>
        <v>1257.96</v>
      </c>
      <c r="AH277" s="140">
        <f>IF($H$5="NO",IF(Valores!$D$60*'Escala Docente'!D277&gt;Valores!$F$60,Valores!$F$60,Valores!$D$60*'Escala Docente'!D277),IF(Valores!$D$60*'Escala Docente'!D277&gt;Valores!$F$60,Valores!$F$60,Valores!$D$60*'Escala Docente'!D277)/2)</f>
        <v>910.56</v>
      </c>
      <c r="AI277" s="140">
        <f>IF($H$5="NO",IF(Valores!$D$62*D277&gt;Valores!$F$62,Valores!$F$62,Valores!$D$62*D277),IF(Valores!$D$62*D277&gt;Valores!$F$62,Valores!$F$62,Valores!$D$62*D277)/2)</f>
        <v>260.416</v>
      </c>
      <c r="AJ277" s="146">
        <f t="shared" si="56"/>
        <v>59562.671499999997</v>
      </c>
      <c r="AK277" s="154">
        <f>IF(Valores!$C$38*D277&gt;Valores!$F$38,Valores!$F$38,Valores!$C$38*D277)</f>
        <v>2344.8000000000002</v>
      </c>
      <c r="AL277" s="143">
        <f>IF(Valores!$C$88*D277&gt;Valores!$C$87,Valores!$C$87,Valores!$C$88*D277)</f>
        <v>2729.9999999999995</v>
      </c>
      <c r="AM277" s="143"/>
      <c r="AN277" s="145">
        <f>IF($H$4="NO",0,IF(Valores!$C$59*D277&gt;Valores!$F$59,Valores!$F$59,Valores!$C$59*D277))</f>
        <v>272.54160000000002</v>
      </c>
      <c r="AO277" s="147">
        <f t="shared" si="57"/>
        <v>5347.3415999999997</v>
      </c>
      <c r="AP277" s="148">
        <f>AJ277*Valores!$C$69</f>
        <v>-6551.893865</v>
      </c>
      <c r="AQ277" s="149">
        <f>AJ277*-Valores!$C$70</f>
        <v>0</v>
      </c>
      <c r="AR277" s="142">
        <f>AJ277*Valores!$C$71</f>
        <v>-2680.3202174999997</v>
      </c>
      <c r="AS277" s="142">
        <f>Valores!$C$95</f>
        <v>-193.38</v>
      </c>
      <c r="AT277" s="142">
        <f>IF($H$6=0,Valores!$C$96,(Valores!$C$96+$H$6*(Valores!$C$96)))</f>
        <v>-178</v>
      </c>
      <c r="AU277" s="146">
        <f t="shared" si="58"/>
        <v>55306.419017499997</v>
      </c>
      <c r="AV277" s="199">
        <f t="shared" si="54"/>
        <v>-6551.893865</v>
      </c>
      <c r="AW277" s="142">
        <f>AJ277*Valores!$C$72</f>
        <v>-1608.1921304999998</v>
      </c>
      <c r="AX277" s="142">
        <f>AJ277*Valores!$C$73</f>
        <v>-178.68801449999998</v>
      </c>
      <c r="AY277" s="146">
        <f t="shared" si="59"/>
        <v>56571.239089999995</v>
      </c>
      <c r="AZ277" s="150"/>
      <c r="BA277" s="150">
        <f t="shared" si="49"/>
        <v>24</v>
      </c>
      <c r="BB277" s="135" t="s">
        <v>8</v>
      </c>
    </row>
    <row r="278" spans="1:54" s="114" customFormat="1" ht="11.25" customHeight="1" x14ac:dyDescent="0.15">
      <c r="A278" s="134">
        <v>276</v>
      </c>
      <c r="B278" s="134"/>
      <c r="C278" s="135" t="s">
        <v>497</v>
      </c>
      <c r="D278" s="135">
        <v>25</v>
      </c>
      <c r="E278" s="135">
        <f t="shared" si="51"/>
        <v>34</v>
      </c>
      <c r="F278" s="136" t="str">
        <f>CONCATENATE("Hora Cátedra Enseñanza Media ",D278," hs")</f>
        <v>Hora Cátedra Enseñanza Media 25 hs</v>
      </c>
      <c r="G278" s="137">
        <f t="shared" si="50"/>
        <v>1975</v>
      </c>
      <c r="H278" s="138">
        <f>INT((G278*Valores!$C$2*100)+0.49)/100</f>
        <v>26430.63</v>
      </c>
      <c r="I278" s="156">
        <v>0</v>
      </c>
      <c r="J278" s="140">
        <f>INT((I278*Valores!$C$2*100)+0.5)/100</f>
        <v>0</v>
      </c>
      <c r="K278" s="155">
        <v>0</v>
      </c>
      <c r="L278" s="140">
        <f>INT((K278*Valores!$C$2*100)+0.5)/100</f>
        <v>0</v>
      </c>
      <c r="M278" s="153">
        <v>0</v>
      </c>
      <c r="N278" s="140">
        <f>INT((M278*Valores!$C$2*100)+0.5)/100</f>
        <v>0</v>
      </c>
      <c r="O278" s="140">
        <f t="shared" si="52"/>
        <v>4858.1819999999998</v>
      </c>
      <c r="P278" s="140">
        <f t="shared" si="53"/>
        <v>0</v>
      </c>
      <c r="Q278" s="154">
        <f>Valores!$C$14*D278</f>
        <v>11346</v>
      </c>
      <c r="R278" s="154">
        <f>IF(D278&lt;15,(Valores!$E$4*D278),Valores!$D$4)</f>
        <v>6841.19</v>
      </c>
      <c r="S278" s="140">
        <v>0</v>
      </c>
      <c r="T278" s="143">
        <f>IF($H$5="NO",IF(Valores!$C$47*D278&gt;Valores!$C$45,Valores!$C$45,Valores!$C$47*D278),IF(Valores!$C$47*D278&gt;Valores!$C$45,Valores!$C$45,Valores!$C$47*D278)/2)</f>
        <v>2388.75</v>
      </c>
      <c r="U278" s="154">
        <f>Valores!$C$24*D278</f>
        <v>3568.5</v>
      </c>
      <c r="V278" s="140">
        <f t="shared" si="48"/>
        <v>3568.5</v>
      </c>
      <c r="W278" s="140">
        <v>0</v>
      </c>
      <c r="X278" s="140">
        <v>0</v>
      </c>
      <c r="Y278" s="160">
        <v>0</v>
      </c>
      <c r="Z278" s="140">
        <f>Y278*Valores!$C$2</f>
        <v>0</v>
      </c>
      <c r="AA278" s="140">
        <v>0</v>
      </c>
      <c r="AB278" s="143">
        <f>IF(Valores!$C$93*D278&gt;Valores!$C$92,Valores!$C$92,Valores!$C$93*D278)</f>
        <v>3282.25</v>
      </c>
      <c r="AC278" s="145">
        <f>IF((Valores!$C$34)*D278&gt;Valores!$F$34,Valores!$F$34,(Valores!$C$34)*D278)</f>
        <v>280.25</v>
      </c>
      <c r="AD278" s="140">
        <f t="shared" si="55"/>
        <v>0</v>
      </c>
      <c r="AE278" s="140">
        <f>IF(Valores!$C$35*D278&gt;Valores!$F$35,Valores!$F$35,Valores!$C$35*D278)</f>
        <v>233.5</v>
      </c>
      <c r="AF278" s="144">
        <v>0</v>
      </c>
      <c r="AG278" s="140">
        <f>INT(((AF278*Valores!$C$2)*100)+0.5)/100</f>
        <v>0</v>
      </c>
      <c r="AH278" s="140">
        <f>IF($H$5="NO",IF(Valores!$D$60*'Escala Docente'!D278&gt;Valores!$F$60,Valores!$F$60,Valores!$D$60*'Escala Docente'!D278),IF(Valores!$D$60*'Escala Docente'!D278&gt;Valores!$F$60,Valores!$F$60,Valores!$D$60*'Escala Docente'!D278)/2)</f>
        <v>948.5</v>
      </c>
      <c r="AI278" s="140">
        <f>IF($H$5="NO",IF(Valores!$D$62*D278&gt;Valores!$F$62,Valores!$F$62,Valores!$D$62*D278),IF(Valores!$D$62*D278&gt;Valores!$F$62,Valores!$F$62,Valores!$D$62*D278)/2)</f>
        <v>271.26666666666665</v>
      </c>
      <c r="AJ278" s="146">
        <f t="shared" si="56"/>
        <v>60449.018666666678</v>
      </c>
      <c r="AK278" s="154">
        <f>IF(Valores!$C$38*D278&gt;Valores!$F$38,Valores!$F$38,Valores!$C$38*D278)</f>
        <v>2442.5</v>
      </c>
      <c r="AL278" s="143">
        <f>IF(Valores!$C$88*D278&gt;Valores!$C$87,Valores!$C$87,Valores!$C$88*D278)</f>
        <v>2843.7499999999995</v>
      </c>
      <c r="AM278" s="143"/>
      <c r="AN278" s="145">
        <f>IF($H$4="NO",0,IF(Valores!$C$59*D278&gt;Valores!$F$59,Valores!$F$59,Valores!$C$59*D278))</f>
        <v>283.89749999999998</v>
      </c>
      <c r="AO278" s="147">
        <f t="shared" si="57"/>
        <v>5570.1475</v>
      </c>
      <c r="AP278" s="148">
        <f>AJ278*Valores!$C$69</f>
        <v>-6649.3920533333348</v>
      </c>
      <c r="AQ278" s="149">
        <f>AJ278*-Valores!$C$70</f>
        <v>0</v>
      </c>
      <c r="AR278" s="142">
        <f>AJ278*Valores!$C$71</f>
        <v>-2720.2058400000005</v>
      </c>
      <c r="AS278" s="142">
        <f>Valores!$C$95</f>
        <v>-193.38</v>
      </c>
      <c r="AT278" s="142">
        <f>IF($H$6=0,Valores!$C$96,(Valores!$C$96+$H$6*(Valores!$C$96)))</f>
        <v>-178</v>
      </c>
      <c r="AU278" s="146">
        <f t="shared" si="58"/>
        <v>56278.18827333334</v>
      </c>
      <c r="AV278" s="199">
        <f t="shared" si="54"/>
        <v>-6649.3920533333348</v>
      </c>
      <c r="AW278" s="142">
        <f>AJ278*Valores!$C$72</f>
        <v>-1632.1235040000004</v>
      </c>
      <c r="AX278" s="142">
        <f>AJ278*Valores!$C$73</f>
        <v>-181.34705600000004</v>
      </c>
      <c r="AY278" s="146">
        <f t="shared" si="59"/>
        <v>57556.303553333339</v>
      </c>
      <c r="AZ278" s="150"/>
      <c r="BA278" s="150">
        <f t="shared" si="49"/>
        <v>25</v>
      </c>
      <c r="BB278" s="135" t="s">
        <v>4</v>
      </c>
    </row>
    <row r="279" spans="1:54" s="114" customFormat="1" ht="11.25" customHeight="1" x14ac:dyDescent="0.15">
      <c r="A279" s="134">
        <v>277</v>
      </c>
      <c r="B279" s="134"/>
      <c r="C279" s="135" t="s">
        <v>497</v>
      </c>
      <c r="D279" s="135">
        <v>25</v>
      </c>
      <c r="E279" s="135">
        <f t="shared" si="51"/>
        <v>42</v>
      </c>
      <c r="F279" s="136" t="str">
        <f>CONCATENATE("Hora Cátedra Enseñanza Media ",D279," hs Esc Esp")</f>
        <v>Hora Cátedra Enseñanza Media 25 hs Esc Esp</v>
      </c>
      <c r="G279" s="137">
        <f t="shared" si="50"/>
        <v>1975</v>
      </c>
      <c r="H279" s="138">
        <f>INT((G279*Valores!$C$2*100)+0.49)/100</f>
        <v>26430.63</v>
      </c>
      <c r="I279" s="156">
        <v>0</v>
      </c>
      <c r="J279" s="140">
        <f>INT((I279*Valores!$C$2*100)+0.5)/100</f>
        <v>0</v>
      </c>
      <c r="K279" s="155">
        <v>0</v>
      </c>
      <c r="L279" s="140">
        <f>INT((K279*Valores!$C$2*100)+0.5)/100</f>
        <v>0</v>
      </c>
      <c r="M279" s="153">
        <v>0</v>
      </c>
      <c r="N279" s="140">
        <f>INT((M279*Valores!$C$2*100)+0.5)/100</f>
        <v>0</v>
      </c>
      <c r="O279" s="140">
        <f t="shared" si="52"/>
        <v>4858.1819999999998</v>
      </c>
      <c r="P279" s="140">
        <f t="shared" si="53"/>
        <v>0</v>
      </c>
      <c r="Q279" s="154">
        <f>Valores!$C$14*D279</f>
        <v>11346</v>
      </c>
      <c r="R279" s="154">
        <f>IF(D279&lt;15,(Valores!$E$4*D279),Valores!$D$4)</f>
        <v>6841.19</v>
      </c>
      <c r="S279" s="140">
        <v>0</v>
      </c>
      <c r="T279" s="143">
        <f>IF($H$5="NO",IF(Valores!$C$47*D279&gt;Valores!$C$45,Valores!$C$45,Valores!$C$47*D279),IF(Valores!$C$47*D279&gt;Valores!$C$45,Valores!$C$45,Valores!$C$47*D279)/2)</f>
        <v>2388.75</v>
      </c>
      <c r="U279" s="154">
        <f>Valores!$C$24*D279</f>
        <v>3568.5</v>
      </c>
      <c r="V279" s="140">
        <f t="shared" si="48"/>
        <v>3568.5</v>
      </c>
      <c r="W279" s="140">
        <v>0</v>
      </c>
      <c r="X279" s="140">
        <v>0</v>
      </c>
      <c r="Y279" s="160">
        <v>0</v>
      </c>
      <c r="Z279" s="140">
        <f>Y279*Valores!$C$2</f>
        <v>0</v>
      </c>
      <c r="AA279" s="140">
        <v>0</v>
      </c>
      <c r="AB279" s="143">
        <f>IF(Valores!$C$93*D279&gt;Valores!$C$92,Valores!$C$92,Valores!$C$93*D279)</f>
        <v>3282.25</v>
      </c>
      <c r="AC279" s="145">
        <f>IF((Valores!$C$34)*D279&gt;Valores!$F$34,Valores!$F$34,(Valores!$C$34)*D279)</f>
        <v>280.25</v>
      </c>
      <c r="AD279" s="140">
        <f t="shared" si="55"/>
        <v>0</v>
      </c>
      <c r="AE279" s="140">
        <f>IF(Valores!$C$35*D279&gt;Valores!$F$35,Valores!$F$35,Valores!$C$35*D279)</f>
        <v>233.5</v>
      </c>
      <c r="AF279" s="144">
        <v>94</v>
      </c>
      <c r="AG279" s="140">
        <f>INT(((AF279*Valores!$C$2)*100)+0.5)/100</f>
        <v>1257.96</v>
      </c>
      <c r="AH279" s="140">
        <f>IF($H$5="NO",IF(Valores!$D$60*'Escala Docente'!D279&gt;Valores!$F$60,Valores!$F$60,Valores!$D$60*'Escala Docente'!D279),IF(Valores!$D$60*'Escala Docente'!D279&gt;Valores!$F$60,Valores!$F$60,Valores!$D$60*'Escala Docente'!D279)/2)</f>
        <v>948.5</v>
      </c>
      <c r="AI279" s="140">
        <f>IF($H$5="NO",IF(Valores!$D$62*D279&gt;Valores!$F$62,Valores!$F$62,Valores!$D$62*D279),IF(Valores!$D$62*D279&gt;Valores!$F$62,Valores!$F$62,Valores!$D$62*D279)/2)</f>
        <v>271.26666666666665</v>
      </c>
      <c r="AJ279" s="146">
        <f t="shared" si="56"/>
        <v>61706.978666666677</v>
      </c>
      <c r="AK279" s="154">
        <f>IF(Valores!$C$38*D279&gt;Valores!$F$38,Valores!$F$38,Valores!$C$38*D279)</f>
        <v>2442.5</v>
      </c>
      <c r="AL279" s="143">
        <f>IF(Valores!$C$88*D279&gt;Valores!$C$87,Valores!$C$87,Valores!$C$88*D279)</f>
        <v>2843.7499999999995</v>
      </c>
      <c r="AM279" s="143"/>
      <c r="AN279" s="145">
        <f>IF($H$4="NO",0,IF(Valores!$C$59*D279&gt;Valores!$F$59,Valores!$F$59,Valores!$C$59*D279))</f>
        <v>283.89749999999998</v>
      </c>
      <c r="AO279" s="147">
        <f t="shared" si="57"/>
        <v>5570.1475</v>
      </c>
      <c r="AP279" s="148">
        <f>AJ279*Valores!$C$69</f>
        <v>-6787.7676533333342</v>
      </c>
      <c r="AQ279" s="149">
        <f>AJ279*-Valores!$C$70</f>
        <v>0</v>
      </c>
      <c r="AR279" s="142">
        <f>AJ279*Valores!$C$71</f>
        <v>-2776.8140400000002</v>
      </c>
      <c r="AS279" s="142">
        <f>Valores!$C$95</f>
        <v>-193.38</v>
      </c>
      <c r="AT279" s="142">
        <f>IF($H$6=0,Valores!$C$96,(Valores!$C$96+$H$6*(Valores!$C$96)))</f>
        <v>-178</v>
      </c>
      <c r="AU279" s="146">
        <f t="shared" si="58"/>
        <v>57341.164473333345</v>
      </c>
      <c r="AV279" s="199">
        <f t="shared" si="54"/>
        <v>-6787.7676533333342</v>
      </c>
      <c r="AW279" s="142">
        <f>AJ279*Valores!$C$72</f>
        <v>-1666.0884240000003</v>
      </c>
      <c r="AX279" s="142">
        <f>AJ279*Valores!$C$73</f>
        <v>-185.12093600000003</v>
      </c>
      <c r="AY279" s="146">
        <f t="shared" si="59"/>
        <v>58638.149153333346</v>
      </c>
      <c r="AZ279" s="150"/>
      <c r="BA279" s="150">
        <f t="shared" si="49"/>
        <v>25</v>
      </c>
      <c r="BB279" s="135" t="s">
        <v>4</v>
      </c>
    </row>
    <row r="280" spans="1:54" s="114" customFormat="1" ht="11.25" customHeight="1" x14ac:dyDescent="0.15">
      <c r="A280" s="134">
        <v>278</v>
      </c>
      <c r="B280" s="134"/>
      <c r="C280" s="135" t="s">
        <v>497</v>
      </c>
      <c r="D280" s="135">
        <v>26</v>
      </c>
      <c r="E280" s="135">
        <f t="shared" si="51"/>
        <v>34</v>
      </c>
      <c r="F280" s="136" t="str">
        <f>CONCATENATE("Hora Cátedra Enseñanza Media ",D280," hs")</f>
        <v>Hora Cátedra Enseñanza Media 26 hs</v>
      </c>
      <c r="G280" s="137">
        <f t="shared" si="50"/>
        <v>2054</v>
      </c>
      <c r="H280" s="138">
        <f>INT((G280*Valores!$C$2*100)+0.49)/100</f>
        <v>27487.86</v>
      </c>
      <c r="I280" s="156">
        <v>0</v>
      </c>
      <c r="J280" s="140">
        <f>INT((I280*Valores!$C$2*100)+0.5)/100</f>
        <v>0</v>
      </c>
      <c r="K280" s="155">
        <v>0</v>
      </c>
      <c r="L280" s="140">
        <f>INT((K280*Valores!$C$2*100)+0.5)/100</f>
        <v>0</v>
      </c>
      <c r="M280" s="153">
        <v>0</v>
      </c>
      <c r="N280" s="140">
        <f>INT((M280*Valores!$C$2*100)+0.5)/100</f>
        <v>0</v>
      </c>
      <c r="O280" s="140">
        <f t="shared" si="52"/>
        <v>5052.51</v>
      </c>
      <c r="P280" s="140">
        <f t="shared" si="53"/>
        <v>0</v>
      </c>
      <c r="Q280" s="154">
        <f>Valores!$C$14*D280</f>
        <v>11799.84</v>
      </c>
      <c r="R280" s="154">
        <f>IF(D280&lt;15,(Valores!$E$4*D280),Valores!$D$4)</f>
        <v>6841.19</v>
      </c>
      <c r="S280" s="140">
        <v>0</v>
      </c>
      <c r="T280" s="143">
        <f>IF($H$5="NO",IF(Valores!$C$47*D280&gt;Valores!$C$45,Valores!$C$45,Valores!$C$47*D280),IF(Valores!$C$47*D280&gt;Valores!$C$45,Valores!$C$45,Valores!$C$47*D280)/2)</f>
        <v>2484.2999999999997</v>
      </c>
      <c r="U280" s="154">
        <f>Valores!$C$24*D280</f>
        <v>3711.2400000000002</v>
      </c>
      <c r="V280" s="140">
        <f t="shared" si="48"/>
        <v>3711.2400000000002</v>
      </c>
      <c r="W280" s="140">
        <v>0</v>
      </c>
      <c r="X280" s="140">
        <v>0</v>
      </c>
      <c r="Y280" s="160">
        <v>0</v>
      </c>
      <c r="Z280" s="140">
        <f>Y280*Valores!$C$2</f>
        <v>0</v>
      </c>
      <c r="AA280" s="140">
        <v>0</v>
      </c>
      <c r="AB280" s="143">
        <f>IF(Valores!$C$93*D280&gt;Valores!$C$92,Valores!$C$92,Valores!$C$93*D280)</f>
        <v>3413.54</v>
      </c>
      <c r="AC280" s="145">
        <f>IF((Valores!$C$34)*D280&gt;Valores!$F$34,Valores!$F$34,(Valores!$C$34)*D280)</f>
        <v>291.46000000000004</v>
      </c>
      <c r="AD280" s="140">
        <f t="shared" si="55"/>
        <v>0</v>
      </c>
      <c r="AE280" s="140">
        <f>IF(Valores!$C$35*D280&gt;Valores!$F$35,Valores!$F$35,Valores!$C$35*D280)</f>
        <v>242.84</v>
      </c>
      <c r="AF280" s="144">
        <v>0</v>
      </c>
      <c r="AG280" s="140">
        <f>INT(((AF280*Valores!$C$2)*100)+0.5)/100</f>
        <v>0</v>
      </c>
      <c r="AH280" s="140">
        <f>IF($H$5="NO",IF(Valores!$D$60*'Escala Docente'!D280&gt;Valores!$F$60,Valores!$F$60,Valores!$D$60*'Escala Docente'!D280),IF(Valores!$D$60*'Escala Docente'!D280&gt;Valores!$F$60,Valores!$F$60,Valores!$D$60*'Escala Docente'!D280)/2)</f>
        <v>986.43999999999994</v>
      </c>
      <c r="AI280" s="140">
        <f>IF($H$5="NO",IF(Valores!$D$62*D280&gt;Valores!$F$62,Valores!$F$62,Valores!$D$62*D280),IF(Valores!$D$62*D280&gt;Valores!$F$62,Valores!$F$62,Valores!$D$62*D280)/2)</f>
        <v>282.11733333333336</v>
      </c>
      <c r="AJ280" s="146">
        <f t="shared" si="56"/>
        <v>62593.337333333344</v>
      </c>
      <c r="AK280" s="154">
        <f>IF(Valores!$C$38*D280&gt;Valores!$F$38,Valores!$F$38,Valores!$C$38*D280)</f>
        <v>2540.2000000000003</v>
      </c>
      <c r="AL280" s="143">
        <f>IF(Valores!$C$88*D280&gt;Valores!$C$87,Valores!$C$87,Valores!$C$88*D280)</f>
        <v>2957.4999999999995</v>
      </c>
      <c r="AM280" s="143"/>
      <c r="AN280" s="145">
        <f>IF($H$4="NO",0,IF(Valores!$C$59*D280&gt;Valores!$F$59,Valores!$F$59,Valores!$C$59*D280))</f>
        <v>295.2534</v>
      </c>
      <c r="AO280" s="147">
        <f t="shared" si="57"/>
        <v>5792.9533999999994</v>
      </c>
      <c r="AP280" s="148">
        <f>AJ280*Valores!$C$69</f>
        <v>-6885.267106666668</v>
      </c>
      <c r="AQ280" s="149">
        <f>AJ280*-Valores!$C$70</f>
        <v>0</v>
      </c>
      <c r="AR280" s="142">
        <f>AJ280*Valores!$C$71</f>
        <v>-2816.7001800000003</v>
      </c>
      <c r="AS280" s="142">
        <f>Valores!$C$95</f>
        <v>-193.38</v>
      </c>
      <c r="AT280" s="142">
        <f>IF($H$6=0,Valores!$C$96,(Valores!$C$96+$H$6*(Valores!$C$96)))</f>
        <v>-178</v>
      </c>
      <c r="AU280" s="146">
        <f t="shared" si="58"/>
        <v>58312.943446666672</v>
      </c>
      <c r="AV280" s="199">
        <f t="shared" si="54"/>
        <v>-6885.267106666668</v>
      </c>
      <c r="AW280" s="142">
        <f>AJ280*Valores!$C$72</f>
        <v>-1690.0201080000002</v>
      </c>
      <c r="AX280" s="142">
        <f>AJ280*Valores!$C$73</f>
        <v>-187.78001200000003</v>
      </c>
      <c r="AY280" s="146">
        <f t="shared" si="59"/>
        <v>59623.223506666676</v>
      </c>
      <c r="AZ280" s="150"/>
      <c r="BA280" s="150">
        <f t="shared" si="49"/>
        <v>26</v>
      </c>
      <c r="BB280" s="135" t="s">
        <v>4</v>
      </c>
    </row>
    <row r="281" spans="1:54" s="114" customFormat="1" ht="11.25" customHeight="1" x14ac:dyDescent="0.15">
      <c r="A281" s="134">
        <v>279</v>
      </c>
      <c r="B281" s="134"/>
      <c r="C281" s="135" t="s">
        <v>497</v>
      </c>
      <c r="D281" s="135">
        <v>26</v>
      </c>
      <c r="E281" s="135">
        <f t="shared" si="51"/>
        <v>42</v>
      </c>
      <c r="F281" s="136" t="str">
        <f>CONCATENATE("Hora Cátedra Enseñanza Media ",D281," hs Esc Esp")</f>
        <v>Hora Cátedra Enseñanza Media 26 hs Esc Esp</v>
      </c>
      <c r="G281" s="137">
        <f t="shared" si="50"/>
        <v>2054</v>
      </c>
      <c r="H281" s="138">
        <f>INT((G281*Valores!$C$2*100)+0.49)/100</f>
        <v>27487.86</v>
      </c>
      <c r="I281" s="156">
        <v>0</v>
      </c>
      <c r="J281" s="140">
        <f>INT((I281*Valores!$C$2*100)+0.5)/100</f>
        <v>0</v>
      </c>
      <c r="K281" s="155">
        <v>0</v>
      </c>
      <c r="L281" s="140">
        <f>INT((K281*Valores!$C$2*100)+0.5)/100</f>
        <v>0</v>
      </c>
      <c r="M281" s="153">
        <v>0</v>
      </c>
      <c r="N281" s="140">
        <f>INT((M281*Valores!$C$2*100)+0.5)/100</f>
        <v>0</v>
      </c>
      <c r="O281" s="140">
        <f t="shared" si="52"/>
        <v>5052.51</v>
      </c>
      <c r="P281" s="140">
        <f t="shared" si="53"/>
        <v>0</v>
      </c>
      <c r="Q281" s="154">
        <f>Valores!$C$14*D281</f>
        <v>11799.84</v>
      </c>
      <c r="R281" s="154">
        <f>IF(D281&lt;15,(Valores!$E$4*D281),Valores!$D$4)</f>
        <v>6841.19</v>
      </c>
      <c r="S281" s="140">
        <v>0</v>
      </c>
      <c r="T281" s="143">
        <f>IF($H$5="NO",IF(Valores!$C$47*D281&gt;Valores!$C$45,Valores!$C$45,Valores!$C$47*D281),IF(Valores!$C$47*D281&gt;Valores!$C$45,Valores!$C$45,Valores!$C$47*D281)/2)</f>
        <v>2484.2999999999997</v>
      </c>
      <c r="U281" s="154">
        <f>Valores!$C$24*D281</f>
        <v>3711.2400000000002</v>
      </c>
      <c r="V281" s="140">
        <f t="shared" si="48"/>
        <v>3711.2400000000002</v>
      </c>
      <c r="W281" s="140">
        <v>0</v>
      </c>
      <c r="X281" s="140">
        <v>0</v>
      </c>
      <c r="Y281" s="160">
        <v>0</v>
      </c>
      <c r="Z281" s="140">
        <f>Y281*Valores!$C$2</f>
        <v>0</v>
      </c>
      <c r="AA281" s="140">
        <v>0</v>
      </c>
      <c r="AB281" s="143">
        <f>IF(Valores!$C$93*D281&gt;Valores!$C$92,Valores!$C$92,Valores!$C$93*D281)</f>
        <v>3413.54</v>
      </c>
      <c r="AC281" s="145">
        <f>IF((Valores!$C$34)*D281&gt;Valores!$F$34,Valores!$F$34,(Valores!$C$34)*D281)</f>
        <v>291.46000000000004</v>
      </c>
      <c r="AD281" s="140">
        <f t="shared" si="55"/>
        <v>0</v>
      </c>
      <c r="AE281" s="140">
        <f>IF(Valores!$C$35*D281&gt;Valores!$F$35,Valores!$F$35,Valores!$C$35*D281)</f>
        <v>242.84</v>
      </c>
      <c r="AF281" s="144">
        <v>94</v>
      </c>
      <c r="AG281" s="140">
        <f>INT(((AF281*Valores!$C$2)*100)+0.5)/100</f>
        <v>1257.96</v>
      </c>
      <c r="AH281" s="140">
        <f>IF($H$5="NO",IF(Valores!$D$60*'Escala Docente'!D281&gt;Valores!$F$60,Valores!$F$60,Valores!$D$60*'Escala Docente'!D281),IF(Valores!$D$60*'Escala Docente'!D281&gt;Valores!$F$60,Valores!$F$60,Valores!$D$60*'Escala Docente'!D281)/2)</f>
        <v>986.43999999999994</v>
      </c>
      <c r="AI281" s="140">
        <f>IF($H$5="NO",IF(Valores!$D$62*D281&gt;Valores!$F$62,Valores!$F$62,Valores!$D$62*D281),IF(Valores!$D$62*D281&gt;Valores!$F$62,Valores!$F$62,Valores!$D$62*D281)/2)</f>
        <v>282.11733333333336</v>
      </c>
      <c r="AJ281" s="146">
        <f t="shared" si="56"/>
        <v>63851.297333333343</v>
      </c>
      <c r="AK281" s="154">
        <f>IF(Valores!$C$38*D281&gt;Valores!$F$38,Valores!$F$38,Valores!$C$38*D281)</f>
        <v>2540.2000000000003</v>
      </c>
      <c r="AL281" s="143">
        <f>IF(Valores!$C$88*D281&gt;Valores!$C$87,Valores!$C$87,Valores!$C$88*D281)</f>
        <v>2957.4999999999995</v>
      </c>
      <c r="AM281" s="143"/>
      <c r="AN281" s="145">
        <f>IF($H$4="NO",0,IF(Valores!$C$59*D281&gt;Valores!$F$59,Valores!$F$59,Valores!$C$59*D281))</f>
        <v>295.2534</v>
      </c>
      <c r="AO281" s="147">
        <f t="shared" si="57"/>
        <v>5792.9533999999994</v>
      </c>
      <c r="AP281" s="148">
        <f>AJ281*Valores!$C$69</f>
        <v>-7023.6427066666674</v>
      </c>
      <c r="AQ281" s="149">
        <f>AJ281*-Valores!$C$70</f>
        <v>0</v>
      </c>
      <c r="AR281" s="142">
        <f>AJ281*Valores!$C$71</f>
        <v>-2873.3083800000004</v>
      </c>
      <c r="AS281" s="142">
        <f>Valores!$C$95</f>
        <v>-193.38</v>
      </c>
      <c r="AT281" s="142">
        <f>IF($H$6=0,Valores!$C$96,(Valores!$C$96+$H$6*(Valores!$C$96)))</f>
        <v>-178</v>
      </c>
      <c r="AU281" s="146">
        <f t="shared" si="58"/>
        <v>59375.919646666676</v>
      </c>
      <c r="AV281" s="199">
        <f t="shared" si="54"/>
        <v>-7023.6427066666674</v>
      </c>
      <c r="AW281" s="142">
        <f>AJ281*Valores!$C$72</f>
        <v>-1723.9850280000003</v>
      </c>
      <c r="AX281" s="142">
        <f>AJ281*Valores!$C$73</f>
        <v>-191.55389200000002</v>
      </c>
      <c r="AY281" s="146">
        <f t="shared" si="59"/>
        <v>60705.069106666677</v>
      </c>
      <c r="AZ281" s="150"/>
      <c r="BA281" s="150">
        <f t="shared" si="49"/>
        <v>26</v>
      </c>
      <c r="BB281" s="135" t="s">
        <v>4</v>
      </c>
    </row>
    <row r="282" spans="1:54" s="114" customFormat="1" ht="11.25" customHeight="1" x14ac:dyDescent="0.15">
      <c r="A282" s="152">
        <v>280</v>
      </c>
      <c r="B282" s="152" t="s">
        <v>139</v>
      </c>
      <c r="C282" s="135" t="s">
        <v>497</v>
      </c>
      <c r="D282" s="135">
        <v>27</v>
      </c>
      <c r="E282" s="135">
        <f t="shared" si="51"/>
        <v>34</v>
      </c>
      <c r="F282" s="136" t="str">
        <f>CONCATENATE("Hora Cátedra Enseñanza Media ",D282," hs")</f>
        <v>Hora Cátedra Enseñanza Media 27 hs</v>
      </c>
      <c r="G282" s="137">
        <f t="shared" si="50"/>
        <v>2133</v>
      </c>
      <c r="H282" s="138">
        <f>INT((G282*Valores!$C$2*100)+0.49)/100</f>
        <v>28545.09</v>
      </c>
      <c r="I282" s="156">
        <v>0</v>
      </c>
      <c r="J282" s="140">
        <f>INT((I282*Valores!$C$2*100)+0.5)/100</f>
        <v>0</v>
      </c>
      <c r="K282" s="155">
        <v>0</v>
      </c>
      <c r="L282" s="140">
        <f>INT((K282*Valores!$C$2*100)+0.5)/100</f>
        <v>0</v>
      </c>
      <c r="M282" s="153">
        <v>0</v>
      </c>
      <c r="N282" s="140">
        <f>INT((M282*Valores!$C$2*100)+0.5)/100</f>
        <v>0</v>
      </c>
      <c r="O282" s="140">
        <f t="shared" si="52"/>
        <v>5246.8379999999997</v>
      </c>
      <c r="P282" s="140">
        <f t="shared" si="53"/>
        <v>0</v>
      </c>
      <c r="Q282" s="154">
        <f>Valores!$C$14*D282</f>
        <v>12253.679999999998</v>
      </c>
      <c r="R282" s="154">
        <f>IF(D282&lt;15,(Valores!$E$4*D282),Valores!$D$4)</f>
        <v>6841.19</v>
      </c>
      <c r="S282" s="140">
        <v>0</v>
      </c>
      <c r="T282" s="143">
        <f>IF($H$5="NO",IF(Valores!$C$47*D282&gt;Valores!$C$45,Valores!$C$45,Valores!$C$47*D282),IF(Valores!$C$47*D282&gt;Valores!$C$45,Valores!$C$45,Valores!$C$47*D282)/2)</f>
        <v>2579.85</v>
      </c>
      <c r="U282" s="154">
        <f>Valores!$C$24*D282</f>
        <v>3853.9800000000005</v>
      </c>
      <c r="V282" s="140">
        <f t="shared" si="48"/>
        <v>3853.9800000000005</v>
      </c>
      <c r="W282" s="140">
        <v>0</v>
      </c>
      <c r="X282" s="140">
        <v>0</v>
      </c>
      <c r="Y282" s="160">
        <v>0</v>
      </c>
      <c r="Z282" s="140">
        <f>Y282*Valores!$C$2</f>
        <v>0</v>
      </c>
      <c r="AA282" s="140">
        <v>0</v>
      </c>
      <c r="AB282" s="143">
        <f>IF(Valores!$C$93*D282&gt;Valores!$C$92,Valores!$C$92,Valores!$C$93*D282)</f>
        <v>3544.83</v>
      </c>
      <c r="AC282" s="145">
        <f>IF((Valores!$C$34)*D282&gt;Valores!$F$34,Valores!$F$34,(Valores!$C$34)*D282)</f>
        <v>302.67</v>
      </c>
      <c r="AD282" s="140">
        <f t="shared" si="55"/>
        <v>0</v>
      </c>
      <c r="AE282" s="140">
        <f>IF(Valores!$C$35*D282&gt;Valores!$F$35,Valores!$F$35,Valores!$C$35*D282)</f>
        <v>252.18</v>
      </c>
      <c r="AF282" s="144">
        <v>0</v>
      </c>
      <c r="AG282" s="140">
        <f>INT(((AF282*Valores!$C$2)*100)+0.5)/100</f>
        <v>0</v>
      </c>
      <c r="AH282" s="140">
        <f>IF($H$5="NO",IF(Valores!$D$60*'Escala Docente'!D282&gt;Valores!$F$60,Valores!$F$60,Valores!$D$60*'Escala Docente'!D282),IF(Valores!$D$60*'Escala Docente'!D282&gt;Valores!$F$60,Valores!$F$60,Valores!$D$60*'Escala Docente'!D282)/2)</f>
        <v>1024.3799999999999</v>
      </c>
      <c r="AI282" s="140">
        <f>IF($H$5="NO",IF(Valores!$D$62*D282&gt;Valores!$F$62,Valores!$F$62,Valores!$D$62*D282),IF(Valores!$D$62*D282&gt;Valores!$F$62,Valores!$F$62,Valores!$D$62*D282)/2)</f>
        <v>292.96800000000002</v>
      </c>
      <c r="AJ282" s="146">
        <f t="shared" si="56"/>
        <v>64737.656000000003</v>
      </c>
      <c r="AK282" s="154">
        <f>IF(Valores!$C$38*D282&gt;Valores!$F$38,Valores!$F$38,Valores!$C$38*D282)</f>
        <v>2637.9</v>
      </c>
      <c r="AL282" s="143">
        <f>IF(Valores!$C$88*D282&gt;Valores!$C$87,Valores!$C$87,Valores!$C$88*D282)</f>
        <v>3071.2499999999995</v>
      </c>
      <c r="AM282" s="143"/>
      <c r="AN282" s="145">
        <f>IF($H$4="NO",0,IF(Valores!$C$59*D282&gt;Valores!$F$59,Valores!$F$59,Valores!$C$59*D282))</f>
        <v>306.60930000000002</v>
      </c>
      <c r="AO282" s="147">
        <f t="shared" si="57"/>
        <v>6015.7592999999997</v>
      </c>
      <c r="AP282" s="148">
        <f>AJ282*Valores!$C$69</f>
        <v>-7121.1421600000003</v>
      </c>
      <c r="AQ282" s="149">
        <f>AJ282*-Valores!$C$70</f>
        <v>0</v>
      </c>
      <c r="AR282" s="142">
        <f>AJ282*Valores!$C$71</f>
        <v>-2913.19452</v>
      </c>
      <c r="AS282" s="142">
        <f>Valores!$C$95</f>
        <v>-193.38</v>
      </c>
      <c r="AT282" s="142">
        <f>IF($H$6=0,Valores!$C$96,(Valores!$C$96+$H$6*(Valores!$C$96)))</f>
        <v>-178</v>
      </c>
      <c r="AU282" s="146">
        <f t="shared" si="58"/>
        <v>60347.698620000003</v>
      </c>
      <c r="AV282" s="199">
        <f t="shared" si="54"/>
        <v>-7121.1421600000003</v>
      </c>
      <c r="AW282" s="142">
        <f>AJ282*Valores!$C$72</f>
        <v>-1747.916712</v>
      </c>
      <c r="AX282" s="142">
        <f>AJ282*Valores!$C$73</f>
        <v>-194.21296800000002</v>
      </c>
      <c r="AY282" s="146">
        <f t="shared" si="59"/>
        <v>61690.143460000007</v>
      </c>
      <c r="AZ282" s="150"/>
      <c r="BA282" s="150">
        <f t="shared" si="49"/>
        <v>27</v>
      </c>
      <c r="BB282" s="135" t="s">
        <v>8</v>
      </c>
    </row>
    <row r="283" spans="1:54" s="114" customFormat="1" ht="11.25" customHeight="1" x14ac:dyDescent="0.15">
      <c r="A283" s="134">
        <v>281</v>
      </c>
      <c r="B283" s="134"/>
      <c r="C283" s="135" t="s">
        <v>497</v>
      </c>
      <c r="D283" s="135">
        <v>27</v>
      </c>
      <c r="E283" s="135">
        <f t="shared" si="51"/>
        <v>42</v>
      </c>
      <c r="F283" s="136" t="str">
        <f>CONCATENATE("Hora Cátedra Enseñanza Media ",D283," hs Esc Esp")</f>
        <v>Hora Cátedra Enseñanza Media 27 hs Esc Esp</v>
      </c>
      <c r="G283" s="137">
        <f t="shared" si="50"/>
        <v>2133</v>
      </c>
      <c r="H283" s="138">
        <f>INT((G283*Valores!$C$2*100)+0.49)/100</f>
        <v>28545.09</v>
      </c>
      <c r="I283" s="156">
        <v>0</v>
      </c>
      <c r="J283" s="140">
        <f>INT((I283*Valores!$C$2*100)+0.5)/100</f>
        <v>0</v>
      </c>
      <c r="K283" s="155">
        <v>0</v>
      </c>
      <c r="L283" s="140">
        <f>INT((K283*Valores!$C$2*100)+0.5)/100</f>
        <v>0</v>
      </c>
      <c r="M283" s="153">
        <v>0</v>
      </c>
      <c r="N283" s="140">
        <f>INT((M283*Valores!$C$2*100)+0.5)/100</f>
        <v>0</v>
      </c>
      <c r="O283" s="140">
        <f t="shared" si="52"/>
        <v>5246.8379999999997</v>
      </c>
      <c r="P283" s="140">
        <f t="shared" si="53"/>
        <v>0</v>
      </c>
      <c r="Q283" s="154">
        <f>Valores!$C$14*D283</f>
        <v>12253.679999999998</v>
      </c>
      <c r="R283" s="154">
        <f>IF(D283&lt;15,(Valores!$E$4*D283),Valores!$D$4)</f>
        <v>6841.19</v>
      </c>
      <c r="S283" s="140">
        <v>0</v>
      </c>
      <c r="T283" s="143">
        <f>IF($H$5="NO",IF(Valores!$C$47*D283&gt;Valores!$C$45,Valores!$C$45,Valores!$C$47*D283),IF(Valores!$C$47*D283&gt;Valores!$C$45,Valores!$C$45,Valores!$C$47*D283)/2)</f>
        <v>2579.85</v>
      </c>
      <c r="U283" s="154">
        <f>Valores!$C$24*D283</f>
        <v>3853.9800000000005</v>
      </c>
      <c r="V283" s="140">
        <f t="shared" si="48"/>
        <v>3853.9800000000005</v>
      </c>
      <c r="W283" s="140">
        <v>0</v>
      </c>
      <c r="X283" s="140">
        <v>0</v>
      </c>
      <c r="Y283" s="160">
        <v>0</v>
      </c>
      <c r="Z283" s="140">
        <f>Y283*Valores!$C$2</f>
        <v>0</v>
      </c>
      <c r="AA283" s="140">
        <v>0</v>
      </c>
      <c r="AB283" s="143">
        <f>IF(Valores!$C$93*D283&gt;Valores!$C$92,Valores!$C$92,Valores!$C$93*D283)</f>
        <v>3544.83</v>
      </c>
      <c r="AC283" s="145">
        <f>IF((Valores!$C$34)*D283&gt;Valores!$F$34,Valores!$F$34,(Valores!$C$34)*D283)</f>
        <v>302.67</v>
      </c>
      <c r="AD283" s="140">
        <f t="shared" si="55"/>
        <v>0</v>
      </c>
      <c r="AE283" s="140">
        <f>IF(Valores!$C$35*D283&gt;Valores!$F$35,Valores!$F$35,Valores!$C$35*D283)</f>
        <v>252.18</v>
      </c>
      <c r="AF283" s="144">
        <v>94</v>
      </c>
      <c r="AG283" s="140">
        <f>INT(((AF283*Valores!$C$2)*100)+0.5)/100</f>
        <v>1257.96</v>
      </c>
      <c r="AH283" s="140">
        <f>IF($H$5="NO",IF(Valores!$D$60*'Escala Docente'!D283&gt;Valores!$F$60,Valores!$F$60,Valores!$D$60*'Escala Docente'!D283),IF(Valores!$D$60*'Escala Docente'!D283&gt;Valores!$F$60,Valores!$F$60,Valores!$D$60*'Escala Docente'!D283)/2)</f>
        <v>1024.3799999999999</v>
      </c>
      <c r="AI283" s="140">
        <f>IF($H$5="NO",IF(Valores!$D$62*D283&gt;Valores!$F$62,Valores!$F$62,Valores!$D$62*D283),IF(Valores!$D$62*D283&gt;Valores!$F$62,Valores!$F$62,Valores!$D$62*D283)/2)</f>
        <v>292.96800000000002</v>
      </c>
      <c r="AJ283" s="146">
        <f t="shared" si="56"/>
        <v>65995.615999999995</v>
      </c>
      <c r="AK283" s="154">
        <f>IF(Valores!$C$38*D283&gt;Valores!$F$38,Valores!$F$38,Valores!$C$38*D283)</f>
        <v>2637.9</v>
      </c>
      <c r="AL283" s="143">
        <f>IF(Valores!$C$88*D283&gt;Valores!$C$87,Valores!$C$87,Valores!$C$88*D283)</f>
        <v>3071.2499999999995</v>
      </c>
      <c r="AM283" s="143"/>
      <c r="AN283" s="145">
        <f>IF($H$4="NO",0,IF(Valores!$C$59*D283&gt;Valores!$F$59,Valores!$F$59,Valores!$C$59*D283))</f>
        <v>306.60930000000002</v>
      </c>
      <c r="AO283" s="147">
        <f t="shared" si="57"/>
        <v>6015.7592999999997</v>
      </c>
      <c r="AP283" s="148">
        <f>AJ283*Valores!$C$69</f>
        <v>-7259.5177599999997</v>
      </c>
      <c r="AQ283" s="149">
        <f>AJ283*-Valores!$C$70</f>
        <v>0</v>
      </c>
      <c r="AR283" s="142">
        <f>AJ283*Valores!$C$71</f>
        <v>-2969.8027199999997</v>
      </c>
      <c r="AS283" s="142">
        <f>Valores!$C$95</f>
        <v>-193.38</v>
      </c>
      <c r="AT283" s="142">
        <f>IF($H$6=0,Valores!$C$96,(Valores!$C$96+$H$6*(Valores!$C$96)))</f>
        <v>-178</v>
      </c>
      <c r="AU283" s="146">
        <f t="shared" si="58"/>
        <v>61410.674819999993</v>
      </c>
      <c r="AV283" s="199">
        <f t="shared" si="54"/>
        <v>-7259.5177599999997</v>
      </c>
      <c r="AW283" s="142">
        <f>AJ283*Valores!$C$72</f>
        <v>-1781.8816319999999</v>
      </c>
      <c r="AX283" s="142">
        <f>AJ283*Valores!$C$73</f>
        <v>-197.98684799999998</v>
      </c>
      <c r="AY283" s="146">
        <f t="shared" si="59"/>
        <v>62771.98906</v>
      </c>
      <c r="AZ283" s="150"/>
      <c r="BA283" s="150">
        <f t="shared" si="49"/>
        <v>27</v>
      </c>
      <c r="BB283" s="135" t="s">
        <v>8</v>
      </c>
    </row>
    <row r="284" spans="1:54" s="114" customFormat="1" ht="11.25" customHeight="1" x14ac:dyDescent="0.15">
      <c r="A284" s="134">
        <v>282</v>
      </c>
      <c r="B284" s="134"/>
      <c r="C284" s="135" t="s">
        <v>497</v>
      </c>
      <c r="D284" s="135">
        <v>28</v>
      </c>
      <c r="E284" s="135">
        <f t="shared" si="51"/>
        <v>34</v>
      </c>
      <c r="F284" s="136" t="str">
        <f>CONCATENATE("Hora Cátedra Enseñanza Media ",D284," hs")</f>
        <v>Hora Cátedra Enseñanza Media 28 hs</v>
      </c>
      <c r="G284" s="137">
        <f t="shared" si="50"/>
        <v>2212</v>
      </c>
      <c r="H284" s="138">
        <f>INT((G284*Valores!$C$2*100)+0.49)/100</f>
        <v>29602.31</v>
      </c>
      <c r="I284" s="156">
        <v>0</v>
      </c>
      <c r="J284" s="140">
        <f>INT((I284*Valores!$C$2*100)+0.5)/100</f>
        <v>0</v>
      </c>
      <c r="K284" s="155">
        <v>0</v>
      </c>
      <c r="L284" s="140">
        <f>INT((K284*Valores!$C$2*100)+0.5)/100</f>
        <v>0</v>
      </c>
      <c r="M284" s="153">
        <v>0</v>
      </c>
      <c r="N284" s="140">
        <f>INT((M284*Valores!$C$2*100)+0.5)/100</f>
        <v>0</v>
      </c>
      <c r="O284" s="140">
        <f t="shared" si="52"/>
        <v>5441.1644999999999</v>
      </c>
      <c r="P284" s="140">
        <f t="shared" si="53"/>
        <v>0</v>
      </c>
      <c r="Q284" s="154">
        <f>Valores!$C$14*D284</f>
        <v>12707.519999999999</v>
      </c>
      <c r="R284" s="154">
        <f>IF(D284&lt;15,(Valores!$E$4*D284),Valores!$D$4)</f>
        <v>6841.19</v>
      </c>
      <c r="S284" s="140">
        <v>0</v>
      </c>
      <c r="T284" s="143">
        <f>IF($H$5="NO",IF(Valores!$C$47*D284&gt;Valores!$C$45,Valores!$C$45,Valores!$C$47*D284),IF(Valores!$C$47*D284&gt;Valores!$C$45,Valores!$C$45,Valores!$C$47*D284)/2)</f>
        <v>2675.4</v>
      </c>
      <c r="U284" s="154">
        <f>Valores!$C$24*D284</f>
        <v>3996.7200000000003</v>
      </c>
      <c r="V284" s="140">
        <f t="shared" si="48"/>
        <v>3996.7200000000003</v>
      </c>
      <c r="W284" s="140">
        <v>0</v>
      </c>
      <c r="X284" s="140">
        <v>0</v>
      </c>
      <c r="Y284" s="160">
        <v>0</v>
      </c>
      <c r="Z284" s="140">
        <f>Y284*Valores!$C$2</f>
        <v>0</v>
      </c>
      <c r="AA284" s="140">
        <v>0</v>
      </c>
      <c r="AB284" s="143">
        <f>IF(Valores!$C$93*D284&gt;Valores!$C$92,Valores!$C$92,Valores!$C$93*D284)</f>
        <v>3676.12</v>
      </c>
      <c r="AC284" s="145">
        <f>IF((Valores!$C$34)*D284&gt;Valores!$F$34,Valores!$F$34,(Valores!$C$34)*D284)</f>
        <v>313.88</v>
      </c>
      <c r="AD284" s="140">
        <f t="shared" si="55"/>
        <v>0</v>
      </c>
      <c r="AE284" s="140">
        <f>IF(Valores!$C$35*D284&gt;Valores!$F$35,Valores!$F$35,Valores!$C$35*D284)</f>
        <v>261.52</v>
      </c>
      <c r="AF284" s="144">
        <v>0</v>
      </c>
      <c r="AG284" s="140">
        <f>INT(((AF284*Valores!$C$2)*100)+0.5)/100</f>
        <v>0</v>
      </c>
      <c r="AH284" s="140">
        <f>IF($H$5="NO",IF(Valores!$D$60*'Escala Docente'!D284&gt;Valores!$F$60,Valores!$F$60,Valores!$D$60*'Escala Docente'!D284),IF(Valores!$D$60*'Escala Docente'!D284&gt;Valores!$F$60,Valores!$F$60,Valores!$D$60*'Escala Docente'!D284)/2)</f>
        <v>1062.32</v>
      </c>
      <c r="AI284" s="140">
        <f>IF($H$5="NO",IF(Valores!$D$62*D284&gt;Valores!$F$62,Valores!$F$62,Valores!$D$62*D284),IF(Valores!$D$62*D284&gt;Valores!$F$62,Valores!$F$62,Valores!$D$62*D284)/2)</f>
        <v>303.81866666666667</v>
      </c>
      <c r="AJ284" s="146">
        <f t="shared" si="56"/>
        <v>66881.963166666668</v>
      </c>
      <c r="AK284" s="154">
        <f>IF(Valores!$C$38*D284&gt;Valores!$F$38,Valores!$F$38,Valores!$C$38*D284)</f>
        <v>2735.6</v>
      </c>
      <c r="AL284" s="143">
        <f>IF(Valores!$C$88*D284&gt;Valores!$C$87,Valores!$C$87,Valores!$C$88*D284)</f>
        <v>3184.9999999999995</v>
      </c>
      <c r="AM284" s="143"/>
      <c r="AN284" s="145">
        <f>IF($H$4="NO",0,IF(Valores!$C$59*D284&gt;Valores!$F$59,Valores!$F$59,Valores!$C$59*D284))</f>
        <v>317.96519999999998</v>
      </c>
      <c r="AO284" s="147">
        <f t="shared" si="57"/>
        <v>6238.5651999999991</v>
      </c>
      <c r="AP284" s="148">
        <f>AJ284*Valores!$C$69</f>
        <v>-7357.0159483333337</v>
      </c>
      <c r="AQ284" s="149">
        <f>AJ284*-Valores!$C$70</f>
        <v>0</v>
      </c>
      <c r="AR284" s="142">
        <f>AJ284*Valores!$C$71</f>
        <v>-3009.6883425000001</v>
      </c>
      <c r="AS284" s="142">
        <f>Valores!$C$95</f>
        <v>-193.38</v>
      </c>
      <c r="AT284" s="142">
        <f>IF($H$6=0,Valores!$C$96,(Valores!$C$96+$H$6*(Valores!$C$96)))</f>
        <v>-178</v>
      </c>
      <c r="AU284" s="146">
        <f t="shared" si="58"/>
        <v>62382.444075833337</v>
      </c>
      <c r="AV284" s="199">
        <f t="shared" si="54"/>
        <v>-7357.0159483333337</v>
      </c>
      <c r="AW284" s="142">
        <f>AJ284*Valores!$C$72</f>
        <v>-1805.8130054999999</v>
      </c>
      <c r="AX284" s="142">
        <f>AJ284*Valores!$C$73</f>
        <v>-200.64588950000001</v>
      </c>
      <c r="AY284" s="146">
        <f t="shared" si="59"/>
        <v>63757.053523333336</v>
      </c>
      <c r="AZ284" s="150"/>
      <c r="BA284" s="150">
        <f t="shared" si="49"/>
        <v>28</v>
      </c>
      <c r="BB284" s="135" t="s">
        <v>4</v>
      </c>
    </row>
    <row r="285" spans="1:54" s="114" customFormat="1" ht="11.25" customHeight="1" x14ac:dyDescent="0.15">
      <c r="A285" s="134">
        <v>283</v>
      </c>
      <c r="B285" s="134"/>
      <c r="C285" s="135" t="s">
        <v>497</v>
      </c>
      <c r="D285" s="135">
        <v>28</v>
      </c>
      <c r="E285" s="135">
        <f t="shared" si="51"/>
        <v>42</v>
      </c>
      <c r="F285" s="136" t="str">
        <f>CONCATENATE("Hora Cátedra Enseñanza Media ",D285," hs Esc Esp")</f>
        <v>Hora Cátedra Enseñanza Media 28 hs Esc Esp</v>
      </c>
      <c r="G285" s="137">
        <f t="shared" si="50"/>
        <v>2212</v>
      </c>
      <c r="H285" s="138">
        <f>INT((G285*Valores!$C$2*100)+0.49)/100</f>
        <v>29602.31</v>
      </c>
      <c r="I285" s="156">
        <v>0</v>
      </c>
      <c r="J285" s="140">
        <f>INT((I285*Valores!$C$2*100)+0.5)/100</f>
        <v>0</v>
      </c>
      <c r="K285" s="155">
        <v>0</v>
      </c>
      <c r="L285" s="140">
        <f>INT((K285*Valores!$C$2*100)+0.5)/100</f>
        <v>0</v>
      </c>
      <c r="M285" s="153">
        <v>0</v>
      </c>
      <c r="N285" s="140">
        <f>INT((M285*Valores!$C$2*100)+0.5)/100</f>
        <v>0</v>
      </c>
      <c r="O285" s="140">
        <f t="shared" si="52"/>
        <v>5441.1644999999999</v>
      </c>
      <c r="P285" s="140">
        <f t="shared" si="53"/>
        <v>0</v>
      </c>
      <c r="Q285" s="154">
        <f>Valores!$C$14*D285</f>
        <v>12707.519999999999</v>
      </c>
      <c r="R285" s="154">
        <f>IF(D285&lt;15,(Valores!$E$4*D285),Valores!$D$4)</f>
        <v>6841.19</v>
      </c>
      <c r="S285" s="140">
        <v>0</v>
      </c>
      <c r="T285" s="143">
        <f>IF($H$5="NO",IF(Valores!$C$47*D285&gt;Valores!$C$45,Valores!$C$45,Valores!$C$47*D285),IF(Valores!$C$47*D285&gt;Valores!$C$45,Valores!$C$45,Valores!$C$47*D285)/2)</f>
        <v>2675.4</v>
      </c>
      <c r="U285" s="154">
        <f>Valores!$C$24*D285</f>
        <v>3996.7200000000003</v>
      </c>
      <c r="V285" s="140">
        <f t="shared" si="48"/>
        <v>3996.7200000000003</v>
      </c>
      <c r="W285" s="140">
        <v>0</v>
      </c>
      <c r="X285" s="140">
        <v>0</v>
      </c>
      <c r="Y285" s="160">
        <v>0</v>
      </c>
      <c r="Z285" s="140">
        <f>Y285*Valores!$C$2</f>
        <v>0</v>
      </c>
      <c r="AA285" s="140">
        <v>0</v>
      </c>
      <c r="AB285" s="143">
        <f>IF(Valores!$C$93*D285&gt;Valores!$C$92,Valores!$C$92,Valores!$C$93*D285)</f>
        <v>3676.12</v>
      </c>
      <c r="AC285" s="145">
        <f>IF((Valores!$C$34)*D285&gt;Valores!$F$34,Valores!$F$34,(Valores!$C$34)*D285)</f>
        <v>313.88</v>
      </c>
      <c r="AD285" s="140">
        <f t="shared" si="55"/>
        <v>0</v>
      </c>
      <c r="AE285" s="140">
        <f>IF(Valores!$C$35*D285&gt;Valores!$F$35,Valores!$F$35,Valores!$C$35*D285)</f>
        <v>261.52</v>
      </c>
      <c r="AF285" s="144">
        <v>94</v>
      </c>
      <c r="AG285" s="140">
        <f>INT(((AF285*Valores!$C$2)*100)+0.5)/100</f>
        <v>1257.96</v>
      </c>
      <c r="AH285" s="140">
        <f>IF($H$5="NO",IF(Valores!$D$60*'Escala Docente'!D285&gt;Valores!$F$60,Valores!$F$60,Valores!$D$60*'Escala Docente'!D285),IF(Valores!$D$60*'Escala Docente'!D285&gt;Valores!$F$60,Valores!$F$60,Valores!$D$60*'Escala Docente'!D285)/2)</f>
        <v>1062.32</v>
      </c>
      <c r="AI285" s="140">
        <f>IF($H$5="NO",IF(Valores!$D$62*D285&gt;Valores!$F$62,Valores!$F$62,Valores!$D$62*D285),IF(Valores!$D$62*D285&gt;Valores!$F$62,Valores!$F$62,Valores!$D$62*D285)/2)</f>
        <v>303.81866666666667</v>
      </c>
      <c r="AJ285" s="146">
        <f t="shared" si="56"/>
        <v>68139.92316666666</v>
      </c>
      <c r="AK285" s="154">
        <f>IF(Valores!$C$38*D285&gt;Valores!$F$38,Valores!$F$38,Valores!$C$38*D285)</f>
        <v>2735.6</v>
      </c>
      <c r="AL285" s="143">
        <f>IF(Valores!$C$88*D285&gt;Valores!$C$87,Valores!$C$87,Valores!$C$88*D285)</f>
        <v>3184.9999999999995</v>
      </c>
      <c r="AM285" s="143"/>
      <c r="AN285" s="145">
        <f>IF($H$4="NO",0,IF(Valores!$C$59*D285&gt;Valores!$F$59,Valores!$F$59,Valores!$C$59*D285))</f>
        <v>317.96519999999998</v>
      </c>
      <c r="AO285" s="147">
        <f t="shared" si="57"/>
        <v>6238.5651999999991</v>
      </c>
      <c r="AP285" s="148">
        <f>AJ285*Valores!$C$69</f>
        <v>-7495.391548333333</v>
      </c>
      <c r="AQ285" s="149">
        <f>AJ285*-Valores!$C$70</f>
        <v>0</v>
      </c>
      <c r="AR285" s="142">
        <f>AJ285*Valores!$C$71</f>
        <v>-3066.2965424999998</v>
      </c>
      <c r="AS285" s="142">
        <f>Valores!$C$95</f>
        <v>-193.38</v>
      </c>
      <c r="AT285" s="142">
        <f>IF($H$6=0,Valores!$C$96,(Valores!$C$96+$H$6*(Valores!$C$96)))</f>
        <v>-178</v>
      </c>
      <c r="AU285" s="146">
        <f t="shared" si="58"/>
        <v>63445.420275833327</v>
      </c>
      <c r="AV285" s="199">
        <f t="shared" si="54"/>
        <v>-7495.391548333333</v>
      </c>
      <c r="AW285" s="142">
        <f>AJ285*Valores!$C$72</f>
        <v>-1839.7779254999998</v>
      </c>
      <c r="AX285" s="142">
        <f>AJ285*Valores!$C$73</f>
        <v>-204.41976949999997</v>
      </c>
      <c r="AY285" s="146">
        <f t="shared" si="59"/>
        <v>64838.899123333322</v>
      </c>
      <c r="AZ285" s="150"/>
      <c r="BA285" s="150">
        <f t="shared" si="49"/>
        <v>28</v>
      </c>
      <c r="BB285" s="135" t="s">
        <v>4</v>
      </c>
    </row>
    <row r="286" spans="1:54" s="114" customFormat="1" ht="11.25" customHeight="1" x14ac:dyDescent="0.15">
      <c r="A286" s="134">
        <v>284</v>
      </c>
      <c r="B286" s="134"/>
      <c r="C286" s="135" t="s">
        <v>497</v>
      </c>
      <c r="D286" s="135">
        <v>29</v>
      </c>
      <c r="E286" s="135">
        <f t="shared" si="51"/>
        <v>34</v>
      </c>
      <c r="F286" s="136" t="str">
        <f>CONCATENATE("Hora Cátedra Enseñanza Media ",D286," hs")</f>
        <v>Hora Cátedra Enseñanza Media 29 hs</v>
      </c>
      <c r="G286" s="137">
        <f t="shared" si="50"/>
        <v>2291</v>
      </c>
      <c r="H286" s="138">
        <f>INT((G286*Valores!$C$2*100)+0.49)/100</f>
        <v>30659.54</v>
      </c>
      <c r="I286" s="156">
        <v>0</v>
      </c>
      <c r="J286" s="140">
        <f>INT((I286*Valores!$C$2*100)+0.5)/100</f>
        <v>0</v>
      </c>
      <c r="K286" s="155">
        <v>0</v>
      </c>
      <c r="L286" s="140">
        <f>INT((K286*Valores!$C$2*100)+0.5)/100</f>
        <v>0</v>
      </c>
      <c r="M286" s="153">
        <v>0</v>
      </c>
      <c r="N286" s="140">
        <f>INT((M286*Valores!$C$2*100)+0.5)/100</f>
        <v>0</v>
      </c>
      <c r="O286" s="140">
        <f t="shared" si="52"/>
        <v>5635.4924999999994</v>
      </c>
      <c r="P286" s="140">
        <f t="shared" si="53"/>
        <v>0</v>
      </c>
      <c r="Q286" s="154">
        <f>Valores!$C$14*D286</f>
        <v>13161.359999999999</v>
      </c>
      <c r="R286" s="154">
        <f>IF(D286&lt;15,(Valores!$E$4*D286),Valores!$D$4)</f>
        <v>6841.19</v>
      </c>
      <c r="S286" s="140">
        <v>0</v>
      </c>
      <c r="T286" s="143">
        <f>IF($H$5="NO",IF(Valores!$C$47*D286&gt;Valores!$C$45,Valores!$C$45,Valores!$C$47*D286),IF(Valores!$C$47*D286&gt;Valores!$C$45,Valores!$C$45,Valores!$C$47*D286)/2)</f>
        <v>2770.95</v>
      </c>
      <c r="U286" s="154">
        <f>Valores!$C$24*D286</f>
        <v>4139.46</v>
      </c>
      <c r="V286" s="140">
        <f t="shared" si="48"/>
        <v>4139.46</v>
      </c>
      <c r="W286" s="140">
        <v>0</v>
      </c>
      <c r="X286" s="140">
        <v>0</v>
      </c>
      <c r="Y286" s="160">
        <v>0</v>
      </c>
      <c r="Z286" s="140">
        <f>Y286*Valores!$C$2</f>
        <v>0</v>
      </c>
      <c r="AA286" s="140">
        <v>0</v>
      </c>
      <c r="AB286" s="143">
        <f>IF(Valores!$C$93*D286&gt;Valores!$C$92,Valores!$C$92,Valores!$C$93*D286)</f>
        <v>3807.41</v>
      </c>
      <c r="AC286" s="145">
        <f>IF((Valores!$C$34)*D286&gt;Valores!$F$34,Valores!$F$34,(Valores!$C$34)*D286)</f>
        <v>325.09000000000003</v>
      </c>
      <c r="AD286" s="140">
        <f t="shared" si="55"/>
        <v>0</v>
      </c>
      <c r="AE286" s="140">
        <f>IF(Valores!$C$35*D286&gt;Valores!$F$35,Valores!$F$35,Valores!$C$35*D286)</f>
        <v>270.86</v>
      </c>
      <c r="AF286" s="144">
        <v>0</v>
      </c>
      <c r="AG286" s="140">
        <f>INT(((AF286*Valores!$C$2)*100)+0.5)/100</f>
        <v>0</v>
      </c>
      <c r="AH286" s="140">
        <f>IF($H$5="NO",IF(Valores!$D$60*'Escala Docente'!D286&gt;Valores!$F$60,Valores!$F$60,Valores!$D$60*'Escala Docente'!D286),IF(Valores!$D$60*'Escala Docente'!D286&gt;Valores!$F$60,Valores!$F$60,Valores!$D$60*'Escala Docente'!D286)/2)</f>
        <v>1100.26</v>
      </c>
      <c r="AI286" s="140">
        <f>IF($H$5="NO",IF(Valores!$D$62*D286&gt;Valores!$F$62,Valores!$F$62,Valores!$D$62*D286),IF(Valores!$D$62*D286&gt;Valores!$F$62,Valores!$F$62,Valores!$D$62*D286)/2)</f>
        <v>314.66933333333333</v>
      </c>
      <c r="AJ286" s="146">
        <f t="shared" si="56"/>
        <v>69026.281833333327</v>
      </c>
      <c r="AK286" s="154">
        <f>IF(Valores!$C$38*D286&gt;Valores!$F$38,Valores!$F$38,Valores!$C$38*D286)</f>
        <v>2833.3</v>
      </c>
      <c r="AL286" s="143">
        <f>IF(Valores!$C$88*D286&gt;Valores!$C$87,Valores!$C$87,Valores!$C$88*D286)</f>
        <v>3298.7499999999995</v>
      </c>
      <c r="AM286" s="143"/>
      <c r="AN286" s="145">
        <f>IF($H$4="NO",0,IF(Valores!$C$59*D286&gt;Valores!$F$59,Valores!$F$59,Valores!$C$59*D286))</f>
        <v>327.60000000000002</v>
      </c>
      <c r="AO286" s="147">
        <f t="shared" si="57"/>
        <v>6459.65</v>
      </c>
      <c r="AP286" s="148">
        <f>AJ286*Valores!$C$69</f>
        <v>-7592.8910016666659</v>
      </c>
      <c r="AQ286" s="149">
        <f>AJ286*-Valores!$C$70</f>
        <v>0</v>
      </c>
      <c r="AR286" s="142">
        <f>AJ286*Valores!$C$71</f>
        <v>-3106.1826824999998</v>
      </c>
      <c r="AS286" s="142">
        <f>Valores!$C$95</f>
        <v>-193.38</v>
      </c>
      <c r="AT286" s="142">
        <f>IF($H$6=0,Valores!$C$96,(Valores!$C$96+$H$6*(Valores!$C$96)))</f>
        <v>-178</v>
      </c>
      <c r="AU286" s="146">
        <f t="shared" si="58"/>
        <v>64415.478149166658</v>
      </c>
      <c r="AV286" s="199">
        <f t="shared" si="54"/>
        <v>-7592.8910016666659</v>
      </c>
      <c r="AW286" s="142">
        <f>AJ286*Valores!$C$72</f>
        <v>-1863.7096094999997</v>
      </c>
      <c r="AX286" s="142">
        <f>AJ286*Valores!$C$73</f>
        <v>-207.07884549999997</v>
      </c>
      <c r="AY286" s="146">
        <f t="shared" si="59"/>
        <v>65822.252376666656</v>
      </c>
      <c r="AZ286" s="150"/>
      <c r="BA286" s="150">
        <f t="shared" si="49"/>
        <v>29</v>
      </c>
      <c r="BB286" s="135" t="s">
        <v>8</v>
      </c>
    </row>
    <row r="287" spans="1:54" s="114" customFormat="1" ht="11.25" customHeight="1" x14ac:dyDescent="0.15">
      <c r="A287" s="152">
        <v>285</v>
      </c>
      <c r="B287" s="152" t="s">
        <v>139</v>
      </c>
      <c r="C287" s="135" t="s">
        <v>497</v>
      </c>
      <c r="D287" s="135">
        <v>29</v>
      </c>
      <c r="E287" s="135">
        <f t="shared" si="51"/>
        <v>42</v>
      </c>
      <c r="F287" s="136" t="str">
        <f>CONCATENATE("Hora Cátedra Enseñanza Media ",D287," hs Esc Esp")</f>
        <v>Hora Cátedra Enseñanza Media 29 hs Esc Esp</v>
      </c>
      <c r="G287" s="137">
        <f t="shared" si="50"/>
        <v>2291</v>
      </c>
      <c r="H287" s="138">
        <f>INT((G287*Valores!$C$2*100)+0.49)/100</f>
        <v>30659.54</v>
      </c>
      <c r="I287" s="156">
        <v>0</v>
      </c>
      <c r="J287" s="140">
        <f>INT((I287*Valores!$C$2*100)+0.5)/100</f>
        <v>0</v>
      </c>
      <c r="K287" s="155">
        <v>0</v>
      </c>
      <c r="L287" s="140">
        <f>INT((K287*Valores!$C$2*100)+0.5)/100</f>
        <v>0</v>
      </c>
      <c r="M287" s="153">
        <v>0</v>
      </c>
      <c r="N287" s="140">
        <f>INT((M287*Valores!$C$2*100)+0.5)/100</f>
        <v>0</v>
      </c>
      <c r="O287" s="140">
        <f t="shared" si="52"/>
        <v>5635.4924999999994</v>
      </c>
      <c r="P287" s="140">
        <f t="shared" si="53"/>
        <v>0</v>
      </c>
      <c r="Q287" s="154">
        <f>Valores!$C$14*D287</f>
        <v>13161.359999999999</v>
      </c>
      <c r="R287" s="154">
        <f>IF(D287&lt;15,(Valores!$E$4*D287),Valores!$D$4)</f>
        <v>6841.19</v>
      </c>
      <c r="S287" s="140">
        <v>0</v>
      </c>
      <c r="T287" s="143">
        <f>IF($H$5="NO",IF(Valores!$C$47*D287&gt;Valores!$C$45,Valores!$C$45,Valores!$C$47*D287),IF(Valores!$C$47*D287&gt;Valores!$C$45,Valores!$C$45,Valores!$C$47*D287)/2)</f>
        <v>2770.95</v>
      </c>
      <c r="U287" s="154">
        <f>Valores!$C$24*D287</f>
        <v>4139.46</v>
      </c>
      <c r="V287" s="140">
        <f t="shared" si="48"/>
        <v>4139.46</v>
      </c>
      <c r="W287" s="140">
        <v>0</v>
      </c>
      <c r="X287" s="140">
        <v>0</v>
      </c>
      <c r="Y287" s="160">
        <v>0</v>
      </c>
      <c r="Z287" s="140">
        <f>Y287*Valores!$C$2</f>
        <v>0</v>
      </c>
      <c r="AA287" s="140">
        <v>0</v>
      </c>
      <c r="AB287" s="143">
        <f>IF(Valores!$C$93*D287&gt;Valores!$C$92,Valores!$C$92,Valores!$C$93*D287)</f>
        <v>3807.41</v>
      </c>
      <c r="AC287" s="145">
        <f>IF((Valores!$C$34)*D287&gt;Valores!$F$34,Valores!$F$34,(Valores!$C$34)*D287)</f>
        <v>325.09000000000003</v>
      </c>
      <c r="AD287" s="140">
        <f t="shared" si="55"/>
        <v>0</v>
      </c>
      <c r="AE287" s="140">
        <f>IF(Valores!$C$35*D287&gt;Valores!$F$35,Valores!$F$35,Valores!$C$35*D287)</f>
        <v>270.86</v>
      </c>
      <c r="AF287" s="144">
        <v>94</v>
      </c>
      <c r="AG287" s="140">
        <f>INT(((AF287*Valores!$C$2)*100)+0.5)/100</f>
        <v>1257.96</v>
      </c>
      <c r="AH287" s="140">
        <f>IF($H$5="NO",IF(Valores!$D$60*'Escala Docente'!D287&gt;Valores!$F$60,Valores!$F$60,Valores!$D$60*'Escala Docente'!D287),IF(Valores!$D$60*'Escala Docente'!D287&gt;Valores!$F$60,Valores!$F$60,Valores!$D$60*'Escala Docente'!D287)/2)</f>
        <v>1100.26</v>
      </c>
      <c r="AI287" s="140">
        <f>IF($H$5="NO",IF(Valores!$D$62*D287&gt;Valores!$F$62,Valores!$F$62,Valores!$D$62*D287),IF(Valores!$D$62*D287&gt;Valores!$F$62,Valores!$F$62,Valores!$D$62*D287)/2)</f>
        <v>314.66933333333333</v>
      </c>
      <c r="AJ287" s="146">
        <f t="shared" si="56"/>
        <v>70284.241833333333</v>
      </c>
      <c r="AK287" s="154">
        <f>IF(Valores!$C$38*D287&gt;Valores!$F$38,Valores!$F$38,Valores!$C$38*D287)</f>
        <v>2833.3</v>
      </c>
      <c r="AL287" s="143">
        <f>IF(Valores!$C$88*D287&gt;Valores!$C$87,Valores!$C$87,Valores!$C$88*D287)</f>
        <v>3298.7499999999995</v>
      </c>
      <c r="AM287" s="143"/>
      <c r="AN287" s="145">
        <f>IF($H$4="NO",0,IF(Valores!$C$59*D287&gt;Valores!$F$59,Valores!$F$59,Valores!$C$59*D287))</f>
        <v>327.60000000000002</v>
      </c>
      <c r="AO287" s="147">
        <f t="shared" si="57"/>
        <v>6459.65</v>
      </c>
      <c r="AP287" s="148">
        <f>AJ287*Valores!$C$69</f>
        <v>-7731.2666016666672</v>
      </c>
      <c r="AQ287" s="149">
        <f>AJ287*-Valores!$C$70</f>
        <v>0</v>
      </c>
      <c r="AR287" s="142">
        <f>AJ287*Valores!$C$71</f>
        <v>-3162.7908825</v>
      </c>
      <c r="AS287" s="142">
        <f>Valores!$C$95</f>
        <v>-193.38</v>
      </c>
      <c r="AT287" s="142">
        <f>IF($H$6=0,Valores!$C$96,(Valores!$C$96+$H$6*(Valores!$C$96)))</f>
        <v>-178</v>
      </c>
      <c r="AU287" s="146">
        <f t="shared" si="58"/>
        <v>65478.454349166663</v>
      </c>
      <c r="AV287" s="199">
        <f t="shared" si="54"/>
        <v>-7731.2666016666672</v>
      </c>
      <c r="AW287" s="142">
        <f>AJ287*Valores!$C$72</f>
        <v>-1897.6745295000001</v>
      </c>
      <c r="AX287" s="142">
        <f>AJ287*Valores!$C$73</f>
        <v>-210.85272549999999</v>
      </c>
      <c r="AY287" s="146">
        <f t="shared" si="59"/>
        <v>66904.097976666657</v>
      </c>
      <c r="AZ287" s="150"/>
      <c r="BA287" s="150">
        <f t="shared" si="49"/>
        <v>29</v>
      </c>
      <c r="BB287" s="135" t="s">
        <v>8</v>
      </c>
    </row>
    <row r="288" spans="1:54" s="114" customFormat="1" ht="11.25" customHeight="1" x14ac:dyDescent="0.15">
      <c r="A288" s="134">
        <v>286</v>
      </c>
      <c r="B288" s="134"/>
      <c r="C288" s="135" t="s">
        <v>497</v>
      </c>
      <c r="D288" s="135">
        <v>30</v>
      </c>
      <c r="E288" s="135">
        <f t="shared" si="51"/>
        <v>34</v>
      </c>
      <c r="F288" s="136" t="str">
        <f>CONCATENATE("Hora Cátedra Enseñanza Media ",D288," hs")</f>
        <v>Hora Cátedra Enseñanza Media 30 hs</v>
      </c>
      <c r="G288" s="137">
        <f t="shared" si="50"/>
        <v>2370</v>
      </c>
      <c r="H288" s="138">
        <f>INT((G288*Valores!$C$2*100)+0.49)/100</f>
        <v>31716.76</v>
      </c>
      <c r="I288" s="156">
        <v>0</v>
      </c>
      <c r="J288" s="140">
        <f>INT((I288*Valores!$C$2*100)+0.5)/100</f>
        <v>0</v>
      </c>
      <c r="K288" s="155">
        <v>0</v>
      </c>
      <c r="L288" s="140">
        <f>INT((K288*Valores!$C$2*100)+0.5)/100</f>
        <v>0</v>
      </c>
      <c r="M288" s="153">
        <v>0</v>
      </c>
      <c r="N288" s="140">
        <f>INT((M288*Valores!$C$2*100)+0.5)/100</f>
        <v>0</v>
      </c>
      <c r="O288" s="140">
        <f t="shared" si="52"/>
        <v>5829.8189999999995</v>
      </c>
      <c r="P288" s="140">
        <f t="shared" si="53"/>
        <v>0</v>
      </c>
      <c r="Q288" s="154">
        <f>Valores!$C$14*D288</f>
        <v>13615.199999999999</v>
      </c>
      <c r="R288" s="154">
        <f>IF(D288&lt;15,(Valores!$E$4*D288),Valores!$D$4)</f>
        <v>6841.19</v>
      </c>
      <c r="S288" s="140">
        <v>0</v>
      </c>
      <c r="T288" s="143">
        <f>IF($H$5="NO",IF(Valores!$C$47*D288&gt;Valores!$C$45,Valores!$C$45,Valores!$C$47*D288),IF(Valores!$C$47*D288&gt;Valores!$C$45,Valores!$C$45,Valores!$C$47*D288)/2)</f>
        <v>2866.5</v>
      </c>
      <c r="U288" s="154">
        <f>Valores!$C$24*D288</f>
        <v>4282.2000000000007</v>
      </c>
      <c r="V288" s="140">
        <f t="shared" si="48"/>
        <v>4282.2000000000007</v>
      </c>
      <c r="W288" s="140">
        <v>0</v>
      </c>
      <c r="X288" s="140">
        <v>0</v>
      </c>
      <c r="Y288" s="160">
        <v>0</v>
      </c>
      <c r="Z288" s="140">
        <f>Y288*Valores!$C$2</f>
        <v>0</v>
      </c>
      <c r="AA288" s="140">
        <v>0</v>
      </c>
      <c r="AB288" s="143">
        <f>IF(Valores!$C$93*D288&gt;Valores!$C$92,Valores!$C$92,Valores!$C$93*D288)</f>
        <v>3938.7</v>
      </c>
      <c r="AC288" s="145">
        <f>IF((Valores!$C$34)*D288&gt;Valores!$F$34,Valores!$F$34,(Valores!$C$34)*D288)</f>
        <v>336.3</v>
      </c>
      <c r="AD288" s="140">
        <f t="shared" si="55"/>
        <v>0</v>
      </c>
      <c r="AE288" s="140">
        <f>IF(Valores!$C$35*D288&gt;Valores!$F$35,Valores!$F$35,Valores!$C$35*D288)</f>
        <v>279.8</v>
      </c>
      <c r="AF288" s="144">
        <v>0</v>
      </c>
      <c r="AG288" s="140">
        <f>INT(((AF288*Valores!$C$2)*100)+0.5)/100</f>
        <v>0</v>
      </c>
      <c r="AH288" s="140">
        <f>IF($H$5="NO",IF(Valores!$D$60*'Escala Docente'!D288&gt;Valores!$F$60,Valores!$F$60,Valores!$D$60*'Escala Docente'!D288),IF(Valores!$D$60*'Escala Docente'!D288&gt;Valores!$F$60,Valores!$F$60,Valores!$D$60*'Escala Docente'!D288)/2)</f>
        <v>1138.1999999999998</v>
      </c>
      <c r="AI288" s="140">
        <f>IF($H$5="NO",IF(Valores!$D$62*D288&gt;Valores!$F$62,Valores!$F$62,Valores!$D$62*D288),IF(Valores!$D$62*D288&gt;Valores!$F$62,Valores!$F$62,Valores!$D$62*D288)/2)</f>
        <v>325.22000000000003</v>
      </c>
      <c r="AJ288" s="146">
        <f t="shared" si="56"/>
        <v>71169.888999999996</v>
      </c>
      <c r="AK288" s="154">
        <f>IF(Valores!$C$38*D288&gt;Valores!$F$38,Valores!$F$38,Valores!$C$38*D288)</f>
        <v>2931</v>
      </c>
      <c r="AL288" s="143">
        <f>IF(Valores!$C$88*D288&gt;Valores!$C$87,Valores!$C$87,Valores!$C$88*D288)</f>
        <v>3412.4999999999995</v>
      </c>
      <c r="AM288" s="143"/>
      <c r="AN288" s="145">
        <f>IF($H$4="NO",0,IF(Valores!$C$59*D288&gt;Valores!$F$59,Valores!$F$59,Valores!$C$59*D288))</f>
        <v>327.60000000000002</v>
      </c>
      <c r="AO288" s="147">
        <f t="shared" si="57"/>
        <v>6671.1</v>
      </c>
      <c r="AP288" s="148">
        <f>AJ288*Valores!$C$69</f>
        <v>-7828.6877899999999</v>
      </c>
      <c r="AQ288" s="149">
        <f>AJ288*-Valores!$C$70</f>
        <v>0</v>
      </c>
      <c r="AR288" s="142">
        <f>AJ288*Valores!$C$71</f>
        <v>-3202.6450049999999</v>
      </c>
      <c r="AS288" s="142">
        <f>Valores!$C$95</f>
        <v>-193.38</v>
      </c>
      <c r="AT288" s="142">
        <f>IF($H$6=0,Valores!$C$96,(Valores!$C$96+$H$6*(Valores!$C$96)))</f>
        <v>-178</v>
      </c>
      <c r="AU288" s="146">
        <f t="shared" si="58"/>
        <v>66438.276205000002</v>
      </c>
      <c r="AV288" s="199">
        <f t="shared" si="54"/>
        <v>-7828.6877899999999</v>
      </c>
      <c r="AW288" s="142">
        <f>AJ288*Valores!$C$72</f>
        <v>-1921.5870029999999</v>
      </c>
      <c r="AX288" s="142">
        <f>AJ288*Valores!$C$73</f>
        <v>-213.50966699999998</v>
      </c>
      <c r="AY288" s="146">
        <f t="shared" si="59"/>
        <v>67877.204540000006</v>
      </c>
      <c r="AZ288" s="150"/>
      <c r="BA288" s="150">
        <f t="shared" si="49"/>
        <v>30</v>
      </c>
      <c r="BB288" s="135" t="s">
        <v>4</v>
      </c>
    </row>
    <row r="289" spans="1:1022" s="114" customFormat="1" ht="11.25" customHeight="1" x14ac:dyDescent="0.15">
      <c r="A289" s="134">
        <v>287</v>
      </c>
      <c r="B289" s="134"/>
      <c r="C289" s="135" t="s">
        <v>497</v>
      </c>
      <c r="D289" s="135">
        <v>30</v>
      </c>
      <c r="E289" s="135">
        <f t="shared" si="51"/>
        <v>42</v>
      </c>
      <c r="F289" s="136" t="str">
        <f>CONCATENATE("Hora Cátedra Enseñanza Media ",D289," hs Esc Esp")</f>
        <v>Hora Cátedra Enseñanza Media 30 hs Esc Esp</v>
      </c>
      <c r="G289" s="137">
        <f t="shared" si="50"/>
        <v>2370</v>
      </c>
      <c r="H289" s="138">
        <f>INT((G289*Valores!$C$2*100)+0.49)/100</f>
        <v>31716.76</v>
      </c>
      <c r="I289" s="156">
        <v>0</v>
      </c>
      <c r="J289" s="140">
        <f>INT((I289*Valores!$C$2*100)+0.5)/100</f>
        <v>0</v>
      </c>
      <c r="K289" s="155">
        <v>0</v>
      </c>
      <c r="L289" s="140">
        <f>INT((K289*Valores!$C$2*100)+0.5)/100</f>
        <v>0</v>
      </c>
      <c r="M289" s="153">
        <v>0</v>
      </c>
      <c r="N289" s="140">
        <f>INT((M289*Valores!$C$2*100)+0.5)/100</f>
        <v>0</v>
      </c>
      <c r="O289" s="140">
        <f t="shared" si="52"/>
        <v>5829.8189999999995</v>
      </c>
      <c r="P289" s="140">
        <f t="shared" si="53"/>
        <v>0</v>
      </c>
      <c r="Q289" s="154">
        <f>Valores!$C$14*D289</f>
        <v>13615.199999999999</v>
      </c>
      <c r="R289" s="154">
        <f>IF(D289&lt;15,(Valores!$E$4*D289),Valores!$D$4)</f>
        <v>6841.19</v>
      </c>
      <c r="S289" s="140">
        <v>0</v>
      </c>
      <c r="T289" s="143">
        <f>IF($H$5="NO",IF(Valores!$C$47*D289&gt;Valores!$C$45,Valores!$C$45,Valores!$C$47*D289),IF(Valores!$C$47*D289&gt;Valores!$C$45,Valores!$C$45,Valores!$C$47*D289)/2)</f>
        <v>2866.5</v>
      </c>
      <c r="U289" s="154">
        <f>Valores!$C$24*D289</f>
        <v>4282.2000000000007</v>
      </c>
      <c r="V289" s="140">
        <f t="shared" si="48"/>
        <v>4282.2000000000007</v>
      </c>
      <c r="W289" s="140">
        <v>0</v>
      </c>
      <c r="X289" s="140">
        <v>0</v>
      </c>
      <c r="Y289" s="160">
        <v>0</v>
      </c>
      <c r="Z289" s="140">
        <f>Y289*Valores!$C$2</f>
        <v>0</v>
      </c>
      <c r="AA289" s="140">
        <v>0</v>
      </c>
      <c r="AB289" s="143">
        <f>IF(Valores!$C$93*D289&gt;Valores!$C$92,Valores!$C$92,Valores!$C$93*D289)</f>
        <v>3938.7</v>
      </c>
      <c r="AC289" s="145">
        <f>IF((Valores!$C$34)*D289&gt;Valores!$F$34,Valores!$F$34,(Valores!$C$34)*D289)</f>
        <v>336.3</v>
      </c>
      <c r="AD289" s="140">
        <f t="shared" si="55"/>
        <v>0</v>
      </c>
      <c r="AE289" s="140">
        <f>IF(Valores!$C$35*D289&gt;Valores!$F$35,Valores!$F$35,Valores!$C$35*D289)</f>
        <v>279.8</v>
      </c>
      <c r="AF289" s="144">
        <v>94</v>
      </c>
      <c r="AG289" s="140">
        <f>INT(((AF289*Valores!$C$2)*100)+0.5)/100</f>
        <v>1257.96</v>
      </c>
      <c r="AH289" s="140">
        <f>IF($H$5="NO",IF(Valores!$D$60*'Escala Docente'!D289&gt;Valores!$F$60,Valores!$F$60,Valores!$D$60*'Escala Docente'!D289),IF(Valores!$D$60*'Escala Docente'!D289&gt;Valores!$F$60,Valores!$F$60,Valores!$D$60*'Escala Docente'!D289)/2)</f>
        <v>1138.1999999999998</v>
      </c>
      <c r="AI289" s="140">
        <f>IF($H$5="NO",IF(Valores!$D$62*D289&gt;Valores!$F$62,Valores!$F$62,Valores!$D$62*D289),IF(Valores!$D$62*D289&gt;Valores!$F$62,Valores!$F$62,Valores!$D$62*D289)/2)</f>
        <v>325.22000000000003</v>
      </c>
      <c r="AJ289" s="146">
        <f t="shared" si="56"/>
        <v>72427.848999999987</v>
      </c>
      <c r="AK289" s="154">
        <f>IF(Valores!$C$38*D289&gt;Valores!$F$38,Valores!$F$38,Valores!$C$38*D289)</f>
        <v>2931</v>
      </c>
      <c r="AL289" s="143">
        <f>IF(Valores!$C$88*D289&gt;Valores!$C$87,Valores!$C$87,Valores!$C$88*D289)</f>
        <v>3412.4999999999995</v>
      </c>
      <c r="AM289" s="143"/>
      <c r="AN289" s="145">
        <f>IF($H$4="NO",0,IF(Valores!$C$59*D289&gt;Valores!$F$59,Valores!$F$59,Valores!$C$59*D289))</f>
        <v>327.60000000000002</v>
      </c>
      <c r="AO289" s="147">
        <f t="shared" si="57"/>
        <v>6671.1</v>
      </c>
      <c r="AP289" s="148">
        <f>AJ289*Valores!$C$69</f>
        <v>-7967.0633899999984</v>
      </c>
      <c r="AQ289" s="149">
        <f>AJ289*-Valores!$C$70</f>
        <v>0</v>
      </c>
      <c r="AR289" s="142">
        <f>AJ289*Valores!$C$71</f>
        <v>-3259.2532049999995</v>
      </c>
      <c r="AS289" s="142">
        <f>Valores!$C$95</f>
        <v>-193.38</v>
      </c>
      <c r="AT289" s="142">
        <f>IF($H$6=0,Valores!$C$96,(Valores!$C$96+$H$6*(Valores!$C$96)))</f>
        <v>-178</v>
      </c>
      <c r="AU289" s="146">
        <f t="shared" si="58"/>
        <v>67501.252404999992</v>
      </c>
      <c r="AV289" s="199">
        <f t="shared" si="54"/>
        <v>-7967.0633899999984</v>
      </c>
      <c r="AW289" s="142">
        <f>AJ289*Valores!$C$72</f>
        <v>-1955.5519229999995</v>
      </c>
      <c r="AX289" s="142">
        <f>AJ289*Valores!$C$73</f>
        <v>-217.28354699999997</v>
      </c>
      <c r="AY289" s="146">
        <f t="shared" si="59"/>
        <v>68959.050139999992</v>
      </c>
      <c r="AZ289" s="150"/>
      <c r="BA289" s="150">
        <f t="shared" si="49"/>
        <v>30</v>
      </c>
      <c r="BB289" s="135" t="s">
        <v>4</v>
      </c>
    </row>
    <row r="290" spans="1:1022" s="114" customFormat="1" ht="11.25" customHeight="1" x14ac:dyDescent="0.15">
      <c r="A290" s="134">
        <v>288</v>
      </c>
      <c r="B290" s="134"/>
      <c r="C290" s="135" t="s">
        <v>497</v>
      </c>
      <c r="D290" s="135">
        <v>31</v>
      </c>
      <c r="E290" s="135">
        <f t="shared" si="51"/>
        <v>34</v>
      </c>
      <c r="F290" s="136" t="str">
        <f>CONCATENATE("Hora Cátedra Enseñanza Media ",D290," hs")</f>
        <v>Hora Cátedra Enseñanza Media 31 hs</v>
      </c>
      <c r="G290" s="137">
        <f t="shared" si="50"/>
        <v>2449</v>
      </c>
      <c r="H290" s="138">
        <f>INT((G290*Valores!$C$2*100)+0.49)/100</f>
        <v>32773.99</v>
      </c>
      <c r="I290" s="156">
        <v>0</v>
      </c>
      <c r="J290" s="140">
        <f>INT((I290*Valores!$C$2*100)+0.5)/100</f>
        <v>0</v>
      </c>
      <c r="K290" s="155">
        <v>0</v>
      </c>
      <c r="L290" s="140">
        <f>INT((K290*Valores!$C$2*100)+0.5)/100</f>
        <v>0</v>
      </c>
      <c r="M290" s="153">
        <v>0</v>
      </c>
      <c r="N290" s="140">
        <f>INT((M290*Valores!$C$2*100)+0.5)/100</f>
        <v>0</v>
      </c>
      <c r="O290" s="140">
        <f t="shared" si="52"/>
        <v>6024.1469999999999</v>
      </c>
      <c r="P290" s="140">
        <f t="shared" si="53"/>
        <v>0</v>
      </c>
      <c r="Q290" s="154">
        <f>Valores!$C$14*D290</f>
        <v>14069.039999999999</v>
      </c>
      <c r="R290" s="154">
        <f>IF(D290&lt;15,(Valores!$E$4*D290),Valores!$D$4)</f>
        <v>6841.19</v>
      </c>
      <c r="S290" s="140">
        <v>0</v>
      </c>
      <c r="T290" s="143">
        <f>IF($H$5="NO",IF(Valores!$C$47*D290&gt;Valores!$C$45,Valores!$C$45,Valores!$C$47*D290),IF(Valores!$C$47*D290&gt;Valores!$C$45,Valores!$C$45,Valores!$C$47*D290)/2)</f>
        <v>2962.0499999999997</v>
      </c>
      <c r="U290" s="154">
        <f>Valores!$C$24*D290</f>
        <v>4424.9400000000005</v>
      </c>
      <c r="V290" s="140">
        <f t="shared" si="48"/>
        <v>4424.9400000000005</v>
      </c>
      <c r="W290" s="140">
        <v>0</v>
      </c>
      <c r="X290" s="140">
        <v>0</v>
      </c>
      <c r="Y290" s="160">
        <v>0</v>
      </c>
      <c r="Z290" s="140">
        <f>Y290*Valores!$C$2</f>
        <v>0</v>
      </c>
      <c r="AA290" s="140">
        <v>0</v>
      </c>
      <c r="AB290" s="143">
        <f>IF(Valores!$C$93*D290&gt;Valores!$C$92,Valores!$C$92,Valores!$C$93*D290)</f>
        <v>4069.99</v>
      </c>
      <c r="AC290" s="145">
        <f>IF((Valores!$C$34)*D290&gt;Valores!$F$34,Valores!$F$34,(Valores!$C$34)*D290)</f>
        <v>347.51000000000005</v>
      </c>
      <c r="AD290" s="140">
        <f t="shared" si="55"/>
        <v>0</v>
      </c>
      <c r="AE290" s="140">
        <f>IF(Valores!$C$35*D290&gt;Valores!$F$35,Valores!$F$35,Valores!$C$35*D290)</f>
        <v>279.8</v>
      </c>
      <c r="AF290" s="144">
        <v>0</v>
      </c>
      <c r="AG290" s="140">
        <f>INT(((AF290*Valores!$C$2)*100)+0.5)/100</f>
        <v>0</v>
      </c>
      <c r="AH290" s="140">
        <f>IF($H$5="NO",IF(Valores!$D$60*'Escala Docente'!D290&gt;Valores!$F$60,Valores!$F$60,Valores!$D$60*'Escala Docente'!D290),IF(Valores!$D$60*'Escala Docente'!D290&gt;Valores!$F$60,Valores!$F$60,Valores!$D$60*'Escala Docente'!D290)/2)</f>
        <v>1138.28</v>
      </c>
      <c r="AI290" s="140">
        <f>IF($H$5="NO",IF(Valores!$D$62*D290&gt;Valores!$F$62,Valores!$F$62,Valores!$D$62*D290),IF(Valores!$D$62*D290&gt;Valores!$F$62,Valores!$F$62,Valores!$D$62*D290)/2)</f>
        <v>325.22000000000003</v>
      </c>
      <c r="AJ290" s="146">
        <f t="shared" si="56"/>
        <v>73256.157000000007</v>
      </c>
      <c r="AK290" s="154">
        <f>IF(Valores!$C$38*D290&gt;Valores!$F$38,Valores!$F$38,Valores!$C$38*D290)</f>
        <v>2931.13</v>
      </c>
      <c r="AL290" s="143">
        <f>IF(Valores!$C$88*D290&gt;Valores!$C$87,Valores!$C$87,Valores!$C$88*D290)</f>
        <v>3526.2499999999995</v>
      </c>
      <c r="AM290" s="143"/>
      <c r="AN290" s="145">
        <f>IF($H$4="NO",0,IF(Valores!$C$59*D290&gt;Valores!$F$59,Valores!$F$59,Valores!$C$59*D290))</f>
        <v>327.60000000000002</v>
      </c>
      <c r="AO290" s="147">
        <f t="shared" si="57"/>
        <v>6784.98</v>
      </c>
      <c r="AP290" s="148">
        <f>AJ290*Valores!$C$69</f>
        <v>-8058.177270000001</v>
      </c>
      <c r="AQ290" s="149">
        <f>AJ290*-Valores!$C$70</f>
        <v>0</v>
      </c>
      <c r="AR290" s="142">
        <f>AJ290*Valores!$C$71</f>
        <v>-3296.5270650000002</v>
      </c>
      <c r="AS290" s="142">
        <f>Valores!$C$95</f>
        <v>-193.38</v>
      </c>
      <c r="AT290" s="142">
        <f>IF($H$6=0,Valores!$C$96,(Valores!$C$96+$H$6*(Valores!$C$96)))</f>
        <v>-178</v>
      </c>
      <c r="AU290" s="146">
        <f t="shared" si="58"/>
        <v>68315.05266500001</v>
      </c>
      <c r="AV290" s="199">
        <f t="shared" si="54"/>
        <v>-8058.177270000001</v>
      </c>
      <c r="AW290" s="142">
        <f>AJ290*Valores!$C$72</f>
        <v>-1977.9162390000001</v>
      </c>
      <c r="AX290" s="142">
        <f>AJ290*Valores!$C$73</f>
        <v>-219.76847100000003</v>
      </c>
      <c r="AY290" s="146">
        <f t="shared" si="59"/>
        <v>69785.275020000001</v>
      </c>
      <c r="AZ290" s="150"/>
      <c r="BA290" s="150">
        <f t="shared" ref="BA290:BA302" si="60">1*D290</f>
        <v>31</v>
      </c>
      <c r="BB290" s="135" t="s">
        <v>8</v>
      </c>
    </row>
    <row r="291" spans="1:1022" s="114" customFormat="1" ht="11.25" customHeight="1" x14ac:dyDescent="0.15">
      <c r="A291" s="134">
        <v>289</v>
      </c>
      <c r="B291" s="134"/>
      <c r="C291" s="135" t="s">
        <v>497</v>
      </c>
      <c r="D291" s="135">
        <v>31</v>
      </c>
      <c r="E291" s="135">
        <f t="shared" si="51"/>
        <v>42</v>
      </c>
      <c r="F291" s="136" t="str">
        <f>CONCATENATE("Hora Cátedra Enseñanza Media ",D291," hs Esc Esp")</f>
        <v>Hora Cátedra Enseñanza Media 31 hs Esc Esp</v>
      </c>
      <c r="G291" s="137">
        <f t="shared" si="50"/>
        <v>2449</v>
      </c>
      <c r="H291" s="138">
        <f>INT((G291*Valores!$C$2*100)+0.49)/100</f>
        <v>32773.99</v>
      </c>
      <c r="I291" s="156">
        <v>0</v>
      </c>
      <c r="J291" s="140">
        <f>INT((I291*Valores!$C$2*100)+0.5)/100</f>
        <v>0</v>
      </c>
      <c r="K291" s="155">
        <v>0</v>
      </c>
      <c r="L291" s="140">
        <f>INT((K291*Valores!$C$2*100)+0.5)/100</f>
        <v>0</v>
      </c>
      <c r="M291" s="153">
        <v>0</v>
      </c>
      <c r="N291" s="140">
        <f>INT((M291*Valores!$C$2*100)+0.5)/100</f>
        <v>0</v>
      </c>
      <c r="O291" s="140">
        <f t="shared" si="52"/>
        <v>6024.1469999999999</v>
      </c>
      <c r="P291" s="140">
        <f t="shared" si="53"/>
        <v>0</v>
      </c>
      <c r="Q291" s="154">
        <f>Valores!$C$14*D291</f>
        <v>14069.039999999999</v>
      </c>
      <c r="R291" s="154">
        <f>IF(D291&lt;15,(Valores!$E$4*D291),Valores!$D$4)</f>
        <v>6841.19</v>
      </c>
      <c r="S291" s="140">
        <v>0</v>
      </c>
      <c r="T291" s="143">
        <f>IF($H$5="NO",IF(Valores!$C$47*D291&gt;Valores!$C$45,Valores!$C$45,Valores!$C$47*D291),IF(Valores!$C$47*D291&gt;Valores!$C$45,Valores!$C$45,Valores!$C$47*D291)/2)</f>
        <v>2962.0499999999997</v>
      </c>
      <c r="U291" s="154">
        <f>Valores!$C$24*D291</f>
        <v>4424.9400000000005</v>
      </c>
      <c r="V291" s="140">
        <f t="shared" si="48"/>
        <v>4424.9400000000005</v>
      </c>
      <c r="W291" s="140">
        <v>0</v>
      </c>
      <c r="X291" s="140">
        <v>0</v>
      </c>
      <c r="Y291" s="160">
        <v>0</v>
      </c>
      <c r="Z291" s="140">
        <f>Y291*Valores!$C$2</f>
        <v>0</v>
      </c>
      <c r="AA291" s="140">
        <v>0</v>
      </c>
      <c r="AB291" s="143">
        <f>IF(Valores!$C$93*D291&gt;Valores!$C$92,Valores!$C$92,Valores!$C$93*D291)</f>
        <v>4069.99</v>
      </c>
      <c r="AC291" s="145">
        <f>IF((Valores!$C$34)*D291&gt;Valores!$F$34,Valores!$F$34,(Valores!$C$34)*D291)</f>
        <v>347.51000000000005</v>
      </c>
      <c r="AD291" s="140">
        <f t="shared" si="55"/>
        <v>0</v>
      </c>
      <c r="AE291" s="140">
        <f>IF(Valores!$C$35*D291&gt;Valores!$F$35,Valores!$F$35,Valores!$C$35*D291)</f>
        <v>279.8</v>
      </c>
      <c r="AF291" s="144">
        <v>94</v>
      </c>
      <c r="AG291" s="140">
        <f>INT(((AF291*Valores!$C$2)*100)+0.5)/100</f>
        <v>1257.96</v>
      </c>
      <c r="AH291" s="140">
        <f>IF($H$5="NO",IF(Valores!$D$60*'Escala Docente'!D291&gt;Valores!$F$60,Valores!$F$60,Valores!$D$60*'Escala Docente'!D291),IF(Valores!$D$60*'Escala Docente'!D291&gt;Valores!$F$60,Valores!$F$60,Valores!$D$60*'Escala Docente'!D291)/2)</f>
        <v>1138.28</v>
      </c>
      <c r="AI291" s="140">
        <f>IF($H$5="NO",IF(Valores!$D$62*D291&gt;Valores!$F$62,Valores!$F$62,Valores!$D$62*D291),IF(Valores!$D$62*D291&gt;Valores!$F$62,Valores!$F$62,Valores!$D$62*D291)/2)</f>
        <v>325.22000000000003</v>
      </c>
      <c r="AJ291" s="146">
        <f t="shared" si="56"/>
        <v>74514.117000000013</v>
      </c>
      <c r="AK291" s="154">
        <f>IF(Valores!$C$38*D291&gt;Valores!$F$38,Valores!$F$38,Valores!$C$38*D291)</f>
        <v>2931.13</v>
      </c>
      <c r="AL291" s="143">
        <f>IF(Valores!$C$88*D291&gt;Valores!$C$87,Valores!$C$87,Valores!$C$88*D291)</f>
        <v>3526.2499999999995</v>
      </c>
      <c r="AM291" s="143"/>
      <c r="AN291" s="145">
        <f>IF($H$4="NO",0,IF(Valores!$C$59*D291&gt;Valores!$F$59,Valores!$F$59,Valores!$C$59*D291))</f>
        <v>327.60000000000002</v>
      </c>
      <c r="AO291" s="147">
        <f t="shared" si="57"/>
        <v>6784.98</v>
      </c>
      <c r="AP291" s="148">
        <f>AJ291*Valores!$C$69</f>
        <v>-8196.5528700000013</v>
      </c>
      <c r="AQ291" s="149">
        <f>AJ291*-Valores!$C$70</f>
        <v>0</v>
      </c>
      <c r="AR291" s="142">
        <f>AJ291*Valores!$C$71</f>
        <v>-3353.1352650000003</v>
      </c>
      <c r="AS291" s="142">
        <f>Valores!$C$95</f>
        <v>-193.38</v>
      </c>
      <c r="AT291" s="142">
        <f>IF($H$6=0,Valores!$C$96,(Valores!$C$96+$H$6*(Valores!$C$96)))</f>
        <v>-178</v>
      </c>
      <c r="AU291" s="146">
        <f t="shared" si="58"/>
        <v>69378.028865000015</v>
      </c>
      <c r="AV291" s="199">
        <f t="shared" si="54"/>
        <v>-8196.5528700000013</v>
      </c>
      <c r="AW291" s="142">
        <f>AJ291*Valores!$C$72</f>
        <v>-2011.8811590000003</v>
      </c>
      <c r="AX291" s="142">
        <f>AJ291*Valores!$C$73</f>
        <v>-223.54235100000005</v>
      </c>
      <c r="AY291" s="146">
        <f t="shared" si="59"/>
        <v>70867.120620000002</v>
      </c>
      <c r="AZ291" s="150"/>
      <c r="BA291" s="150">
        <f t="shared" si="60"/>
        <v>31</v>
      </c>
      <c r="BB291" s="135" t="s">
        <v>8</v>
      </c>
    </row>
    <row r="292" spans="1:1022" s="114" customFormat="1" ht="11.25" customHeight="1" x14ac:dyDescent="0.15">
      <c r="A292" s="152">
        <v>290</v>
      </c>
      <c r="B292" s="152" t="s">
        <v>139</v>
      </c>
      <c r="C292" s="135" t="s">
        <v>497</v>
      </c>
      <c r="D292" s="135">
        <v>32</v>
      </c>
      <c r="E292" s="135">
        <f t="shared" si="51"/>
        <v>34</v>
      </c>
      <c r="F292" s="136" t="str">
        <f>CONCATENATE("Hora Cátedra Enseñanza Media ",D292," hs")</f>
        <v>Hora Cátedra Enseñanza Media 32 hs</v>
      </c>
      <c r="G292" s="137">
        <f t="shared" si="50"/>
        <v>2528</v>
      </c>
      <c r="H292" s="138">
        <f>INT((G292*Valores!$C$2*100)+0.49)/100</f>
        <v>33831.21</v>
      </c>
      <c r="I292" s="156">
        <v>0</v>
      </c>
      <c r="J292" s="140">
        <f>INT((I292*Valores!$C$2*100)+0.5)/100</f>
        <v>0</v>
      </c>
      <c r="K292" s="155">
        <v>0</v>
      </c>
      <c r="L292" s="140">
        <f>INT((K292*Valores!$C$2*100)+0.5)/100</f>
        <v>0</v>
      </c>
      <c r="M292" s="153">
        <v>0</v>
      </c>
      <c r="N292" s="140">
        <f>INT((M292*Valores!$C$2*100)+0.5)/100</f>
        <v>0</v>
      </c>
      <c r="O292" s="140">
        <f t="shared" si="52"/>
        <v>6218.4734999999991</v>
      </c>
      <c r="P292" s="140">
        <f t="shared" si="53"/>
        <v>0</v>
      </c>
      <c r="Q292" s="154">
        <f>Valores!$C$14*D292</f>
        <v>14522.88</v>
      </c>
      <c r="R292" s="154">
        <f>IF(D292&lt;15,(Valores!$E$4*D292),Valores!$D$4)</f>
        <v>6841.19</v>
      </c>
      <c r="S292" s="140">
        <v>0</v>
      </c>
      <c r="T292" s="143">
        <f>IF($H$5="NO",IF(Valores!$C$47*D292&gt;Valores!$C$45,Valores!$C$45,Valores!$C$47*D292),IF(Valores!$C$47*D292&gt;Valores!$C$45,Valores!$C$45,Valores!$C$47*D292)/2)</f>
        <v>3057.6</v>
      </c>
      <c r="U292" s="154">
        <f>Valores!$C$24*D292</f>
        <v>4567.68</v>
      </c>
      <c r="V292" s="140">
        <f t="shared" si="48"/>
        <v>4567.68</v>
      </c>
      <c r="W292" s="140">
        <v>0</v>
      </c>
      <c r="X292" s="140">
        <v>0</v>
      </c>
      <c r="Y292" s="160">
        <v>0</v>
      </c>
      <c r="Z292" s="140">
        <f>Y292*Valores!$C$2</f>
        <v>0</v>
      </c>
      <c r="AA292" s="140">
        <v>0</v>
      </c>
      <c r="AB292" s="143">
        <f>IF(Valores!$C$93*D292&gt;Valores!$C$92,Valores!$C$92,Valores!$C$93*D292)</f>
        <v>4201.28</v>
      </c>
      <c r="AC292" s="145">
        <f>IF((Valores!$C$34)*D292&gt;Valores!$F$34,Valores!$F$34,(Valores!$C$34)*D292)</f>
        <v>358.72</v>
      </c>
      <c r="AD292" s="140">
        <f t="shared" si="55"/>
        <v>0</v>
      </c>
      <c r="AE292" s="140">
        <f>IF(Valores!$C$35*D292&gt;Valores!$F$35,Valores!$F$35,Valores!$C$35*D292)</f>
        <v>279.8</v>
      </c>
      <c r="AF292" s="144">
        <v>0</v>
      </c>
      <c r="AG292" s="140">
        <f>INT(((AF292*Valores!$C$2)*100)+0.5)/100</f>
        <v>0</v>
      </c>
      <c r="AH292" s="140">
        <f>IF($H$5="NO",IF(Valores!$D$60*'Escala Docente'!D292&gt;Valores!$F$60,Valores!$F$60,Valores!$D$60*'Escala Docente'!D292),IF(Valores!$D$60*'Escala Docente'!D292&gt;Valores!$F$60,Valores!$F$60,Valores!$D$60*'Escala Docente'!D292)/2)</f>
        <v>1138.28</v>
      </c>
      <c r="AI292" s="140">
        <f>IF($H$5="NO",IF(Valores!$D$62*D292&gt;Valores!$F$62,Valores!$F$62,Valores!$D$62*D292),IF(Valores!$D$62*D292&gt;Valores!$F$62,Valores!$F$62,Valores!$D$62*D292)/2)</f>
        <v>325.22000000000003</v>
      </c>
      <c r="AJ292" s="146">
        <f>SUM(H292,J292,L292,N292,O292,P292,Q292,R292,S292,V292,W292,X292,Z292,AA292,AC292,AD292,AE292,AG292,T292,AH292,AI292,AB292)</f>
        <v>75342.333500000008</v>
      </c>
      <c r="AK292" s="154">
        <f>IF(Valores!$C$38*D292&gt;Valores!$F$38,Valores!$F$38,Valores!$C$38*D292)</f>
        <v>2931.13</v>
      </c>
      <c r="AL292" s="143">
        <f>IF(Valores!$C$88*D292&gt;Valores!$C$87,Valores!$C$87,Valores!$C$88*D292)</f>
        <v>3639.9999999999995</v>
      </c>
      <c r="AM292" s="143"/>
      <c r="AN292" s="145">
        <f>IF($H$4="NO",0,IF(Valores!$C$59*D292&gt;Valores!$F$59,Valores!$F$59,Valores!$C$59*D292))</f>
        <v>327.60000000000002</v>
      </c>
      <c r="AO292" s="147">
        <f t="shared" si="57"/>
        <v>6898.73</v>
      </c>
      <c r="AP292" s="148">
        <f>AJ292*Valores!$C$69</f>
        <v>-8287.6566850000017</v>
      </c>
      <c r="AQ292" s="149">
        <f>AJ292*-Valores!$C$70</f>
        <v>0</v>
      </c>
      <c r="AR292" s="142">
        <f>AJ292*Valores!$C$71</f>
        <v>-3390.4050075</v>
      </c>
      <c r="AS292" s="142">
        <f>Valores!$C$95</f>
        <v>-193.38</v>
      </c>
      <c r="AT292" s="142">
        <f>IF($H$6=0,Valores!$C$96,(Valores!$C$96+$H$6*(Valores!$C$96)))</f>
        <v>-178</v>
      </c>
      <c r="AU292" s="146">
        <f t="shared" si="58"/>
        <v>70191.621807500007</v>
      </c>
      <c r="AV292" s="199">
        <f t="shared" si="54"/>
        <v>-8287.6566850000017</v>
      </c>
      <c r="AW292" s="142">
        <f>AJ292*Valores!$C$72</f>
        <v>-2034.2430045000001</v>
      </c>
      <c r="AX292" s="142">
        <f>AJ292*Valores!$C$73</f>
        <v>-226.02700050000004</v>
      </c>
      <c r="AY292" s="146">
        <f t="shared" si="59"/>
        <v>71693.136809999996</v>
      </c>
      <c r="AZ292" s="150"/>
      <c r="BA292" s="150">
        <f t="shared" si="60"/>
        <v>32</v>
      </c>
      <c r="BB292" s="135" t="s">
        <v>8</v>
      </c>
    </row>
    <row r="293" spans="1:1022" s="114" customFormat="1" ht="11.25" customHeight="1" x14ac:dyDescent="0.15">
      <c r="A293" s="134">
        <v>291</v>
      </c>
      <c r="B293" s="134"/>
      <c r="C293" s="135" t="s">
        <v>497</v>
      </c>
      <c r="D293" s="135">
        <v>32</v>
      </c>
      <c r="E293" s="135">
        <f t="shared" si="51"/>
        <v>42</v>
      </c>
      <c r="F293" s="136" t="str">
        <f>CONCATENATE("Hora Cátedra Enseñanza Media ",D293," hs Esc Esp")</f>
        <v>Hora Cátedra Enseñanza Media 32 hs Esc Esp</v>
      </c>
      <c r="G293" s="137">
        <f t="shared" si="50"/>
        <v>2528</v>
      </c>
      <c r="H293" s="138">
        <f>INT((G293*Valores!$C$2*100)+0.49)/100</f>
        <v>33831.21</v>
      </c>
      <c r="I293" s="156">
        <v>0</v>
      </c>
      <c r="J293" s="140">
        <f>INT((I293*Valores!$C$2*100)+0.5)/100</f>
        <v>0</v>
      </c>
      <c r="K293" s="155">
        <v>0</v>
      </c>
      <c r="L293" s="140">
        <f>INT((K293*Valores!$C$2*100)+0.5)/100</f>
        <v>0</v>
      </c>
      <c r="M293" s="153">
        <v>0</v>
      </c>
      <c r="N293" s="140">
        <f>INT((M293*Valores!$C$2*100)+0.5)/100</f>
        <v>0</v>
      </c>
      <c r="O293" s="140">
        <f t="shared" si="52"/>
        <v>6218.4734999999991</v>
      </c>
      <c r="P293" s="140">
        <f t="shared" si="53"/>
        <v>0</v>
      </c>
      <c r="Q293" s="154">
        <f>Valores!$C$14*D293</f>
        <v>14522.88</v>
      </c>
      <c r="R293" s="154">
        <f>IF(D293&lt;15,(Valores!$E$4*D293),Valores!$D$4)</f>
        <v>6841.19</v>
      </c>
      <c r="S293" s="140">
        <v>0</v>
      </c>
      <c r="T293" s="143">
        <f>IF($H$5="NO",IF(Valores!$C$47*D293&gt;Valores!$C$45,Valores!$C$45,Valores!$C$47*D293),IF(Valores!$C$47*D293&gt;Valores!$C$45,Valores!$C$45,Valores!$C$47*D293)/2)</f>
        <v>3057.6</v>
      </c>
      <c r="U293" s="154">
        <f>Valores!$C$24*D293</f>
        <v>4567.68</v>
      </c>
      <c r="V293" s="140">
        <f t="shared" si="48"/>
        <v>4567.68</v>
      </c>
      <c r="W293" s="140">
        <v>0</v>
      </c>
      <c r="X293" s="140">
        <v>0</v>
      </c>
      <c r="Y293" s="160">
        <v>0</v>
      </c>
      <c r="Z293" s="140">
        <f>Y293*Valores!$C$2</f>
        <v>0</v>
      </c>
      <c r="AA293" s="140">
        <v>0</v>
      </c>
      <c r="AB293" s="143">
        <f>IF(Valores!$C$93*D293&gt;Valores!$C$92,Valores!$C$92,Valores!$C$93*D293)</f>
        <v>4201.28</v>
      </c>
      <c r="AC293" s="145">
        <f>IF((Valores!$C$34)*D293&gt;Valores!$F$34,Valores!$F$34,(Valores!$C$34)*D293)</f>
        <v>358.72</v>
      </c>
      <c r="AD293" s="140">
        <f t="shared" si="55"/>
        <v>0</v>
      </c>
      <c r="AE293" s="140">
        <f>IF(Valores!$C$35*D293&gt;Valores!$F$35,Valores!$F$35,Valores!$C$35*D293)</f>
        <v>279.8</v>
      </c>
      <c r="AF293" s="144">
        <v>94</v>
      </c>
      <c r="AG293" s="140">
        <f>INT(((AF293*Valores!$C$2)*100)+0.5)/100</f>
        <v>1257.96</v>
      </c>
      <c r="AH293" s="140">
        <f>IF($H$5="NO",IF(Valores!$D$60*'Escala Docente'!D293&gt;Valores!$F$60,Valores!$F$60,Valores!$D$60*'Escala Docente'!D293),IF(Valores!$D$60*'Escala Docente'!D293&gt;Valores!$F$60,Valores!$F$60,Valores!$D$60*'Escala Docente'!D293)/2)</f>
        <v>1138.28</v>
      </c>
      <c r="AI293" s="140">
        <f>IF($H$5="NO",IF(Valores!$D$62*D293&gt;Valores!$F$62,Valores!$F$62,Valores!$D$62*D293),IF(Valores!$D$62*D293&gt;Valores!$F$62,Valores!$F$62,Valores!$D$62*D293)/2)</f>
        <v>325.22000000000003</v>
      </c>
      <c r="AJ293" s="146">
        <f t="shared" si="56"/>
        <v>76600.293500000014</v>
      </c>
      <c r="AK293" s="154">
        <f>IF(Valores!$C$38*D293&gt;Valores!$F$38,Valores!$F$38,Valores!$C$38*D293)</f>
        <v>2931.13</v>
      </c>
      <c r="AL293" s="143">
        <f>IF(Valores!$C$88*D293&gt;Valores!$C$87,Valores!$C$87,Valores!$C$88*D293)</f>
        <v>3639.9999999999995</v>
      </c>
      <c r="AM293" s="143"/>
      <c r="AN293" s="145">
        <f>IF($H$4="NO",0,IF(Valores!$C$59*D293&gt;Valores!$F$59,Valores!$F$59,Valores!$C$59*D293))</f>
        <v>327.60000000000002</v>
      </c>
      <c r="AO293" s="147">
        <f t="shared" si="57"/>
        <v>6898.73</v>
      </c>
      <c r="AP293" s="148">
        <f>AJ293*Valores!$C$69</f>
        <v>-8426.0322850000011</v>
      </c>
      <c r="AQ293" s="149">
        <f>AJ293*-Valores!$C$70</f>
        <v>0</v>
      </c>
      <c r="AR293" s="142">
        <f>AJ293*Valores!$C$71</f>
        <v>-3447.0132075000006</v>
      </c>
      <c r="AS293" s="142">
        <f>Valores!$C$95</f>
        <v>-193.38</v>
      </c>
      <c r="AT293" s="142">
        <f>IF($H$6=0,Valores!$C$96,(Valores!$C$96+$H$6*(Valores!$C$96)))</f>
        <v>-178</v>
      </c>
      <c r="AU293" s="146">
        <f t="shared" si="58"/>
        <v>71254.598007500012</v>
      </c>
      <c r="AV293" s="199">
        <f t="shared" si="54"/>
        <v>-8426.0322850000011</v>
      </c>
      <c r="AW293" s="142">
        <f>AJ293*Valores!$C$72</f>
        <v>-2068.2079245000004</v>
      </c>
      <c r="AX293" s="142">
        <f>AJ293*Valores!$C$73</f>
        <v>-229.80088050000003</v>
      </c>
      <c r="AY293" s="146">
        <f t="shared" si="59"/>
        <v>72774.982410000011</v>
      </c>
      <c r="AZ293" s="150"/>
      <c r="BA293" s="150">
        <f t="shared" si="60"/>
        <v>32</v>
      </c>
      <c r="BB293" s="135" t="s">
        <v>8</v>
      </c>
    </row>
    <row r="294" spans="1:1022" s="114" customFormat="1" ht="11.25" customHeight="1" x14ac:dyDescent="0.15">
      <c r="A294" s="134">
        <v>292</v>
      </c>
      <c r="B294" s="134"/>
      <c r="C294" s="135" t="s">
        <v>497</v>
      </c>
      <c r="D294" s="135">
        <v>33</v>
      </c>
      <c r="E294" s="135">
        <f t="shared" si="51"/>
        <v>34</v>
      </c>
      <c r="F294" s="136" t="str">
        <f>CONCATENATE("Hora Cátedra Enseñanza Media ",D294," hs")</f>
        <v>Hora Cátedra Enseñanza Media 33 hs</v>
      </c>
      <c r="G294" s="137">
        <f t="shared" ref="G294:G301" si="61">79*D294</f>
        <v>2607</v>
      </c>
      <c r="H294" s="138">
        <f>INT((G294*Valores!$C$2*100)+0.49)/100</f>
        <v>34888.44</v>
      </c>
      <c r="I294" s="156">
        <v>0</v>
      </c>
      <c r="J294" s="140">
        <f>INT((I294*Valores!$C$2*100)+0.5)/100</f>
        <v>0</v>
      </c>
      <c r="K294" s="155">
        <v>0</v>
      </c>
      <c r="L294" s="140">
        <f>INT((K294*Valores!$C$2*100)+0.5)/100</f>
        <v>0</v>
      </c>
      <c r="M294" s="153">
        <v>0</v>
      </c>
      <c r="N294" s="140">
        <f>INT((M294*Valores!$C$2*100)+0.5)/100</f>
        <v>0</v>
      </c>
      <c r="O294" s="140">
        <f t="shared" si="52"/>
        <v>6412.8015000000005</v>
      </c>
      <c r="P294" s="140">
        <f t="shared" si="53"/>
        <v>0</v>
      </c>
      <c r="Q294" s="154">
        <f>Valores!$C$14*D294</f>
        <v>14976.72</v>
      </c>
      <c r="R294" s="154">
        <f>IF(D294&lt;15,(Valores!$E$4*D294),Valores!$D$4)</f>
        <v>6841.19</v>
      </c>
      <c r="S294" s="140">
        <v>0</v>
      </c>
      <c r="T294" s="143">
        <f>IF($H$5="NO",IF(Valores!$C$47*D294&gt;Valores!$C$45,Valores!$C$45,Valores!$C$47*D294),IF(Valores!$C$47*D294&gt;Valores!$C$45,Valores!$C$45,Valores!$C$47*D294)/2)</f>
        <v>3153.15</v>
      </c>
      <c r="U294" s="154">
        <f>Valores!$C$24*D294</f>
        <v>4710.42</v>
      </c>
      <c r="V294" s="140">
        <f t="shared" si="48"/>
        <v>4710.42</v>
      </c>
      <c r="W294" s="140">
        <v>0</v>
      </c>
      <c r="X294" s="140">
        <v>0</v>
      </c>
      <c r="Y294" s="160">
        <v>0</v>
      </c>
      <c r="Z294" s="140">
        <f>Y294*Valores!$C$2</f>
        <v>0</v>
      </c>
      <c r="AA294" s="140">
        <v>0</v>
      </c>
      <c r="AB294" s="143">
        <f>IF(Valores!$C$93*D294&gt;Valores!$C$92,Valores!$C$92,Valores!$C$93*D294)</f>
        <v>4332.57</v>
      </c>
      <c r="AC294" s="145">
        <f>IF((Valores!$C$34)*D294&gt;Valores!$F$34,Valores!$F$34,(Valores!$C$34)*D294)</f>
        <v>369.93</v>
      </c>
      <c r="AD294" s="140">
        <f t="shared" si="55"/>
        <v>0</v>
      </c>
      <c r="AE294" s="140">
        <f>IF(Valores!$C$35*D294&gt;Valores!$F$35,Valores!$F$35,Valores!$C$35*D294)</f>
        <v>279.8</v>
      </c>
      <c r="AF294" s="144">
        <v>0</v>
      </c>
      <c r="AG294" s="140">
        <f>INT(((AF294*Valores!$C$2)*100)+0.5)/100</f>
        <v>0</v>
      </c>
      <c r="AH294" s="140">
        <f>IF($H$5="NO",IF(Valores!$D$60*'Escala Docente'!D294&gt;Valores!$F$60,Valores!$F$60,Valores!$D$60*'Escala Docente'!D294),IF(Valores!$D$60*'Escala Docente'!D294&gt;Valores!$F$60,Valores!$F$60,Valores!$D$60*'Escala Docente'!D294)/2)</f>
        <v>1138.28</v>
      </c>
      <c r="AI294" s="140">
        <f>IF($H$5="NO",IF(Valores!$D$62*D294&gt;Valores!$F$62,Valores!$F$62,Valores!$D$62*D294),IF(Valores!$D$62*D294&gt;Valores!$F$62,Valores!$F$62,Valores!$D$62*D294)/2)</f>
        <v>325.22000000000003</v>
      </c>
      <c r="AJ294" s="146">
        <f t="shared" si="56"/>
        <v>77428.521500000003</v>
      </c>
      <c r="AK294" s="154">
        <f>IF(Valores!$C$38*D294&gt;Valores!$F$38,Valores!$F$38,Valores!$C$38*D294)</f>
        <v>2931.13</v>
      </c>
      <c r="AL294" s="143">
        <f>IF(Valores!$C$88*D294&gt;Valores!$C$87,Valores!$C$87,Valores!$C$88*D294)</f>
        <v>3753.7499999999995</v>
      </c>
      <c r="AM294" s="143"/>
      <c r="AN294" s="145">
        <f>IF($H$4="NO",0,IF(Valores!$C$59*D294&gt;Valores!$F$59,Valores!$F$59,Valores!$C$59*D294))</f>
        <v>327.60000000000002</v>
      </c>
      <c r="AO294" s="147">
        <f t="shared" si="57"/>
        <v>7012.48</v>
      </c>
      <c r="AP294" s="148">
        <f>AJ294*Valores!$C$69</f>
        <v>-8517.1373650000005</v>
      </c>
      <c r="AQ294" s="149">
        <f>AJ294*-Valores!$C$70</f>
        <v>0</v>
      </c>
      <c r="AR294" s="142">
        <f>AJ294*Valores!$C$71</f>
        <v>-3484.2834674999999</v>
      </c>
      <c r="AS294" s="142">
        <f>Valores!$C$95</f>
        <v>-193.38</v>
      </c>
      <c r="AT294" s="142">
        <f>IF($H$6=0,Valores!$C$96,(Valores!$C$96+$H$6*(Valores!$C$96)))</f>
        <v>-178</v>
      </c>
      <c r="AU294" s="146">
        <f t="shared" si="58"/>
        <v>72068.200667500001</v>
      </c>
      <c r="AV294" s="199">
        <f t="shared" si="54"/>
        <v>-8517.1373650000005</v>
      </c>
      <c r="AW294" s="142">
        <f>AJ294*Valores!$C$72</f>
        <v>-2090.5700805000001</v>
      </c>
      <c r="AX294" s="142">
        <f>AJ294*Valores!$C$73</f>
        <v>-232.28556450000002</v>
      </c>
      <c r="AY294" s="146">
        <f t="shared" si="59"/>
        <v>73601.008489999993</v>
      </c>
      <c r="AZ294" s="150"/>
      <c r="BA294" s="150">
        <f t="shared" si="60"/>
        <v>33</v>
      </c>
      <c r="BB294" s="135" t="s">
        <v>8</v>
      </c>
    </row>
    <row r="295" spans="1:1022" s="114" customFormat="1" ht="11.25" customHeight="1" x14ac:dyDescent="0.15">
      <c r="A295" s="134">
        <v>293</v>
      </c>
      <c r="B295" s="134"/>
      <c r="C295" s="135" t="s">
        <v>497</v>
      </c>
      <c r="D295" s="135">
        <v>33</v>
      </c>
      <c r="E295" s="135">
        <f t="shared" si="51"/>
        <v>42</v>
      </c>
      <c r="F295" s="135" t="str">
        <f>CONCATENATE("Hora Cátedra Enseñanza Media ",D295," hs Esc Esp")</f>
        <v>Hora Cátedra Enseñanza Media 33 hs Esc Esp</v>
      </c>
      <c r="G295" s="161">
        <f t="shared" si="61"/>
        <v>2607</v>
      </c>
      <c r="H295" s="149">
        <f>INT((G295*Valores!$C$2*100)+0.49)/100</f>
        <v>34888.44</v>
      </c>
      <c r="I295" s="162">
        <v>0</v>
      </c>
      <c r="J295" s="154">
        <f>INT((I295*Valores!$C$2*100)+0.5)/100</f>
        <v>0</v>
      </c>
      <c r="K295" s="163">
        <v>0</v>
      </c>
      <c r="L295" s="154">
        <f>INT((K295*Valores!$C$2*100)+0.5)/100</f>
        <v>0</v>
      </c>
      <c r="M295" s="164">
        <v>0</v>
      </c>
      <c r="N295" s="154">
        <f>INT((M295*Valores!$C$2*100)+0.5)/100</f>
        <v>0</v>
      </c>
      <c r="O295" s="154">
        <f t="shared" si="52"/>
        <v>6412.8015000000005</v>
      </c>
      <c r="P295" s="154">
        <f t="shared" si="53"/>
        <v>0</v>
      </c>
      <c r="Q295" s="154">
        <f>Valores!$C$14*D295</f>
        <v>14976.72</v>
      </c>
      <c r="R295" s="154">
        <f>IF(D295&lt;15,(Valores!$E$4*D295),Valores!$D$4)</f>
        <v>6841.19</v>
      </c>
      <c r="S295" s="154">
        <v>0</v>
      </c>
      <c r="T295" s="143">
        <f>IF($H$5="NO",IF(Valores!$C$47*D295&gt;Valores!$C$45,Valores!$C$45,Valores!$C$47*D295),IF(Valores!$C$47*D295&gt;Valores!$C$45,Valores!$C$45,Valores!$C$47*D295)/2)</f>
        <v>3153.15</v>
      </c>
      <c r="U295" s="154">
        <f>Valores!$C$24*D295</f>
        <v>4710.42</v>
      </c>
      <c r="V295" s="154">
        <f t="shared" si="48"/>
        <v>4710.42</v>
      </c>
      <c r="W295" s="154">
        <v>0</v>
      </c>
      <c r="X295" s="154">
        <v>0</v>
      </c>
      <c r="Y295" s="154">
        <v>0</v>
      </c>
      <c r="Z295" s="154">
        <f>Y295*Valores!$C$2</f>
        <v>0</v>
      </c>
      <c r="AA295" s="154">
        <v>0</v>
      </c>
      <c r="AB295" s="143">
        <f>IF(Valores!$C$93*D295&gt;Valores!$C$92,Valores!$C$92,Valores!$C$93*D295)</f>
        <v>4332.57</v>
      </c>
      <c r="AC295" s="154">
        <f>IF((Valores!$C$34)*D295&gt;Valores!$F$34,Valores!$F$34,(Valores!$C$34)*D295)</f>
        <v>369.93</v>
      </c>
      <c r="AD295" s="154">
        <f t="shared" si="55"/>
        <v>0</v>
      </c>
      <c r="AE295" s="154">
        <f>IF(Valores!$C$35*D295&gt;Valores!$F$35,Valores!$F$35,Valores!$C$35*D295)</f>
        <v>279.8</v>
      </c>
      <c r="AF295" s="165">
        <v>94</v>
      </c>
      <c r="AG295" s="154">
        <f>INT(((AF295*Valores!$C$2)*100)+0.5)/100</f>
        <v>1257.96</v>
      </c>
      <c r="AH295" s="140">
        <f>IF($H$5="NO",IF(Valores!$D$60*'Escala Docente'!D295&gt;Valores!$F$60,Valores!$F$60,Valores!$D$60*'Escala Docente'!D295),IF(Valores!$D$60*'Escala Docente'!D295&gt;Valores!$F$60,Valores!$F$60,Valores!$D$60*'Escala Docente'!D295)/2)</f>
        <v>1138.28</v>
      </c>
      <c r="AI295" s="140">
        <f>IF($H$5="NO",IF(Valores!$D$62*D295&gt;Valores!$F$62,Valores!$F$62,Valores!$D$62*D295),IF(Valores!$D$62*D295&gt;Valores!$F$62,Valores!$F$62,Valores!$D$62*D295)/2)</f>
        <v>325.22000000000003</v>
      </c>
      <c r="AJ295" s="146">
        <f t="shared" si="56"/>
        <v>78686.481499999994</v>
      </c>
      <c r="AK295" s="149">
        <f>IF(Valores!$C$38*D295&gt;Valores!$F$38,Valores!$F$38,Valores!$C$38*D295)</f>
        <v>2931.13</v>
      </c>
      <c r="AL295" s="143">
        <f>IF(Valores!$C$88*D295&gt;Valores!$C$87,Valores!$C$87,Valores!$C$88*D295)</f>
        <v>3753.7499999999995</v>
      </c>
      <c r="AM295" s="143"/>
      <c r="AN295" s="145">
        <f>IF($H$4="NO",0,IF(Valores!$C$59*D295&gt;Valores!$F$59,Valores!$F$59,Valores!$C$59*D295))</f>
        <v>327.60000000000002</v>
      </c>
      <c r="AO295" s="147">
        <f t="shared" si="57"/>
        <v>7012.48</v>
      </c>
      <c r="AP295" s="148">
        <f>AJ295*Valores!$C$69</f>
        <v>-8655.5129649999999</v>
      </c>
      <c r="AQ295" s="149">
        <f>AJ295*-Valores!$C$70</f>
        <v>0</v>
      </c>
      <c r="AR295" s="142">
        <f>AJ295*Valores!$C$71</f>
        <v>-3540.8916674999996</v>
      </c>
      <c r="AS295" s="142">
        <f>Valores!$C$95</f>
        <v>-193.38</v>
      </c>
      <c r="AT295" s="142">
        <f>IF($H$6=0,Valores!$C$96,(Valores!$C$96+$H$6*(Valores!$C$96)))</f>
        <v>-178</v>
      </c>
      <c r="AU295" s="146">
        <f t="shared" si="58"/>
        <v>73131.176867499991</v>
      </c>
      <c r="AV295" s="199">
        <f t="shared" si="54"/>
        <v>-8655.5129649999999</v>
      </c>
      <c r="AW295" s="142">
        <f>AJ295*Valores!$C$72</f>
        <v>-2124.5350005</v>
      </c>
      <c r="AX295" s="142">
        <f>AJ295*Valores!$C$73</f>
        <v>-236.05944449999998</v>
      </c>
      <c r="AY295" s="146">
        <f t="shared" si="59"/>
        <v>74682.854089999993</v>
      </c>
      <c r="AZ295" s="135"/>
      <c r="BA295" s="150">
        <f t="shared" si="60"/>
        <v>33</v>
      </c>
      <c r="BB295" s="135" t="s">
        <v>8</v>
      </c>
    </row>
    <row r="296" spans="1:1022" s="114" customFormat="1" ht="11.25" customHeight="1" x14ac:dyDescent="0.15">
      <c r="A296" s="134">
        <v>294</v>
      </c>
      <c r="B296" s="134"/>
      <c r="C296" s="135" t="s">
        <v>497</v>
      </c>
      <c r="D296" s="135">
        <v>34</v>
      </c>
      <c r="E296" s="135">
        <f t="shared" si="51"/>
        <v>34</v>
      </c>
      <c r="F296" s="136" t="str">
        <f>CONCATENATE("Hora Cátedra Enseñanza Media ",D296," hs")</f>
        <v>Hora Cátedra Enseñanza Media 34 hs</v>
      </c>
      <c r="G296" s="137">
        <f t="shared" si="61"/>
        <v>2686</v>
      </c>
      <c r="H296" s="138">
        <f>INT((G296*Valores!$C$2*100)+0.49)/100</f>
        <v>35945.660000000003</v>
      </c>
      <c r="I296" s="156">
        <v>0</v>
      </c>
      <c r="J296" s="140">
        <f>INT((I296*Valores!$C$2*100)+0.5)/100</f>
        <v>0</v>
      </c>
      <c r="K296" s="155">
        <v>0</v>
      </c>
      <c r="L296" s="140">
        <f>INT((K296*Valores!$C$2*100)+0.5)/100</f>
        <v>0</v>
      </c>
      <c r="M296" s="153">
        <v>0</v>
      </c>
      <c r="N296" s="140">
        <f>INT((M296*Valores!$C$2*100)+0.5)/100</f>
        <v>0</v>
      </c>
      <c r="O296" s="140">
        <f t="shared" si="52"/>
        <v>6607.1280000000006</v>
      </c>
      <c r="P296" s="140">
        <f t="shared" si="53"/>
        <v>0</v>
      </c>
      <c r="Q296" s="154">
        <f>Valores!$C$14*D296</f>
        <v>15430.56</v>
      </c>
      <c r="R296" s="154">
        <f>IF(D296&lt;15,(Valores!$E$4*D296),Valores!$D$4)</f>
        <v>6841.19</v>
      </c>
      <c r="S296" s="140">
        <v>0</v>
      </c>
      <c r="T296" s="143">
        <f>IF($H$5="NO",IF(Valores!$C$47*D296&gt;Valores!$C$45,Valores!$C$45,Valores!$C$47*D296),IF(Valores!$C$47*D296&gt;Valores!$C$45,Valores!$C$45,Valores!$C$47*D296)/2)</f>
        <v>3248.7</v>
      </c>
      <c r="U296" s="154">
        <f>Valores!$C$24*D296</f>
        <v>4853.16</v>
      </c>
      <c r="V296" s="140">
        <f t="shared" si="48"/>
        <v>4853.16</v>
      </c>
      <c r="W296" s="140">
        <v>0</v>
      </c>
      <c r="X296" s="140">
        <v>0</v>
      </c>
      <c r="Y296" s="160">
        <v>0</v>
      </c>
      <c r="Z296" s="140">
        <f>Y296*Valores!$C$2</f>
        <v>0</v>
      </c>
      <c r="AA296" s="140">
        <v>0</v>
      </c>
      <c r="AB296" s="143">
        <f>IF(Valores!$C$93*D296&gt;Valores!$C$92,Valores!$C$92,Valores!$C$93*D296)</f>
        <v>4463.8599999999997</v>
      </c>
      <c r="AC296" s="145">
        <f>IF((Valores!$C$34)*D296&gt;Valores!$F$34,Valores!$F$34,(Valores!$C$34)*D296)</f>
        <v>381.14000000000004</v>
      </c>
      <c r="AD296" s="140">
        <f t="shared" si="55"/>
        <v>0</v>
      </c>
      <c r="AE296" s="140">
        <f>IF(Valores!$C$35*D296&gt;Valores!$F$35,Valores!$F$35,Valores!$C$35*D296)</f>
        <v>279.8</v>
      </c>
      <c r="AF296" s="144">
        <v>0</v>
      </c>
      <c r="AG296" s="140">
        <f>INT(((AF296*Valores!$C$2)*100)+0.5)/100</f>
        <v>0</v>
      </c>
      <c r="AH296" s="140">
        <f>IF($H$5="NO",IF(Valores!$D$60*'Escala Docente'!D296&gt;Valores!$F$60,Valores!$F$60,Valores!$D$60*'Escala Docente'!D296),IF(Valores!$D$60*'Escala Docente'!D296&gt;Valores!$F$60,Valores!$F$60,Valores!$D$60*'Escala Docente'!D296)/2)</f>
        <v>1138.28</v>
      </c>
      <c r="AI296" s="140">
        <f>IF($H$5="NO",IF(Valores!$D$62*D296&gt;Valores!$F$62,Valores!$F$62,Valores!$D$62*D296),IF(Valores!$D$62*D296&gt;Valores!$F$62,Valores!$F$62,Valores!$D$62*D296)/2)</f>
        <v>325.22000000000003</v>
      </c>
      <c r="AJ296" s="146">
        <f t="shared" si="56"/>
        <v>79514.698000000004</v>
      </c>
      <c r="AK296" s="154">
        <f>IF(Valores!$C$38*D296&gt;Valores!$F$38,Valores!$F$38,Valores!$C$38*D296)</f>
        <v>2931.13</v>
      </c>
      <c r="AL296" s="143">
        <f>IF(Valores!$C$88*D296&gt;Valores!$C$87,Valores!$C$87,Valores!$C$88*D296)</f>
        <v>3867.4999999999995</v>
      </c>
      <c r="AM296" s="143"/>
      <c r="AN296" s="145">
        <f>IF($H$4="NO",0,IF(Valores!$C$59*D296&gt;Valores!$F$59,Valores!$F$59,Valores!$C$59*D296))</f>
        <v>327.60000000000002</v>
      </c>
      <c r="AO296" s="147">
        <f t="shared" si="57"/>
        <v>7126.23</v>
      </c>
      <c r="AP296" s="148">
        <f>AJ296*Valores!$C$69</f>
        <v>-8746.6167800000003</v>
      </c>
      <c r="AQ296" s="149">
        <f>AJ296*-Valores!$C$70</f>
        <v>0</v>
      </c>
      <c r="AR296" s="142">
        <f>AJ296*Valores!$C$71</f>
        <v>-3578.1614100000002</v>
      </c>
      <c r="AS296" s="142">
        <f>Valores!$C$95</f>
        <v>-193.38</v>
      </c>
      <c r="AT296" s="142">
        <f>IF($H$6=0,Valores!$C$96,(Valores!$C$96+$H$6*(Valores!$C$96)))</f>
        <v>-178</v>
      </c>
      <c r="AU296" s="146">
        <f t="shared" si="58"/>
        <v>73944.769809999998</v>
      </c>
      <c r="AV296" s="199">
        <f t="shared" si="54"/>
        <v>-8746.6167800000003</v>
      </c>
      <c r="AW296" s="142">
        <f>AJ296*Valores!$C$72</f>
        <v>-2146.8968460000001</v>
      </c>
      <c r="AX296" s="142">
        <f>AJ296*Valores!$C$73</f>
        <v>-238.54409400000003</v>
      </c>
      <c r="AY296" s="146">
        <f t="shared" si="59"/>
        <v>75508.870280000003</v>
      </c>
      <c r="AZ296" s="150"/>
      <c r="BA296" s="150">
        <f t="shared" si="60"/>
        <v>34</v>
      </c>
      <c r="BB296" s="135" t="s">
        <v>8</v>
      </c>
    </row>
    <row r="297" spans="1:1022" s="114" customFormat="1" ht="11.25" customHeight="1" x14ac:dyDescent="0.15">
      <c r="A297" s="152">
        <v>295</v>
      </c>
      <c r="B297" s="152" t="s">
        <v>139</v>
      </c>
      <c r="C297" s="135" t="s">
        <v>497</v>
      </c>
      <c r="D297" s="135">
        <v>34</v>
      </c>
      <c r="E297" s="135">
        <f t="shared" si="51"/>
        <v>42</v>
      </c>
      <c r="F297" s="136" t="str">
        <f>CONCATENATE("Hora Cátedra Enseñanza Media ",D297," hs Esc Esp")</f>
        <v>Hora Cátedra Enseñanza Media 34 hs Esc Esp</v>
      </c>
      <c r="G297" s="137">
        <f t="shared" si="61"/>
        <v>2686</v>
      </c>
      <c r="H297" s="138">
        <f>INT((G297*Valores!$C$2*100)+0.49)/100</f>
        <v>35945.660000000003</v>
      </c>
      <c r="I297" s="156">
        <v>0</v>
      </c>
      <c r="J297" s="140">
        <f>INT((I297*Valores!$C$2*100)+0.5)/100</f>
        <v>0</v>
      </c>
      <c r="K297" s="155">
        <v>0</v>
      </c>
      <c r="L297" s="140">
        <f>INT((K297*Valores!$C$2*100)+0.5)/100</f>
        <v>0</v>
      </c>
      <c r="M297" s="153">
        <v>0</v>
      </c>
      <c r="N297" s="140">
        <f>INT((M297*Valores!$C$2*100)+0.5)/100</f>
        <v>0</v>
      </c>
      <c r="O297" s="140">
        <f t="shared" si="52"/>
        <v>6607.1280000000006</v>
      </c>
      <c r="P297" s="140">
        <f t="shared" si="53"/>
        <v>0</v>
      </c>
      <c r="Q297" s="154">
        <f>Valores!$C$14*D297</f>
        <v>15430.56</v>
      </c>
      <c r="R297" s="154">
        <f>IF(D297&lt;15,(Valores!$E$4*D297),Valores!$D$4)</f>
        <v>6841.19</v>
      </c>
      <c r="S297" s="140">
        <v>0</v>
      </c>
      <c r="T297" s="143">
        <f>IF($H$5="NO",IF(Valores!$C$47*D297&gt;Valores!$C$45,Valores!$C$45,Valores!$C$47*D297),IF(Valores!$C$47*D297&gt;Valores!$C$45,Valores!$C$45,Valores!$C$47*D297)/2)</f>
        <v>3248.7</v>
      </c>
      <c r="U297" s="154">
        <f>Valores!$C$24*D297</f>
        <v>4853.16</v>
      </c>
      <c r="V297" s="140">
        <f t="shared" si="48"/>
        <v>4853.16</v>
      </c>
      <c r="W297" s="140">
        <v>0</v>
      </c>
      <c r="X297" s="140">
        <v>0</v>
      </c>
      <c r="Y297" s="160">
        <v>0</v>
      </c>
      <c r="Z297" s="140">
        <f>Y297*Valores!$C$2</f>
        <v>0</v>
      </c>
      <c r="AA297" s="140">
        <v>0</v>
      </c>
      <c r="AB297" s="143">
        <f>IF(Valores!$C$93*D297&gt;Valores!$C$92,Valores!$C$92,Valores!$C$93*D297)</f>
        <v>4463.8599999999997</v>
      </c>
      <c r="AC297" s="145">
        <f>IF((Valores!$C$34)*D297&gt;Valores!$F$34,Valores!$F$34,(Valores!$C$34)*D297)</f>
        <v>381.14000000000004</v>
      </c>
      <c r="AD297" s="140">
        <f t="shared" si="55"/>
        <v>0</v>
      </c>
      <c r="AE297" s="140">
        <f>IF(Valores!$C$35*D297&gt;Valores!$F$35,Valores!$F$35,Valores!$C$35*D297)</f>
        <v>279.8</v>
      </c>
      <c r="AF297" s="144">
        <v>94</v>
      </c>
      <c r="AG297" s="140">
        <f>INT(((AF297*Valores!$C$2)*100)+0.5)/100</f>
        <v>1257.96</v>
      </c>
      <c r="AH297" s="140">
        <f>IF($H$5="NO",IF(Valores!$D$60*'Escala Docente'!D297&gt;Valores!$F$60,Valores!$F$60,Valores!$D$60*'Escala Docente'!D297),IF(Valores!$D$60*'Escala Docente'!D297&gt;Valores!$F$60,Valores!$F$60,Valores!$D$60*'Escala Docente'!D297)/2)</f>
        <v>1138.28</v>
      </c>
      <c r="AI297" s="140">
        <f>IF($H$5="NO",IF(Valores!$D$62*D297&gt;Valores!$F$62,Valores!$F$62,Valores!$D$62*D297),IF(Valores!$D$62*D297&gt;Valores!$F$62,Valores!$F$62,Valores!$D$62*D297)/2)</f>
        <v>325.22000000000003</v>
      </c>
      <c r="AJ297" s="146">
        <f t="shared" si="56"/>
        <v>80772.65800000001</v>
      </c>
      <c r="AK297" s="154">
        <f>IF(Valores!$C$38*D297&gt;Valores!$F$38,Valores!$F$38,Valores!$C$38*D297)</f>
        <v>2931.13</v>
      </c>
      <c r="AL297" s="143">
        <f>IF(Valores!$C$88*D297&gt;Valores!$C$87,Valores!$C$87,Valores!$C$88*D297)</f>
        <v>3867.4999999999995</v>
      </c>
      <c r="AM297" s="143"/>
      <c r="AN297" s="145">
        <f>IF($H$4="NO",0,IF(Valores!$C$59*D297&gt;Valores!$F$59,Valores!$F$59,Valores!$C$59*D297))</f>
        <v>327.60000000000002</v>
      </c>
      <c r="AO297" s="147">
        <f t="shared" si="57"/>
        <v>7126.23</v>
      </c>
      <c r="AP297" s="148">
        <f>AJ297*Valores!$C$69</f>
        <v>-8884.9923800000015</v>
      </c>
      <c r="AQ297" s="149">
        <f>AJ297*-Valores!$C$70</f>
        <v>0</v>
      </c>
      <c r="AR297" s="142">
        <f>AJ297*Valores!$C$71</f>
        <v>-3634.7696100000003</v>
      </c>
      <c r="AS297" s="142">
        <f>Valores!$C$95</f>
        <v>-193.38</v>
      </c>
      <c r="AT297" s="142">
        <f>IF($H$6=0,Valores!$C$96,(Valores!$C$96+$H$6*(Valores!$C$96)))</f>
        <v>-178</v>
      </c>
      <c r="AU297" s="146">
        <f t="shared" si="58"/>
        <v>75007.746010000003</v>
      </c>
      <c r="AV297" s="199">
        <f t="shared" si="54"/>
        <v>-8884.9923800000015</v>
      </c>
      <c r="AW297" s="142">
        <f>AJ297*Valores!$C$72</f>
        <v>-2180.8617660000004</v>
      </c>
      <c r="AX297" s="142">
        <f>AJ297*Valores!$C$73</f>
        <v>-242.31797400000005</v>
      </c>
      <c r="AY297" s="146">
        <f t="shared" si="59"/>
        <v>76590.715880000003</v>
      </c>
      <c r="AZ297" s="150"/>
      <c r="BA297" s="150">
        <f t="shared" si="60"/>
        <v>34</v>
      </c>
      <c r="BB297" s="135" t="s">
        <v>8</v>
      </c>
    </row>
    <row r="298" spans="1:1022" s="114" customFormat="1" ht="11.25" customHeight="1" x14ac:dyDescent="0.15">
      <c r="A298" s="134">
        <v>296</v>
      </c>
      <c r="B298" s="134"/>
      <c r="C298" s="135" t="s">
        <v>497</v>
      </c>
      <c r="D298" s="135">
        <v>35</v>
      </c>
      <c r="E298" s="135">
        <f t="shared" si="51"/>
        <v>34</v>
      </c>
      <c r="F298" s="136" t="str">
        <f>CONCATENATE("Hora Cátedra Enseñanza Media ",D298," hs")</f>
        <v>Hora Cátedra Enseñanza Media 35 hs</v>
      </c>
      <c r="G298" s="137">
        <f t="shared" si="61"/>
        <v>2765</v>
      </c>
      <c r="H298" s="138">
        <f>INT((G298*Valores!$C$2*100)+0.49)/100</f>
        <v>37002.89</v>
      </c>
      <c r="I298" s="156">
        <v>0</v>
      </c>
      <c r="J298" s="140">
        <f>INT((I298*Valores!$C$2*100)+0.5)/100</f>
        <v>0</v>
      </c>
      <c r="K298" s="155">
        <v>0</v>
      </c>
      <c r="L298" s="140">
        <f>INT((K298*Valores!$C$2*100)+0.5)/100</f>
        <v>0</v>
      </c>
      <c r="M298" s="153">
        <v>0</v>
      </c>
      <c r="N298" s="140">
        <f>INT((M298*Valores!$C$2*100)+0.5)/100</f>
        <v>0</v>
      </c>
      <c r="O298" s="140">
        <f t="shared" si="52"/>
        <v>6800.6040000000003</v>
      </c>
      <c r="P298" s="140">
        <f t="shared" si="53"/>
        <v>0</v>
      </c>
      <c r="Q298" s="154">
        <f>Valores!$C$14*D298</f>
        <v>15884.4</v>
      </c>
      <c r="R298" s="154">
        <f>IF(D298&lt;15,(Valores!$E$4*D298),Valores!$D$4)</f>
        <v>6841.19</v>
      </c>
      <c r="S298" s="140">
        <v>0</v>
      </c>
      <c r="T298" s="143">
        <f>IF($H$5="NO",IF(Valores!$C$47*D298&gt;Valores!$C$45,Valores!$C$45,Valores!$C$47*D298),IF(Valores!$C$47*D298&gt;Valores!$C$45,Valores!$C$45,Valores!$C$47*D298)/2)</f>
        <v>3338.57</v>
      </c>
      <c r="U298" s="154">
        <f>Valores!$C$24*D298</f>
        <v>4995.9000000000005</v>
      </c>
      <c r="V298" s="140">
        <f t="shared" si="48"/>
        <v>4995.9000000000005</v>
      </c>
      <c r="W298" s="140">
        <v>0</v>
      </c>
      <c r="X298" s="140">
        <v>0</v>
      </c>
      <c r="Y298" s="160">
        <v>0</v>
      </c>
      <c r="Z298" s="140">
        <f>Y298*Valores!$C$2</f>
        <v>0</v>
      </c>
      <c r="AA298" s="140">
        <v>0</v>
      </c>
      <c r="AB298" s="143">
        <f>IF(Valores!$C$93*D298&gt;Valores!$C$92,Valores!$C$92,Valores!$C$93*D298)</f>
        <v>4595.1499999999996</v>
      </c>
      <c r="AC298" s="145">
        <f>IF((Valores!$C$34)*D298&gt;Valores!$F$34,Valores!$F$34,(Valores!$C$34)*D298)</f>
        <v>392.35</v>
      </c>
      <c r="AD298" s="140">
        <f t="shared" si="55"/>
        <v>0</v>
      </c>
      <c r="AE298" s="140">
        <f>IF(Valores!$C$35*D298&gt;Valores!$F$35,Valores!$F$35,Valores!$C$35*D298)</f>
        <v>279.8</v>
      </c>
      <c r="AF298" s="144">
        <v>0</v>
      </c>
      <c r="AG298" s="140">
        <f>INT(((AF298*Valores!$C$2)*100)+0.5)/100</f>
        <v>0</v>
      </c>
      <c r="AH298" s="140">
        <f>IF($H$5="NO",IF(Valores!$D$60*'Escala Docente'!D298&gt;Valores!$F$60,Valores!$F$60,Valores!$D$60*'Escala Docente'!D298),IF(Valores!$D$60*'Escala Docente'!D298&gt;Valores!$F$60,Valores!$F$60,Valores!$D$60*'Escala Docente'!D298)/2)</f>
        <v>1138.28</v>
      </c>
      <c r="AI298" s="140">
        <f>IF($H$5="NO",IF(Valores!$D$62*D298&gt;Valores!$F$62,Valores!$F$62,Valores!$D$62*D298),IF(Valores!$D$62*D298&gt;Valores!$F$62,Valores!$F$62,Valores!$D$62*D298)/2)</f>
        <v>325.22000000000003</v>
      </c>
      <c r="AJ298" s="146">
        <f t="shared" si="56"/>
        <v>81594.354000000007</v>
      </c>
      <c r="AK298" s="154">
        <f>IF(Valores!$C$38*D298&gt;Valores!$F$38,Valores!$F$38,Valores!$C$38*D298)</f>
        <v>2931.13</v>
      </c>
      <c r="AL298" s="143">
        <f>IF(Valores!$C$88*D298&gt;Valores!$C$87,Valores!$C$87,Valores!$C$88*D298)</f>
        <v>3981.2499999999995</v>
      </c>
      <c r="AM298" s="143"/>
      <c r="AN298" s="145">
        <f>IF($H$4="NO",0,IF(Valores!$C$59*D298&gt;Valores!$F$59,Valores!$F$59,Valores!$C$59*D298))</f>
        <v>327.60000000000002</v>
      </c>
      <c r="AO298" s="147">
        <f t="shared" si="57"/>
        <v>7239.98</v>
      </c>
      <c r="AP298" s="148">
        <f>AJ298*Valores!$C$69</f>
        <v>-8975.3789400000005</v>
      </c>
      <c r="AQ298" s="149">
        <f>AJ298*-Valores!$C$70</f>
        <v>0</v>
      </c>
      <c r="AR298" s="142">
        <f>AJ298*Valores!$C$71</f>
        <v>-3671.74593</v>
      </c>
      <c r="AS298" s="142">
        <f>Valores!$C$95</f>
        <v>-193.38</v>
      </c>
      <c r="AT298" s="142">
        <f>IF($H$6=0,Valores!$C$96,(Valores!$C$96+$H$6*(Valores!$C$96)))</f>
        <v>-178</v>
      </c>
      <c r="AU298" s="146">
        <f t="shared" si="58"/>
        <v>75815.829129999998</v>
      </c>
      <c r="AV298" s="199">
        <f t="shared" si="54"/>
        <v>-8975.3789400000005</v>
      </c>
      <c r="AW298" s="142">
        <f>AJ298*Valores!$C$72</f>
        <v>-2203.0475580000002</v>
      </c>
      <c r="AX298" s="142">
        <f>AJ298*Valores!$C$73</f>
        <v>-244.78306200000003</v>
      </c>
      <c r="AY298" s="146">
        <f t="shared" si="59"/>
        <v>77411.12444</v>
      </c>
      <c r="AZ298" s="150"/>
      <c r="BA298" s="150">
        <f t="shared" si="60"/>
        <v>35</v>
      </c>
      <c r="BB298" s="135" t="s">
        <v>8</v>
      </c>
    </row>
    <row r="299" spans="1:1022" s="114" customFormat="1" ht="11.25" customHeight="1" x14ac:dyDescent="0.15">
      <c r="A299" s="134">
        <v>297</v>
      </c>
      <c r="B299" s="134"/>
      <c r="C299" s="135" t="s">
        <v>497</v>
      </c>
      <c r="D299" s="135">
        <v>35</v>
      </c>
      <c r="E299" s="135">
        <f t="shared" si="51"/>
        <v>42</v>
      </c>
      <c r="F299" s="136" t="str">
        <f>CONCATENATE("Hora Cátedra Enseñanza Media ",D299," hs Esc Esp")</f>
        <v>Hora Cátedra Enseñanza Media 35 hs Esc Esp</v>
      </c>
      <c r="G299" s="137">
        <f t="shared" si="61"/>
        <v>2765</v>
      </c>
      <c r="H299" s="138">
        <f>INT((G299*Valores!$C$2*100)+0.49)/100</f>
        <v>37002.89</v>
      </c>
      <c r="I299" s="156">
        <v>0</v>
      </c>
      <c r="J299" s="140">
        <f>INT((I299*Valores!$C$2*100)+0.5)/100</f>
        <v>0</v>
      </c>
      <c r="K299" s="155">
        <v>0</v>
      </c>
      <c r="L299" s="140">
        <f>INT((K299*Valores!$C$2*100)+0.5)/100</f>
        <v>0</v>
      </c>
      <c r="M299" s="153">
        <v>0</v>
      </c>
      <c r="N299" s="140">
        <f>INT((M299*Valores!$C$2*100)+0.5)/100</f>
        <v>0</v>
      </c>
      <c r="O299" s="140">
        <f t="shared" si="52"/>
        <v>6800.6040000000003</v>
      </c>
      <c r="P299" s="140">
        <f t="shared" si="53"/>
        <v>0</v>
      </c>
      <c r="Q299" s="154">
        <f>Valores!$C$14*D299</f>
        <v>15884.4</v>
      </c>
      <c r="R299" s="154">
        <f>IF(D299&lt;15,(Valores!$E$4*D299),Valores!$D$4)</f>
        <v>6841.19</v>
      </c>
      <c r="S299" s="140">
        <v>0</v>
      </c>
      <c r="T299" s="143">
        <f>IF($H$5="NO",IF(Valores!$C$47*D299&gt;Valores!$C$45,Valores!$C$45,Valores!$C$47*D299),IF(Valores!$C$47*D299&gt;Valores!$C$45,Valores!$C$45,Valores!$C$47*D299)/2)</f>
        <v>3338.57</v>
      </c>
      <c r="U299" s="154">
        <f>Valores!$C$24*D299</f>
        <v>4995.9000000000005</v>
      </c>
      <c r="V299" s="140">
        <f t="shared" si="48"/>
        <v>4995.9000000000005</v>
      </c>
      <c r="W299" s="140">
        <v>0</v>
      </c>
      <c r="X299" s="140">
        <v>0</v>
      </c>
      <c r="Y299" s="160">
        <v>0</v>
      </c>
      <c r="Z299" s="140">
        <f>Y299*Valores!$C$2</f>
        <v>0</v>
      </c>
      <c r="AA299" s="140">
        <v>0</v>
      </c>
      <c r="AB299" s="143">
        <f>IF(Valores!$C$93*D299&gt;Valores!$C$92,Valores!$C$92,Valores!$C$93*D299)</f>
        <v>4595.1499999999996</v>
      </c>
      <c r="AC299" s="145">
        <f>IF((Valores!$C$34)*D299&gt;Valores!$F$34,Valores!$F$34,(Valores!$C$34)*D299)</f>
        <v>392.35</v>
      </c>
      <c r="AD299" s="140">
        <f t="shared" si="55"/>
        <v>0</v>
      </c>
      <c r="AE299" s="140">
        <f>IF(Valores!$C$35*D299&gt;Valores!$F$35,Valores!$F$35,Valores!$C$35*D299)</f>
        <v>279.8</v>
      </c>
      <c r="AF299" s="144">
        <v>94</v>
      </c>
      <c r="AG299" s="140">
        <f>INT(((AF299*Valores!$C$2)*100)+0.5)/100</f>
        <v>1257.96</v>
      </c>
      <c r="AH299" s="140">
        <f>IF($H$5="NO",IF(Valores!$D$60*'Escala Docente'!D299&gt;Valores!$F$60,Valores!$F$60,Valores!$D$60*'Escala Docente'!D299),IF(Valores!$D$60*'Escala Docente'!D299&gt;Valores!$F$60,Valores!$F$60,Valores!$D$60*'Escala Docente'!D299)/2)</f>
        <v>1138.28</v>
      </c>
      <c r="AI299" s="140">
        <f>IF($H$5="NO",IF(Valores!$D$62*D299&gt;Valores!$F$62,Valores!$F$62,Valores!$D$62*D299),IF(Valores!$D$62*D299&gt;Valores!$F$62,Valores!$F$62,Valores!$D$62*D299)/2)</f>
        <v>325.22000000000003</v>
      </c>
      <c r="AJ299" s="146">
        <f t="shared" si="56"/>
        <v>82852.314000000013</v>
      </c>
      <c r="AK299" s="154">
        <f>IF(Valores!$C$38*D299&gt;Valores!$F$38,Valores!$F$38,Valores!$C$38*D299)</f>
        <v>2931.13</v>
      </c>
      <c r="AL299" s="143">
        <f>IF(Valores!$C$88*D299&gt;Valores!$C$87,Valores!$C$87,Valores!$C$88*D299)</f>
        <v>3981.2499999999995</v>
      </c>
      <c r="AM299" s="143"/>
      <c r="AN299" s="145">
        <f>IF($H$4="NO",0,IF(Valores!$C$59*D299&gt;Valores!$F$59,Valores!$F$59,Valores!$C$59*D299))</f>
        <v>327.60000000000002</v>
      </c>
      <c r="AO299" s="147">
        <f t="shared" si="57"/>
        <v>7239.98</v>
      </c>
      <c r="AP299" s="148">
        <f>AJ299*Valores!$C$69</f>
        <v>-9113.7545400000017</v>
      </c>
      <c r="AQ299" s="149">
        <f>AJ299*-Valores!$C$70</f>
        <v>0</v>
      </c>
      <c r="AR299" s="142">
        <f>AJ299*Valores!$C$71</f>
        <v>-3728.3541300000006</v>
      </c>
      <c r="AS299" s="142">
        <f>Valores!$C$95</f>
        <v>-193.38</v>
      </c>
      <c r="AT299" s="142">
        <f>IF($H$6=0,Valores!$C$96,(Valores!$C$96+$H$6*(Valores!$C$96)))</f>
        <v>-178</v>
      </c>
      <c r="AU299" s="146">
        <f t="shared" si="58"/>
        <v>76878.805330000003</v>
      </c>
      <c r="AV299" s="199">
        <f t="shared" si="54"/>
        <v>-9113.7545400000017</v>
      </c>
      <c r="AW299" s="142">
        <f>AJ299*Valores!$C$72</f>
        <v>-2237.0124780000001</v>
      </c>
      <c r="AX299" s="142">
        <f>AJ299*Valores!$C$73</f>
        <v>-248.55694200000005</v>
      </c>
      <c r="AY299" s="146">
        <f t="shared" si="59"/>
        <v>78492.970040000015</v>
      </c>
      <c r="AZ299" s="150"/>
      <c r="BA299" s="150">
        <f t="shared" si="60"/>
        <v>35</v>
      </c>
      <c r="BB299" s="135" t="s">
        <v>8</v>
      </c>
    </row>
    <row r="300" spans="1:1022" s="114" customFormat="1" ht="11.25" customHeight="1" x14ac:dyDescent="0.15">
      <c r="A300" s="134">
        <v>298</v>
      </c>
      <c r="B300" s="134"/>
      <c r="C300" s="135" t="s">
        <v>497</v>
      </c>
      <c r="D300" s="135">
        <v>36</v>
      </c>
      <c r="E300" s="135">
        <f t="shared" si="51"/>
        <v>34</v>
      </c>
      <c r="F300" s="136" t="str">
        <f>CONCATENATE("Hora Cátedra Enseñanza Media ",D300," hs")</f>
        <v>Hora Cátedra Enseñanza Media 36 hs</v>
      </c>
      <c r="G300" s="137">
        <f t="shared" si="61"/>
        <v>2844</v>
      </c>
      <c r="H300" s="138">
        <f>INT((G300*Valores!$C$2*100)+0.49)/100</f>
        <v>38060.11</v>
      </c>
      <c r="I300" s="156">
        <v>0</v>
      </c>
      <c r="J300" s="140">
        <f>INT((I300*Valores!$C$2*100)+0.5)/100</f>
        <v>0</v>
      </c>
      <c r="K300" s="155">
        <v>0</v>
      </c>
      <c r="L300" s="140">
        <f>INT((K300*Valores!$C$2*100)+0.5)/100</f>
        <v>0</v>
      </c>
      <c r="M300" s="153">
        <v>0</v>
      </c>
      <c r="N300" s="140">
        <f>INT((M300*Valores!$C$2*100)+0.5)/100</f>
        <v>0</v>
      </c>
      <c r="O300" s="140">
        <f t="shared" si="52"/>
        <v>6980.598</v>
      </c>
      <c r="P300" s="140">
        <f t="shared" si="53"/>
        <v>0</v>
      </c>
      <c r="Q300" s="154">
        <f>Valores!$C$14*D300</f>
        <v>16338.24</v>
      </c>
      <c r="R300" s="154">
        <f>IF(D300&lt;15,(Valores!$E$4*D300),Valores!$D$4)</f>
        <v>6841.19</v>
      </c>
      <c r="S300" s="140">
        <v>0</v>
      </c>
      <c r="T300" s="143">
        <f>IF($H$5="NO",IF(Valores!$C$47*D300&gt;Valores!$C$45,Valores!$C$45,Valores!$C$47*D300),IF(Valores!$C$47*D300&gt;Valores!$C$45,Valores!$C$45,Valores!$C$47*D300)/2)</f>
        <v>3338.57</v>
      </c>
      <c r="U300" s="154">
        <f>Valores!$C$24*D300</f>
        <v>5138.6400000000003</v>
      </c>
      <c r="V300" s="140">
        <f t="shared" si="48"/>
        <v>5138.6400000000003</v>
      </c>
      <c r="W300" s="140">
        <v>0</v>
      </c>
      <c r="X300" s="140">
        <v>0</v>
      </c>
      <c r="Y300" s="160">
        <v>0</v>
      </c>
      <c r="Z300" s="140">
        <f>Y300*Valores!$C$2</f>
        <v>0</v>
      </c>
      <c r="AA300" s="140">
        <v>0</v>
      </c>
      <c r="AB300" s="143">
        <f>IF(Valores!$C$93*D300&gt;Valores!$C$92,Valores!$C$92,Valores!$C$93*D300)</f>
        <v>4726.4399999999996</v>
      </c>
      <c r="AC300" s="145">
        <f>IF((Valores!$C$34)*D300&gt;Valores!$F$34,Valores!$F$34,(Valores!$C$34)*D300)</f>
        <v>403.56000000000006</v>
      </c>
      <c r="AD300" s="140">
        <f t="shared" si="55"/>
        <v>0</v>
      </c>
      <c r="AE300" s="140">
        <f>IF(Valores!$C$35*D300&gt;Valores!$F$35,Valores!$F$35,Valores!$C$35*D300)</f>
        <v>279.8</v>
      </c>
      <c r="AF300" s="144">
        <v>0</v>
      </c>
      <c r="AG300" s="140">
        <f>INT(((AF300*Valores!$C$2)*100)+0.5)/100</f>
        <v>0</v>
      </c>
      <c r="AH300" s="140">
        <f>IF($H$5="NO",IF(Valores!$D$60*'Escala Docente'!D300&gt;Valores!$F$60,Valores!$F$60,Valores!$D$60*'Escala Docente'!D300),IF(Valores!$D$60*'Escala Docente'!D300&gt;Valores!$F$60,Valores!$F$60,Valores!$D$60*'Escala Docente'!D300)/2)</f>
        <v>1138.28</v>
      </c>
      <c r="AI300" s="140">
        <f>IF($H$5="NO",IF(Valores!$D$62*D300&gt;Valores!$F$62,Valores!$F$62,Valores!$D$62*D300),IF(Valores!$D$62*D300&gt;Valores!$F$62,Valores!$F$62,Valores!$D$62*D300)/2)</f>
        <v>325.22000000000003</v>
      </c>
      <c r="AJ300" s="146">
        <f t="shared" si="56"/>
        <v>83570.648000000001</v>
      </c>
      <c r="AK300" s="154">
        <f>IF(Valores!$C$38*D300&gt;Valores!$F$38,Valores!$F$38,Valores!$C$38*D300)</f>
        <v>2931.13</v>
      </c>
      <c r="AL300" s="143">
        <f>IF(Valores!$C$88*D300&gt;Valores!$C$87,Valores!$C$87,Valores!$C$88*D300)</f>
        <v>4094.9999999999995</v>
      </c>
      <c r="AM300" s="143"/>
      <c r="AN300" s="145">
        <f>IF($H$4="NO",0,IF(Valores!$C$59*D300&gt;Valores!$F$59,Valores!$F$59,Valores!$C$59*D300))</f>
        <v>327.60000000000002</v>
      </c>
      <c r="AO300" s="147">
        <f t="shared" si="57"/>
        <v>7353.73</v>
      </c>
      <c r="AP300" s="148">
        <f>AJ300*Valores!$C$69</f>
        <v>-9192.7712800000008</v>
      </c>
      <c r="AQ300" s="149">
        <f>AJ300*-Valores!$C$70</f>
        <v>0</v>
      </c>
      <c r="AR300" s="142">
        <f>AJ300*Valores!$C$71</f>
        <v>-3760.6791599999997</v>
      </c>
      <c r="AS300" s="142">
        <f>Valores!$C$95</f>
        <v>-193.38</v>
      </c>
      <c r="AT300" s="142">
        <f>IF($H$6=0,Valores!$C$96,(Valores!$C$96+$H$6*(Valores!$C$96)))</f>
        <v>-178</v>
      </c>
      <c r="AU300" s="146">
        <f t="shared" si="58"/>
        <v>77599.547560000006</v>
      </c>
      <c r="AV300" s="199">
        <f t="shared" si="54"/>
        <v>-9192.7712800000008</v>
      </c>
      <c r="AW300" s="142">
        <f>AJ300*Valores!$C$72</f>
        <v>-2256.4074959999998</v>
      </c>
      <c r="AX300" s="142">
        <f>AJ300*Valores!$C$73</f>
        <v>-250.71194400000002</v>
      </c>
      <c r="AY300" s="146">
        <f t="shared" si="59"/>
        <v>79224.487280000001</v>
      </c>
      <c r="AZ300" s="150"/>
      <c r="BA300" s="150">
        <f t="shared" si="60"/>
        <v>36</v>
      </c>
      <c r="BB300" s="135" t="s">
        <v>8</v>
      </c>
    </row>
    <row r="301" spans="1:1022" s="114" customFormat="1" ht="11.25" customHeight="1" x14ac:dyDescent="0.15">
      <c r="A301" s="134">
        <v>299</v>
      </c>
      <c r="B301" s="134"/>
      <c r="C301" s="135" t="s">
        <v>497</v>
      </c>
      <c r="D301" s="135">
        <v>36</v>
      </c>
      <c r="E301" s="135">
        <f t="shared" si="51"/>
        <v>42</v>
      </c>
      <c r="F301" s="136" t="str">
        <f>CONCATENATE("Hora Cátedra Enseñanza Media ",D301," hs Esc Esp")</f>
        <v>Hora Cátedra Enseñanza Media 36 hs Esc Esp</v>
      </c>
      <c r="G301" s="137">
        <f t="shared" si="61"/>
        <v>2844</v>
      </c>
      <c r="H301" s="138">
        <f>INT((G301*Valores!$C$2*100)+0.49)/100</f>
        <v>38060.11</v>
      </c>
      <c r="I301" s="156">
        <v>0</v>
      </c>
      <c r="J301" s="140">
        <f>INT((I301*Valores!$C$2*100)+0.5)/100</f>
        <v>0</v>
      </c>
      <c r="K301" s="155">
        <v>0</v>
      </c>
      <c r="L301" s="140">
        <f>INT((K301*Valores!$C$2*100)+0.5)/100</f>
        <v>0</v>
      </c>
      <c r="M301" s="153">
        <v>0</v>
      </c>
      <c r="N301" s="140">
        <f>INT((M301*Valores!$C$2*100)+0.5)/100</f>
        <v>0</v>
      </c>
      <c r="O301" s="140">
        <f t="shared" si="52"/>
        <v>6980.598</v>
      </c>
      <c r="P301" s="140">
        <f t="shared" si="53"/>
        <v>0</v>
      </c>
      <c r="Q301" s="154">
        <f>Valores!$C$14*D301</f>
        <v>16338.24</v>
      </c>
      <c r="R301" s="154">
        <f>IF(D301&lt;15,(Valores!$E$4*D301),Valores!$D$4)</f>
        <v>6841.19</v>
      </c>
      <c r="S301" s="140">
        <v>0</v>
      </c>
      <c r="T301" s="143">
        <f>IF($H$5="NO",IF(Valores!$C$47*D301&gt;Valores!$C$45,Valores!$C$45,Valores!$C$47*D301),IF(Valores!$C$47*D301&gt;Valores!$C$45,Valores!$C$45,Valores!$C$47*D301)/2)</f>
        <v>3338.57</v>
      </c>
      <c r="U301" s="154">
        <f>Valores!$C$24*D301</f>
        <v>5138.6400000000003</v>
      </c>
      <c r="V301" s="140">
        <f t="shared" si="48"/>
        <v>5138.6400000000003</v>
      </c>
      <c r="W301" s="140">
        <v>0</v>
      </c>
      <c r="X301" s="140">
        <v>0</v>
      </c>
      <c r="Y301" s="160">
        <v>0</v>
      </c>
      <c r="Z301" s="140">
        <f>Y301*Valores!$C$2</f>
        <v>0</v>
      </c>
      <c r="AA301" s="140">
        <v>0</v>
      </c>
      <c r="AB301" s="143">
        <f>IF(Valores!$C$93*D301&gt;Valores!$C$92,Valores!$C$92,Valores!$C$93*D301)</f>
        <v>4726.4399999999996</v>
      </c>
      <c r="AC301" s="145">
        <f>IF((Valores!$C$34)*D301&gt;Valores!$F$34,Valores!$F$34,(Valores!$C$34)*D301)</f>
        <v>403.56000000000006</v>
      </c>
      <c r="AD301" s="140">
        <f t="shared" si="55"/>
        <v>0</v>
      </c>
      <c r="AE301" s="140">
        <f>IF(Valores!$C$35*D301&gt;Valores!$F$35,Valores!$F$35,Valores!$C$35*D301)</f>
        <v>279.8</v>
      </c>
      <c r="AF301" s="144">
        <v>94</v>
      </c>
      <c r="AG301" s="140">
        <f>INT(((AF301*Valores!$C$2)*100)+0.5)/100</f>
        <v>1257.96</v>
      </c>
      <c r="AH301" s="140">
        <f>IF($H$5="NO",IF(Valores!$D$60*'Escala Docente'!D301&gt;Valores!$F$60,Valores!$F$60,Valores!$D$60*'Escala Docente'!D301),IF(Valores!$D$60*'Escala Docente'!D301&gt;Valores!$F$60,Valores!$F$60,Valores!$D$60*'Escala Docente'!D301)/2)</f>
        <v>1138.28</v>
      </c>
      <c r="AI301" s="140">
        <f>IF($H$5="NO",IF(Valores!$D$62*D301&gt;Valores!$F$62,Valores!$F$62,Valores!$D$62*D301),IF(Valores!$D$62*D301&gt;Valores!$F$62,Valores!$F$62,Valores!$D$62*D301)/2)</f>
        <v>325.22000000000003</v>
      </c>
      <c r="AJ301" s="146">
        <f t="shared" si="56"/>
        <v>84828.608000000007</v>
      </c>
      <c r="AK301" s="154">
        <f>IF(Valores!$C$38*D301&gt;Valores!$F$38,Valores!$F$38,Valores!$C$38*D301)</f>
        <v>2931.13</v>
      </c>
      <c r="AL301" s="143">
        <f>IF(Valores!$C$88*D301&gt;Valores!$C$87,Valores!$C$87,Valores!$C$88*D301)</f>
        <v>4094.9999999999995</v>
      </c>
      <c r="AM301" s="143"/>
      <c r="AN301" s="145">
        <f>IF($H$4="NO",0,IF(Valores!$C$59*D301&gt;Valores!$F$59,Valores!$F$59,Valores!$C$59*D301))</f>
        <v>327.60000000000002</v>
      </c>
      <c r="AO301" s="147">
        <f t="shared" si="57"/>
        <v>7353.73</v>
      </c>
      <c r="AP301" s="148">
        <f>AJ301*Valores!$C$69</f>
        <v>-9331.1468800000002</v>
      </c>
      <c r="AQ301" s="149">
        <f>AJ301*-Valores!$C$70</f>
        <v>0</v>
      </c>
      <c r="AR301" s="142">
        <f>AJ301*Valores!$C$71</f>
        <v>-3817.2873600000003</v>
      </c>
      <c r="AS301" s="142">
        <f>Valores!$C$95</f>
        <v>-193.38</v>
      </c>
      <c r="AT301" s="142">
        <f>IF($H$6=0,Valores!$C$96,(Valores!$C$96+$H$6*(Valores!$C$96)))</f>
        <v>-178</v>
      </c>
      <c r="AU301" s="146">
        <f t="shared" si="58"/>
        <v>78662.523760000011</v>
      </c>
      <c r="AV301" s="199">
        <f t="shared" si="54"/>
        <v>-9331.1468800000002</v>
      </c>
      <c r="AW301" s="142">
        <f>AJ301*Valores!$C$72</f>
        <v>-2290.3724160000002</v>
      </c>
      <c r="AX301" s="142">
        <f>AJ301*Valores!$C$73</f>
        <v>-254.48582400000004</v>
      </c>
      <c r="AY301" s="146">
        <f t="shared" si="59"/>
        <v>80306.332880000002</v>
      </c>
      <c r="AZ301" s="150"/>
      <c r="BA301" s="150">
        <f t="shared" si="60"/>
        <v>36</v>
      </c>
      <c r="BB301" s="135" t="s">
        <v>8</v>
      </c>
    </row>
    <row r="302" spans="1:1022" s="114" customFormat="1" ht="11.25" customHeight="1" x14ac:dyDescent="0.15">
      <c r="A302" s="152">
        <v>300</v>
      </c>
      <c r="B302" s="152" t="s">
        <v>139</v>
      </c>
      <c r="C302" s="135" t="s">
        <v>498</v>
      </c>
      <c r="D302" s="135">
        <v>1</v>
      </c>
      <c r="E302" s="135">
        <f t="shared" si="51"/>
        <v>26</v>
      </c>
      <c r="F302" s="136" t="s">
        <v>499</v>
      </c>
      <c r="G302" s="137">
        <v>79</v>
      </c>
      <c r="H302" s="138">
        <f>INT((G302*Valores!$C$2*100)+0.49)/100</f>
        <v>1057.23</v>
      </c>
      <c r="I302" s="156">
        <v>0</v>
      </c>
      <c r="J302" s="140">
        <f>INT((I302*Valores!$C$2*100)+0.5)/100</f>
        <v>0</v>
      </c>
      <c r="K302" s="155">
        <v>0</v>
      </c>
      <c r="L302" s="140">
        <f>INT((K302*Valores!$C$2*100)+0.5)/100</f>
        <v>0</v>
      </c>
      <c r="M302" s="153">
        <v>0</v>
      </c>
      <c r="N302" s="140">
        <f>INT((M302*Valores!$C$2*100)+0.5)/100</f>
        <v>0</v>
      </c>
      <c r="O302" s="140">
        <f t="shared" si="52"/>
        <v>194.328</v>
      </c>
      <c r="P302" s="140">
        <f t="shared" si="53"/>
        <v>0</v>
      </c>
      <c r="Q302" s="154">
        <f>Valores!$C$14*D302</f>
        <v>453.84</v>
      </c>
      <c r="R302" s="154">
        <f>IF(D302&lt;15,(Valores!$E$4*D302),Valores!$D$4)</f>
        <v>456.08</v>
      </c>
      <c r="S302" s="140">
        <v>0</v>
      </c>
      <c r="T302" s="143">
        <f>IF($H$5="NO",IF(Valores!$C$47*D302&gt;Valores!$C$45,Valores!$C$45,Valores!$C$47*D302),IF(Valores!$C$47*D302&gt;Valores!$C$45,Valores!$C$45,Valores!$C$47*D302)/2)</f>
        <v>95.55</v>
      </c>
      <c r="U302" s="154">
        <f>Valores!$C$24*D302</f>
        <v>142.74</v>
      </c>
      <c r="V302" s="140">
        <f t="shared" si="48"/>
        <v>142.74</v>
      </c>
      <c r="W302" s="140">
        <v>0</v>
      </c>
      <c r="X302" s="140">
        <v>0</v>
      </c>
      <c r="Y302" s="160">
        <v>0</v>
      </c>
      <c r="Z302" s="140">
        <f>Y302*Valores!$C$2</f>
        <v>0</v>
      </c>
      <c r="AA302" s="140">
        <v>0</v>
      </c>
      <c r="AB302" s="143">
        <f>IF(Valores!$C$93*D302&gt;Valores!$C$92,Valores!$C$92,Valores!$C$93*D302)</f>
        <v>131.29</v>
      </c>
      <c r="AC302" s="145">
        <f>IF((Valores!$C$34)*D302&gt;Valores!$F$34,Valores!$F$34,(Valores!$C$34)*D302)</f>
        <v>11.21</v>
      </c>
      <c r="AD302" s="140">
        <f t="shared" si="55"/>
        <v>0</v>
      </c>
      <c r="AE302" s="140">
        <f>IF(Valores!$C$35*D302&gt;Valores!$F$35,Valores!$F$35,Valores!$C$35*D302)</f>
        <v>9.34</v>
      </c>
      <c r="AF302" s="144">
        <v>0</v>
      </c>
      <c r="AG302" s="140">
        <f>INT(((AF302*Valores!$C$2)*100)+0.5)/100</f>
        <v>0</v>
      </c>
      <c r="AH302" s="140">
        <f>IF($H$5="NO",IF(Valores!$D$60*'Escala Docente'!D302&gt;Valores!$F$60,Valores!$F$60,Valores!$D$60*'Escala Docente'!D302),IF(Valores!$D$60*'Escala Docente'!D302&gt;Valores!$F$60,Valores!$F$60,Valores!$D$60*'Escala Docente'!D302)/2)</f>
        <v>37.94</v>
      </c>
      <c r="AI302" s="140">
        <f>IF($H$5="NO",IF(Valores!$D$62*D302&gt;Valores!$F$62,Valores!$F$62,Valores!$D$62*D302),IF(Valores!$D$62*D302&gt;Valores!$F$62,Valores!$F$62,Valores!$D$62*D302)/2)</f>
        <v>10.850666666666667</v>
      </c>
      <c r="AJ302" s="146">
        <f t="shared" si="56"/>
        <v>2600.3986666666669</v>
      </c>
      <c r="AK302" s="154">
        <f>IF(Valores!$C$38*D302&gt;Valores!$F$38,Valores!$F$38,Valores!$C$38*D302)</f>
        <v>97.7</v>
      </c>
      <c r="AL302" s="143">
        <f>IF(Valores!$C$88*D302&gt;Valores!$C$87,Valores!$C$87,Valores!$C$88*D302)</f>
        <v>113.74999999999999</v>
      </c>
      <c r="AM302" s="143"/>
      <c r="AN302" s="145">
        <f>IF($H$4="NO",0,IF(Valores!$C$59*D302&gt;Valores!$F$59,Valores!$F$59,Valores!$C$59*D302))</f>
        <v>11.3559</v>
      </c>
      <c r="AO302" s="147">
        <f t="shared" si="57"/>
        <v>222.80589999999998</v>
      </c>
      <c r="AP302" s="148">
        <f>AJ302*Valores!$C$69</f>
        <v>-286.04385333333335</v>
      </c>
      <c r="AQ302" s="149">
        <f>AJ302*-Valores!$C$70</f>
        <v>0</v>
      </c>
      <c r="AR302" s="142">
        <f>AJ302*Valores!$C$71</f>
        <v>-117.01794000000001</v>
      </c>
      <c r="AS302" s="142">
        <f>Valores!$C$95</f>
        <v>-193.38</v>
      </c>
      <c r="AT302" s="142">
        <f>IF($H$6=0,Valores!$C$96,(Valores!$C$96+$H$6*(Valores!$C$96)))</f>
        <v>-178</v>
      </c>
      <c r="AU302" s="146">
        <f t="shared" si="58"/>
        <v>2048.7627733333338</v>
      </c>
      <c r="AV302" s="199">
        <f t="shared" si="54"/>
        <v>-286.04385333333335</v>
      </c>
      <c r="AW302" s="142">
        <f>AJ302*Valores!$C$72</f>
        <v>-70.210764000000012</v>
      </c>
      <c r="AX302" s="142">
        <f>AJ302*Valores!$C$73</f>
        <v>-7.8011960000000009</v>
      </c>
      <c r="AY302" s="146">
        <f t="shared" si="59"/>
        <v>2459.1487533333334</v>
      </c>
      <c r="AZ302" s="150"/>
      <c r="BA302" s="150">
        <f t="shared" si="60"/>
        <v>1</v>
      </c>
      <c r="BB302" s="135" t="s">
        <v>4</v>
      </c>
    </row>
    <row r="303" spans="1:1022" s="114" customFormat="1" ht="11.25" customHeight="1" x14ac:dyDescent="0.15">
      <c r="A303" s="134">
        <v>301</v>
      </c>
      <c r="B303" s="134"/>
      <c r="C303" s="135" t="s">
        <v>500</v>
      </c>
      <c r="D303" s="135">
        <v>2</v>
      </c>
      <c r="E303" s="135">
        <f t="shared" si="51"/>
        <v>32</v>
      </c>
      <c r="F303" s="136" t="s">
        <v>501</v>
      </c>
      <c r="G303" s="167">
        <v>243</v>
      </c>
      <c r="H303" s="138">
        <f>INT((G303*Valores!$C$2*100)+0.5)/100</f>
        <v>3251.97</v>
      </c>
      <c r="I303" s="156">
        <v>0</v>
      </c>
      <c r="J303" s="140">
        <f>INT((I303*Valores!$C$2*100)+0.5)/100</f>
        <v>0</v>
      </c>
      <c r="K303" s="155">
        <v>0</v>
      </c>
      <c r="L303" s="140">
        <f>INT((K303*Valores!$C$2*100)+0.5)/100</f>
        <v>0</v>
      </c>
      <c r="M303" s="153">
        <v>0</v>
      </c>
      <c r="N303" s="140">
        <f>INT((M303*Valores!$C$2*100)+0.5)/100</f>
        <v>0</v>
      </c>
      <c r="O303" s="140">
        <f t="shared" si="52"/>
        <v>0</v>
      </c>
      <c r="P303" s="140">
        <f t="shared" si="53"/>
        <v>0</v>
      </c>
      <c r="Q303" s="154">
        <v>0</v>
      </c>
      <c r="R303" s="154">
        <f>IF(D303&lt;15,(Valores!$E$4*D303),Valores!$D$4)</f>
        <v>912.16</v>
      </c>
      <c r="S303" s="140">
        <v>0</v>
      </c>
      <c r="T303" s="143">
        <f>IF($H$5="NO",Valores!C48,Valores!C48/2)</f>
        <v>222.57</v>
      </c>
      <c r="U303" s="154">
        <v>0</v>
      </c>
      <c r="V303" s="140">
        <f t="shared" ref="V303:V328" si="62">U303*(1+$J$2)</f>
        <v>0</v>
      </c>
      <c r="W303" s="140">
        <v>0</v>
      </c>
      <c r="X303" s="140">
        <v>0</v>
      </c>
      <c r="Y303" s="160">
        <v>0</v>
      </c>
      <c r="Z303" s="140">
        <v>0</v>
      </c>
      <c r="AA303" s="140">
        <v>0</v>
      </c>
      <c r="AB303" s="143">
        <f>Valores!$C$94</f>
        <v>257.54000000000002</v>
      </c>
      <c r="AC303" s="145">
        <v>0</v>
      </c>
      <c r="AD303" s="140">
        <f t="shared" si="55"/>
        <v>0</v>
      </c>
      <c r="AE303" s="140">
        <v>0</v>
      </c>
      <c r="AF303" s="144">
        <v>0</v>
      </c>
      <c r="AG303" s="140">
        <f>INT(((AF303*Valores!$C$2)*100)+0.5)/100</f>
        <v>0</v>
      </c>
      <c r="AH303" s="140">
        <f>IF($H$5="NO",Valores!$C$61,Valores!$C$61/2)</f>
        <v>75.88</v>
      </c>
      <c r="AI303" s="140">
        <f>IF($H$5="NO",Valores!$C$63,Valores!$C$63/2)</f>
        <v>21.69</v>
      </c>
      <c r="AJ303" s="146">
        <f t="shared" si="56"/>
        <v>4741.8099999999995</v>
      </c>
      <c r="AK303" s="166"/>
      <c r="AL303" s="143">
        <f>Valores!$C$89</f>
        <v>227.49999999999997</v>
      </c>
      <c r="AM303" s="143"/>
      <c r="AN303" s="145">
        <v>0</v>
      </c>
      <c r="AO303" s="147">
        <f t="shared" si="57"/>
        <v>227.49999999999997</v>
      </c>
      <c r="AP303" s="148">
        <f>AJ303*Valores!$C$69</f>
        <v>-521.59909999999991</v>
      </c>
      <c r="AQ303" s="149">
        <f>AJ303*-Valores!$C$70</f>
        <v>0</v>
      </c>
      <c r="AR303" s="142">
        <f>AJ303*Valores!$C$71</f>
        <v>-213.38144999999997</v>
      </c>
      <c r="AS303" s="142">
        <f>Valores!$C$95</f>
        <v>-193.38</v>
      </c>
      <c r="AT303" s="142">
        <f>IF($H$6=0,Valores!$C$96,(Valores!$C$96+$H$6*(Valores!$C$96)))</f>
        <v>-178</v>
      </c>
      <c r="AU303" s="146">
        <f t="shared" si="58"/>
        <v>3862.9494499999996</v>
      </c>
      <c r="AV303" s="199">
        <f t="shared" si="54"/>
        <v>-521.59909999999991</v>
      </c>
      <c r="AW303" s="142">
        <f>AJ303*Valores!$C$72</f>
        <v>-128.02886999999998</v>
      </c>
      <c r="AX303" s="142">
        <f>AJ303*Valores!$C$73</f>
        <v>-14.225429999999999</v>
      </c>
      <c r="AY303" s="146">
        <f t="shared" si="59"/>
        <v>4305.4565999999995</v>
      </c>
      <c r="AZ303" s="150"/>
      <c r="BA303" s="150">
        <f t="shared" ref="BA303" si="63">4*D303</f>
        <v>8</v>
      </c>
      <c r="BB303" s="135" t="s">
        <v>4</v>
      </c>
    </row>
    <row r="304" spans="1:1022" s="185" customFormat="1" ht="11.25" customHeight="1" x14ac:dyDescent="0.15">
      <c r="A304" s="134">
        <v>302</v>
      </c>
      <c r="B304" s="134"/>
      <c r="C304" s="183"/>
      <c r="D304" s="184">
        <v>1</v>
      </c>
      <c r="E304" s="184">
        <f t="shared" si="51"/>
        <v>28</v>
      </c>
      <c r="F304" s="168" t="s">
        <v>502</v>
      </c>
      <c r="G304" s="167">
        <v>700</v>
      </c>
      <c r="H304" s="138">
        <f>INT((G304*Valores!$C$2*100)+0.5)/100</f>
        <v>9367.82</v>
      </c>
      <c r="I304" s="156">
        <v>0</v>
      </c>
      <c r="J304" s="140">
        <f>INT((I304*Valores!$C$2*100)+0.5)/100</f>
        <v>0</v>
      </c>
      <c r="K304" s="155">
        <v>0</v>
      </c>
      <c r="L304" s="140">
        <f>INT((K304*Valores!$C$2*100)+0.5)/100</f>
        <v>0</v>
      </c>
      <c r="M304" s="153">
        <v>0</v>
      </c>
      <c r="N304" s="140">
        <f>INT((M304*Valores!$C$2*100)+0.5)/100</f>
        <v>0</v>
      </c>
      <c r="O304" s="140">
        <f t="shared" si="52"/>
        <v>1620.1605</v>
      </c>
      <c r="P304" s="140">
        <f t="shared" si="53"/>
        <v>0</v>
      </c>
      <c r="Q304" s="154">
        <v>0</v>
      </c>
      <c r="R304" s="154">
        <v>0</v>
      </c>
      <c r="S304" s="140">
        <v>0</v>
      </c>
      <c r="T304" s="143">
        <f>IF($H$5="NO",Valores!$C$47*15,Valores!$C$47*15/2)</f>
        <v>1433.25</v>
      </c>
      <c r="U304" s="154">
        <v>0</v>
      </c>
      <c r="V304" s="140">
        <f t="shared" si="62"/>
        <v>0</v>
      </c>
      <c r="W304" s="140">
        <v>0</v>
      </c>
      <c r="X304" s="140">
        <v>0</v>
      </c>
      <c r="Y304" s="160">
        <v>0</v>
      </c>
      <c r="Z304" s="140">
        <v>0</v>
      </c>
      <c r="AA304" s="140">
        <v>0</v>
      </c>
      <c r="AB304" s="143"/>
      <c r="AC304" s="145">
        <v>0</v>
      </c>
      <c r="AD304" s="140">
        <f t="shared" si="55"/>
        <v>0</v>
      </c>
      <c r="AE304" s="140">
        <v>0</v>
      </c>
      <c r="AF304" s="144">
        <v>0</v>
      </c>
      <c r="AG304" s="140">
        <f>INT(((AF304*Valores!$C$2)*100)+0.5)/100</f>
        <v>0</v>
      </c>
      <c r="AH304" s="140"/>
      <c r="AI304" s="140"/>
      <c r="AJ304" s="146">
        <f t="shared" si="56"/>
        <v>12421.2305</v>
      </c>
      <c r="AK304" s="166"/>
      <c r="AL304" s="143">
        <v>0</v>
      </c>
      <c r="AM304" s="143"/>
      <c r="AN304" s="145">
        <v>0</v>
      </c>
      <c r="AO304" s="147">
        <f t="shared" si="57"/>
        <v>0</v>
      </c>
      <c r="AP304" s="148">
        <f>AJ304*Valores!$C$69</f>
        <v>-1366.3353549999999</v>
      </c>
      <c r="AQ304" s="149">
        <f>AJ304*-Valores!$C$70</f>
        <v>0</v>
      </c>
      <c r="AR304" s="142">
        <f>AJ304*Valores!$C$71</f>
        <v>-558.95537249999995</v>
      </c>
      <c r="AS304" s="147">
        <v>0</v>
      </c>
      <c r="AT304" s="147">
        <v>0</v>
      </c>
      <c r="AU304" s="146">
        <f t="shared" si="58"/>
        <v>10495.9397725</v>
      </c>
      <c r="AV304" s="199">
        <f t="shared" si="54"/>
        <v>-1366.3353549999999</v>
      </c>
      <c r="AW304" s="142">
        <f>AJ304*Valores!$C$72</f>
        <v>-335.37322349999999</v>
      </c>
      <c r="AX304" s="142">
        <f>AJ304*Valores!$C$73</f>
        <v>-37.2636915</v>
      </c>
      <c r="AY304" s="146">
        <f t="shared" si="59"/>
        <v>10682.258229999999</v>
      </c>
      <c r="AZ304" s="150"/>
      <c r="BA304" s="150"/>
      <c r="BB304" s="135" t="s">
        <v>4</v>
      </c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  <c r="AMF304" s="114"/>
      <c r="AMG304" s="114"/>
      <c r="AMH304" s="114"/>
    </row>
    <row r="305" spans="1:1022" s="185" customFormat="1" ht="11.25" customHeight="1" x14ac:dyDescent="0.15">
      <c r="A305" s="134">
        <v>303</v>
      </c>
      <c r="B305" s="134"/>
      <c r="C305" s="150"/>
      <c r="D305" s="184">
        <v>1</v>
      </c>
      <c r="E305" s="184">
        <f t="shared" si="51"/>
        <v>28</v>
      </c>
      <c r="F305" s="168" t="s">
        <v>503</v>
      </c>
      <c r="G305" s="167">
        <v>500</v>
      </c>
      <c r="H305" s="138">
        <f>INT((G305*Valores!$C$2*100)+0.5)/100</f>
        <v>6691.3</v>
      </c>
      <c r="I305" s="156">
        <v>0</v>
      </c>
      <c r="J305" s="140">
        <f>INT((I305*Valores!$C$2*100)+0.5)/100</f>
        <v>0</v>
      </c>
      <c r="K305" s="155">
        <v>0</v>
      </c>
      <c r="L305" s="140">
        <f>INT((K305*Valores!$C$2*100)+0.5)/100</f>
        <v>0</v>
      </c>
      <c r="M305" s="153">
        <v>0</v>
      </c>
      <c r="N305" s="140">
        <f>INT((M305*Valores!$C$2*100)+0.5)/100</f>
        <v>0</v>
      </c>
      <c r="O305" s="140">
        <f t="shared" si="52"/>
        <v>1147.02</v>
      </c>
      <c r="P305" s="140">
        <f t="shared" si="53"/>
        <v>0</v>
      </c>
      <c r="Q305" s="154">
        <v>0</v>
      </c>
      <c r="R305" s="154">
        <v>0</v>
      </c>
      <c r="S305" s="140">
        <v>0</v>
      </c>
      <c r="T305" s="143">
        <f>IF($H$5="NO",Valores!$C$47*10,Valores!$C$47*10/2)</f>
        <v>955.5</v>
      </c>
      <c r="U305" s="143">
        <v>0</v>
      </c>
      <c r="V305" s="140">
        <f t="shared" si="62"/>
        <v>0</v>
      </c>
      <c r="W305" s="140">
        <v>0</v>
      </c>
      <c r="X305" s="140">
        <v>0</v>
      </c>
      <c r="Y305" s="160">
        <v>0</v>
      </c>
      <c r="Z305" s="140">
        <v>0</v>
      </c>
      <c r="AA305" s="140">
        <v>0</v>
      </c>
      <c r="AB305" s="143"/>
      <c r="AC305" s="145">
        <v>0</v>
      </c>
      <c r="AD305" s="140">
        <f t="shared" si="55"/>
        <v>0</v>
      </c>
      <c r="AE305" s="140">
        <v>0</v>
      </c>
      <c r="AF305" s="144">
        <v>0</v>
      </c>
      <c r="AG305" s="140">
        <f>INT(((AF305*Valores!$C$2)*100)+0.5)/100</f>
        <v>0</v>
      </c>
      <c r="AH305" s="140"/>
      <c r="AI305" s="140"/>
      <c r="AJ305" s="146">
        <f t="shared" si="56"/>
        <v>8793.82</v>
      </c>
      <c r="AK305" s="166"/>
      <c r="AL305" s="143">
        <v>0</v>
      </c>
      <c r="AM305" s="143"/>
      <c r="AN305" s="145">
        <v>0</v>
      </c>
      <c r="AO305" s="147">
        <f t="shared" si="57"/>
        <v>0</v>
      </c>
      <c r="AP305" s="148">
        <f>AJ305*Valores!$C$69</f>
        <v>-967.3202</v>
      </c>
      <c r="AQ305" s="149">
        <f>AJ305*-Valores!$C$70</f>
        <v>0</v>
      </c>
      <c r="AR305" s="142">
        <f>AJ305*Valores!$C$71</f>
        <v>-395.72189999999995</v>
      </c>
      <c r="AS305" s="147">
        <v>0</v>
      </c>
      <c r="AT305" s="147">
        <v>0</v>
      </c>
      <c r="AU305" s="146">
        <f t="shared" si="58"/>
        <v>7430.7779</v>
      </c>
      <c r="AV305" s="199">
        <f t="shared" si="54"/>
        <v>-967.3202</v>
      </c>
      <c r="AW305" s="142">
        <f>AJ305*Valores!$C$72</f>
        <v>-237.43313999999998</v>
      </c>
      <c r="AX305" s="142">
        <f>AJ305*Valores!$C$73</f>
        <v>-26.381460000000001</v>
      </c>
      <c r="AY305" s="146">
        <f t="shared" si="59"/>
        <v>7562.6851999999999</v>
      </c>
      <c r="AZ305" s="150"/>
      <c r="BA305" s="150"/>
      <c r="BB305" s="135" t="s">
        <v>4</v>
      </c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  <c r="AMF305" s="114"/>
      <c r="AMG305" s="114"/>
      <c r="AMH305" s="114"/>
    </row>
    <row r="306" spans="1:1022" s="185" customFormat="1" ht="11.25" customHeight="1" x14ac:dyDescent="0.15">
      <c r="A306" s="134">
        <v>304</v>
      </c>
      <c r="B306" s="134"/>
      <c r="C306" s="135"/>
      <c r="D306" s="184">
        <v>1</v>
      </c>
      <c r="E306" s="184">
        <f t="shared" si="51"/>
        <v>28</v>
      </c>
      <c r="F306" s="168" t="s">
        <v>504</v>
      </c>
      <c r="G306" s="167">
        <v>300</v>
      </c>
      <c r="H306" s="138">
        <f>INT((G306*Valores!$C$2*100)+0.5)/100</f>
        <v>4014.78</v>
      </c>
      <c r="I306" s="156">
        <v>0</v>
      </c>
      <c r="J306" s="140">
        <f>INT((I306*Valores!$C$2*100)+0.5)/100</f>
        <v>0</v>
      </c>
      <c r="K306" s="155">
        <v>0</v>
      </c>
      <c r="L306" s="140">
        <f>INT((K306*Valores!$C$2*100)+0.5)/100</f>
        <v>0</v>
      </c>
      <c r="M306" s="153">
        <v>0</v>
      </c>
      <c r="N306" s="140">
        <f>INT((M306*Valores!$C$2*100)+0.5)/100</f>
        <v>0</v>
      </c>
      <c r="O306" s="140">
        <f t="shared" si="52"/>
        <v>673.87950000000012</v>
      </c>
      <c r="P306" s="140">
        <f t="shared" si="53"/>
        <v>0</v>
      </c>
      <c r="Q306" s="154">
        <v>0</v>
      </c>
      <c r="R306" s="154">
        <v>0</v>
      </c>
      <c r="S306" s="140">
        <v>0</v>
      </c>
      <c r="T306" s="143">
        <f>IF($H$5="NO",Valores!$C$47*5,Valores!$C$47*5/2)</f>
        <v>477.75</v>
      </c>
      <c r="U306" s="154">
        <v>0</v>
      </c>
      <c r="V306" s="140">
        <f t="shared" si="62"/>
        <v>0</v>
      </c>
      <c r="W306" s="140">
        <v>0</v>
      </c>
      <c r="X306" s="140">
        <v>0</v>
      </c>
      <c r="Y306" s="160">
        <v>0</v>
      </c>
      <c r="Z306" s="140">
        <v>0</v>
      </c>
      <c r="AA306" s="140">
        <v>0</v>
      </c>
      <c r="AB306" s="143"/>
      <c r="AC306" s="145">
        <v>0</v>
      </c>
      <c r="AD306" s="140">
        <f t="shared" si="55"/>
        <v>0</v>
      </c>
      <c r="AE306" s="140">
        <v>0</v>
      </c>
      <c r="AF306" s="144">
        <v>0</v>
      </c>
      <c r="AG306" s="140">
        <f>INT(((AF306*Valores!$C$2)*100)+0.5)/100</f>
        <v>0</v>
      </c>
      <c r="AH306" s="140"/>
      <c r="AI306" s="140"/>
      <c r="AJ306" s="146">
        <f t="shared" si="56"/>
        <v>5166.4095000000007</v>
      </c>
      <c r="AK306" s="166"/>
      <c r="AL306" s="143">
        <v>0</v>
      </c>
      <c r="AM306" s="143"/>
      <c r="AN306" s="145">
        <v>0</v>
      </c>
      <c r="AO306" s="147">
        <f t="shared" si="57"/>
        <v>0</v>
      </c>
      <c r="AP306" s="148">
        <f>AJ306*Valores!$C$69</f>
        <v>-568.30504500000006</v>
      </c>
      <c r="AQ306" s="149">
        <f>AJ306*-Valores!$C$70</f>
        <v>0</v>
      </c>
      <c r="AR306" s="142">
        <f>AJ306*Valores!$C$71</f>
        <v>-232.48842750000003</v>
      </c>
      <c r="AS306" s="147">
        <v>0</v>
      </c>
      <c r="AT306" s="147">
        <v>0</v>
      </c>
      <c r="AU306" s="146">
        <f t="shared" si="58"/>
        <v>4365.6160275000002</v>
      </c>
      <c r="AV306" s="199">
        <f t="shared" si="54"/>
        <v>-568.30504500000006</v>
      </c>
      <c r="AW306" s="142">
        <f>AJ306*Valores!$C$72</f>
        <v>-139.49305650000002</v>
      </c>
      <c r="AX306" s="142">
        <f>AJ306*Valores!$C$73</f>
        <v>-15.499228500000003</v>
      </c>
      <c r="AY306" s="146">
        <f t="shared" si="59"/>
        <v>4443.1121700000003</v>
      </c>
      <c r="AZ306" s="150"/>
      <c r="BA306" s="150"/>
      <c r="BB306" s="135" t="s">
        <v>4</v>
      </c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  <c r="AMF306" s="114"/>
      <c r="AMG306" s="114"/>
      <c r="AMH306" s="114"/>
    </row>
    <row r="307" spans="1:1022" s="185" customFormat="1" ht="11.25" customHeight="1" x14ac:dyDescent="0.15">
      <c r="A307" s="152">
        <v>305</v>
      </c>
      <c r="B307" s="152" t="s">
        <v>139</v>
      </c>
      <c r="C307" s="150"/>
      <c r="D307" s="184">
        <v>1</v>
      </c>
      <c r="E307" s="184">
        <f t="shared" si="51"/>
        <v>25</v>
      </c>
      <c r="F307" s="168" t="s">
        <v>505</v>
      </c>
      <c r="G307" s="167">
        <v>155</v>
      </c>
      <c r="H307" s="138">
        <f>INT((G307*Valores!$C$2*100)+0.5)/100</f>
        <v>2074.3000000000002</v>
      </c>
      <c r="I307" s="156">
        <v>0</v>
      </c>
      <c r="J307" s="140">
        <f>INT((I307*Valores!$C$2*100)+0.5)/100</f>
        <v>0</v>
      </c>
      <c r="K307" s="155">
        <v>0</v>
      </c>
      <c r="L307" s="140">
        <f>INT((K307*Valores!$C$2*100)+0.5)/100</f>
        <v>0</v>
      </c>
      <c r="M307" s="153">
        <v>0</v>
      </c>
      <c r="N307" s="140">
        <f>INT((M307*Valores!$C$2*100)+0.5)/100</f>
        <v>0</v>
      </c>
      <c r="O307" s="140">
        <f t="shared" si="52"/>
        <v>325.47750000000002</v>
      </c>
      <c r="P307" s="140">
        <f t="shared" si="53"/>
        <v>0</v>
      </c>
      <c r="Q307" s="154">
        <v>0</v>
      </c>
      <c r="R307" s="154">
        <v>0</v>
      </c>
      <c r="S307" s="140">
        <v>0</v>
      </c>
      <c r="T307" s="143">
        <f>IF($H$5="NO",IF(Valores!$C$47*D307&gt;Valores!$C$45,Valores!$C$45,Valores!$C$47*D307),IF(Valores!$C$47*D307&gt;Valores!$C$45,Valores!$C$45,Valores!$C$47*D307)/2)</f>
        <v>95.55</v>
      </c>
      <c r="U307" s="154">
        <v>0</v>
      </c>
      <c r="V307" s="140">
        <f t="shared" si="62"/>
        <v>0</v>
      </c>
      <c r="W307" s="140">
        <v>0</v>
      </c>
      <c r="X307" s="140">
        <v>0</v>
      </c>
      <c r="Y307" s="160">
        <v>0</v>
      </c>
      <c r="Z307" s="140">
        <v>0</v>
      </c>
      <c r="AA307" s="140">
        <v>0</v>
      </c>
      <c r="AB307" s="143"/>
      <c r="AC307" s="145">
        <v>0</v>
      </c>
      <c r="AD307" s="140">
        <f t="shared" si="55"/>
        <v>0</v>
      </c>
      <c r="AE307" s="140">
        <v>0</v>
      </c>
      <c r="AF307" s="144">
        <v>0</v>
      </c>
      <c r="AG307" s="140">
        <f>INT(((AF307*Valores!$C$2)*100)+0.5)/100</f>
        <v>0</v>
      </c>
      <c r="AH307" s="140"/>
      <c r="AI307" s="140"/>
      <c r="AJ307" s="146">
        <f t="shared" si="56"/>
        <v>2495.3275000000003</v>
      </c>
      <c r="AK307" s="166"/>
      <c r="AL307" s="143">
        <v>0</v>
      </c>
      <c r="AM307" s="143"/>
      <c r="AN307" s="145">
        <v>0</v>
      </c>
      <c r="AO307" s="147">
        <f t="shared" si="57"/>
        <v>0</v>
      </c>
      <c r="AP307" s="148">
        <f>AJ307*Valores!$C$69</f>
        <v>-274.48602500000004</v>
      </c>
      <c r="AQ307" s="149">
        <f>AJ307*-Valores!$C$70</f>
        <v>0</v>
      </c>
      <c r="AR307" s="142">
        <f>AJ307*Valores!$C$71</f>
        <v>-112.28973750000002</v>
      </c>
      <c r="AS307" s="147">
        <v>0</v>
      </c>
      <c r="AT307" s="147">
        <v>0</v>
      </c>
      <c r="AU307" s="146">
        <f t="shared" si="58"/>
        <v>2108.5517375000004</v>
      </c>
      <c r="AV307" s="199">
        <f t="shared" si="54"/>
        <v>-274.48602500000004</v>
      </c>
      <c r="AW307" s="142">
        <f>AJ307*Valores!$C$72</f>
        <v>-67.373842500000009</v>
      </c>
      <c r="AX307" s="142">
        <f>AJ307*Valores!$C$73</f>
        <v>-7.4859825000000013</v>
      </c>
      <c r="AY307" s="146">
        <f t="shared" si="59"/>
        <v>2145.9816500000002</v>
      </c>
      <c r="AZ307" s="150"/>
      <c r="BA307" s="150"/>
      <c r="BB307" s="135" t="s">
        <v>4</v>
      </c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  <c r="AMF307" s="114"/>
      <c r="AMG307" s="114"/>
      <c r="AMH307" s="114"/>
    </row>
    <row r="308" spans="1:1022" s="185" customFormat="1" ht="11.25" customHeight="1" x14ac:dyDescent="0.15">
      <c r="A308" s="134">
        <v>306</v>
      </c>
      <c r="B308" s="134"/>
      <c r="C308" s="135"/>
      <c r="D308" s="184">
        <v>1</v>
      </c>
      <c r="E308" s="184">
        <f t="shared" si="51"/>
        <v>26</v>
      </c>
      <c r="F308" s="168" t="s">
        <v>506</v>
      </c>
      <c r="G308" s="167">
        <f t="shared" ref="G308:G322" si="64">155+G307</f>
        <v>310</v>
      </c>
      <c r="H308" s="138">
        <f>INT((G308*Valores!$C$2*100)+0.5)/100</f>
        <v>4148.6099999999997</v>
      </c>
      <c r="I308" s="156">
        <v>0</v>
      </c>
      <c r="J308" s="140">
        <f>INT((I308*Valores!$C$2*100)+0.5)/100</f>
        <v>0</v>
      </c>
      <c r="K308" s="155">
        <v>0</v>
      </c>
      <c r="L308" s="140">
        <f>INT((K308*Valores!$C$2*100)+0.5)/100</f>
        <v>0</v>
      </c>
      <c r="M308" s="153">
        <v>0</v>
      </c>
      <c r="N308" s="140">
        <f>INT((M308*Valores!$C$2*100)+0.5)/100</f>
        <v>0</v>
      </c>
      <c r="O308" s="140">
        <f t="shared" si="52"/>
        <v>650.95650000000001</v>
      </c>
      <c r="P308" s="140">
        <f t="shared" si="53"/>
        <v>0</v>
      </c>
      <c r="Q308" s="154">
        <v>0</v>
      </c>
      <c r="R308" s="154">
        <v>0</v>
      </c>
      <c r="S308" s="140">
        <v>0</v>
      </c>
      <c r="T308" s="143">
        <f>IF($H$5="NO",IF(Valores!$C$47*D308&gt;Valores!$C$45,Valores!$C$45,Valores!$C$47*D308),IF(Valores!$C$47*D308&gt;Valores!$C$45,Valores!$C$45,Valores!$C$47*D308)/2)*2</f>
        <v>191.1</v>
      </c>
      <c r="U308" s="154">
        <v>0</v>
      </c>
      <c r="V308" s="140">
        <f t="shared" si="62"/>
        <v>0</v>
      </c>
      <c r="W308" s="140">
        <v>0</v>
      </c>
      <c r="X308" s="140">
        <v>0</v>
      </c>
      <c r="Y308" s="160">
        <v>0</v>
      </c>
      <c r="Z308" s="140">
        <v>0</v>
      </c>
      <c r="AA308" s="140">
        <v>0</v>
      </c>
      <c r="AB308" s="143"/>
      <c r="AC308" s="145">
        <v>0</v>
      </c>
      <c r="AD308" s="140">
        <f t="shared" si="55"/>
        <v>0</v>
      </c>
      <c r="AE308" s="140">
        <v>0</v>
      </c>
      <c r="AF308" s="144">
        <v>0</v>
      </c>
      <c r="AG308" s="140">
        <f>INT(((AF308*Valores!$C$2)*100)+0.5)/100</f>
        <v>0</v>
      </c>
      <c r="AH308" s="140"/>
      <c r="AI308" s="140"/>
      <c r="AJ308" s="146">
        <f t="shared" si="56"/>
        <v>4990.6665000000003</v>
      </c>
      <c r="AK308" s="166"/>
      <c r="AL308" s="143">
        <v>0</v>
      </c>
      <c r="AM308" s="143"/>
      <c r="AN308" s="145">
        <v>0</v>
      </c>
      <c r="AO308" s="147">
        <f t="shared" si="57"/>
        <v>0</v>
      </c>
      <c r="AP308" s="148">
        <f>AJ308*Valores!$C$69</f>
        <v>-548.97331500000007</v>
      </c>
      <c r="AQ308" s="149">
        <f>AJ308*-Valores!$C$70</f>
        <v>0</v>
      </c>
      <c r="AR308" s="142">
        <f>AJ308*Valores!$C$71</f>
        <v>-224.5799925</v>
      </c>
      <c r="AS308" s="147">
        <v>0</v>
      </c>
      <c r="AT308" s="147">
        <v>0</v>
      </c>
      <c r="AU308" s="146">
        <f t="shared" si="58"/>
        <v>4217.1131925</v>
      </c>
      <c r="AV308" s="199">
        <f t="shared" si="54"/>
        <v>-548.97331500000007</v>
      </c>
      <c r="AW308" s="142">
        <f>AJ308*Valores!$C$72</f>
        <v>-134.7479955</v>
      </c>
      <c r="AX308" s="142">
        <f>AJ308*Valores!$C$73</f>
        <v>-14.971999500000001</v>
      </c>
      <c r="AY308" s="146">
        <f t="shared" si="59"/>
        <v>4291.9731900000006</v>
      </c>
      <c r="AZ308" s="150"/>
      <c r="BA308" s="150"/>
      <c r="BB308" s="135" t="s">
        <v>4</v>
      </c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  <c r="AMF308" s="114"/>
      <c r="AMG308" s="114"/>
      <c r="AMH308" s="114"/>
    </row>
    <row r="309" spans="1:1022" s="185" customFormat="1" ht="11.25" customHeight="1" x14ac:dyDescent="0.15">
      <c r="A309" s="134">
        <v>307</v>
      </c>
      <c r="B309" s="134"/>
      <c r="C309" s="135"/>
      <c r="D309" s="184">
        <v>1</v>
      </c>
      <c r="E309" s="184">
        <f t="shared" si="51"/>
        <v>26</v>
      </c>
      <c r="F309" s="168" t="s">
        <v>507</v>
      </c>
      <c r="G309" s="167">
        <f t="shared" si="64"/>
        <v>465</v>
      </c>
      <c r="H309" s="138">
        <f>INT((G309*Valores!$C$2*100)+0.5)/100</f>
        <v>6222.91</v>
      </c>
      <c r="I309" s="156">
        <v>0</v>
      </c>
      <c r="J309" s="140">
        <f>INT((I309*Valores!$C$2*100)+0.5)/100</f>
        <v>0</v>
      </c>
      <c r="K309" s="155">
        <v>0</v>
      </c>
      <c r="L309" s="140">
        <f>INT((K309*Valores!$C$2*100)+0.5)/100</f>
        <v>0</v>
      </c>
      <c r="M309" s="153">
        <v>0</v>
      </c>
      <c r="N309" s="140">
        <f>INT((M309*Valores!$C$2*100)+0.5)/100</f>
        <v>0</v>
      </c>
      <c r="O309" s="140">
        <f t="shared" si="52"/>
        <v>976.43399999999986</v>
      </c>
      <c r="P309" s="140">
        <f t="shared" si="53"/>
        <v>0</v>
      </c>
      <c r="Q309" s="154">
        <v>0</v>
      </c>
      <c r="R309" s="154">
        <v>0</v>
      </c>
      <c r="S309" s="140">
        <v>0</v>
      </c>
      <c r="T309" s="143">
        <f>IF($H$5="NO",IF(Valores!$C$47*D309&gt;Valores!$C$45,Valores!$C$45,Valores!$C$47*D309),IF(Valores!$C$47*D309&gt;Valores!$C$45,Valores!$C$45,Valores!$C$47*D309)/2)*3</f>
        <v>286.64999999999998</v>
      </c>
      <c r="U309" s="154">
        <v>0</v>
      </c>
      <c r="V309" s="140">
        <f t="shared" si="62"/>
        <v>0</v>
      </c>
      <c r="W309" s="140">
        <v>0</v>
      </c>
      <c r="X309" s="140">
        <v>0</v>
      </c>
      <c r="Y309" s="160">
        <v>0</v>
      </c>
      <c r="Z309" s="140">
        <v>0</v>
      </c>
      <c r="AA309" s="140">
        <v>0</v>
      </c>
      <c r="AB309" s="143"/>
      <c r="AC309" s="145">
        <v>0</v>
      </c>
      <c r="AD309" s="140">
        <f t="shared" si="55"/>
        <v>0</v>
      </c>
      <c r="AE309" s="140">
        <v>0</v>
      </c>
      <c r="AF309" s="144">
        <v>0</v>
      </c>
      <c r="AG309" s="140">
        <f>INT(((AF309*Valores!$C$2)*100)+0.5)/100</f>
        <v>0</v>
      </c>
      <c r="AH309" s="140"/>
      <c r="AI309" s="140"/>
      <c r="AJ309" s="146">
        <f t="shared" si="56"/>
        <v>7485.9939999999997</v>
      </c>
      <c r="AK309" s="166"/>
      <c r="AL309" s="143">
        <v>0</v>
      </c>
      <c r="AM309" s="143"/>
      <c r="AN309" s="145">
        <v>0</v>
      </c>
      <c r="AO309" s="147">
        <f t="shared" si="57"/>
        <v>0</v>
      </c>
      <c r="AP309" s="148">
        <f>AJ309*Valores!$C$69</f>
        <v>-823.45934</v>
      </c>
      <c r="AQ309" s="149">
        <f>AJ309*-Valores!$C$70</f>
        <v>0</v>
      </c>
      <c r="AR309" s="142">
        <f>AJ309*Valores!$C$71</f>
        <v>-336.86972999999995</v>
      </c>
      <c r="AS309" s="147">
        <v>0</v>
      </c>
      <c r="AT309" s="147">
        <v>0</v>
      </c>
      <c r="AU309" s="146">
        <f t="shared" si="58"/>
        <v>6325.6649299999999</v>
      </c>
      <c r="AV309" s="199">
        <f t="shared" si="54"/>
        <v>-823.45934</v>
      </c>
      <c r="AW309" s="142">
        <f>AJ309*Valores!$C$72</f>
        <v>-202.121838</v>
      </c>
      <c r="AX309" s="142">
        <f>AJ309*Valores!$C$73</f>
        <v>-22.457982000000001</v>
      </c>
      <c r="AY309" s="146">
        <f t="shared" si="59"/>
        <v>6437.9548400000003</v>
      </c>
      <c r="AZ309" s="150"/>
      <c r="BA309" s="150"/>
      <c r="BB309" s="135" t="s">
        <v>4</v>
      </c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  <c r="AMF309" s="114"/>
      <c r="AMG309" s="114"/>
      <c r="AMH309" s="114"/>
    </row>
    <row r="310" spans="1:1022" s="185" customFormat="1" ht="11.25" customHeight="1" x14ac:dyDescent="0.15">
      <c r="A310" s="134">
        <v>308</v>
      </c>
      <c r="B310" s="134"/>
      <c r="C310" s="135"/>
      <c r="D310" s="184">
        <v>1</v>
      </c>
      <c r="E310" s="184">
        <f t="shared" si="51"/>
        <v>26</v>
      </c>
      <c r="F310" s="168" t="s">
        <v>508</v>
      </c>
      <c r="G310" s="167">
        <f t="shared" si="64"/>
        <v>620</v>
      </c>
      <c r="H310" s="138">
        <f>INT((G310*Valores!$C$2*100)+0.5)/100</f>
        <v>8297.2099999999991</v>
      </c>
      <c r="I310" s="156">
        <v>0</v>
      </c>
      <c r="J310" s="140">
        <f>INT((I310*Valores!$C$2*100)+0.5)/100</f>
        <v>0</v>
      </c>
      <c r="K310" s="155">
        <v>0</v>
      </c>
      <c r="L310" s="140">
        <f>INT((K310*Valores!$C$2*100)+0.5)/100</f>
        <v>0</v>
      </c>
      <c r="M310" s="153">
        <v>0</v>
      </c>
      <c r="N310" s="140">
        <f>INT((M310*Valores!$C$2*100)+0.5)/100</f>
        <v>0</v>
      </c>
      <c r="O310" s="140">
        <f t="shared" si="52"/>
        <v>1301.9114999999999</v>
      </c>
      <c r="P310" s="140">
        <f t="shared" si="53"/>
        <v>0</v>
      </c>
      <c r="Q310" s="154">
        <v>0</v>
      </c>
      <c r="R310" s="154">
        <v>0</v>
      </c>
      <c r="S310" s="140">
        <v>0</v>
      </c>
      <c r="T310" s="143">
        <f>IF($H$5="NO",IF(Valores!$C$47*D310&gt;Valores!$C$45,Valores!$C$45,Valores!$C$47*D310),IF(Valores!$C$47*D310&gt;Valores!$C$45,Valores!$C$45,Valores!$C$47*D310)/2)*4</f>
        <v>382.2</v>
      </c>
      <c r="U310" s="143">
        <v>0</v>
      </c>
      <c r="V310" s="140">
        <f t="shared" si="62"/>
        <v>0</v>
      </c>
      <c r="W310" s="140">
        <v>0</v>
      </c>
      <c r="X310" s="140">
        <v>0</v>
      </c>
      <c r="Y310" s="160">
        <v>0</v>
      </c>
      <c r="Z310" s="140">
        <v>0</v>
      </c>
      <c r="AA310" s="140">
        <v>0</v>
      </c>
      <c r="AB310" s="143"/>
      <c r="AC310" s="145">
        <v>0</v>
      </c>
      <c r="AD310" s="140">
        <f t="shared" si="55"/>
        <v>0</v>
      </c>
      <c r="AE310" s="140">
        <v>0</v>
      </c>
      <c r="AF310" s="144">
        <v>0</v>
      </c>
      <c r="AG310" s="140">
        <f>INT(((AF310*Valores!$C$2)*100)+0.5)/100</f>
        <v>0</v>
      </c>
      <c r="AH310" s="140"/>
      <c r="AI310" s="140"/>
      <c r="AJ310" s="146">
        <f t="shared" si="56"/>
        <v>9981.3215</v>
      </c>
      <c r="AK310" s="166"/>
      <c r="AL310" s="143">
        <v>0</v>
      </c>
      <c r="AM310" s="143"/>
      <c r="AN310" s="145">
        <v>0</v>
      </c>
      <c r="AO310" s="147">
        <f t="shared" si="57"/>
        <v>0</v>
      </c>
      <c r="AP310" s="148">
        <f>AJ310*Valores!$C$69</f>
        <v>-1097.945365</v>
      </c>
      <c r="AQ310" s="149">
        <f>AJ310*-Valores!$C$70</f>
        <v>0</v>
      </c>
      <c r="AR310" s="142">
        <f>AJ310*Valores!$C$71</f>
        <v>-449.15946750000001</v>
      </c>
      <c r="AS310" s="147">
        <v>0</v>
      </c>
      <c r="AT310" s="147">
        <v>0</v>
      </c>
      <c r="AU310" s="146">
        <f t="shared" si="58"/>
        <v>8434.2166675000008</v>
      </c>
      <c r="AV310" s="199">
        <f t="shared" si="54"/>
        <v>-1097.945365</v>
      </c>
      <c r="AW310" s="142">
        <f>AJ310*Valores!$C$72</f>
        <v>-269.49568049999999</v>
      </c>
      <c r="AX310" s="142">
        <f>AJ310*Valores!$C$73</f>
        <v>-29.9439645</v>
      </c>
      <c r="AY310" s="146">
        <f t="shared" si="59"/>
        <v>8583.93649</v>
      </c>
      <c r="AZ310" s="150"/>
      <c r="BA310" s="150"/>
      <c r="BB310" s="135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  <c r="AMF310" s="114"/>
      <c r="AMG310" s="114"/>
      <c r="AMH310" s="114"/>
    </row>
    <row r="311" spans="1:1022" s="185" customFormat="1" ht="11.25" customHeight="1" x14ac:dyDescent="0.15">
      <c r="A311" s="134">
        <v>309</v>
      </c>
      <c r="B311" s="134"/>
      <c r="C311" s="135"/>
      <c r="D311" s="184">
        <v>1</v>
      </c>
      <c r="E311" s="184">
        <f t="shared" si="51"/>
        <v>26</v>
      </c>
      <c r="F311" s="168" t="s">
        <v>509</v>
      </c>
      <c r="G311" s="167">
        <f t="shared" si="64"/>
        <v>775</v>
      </c>
      <c r="H311" s="138">
        <f>INT((G311*Valores!$C$2*100)+0.5)/100</f>
        <v>10371.52</v>
      </c>
      <c r="I311" s="156">
        <v>0</v>
      </c>
      <c r="J311" s="140">
        <f>INT((I311*Valores!$C$2*100)+0.5)/100</f>
        <v>0</v>
      </c>
      <c r="K311" s="155">
        <v>0</v>
      </c>
      <c r="L311" s="140">
        <f>INT((K311*Valores!$C$2*100)+0.5)/100</f>
        <v>0</v>
      </c>
      <c r="M311" s="153">
        <v>0</v>
      </c>
      <c r="N311" s="140">
        <f>INT((M311*Valores!$C$2*100)+0.5)/100</f>
        <v>0</v>
      </c>
      <c r="O311" s="140">
        <f t="shared" si="52"/>
        <v>1627.3905</v>
      </c>
      <c r="P311" s="140">
        <f t="shared" si="53"/>
        <v>0</v>
      </c>
      <c r="Q311" s="154">
        <v>0</v>
      </c>
      <c r="R311" s="154">
        <v>0</v>
      </c>
      <c r="S311" s="140">
        <v>0</v>
      </c>
      <c r="T311" s="143">
        <f>IF($H$5="NO",IF(Valores!$C$47*D311&gt;Valores!$C$45,Valores!$C$45,Valores!$C$47*D311),IF(Valores!$C$47*D311&gt;Valores!$C$45,Valores!$C$45,Valores!$C$47*D311)/2)*5</f>
        <v>477.75</v>
      </c>
      <c r="U311" s="154">
        <v>0</v>
      </c>
      <c r="V311" s="140">
        <f t="shared" si="62"/>
        <v>0</v>
      </c>
      <c r="W311" s="140">
        <v>0</v>
      </c>
      <c r="X311" s="140">
        <v>0</v>
      </c>
      <c r="Y311" s="160">
        <v>0</v>
      </c>
      <c r="Z311" s="140">
        <v>0</v>
      </c>
      <c r="AA311" s="140">
        <v>0</v>
      </c>
      <c r="AB311" s="143"/>
      <c r="AC311" s="145">
        <v>0</v>
      </c>
      <c r="AD311" s="140">
        <f t="shared" si="55"/>
        <v>0</v>
      </c>
      <c r="AE311" s="140">
        <v>0</v>
      </c>
      <c r="AF311" s="144">
        <v>0</v>
      </c>
      <c r="AG311" s="140">
        <f>INT(((AF311*Valores!$C$2)*100)+0.5)/100</f>
        <v>0</v>
      </c>
      <c r="AH311" s="140"/>
      <c r="AI311" s="140"/>
      <c r="AJ311" s="146">
        <f t="shared" si="56"/>
        <v>12476.6605</v>
      </c>
      <c r="AK311" s="166"/>
      <c r="AL311" s="143">
        <v>0</v>
      </c>
      <c r="AM311" s="143"/>
      <c r="AN311" s="145">
        <v>0</v>
      </c>
      <c r="AO311" s="147">
        <f t="shared" si="57"/>
        <v>0</v>
      </c>
      <c r="AP311" s="148">
        <f>AJ311*Valores!$C$69</f>
        <v>-1372.4326550000001</v>
      </c>
      <c r="AQ311" s="149">
        <f>AJ311*-Valores!$C$70</f>
        <v>0</v>
      </c>
      <c r="AR311" s="142">
        <f>AJ311*Valores!$C$71</f>
        <v>-561.44972250000001</v>
      </c>
      <c r="AS311" s="147">
        <v>0</v>
      </c>
      <c r="AT311" s="147">
        <v>0</v>
      </c>
      <c r="AU311" s="146">
        <f t="shared" si="58"/>
        <v>10542.7781225</v>
      </c>
      <c r="AV311" s="199">
        <f t="shared" si="54"/>
        <v>-1372.4326550000001</v>
      </c>
      <c r="AW311" s="142">
        <f>AJ311*Valores!$C$72</f>
        <v>-336.86983349999997</v>
      </c>
      <c r="AX311" s="142">
        <f>AJ311*Valores!$C$73</f>
        <v>-37.429981500000004</v>
      </c>
      <c r="AY311" s="146">
        <f t="shared" si="59"/>
        <v>10729.928029999999</v>
      </c>
      <c r="AZ311" s="150"/>
      <c r="BA311" s="150"/>
      <c r="BB311" s="135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  <c r="AMF311" s="114"/>
      <c r="AMG311" s="114"/>
      <c r="AMH311" s="114"/>
    </row>
    <row r="312" spans="1:1022" s="185" customFormat="1" ht="11.25" customHeight="1" x14ac:dyDescent="0.15">
      <c r="A312" s="152">
        <v>310</v>
      </c>
      <c r="B312" s="152" t="s">
        <v>139</v>
      </c>
      <c r="C312" s="135"/>
      <c r="D312" s="184">
        <v>1</v>
      </c>
      <c r="E312" s="184">
        <f t="shared" si="51"/>
        <v>26</v>
      </c>
      <c r="F312" s="168" t="s">
        <v>510</v>
      </c>
      <c r="G312" s="167">
        <f t="shared" si="64"/>
        <v>930</v>
      </c>
      <c r="H312" s="138">
        <f>INT((G312*Valores!$C$2*100)+0.5)/100</f>
        <v>12445.82</v>
      </c>
      <c r="I312" s="156">
        <v>0</v>
      </c>
      <c r="J312" s="140">
        <f>INT((I312*Valores!$C$2*100)+0.5)/100</f>
        <v>0</v>
      </c>
      <c r="K312" s="155">
        <v>0</v>
      </c>
      <c r="L312" s="140">
        <f>INT((K312*Valores!$C$2*100)+0.5)/100</f>
        <v>0</v>
      </c>
      <c r="M312" s="153">
        <v>0</v>
      </c>
      <c r="N312" s="140">
        <f>INT((M312*Valores!$C$2*100)+0.5)/100</f>
        <v>0</v>
      </c>
      <c r="O312" s="140">
        <f t="shared" si="52"/>
        <v>1952.8679999999997</v>
      </c>
      <c r="P312" s="140">
        <f t="shared" si="53"/>
        <v>0</v>
      </c>
      <c r="Q312" s="154">
        <v>0</v>
      </c>
      <c r="R312" s="154">
        <v>0</v>
      </c>
      <c r="S312" s="140">
        <v>0</v>
      </c>
      <c r="T312" s="143">
        <f>IF($H$5="NO",IF(Valores!$C$47*D312&gt;Valores!$C$45,Valores!$C$45,Valores!$C$47*D312),IF(Valores!$C$47*D312&gt;Valores!$C$45,Valores!$C$45,Valores!$C$47*D312)/2)*6</f>
        <v>573.29999999999995</v>
      </c>
      <c r="U312" s="154">
        <v>0</v>
      </c>
      <c r="V312" s="140">
        <f t="shared" si="62"/>
        <v>0</v>
      </c>
      <c r="W312" s="140">
        <v>0</v>
      </c>
      <c r="X312" s="140">
        <v>0</v>
      </c>
      <c r="Y312" s="160">
        <v>0</v>
      </c>
      <c r="Z312" s="140">
        <v>0</v>
      </c>
      <c r="AA312" s="140">
        <v>0</v>
      </c>
      <c r="AB312" s="143"/>
      <c r="AC312" s="145">
        <v>0</v>
      </c>
      <c r="AD312" s="140">
        <f t="shared" si="55"/>
        <v>0</v>
      </c>
      <c r="AE312" s="140">
        <v>0</v>
      </c>
      <c r="AF312" s="144">
        <v>0</v>
      </c>
      <c r="AG312" s="140">
        <f>INT(((AF312*Valores!$C$2)*100)+0.5)/100</f>
        <v>0</v>
      </c>
      <c r="AH312" s="140"/>
      <c r="AI312" s="140"/>
      <c r="AJ312" s="146">
        <f t="shared" si="56"/>
        <v>14971.987999999999</v>
      </c>
      <c r="AK312" s="166"/>
      <c r="AL312" s="143">
        <v>0</v>
      </c>
      <c r="AM312" s="143"/>
      <c r="AN312" s="145">
        <v>0</v>
      </c>
      <c r="AO312" s="147">
        <f t="shared" si="57"/>
        <v>0</v>
      </c>
      <c r="AP312" s="148">
        <f>AJ312*Valores!$C$69</f>
        <v>-1646.91868</v>
      </c>
      <c r="AQ312" s="149">
        <f>AJ312*-Valores!$C$70</f>
        <v>0</v>
      </c>
      <c r="AR312" s="142">
        <f>AJ312*Valores!$C$71</f>
        <v>-673.73945999999989</v>
      </c>
      <c r="AS312" s="147">
        <v>0</v>
      </c>
      <c r="AT312" s="147">
        <v>0</v>
      </c>
      <c r="AU312" s="146">
        <f t="shared" si="58"/>
        <v>12651.32986</v>
      </c>
      <c r="AV312" s="199">
        <f t="shared" si="54"/>
        <v>-1646.91868</v>
      </c>
      <c r="AW312" s="142">
        <f>AJ312*Valores!$C$72</f>
        <v>-404.24367599999999</v>
      </c>
      <c r="AX312" s="142">
        <f>AJ312*Valores!$C$73</f>
        <v>-44.915964000000002</v>
      </c>
      <c r="AY312" s="146">
        <f t="shared" si="59"/>
        <v>12875.909680000001</v>
      </c>
      <c r="AZ312" s="150"/>
      <c r="BA312" s="150"/>
      <c r="BB312" s="135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  <c r="AMF312" s="114"/>
      <c r="AMG312" s="114"/>
      <c r="AMH312" s="114"/>
    </row>
    <row r="313" spans="1:1022" s="185" customFormat="1" ht="11.25" customHeight="1" x14ac:dyDescent="0.15">
      <c r="A313" s="134">
        <v>311</v>
      </c>
      <c r="B313" s="134"/>
      <c r="C313" s="135"/>
      <c r="D313" s="184">
        <v>1</v>
      </c>
      <c r="E313" s="184">
        <f t="shared" si="51"/>
        <v>26</v>
      </c>
      <c r="F313" s="168" t="s">
        <v>511</v>
      </c>
      <c r="G313" s="167">
        <f t="shared" si="64"/>
        <v>1085</v>
      </c>
      <c r="H313" s="138">
        <f>INT((G313*Valores!$C$2*100)+0.5)/100</f>
        <v>14520.12</v>
      </c>
      <c r="I313" s="156">
        <v>0</v>
      </c>
      <c r="J313" s="140">
        <f>INT((I313*Valores!$C$2*100)+0.5)/100</f>
        <v>0</v>
      </c>
      <c r="K313" s="155">
        <v>0</v>
      </c>
      <c r="L313" s="140">
        <f>INT((K313*Valores!$C$2*100)+0.5)/100</f>
        <v>0</v>
      </c>
      <c r="M313" s="153">
        <v>0</v>
      </c>
      <c r="N313" s="140">
        <f>INT((M313*Valores!$C$2*100)+0.5)/100</f>
        <v>0</v>
      </c>
      <c r="O313" s="140">
        <f t="shared" si="52"/>
        <v>2278.3454999999999</v>
      </c>
      <c r="P313" s="140">
        <f t="shared" si="53"/>
        <v>0</v>
      </c>
      <c r="Q313" s="154">
        <v>0</v>
      </c>
      <c r="R313" s="154">
        <v>0</v>
      </c>
      <c r="S313" s="140">
        <v>0</v>
      </c>
      <c r="T313" s="143">
        <f>IF($H$5="NO",IF(Valores!$C$47*D313&gt;Valores!$C$45,Valores!$C$45,Valores!$C$47*D313),IF(Valores!$C$47*D313&gt;Valores!$C$45,Valores!$C$45,Valores!$C$47*D313)/2)*7</f>
        <v>668.85</v>
      </c>
      <c r="U313" s="154">
        <v>0</v>
      </c>
      <c r="V313" s="140">
        <f t="shared" si="62"/>
        <v>0</v>
      </c>
      <c r="W313" s="140">
        <v>0</v>
      </c>
      <c r="X313" s="140">
        <v>0</v>
      </c>
      <c r="Y313" s="160">
        <v>0</v>
      </c>
      <c r="Z313" s="140">
        <v>0</v>
      </c>
      <c r="AA313" s="140">
        <v>0</v>
      </c>
      <c r="AB313" s="143"/>
      <c r="AC313" s="145">
        <v>0</v>
      </c>
      <c r="AD313" s="140">
        <f t="shared" si="55"/>
        <v>0</v>
      </c>
      <c r="AE313" s="140">
        <v>0</v>
      </c>
      <c r="AF313" s="144">
        <v>0</v>
      </c>
      <c r="AG313" s="140">
        <f>INT(((AF313*Valores!$C$2)*100)+0.5)/100</f>
        <v>0</v>
      </c>
      <c r="AH313" s="140"/>
      <c r="AI313" s="140"/>
      <c r="AJ313" s="146">
        <f t="shared" si="56"/>
        <v>17467.315500000001</v>
      </c>
      <c r="AK313" s="166"/>
      <c r="AL313" s="143">
        <v>0</v>
      </c>
      <c r="AM313" s="143"/>
      <c r="AN313" s="145">
        <v>0</v>
      </c>
      <c r="AO313" s="147">
        <f t="shared" si="57"/>
        <v>0</v>
      </c>
      <c r="AP313" s="148">
        <f>AJ313*Valores!$C$69</f>
        <v>-1921.4047050000001</v>
      </c>
      <c r="AQ313" s="149">
        <f>AJ313*-Valores!$C$70</f>
        <v>0</v>
      </c>
      <c r="AR313" s="142">
        <f>AJ313*Valores!$C$71</f>
        <v>-786.02919750000001</v>
      </c>
      <c r="AS313" s="147">
        <v>0</v>
      </c>
      <c r="AT313" s="147">
        <v>0</v>
      </c>
      <c r="AU313" s="146">
        <f t="shared" si="58"/>
        <v>14759.8815975</v>
      </c>
      <c r="AV313" s="199">
        <f t="shared" si="54"/>
        <v>-1921.4047050000001</v>
      </c>
      <c r="AW313" s="142">
        <f>AJ313*Valores!$C$72</f>
        <v>-471.61751850000002</v>
      </c>
      <c r="AX313" s="142">
        <f>AJ313*Valores!$C$73</f>
        <v>-52.401946500000001</v>
      </c>
      <c r="AY313" s="146">
        <f t="shared" si="59"/>
        <v>15021.89133</v>
      </c>
      <c r="AZ313" s="150"/>
      <c r="BA313" s="150"/>
      <c r="BB313" s="135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  <c r="AMF313" s="114"/>
      <c r="AMG313" s="114"/>
      <c r="AMH313" s="114"/>
    </row>
    <row r="314" spans="1:1022" s="185" customFormat="1" ht="11.25" customHeight="1" x14ac:dyDescent="0.15">
      <c r="A314" s="134">
        <v>312</v>
      </c>
      <c r="B314" s="134"/>
      <c r="C314" s="135"/>
      <c r="D314" s="184">
        <v>1</v>
      </c>
      <c r="E314" s="184">
        <f t="shared" si="51"/>
        <v>26</v>
      </c>
      <c r="F314" s="168" t="s">
        <v>512</v>
      </c>
      <c r="G314" s="167">
        <f t="shared" si="64"/>
        <v>1240</v>
      </c>
      <c r="H314" s="138">
        <f>INT((G314*Valores!$C$2*100)+0.5)/100</f>
        <v>16594.419999999998</v>
      </c>
      <c r="I314" s="156">
        <v>0</v>
      </c>
      <c r="J314" s="140">
        <f>INT((I314*Valores!$C$2*100)+0.5)/100</f>
        <v>0</v>
      </c>
      <c r="K314" s="155">
        <v>0</v>
      </c>
      <c r="L314" s="140">
        <f>INT((K314*Valores!$C$2*100)+0.5)/100</f>
        <v>0</v>
      </c>
      <c r="M314" s="153">
        <v>0</v>
      </c>
      <c r="N314" s="140">
        <f>INT((M314*Valores!$C$2*100)+0.5)/100</f>
        <v>0</v>
      </c>
      <c r="O314" s="140">
        <f t="shared" si="52"/>
        <v>2603.8229999999999</v>
      </c>
      <c r="P314" s="140">
        <f t="shared" si="53"/>
        <v>0</v>
      </c>
      <c r="Q314" s="154">
        <v>0</v>
      </c>
      <c r="R314" s="154">
        <v>0</v>
      </c>
      <c r="S314" s="140">
        <v>0</v>
      </c>
      <c r="T314" s="143">
        <f>IF($H$5="NO",IF(Valores!$C$47*D314&gt;Valores!$C$45,Valores!$C$45,Valores!$C$47*D314),IF(Valores!$C$47*D314&gt;Valores!$C$45,Valores!$C$45,Valores!$C$47*D314)/2)*8</f>
        <v>764.4</v>
      </c>
      <c r="U314" s="154">
        <v>0</v>
      </c>
      <c r="V314" s="140">
        <f t="shared" si="62"/>
        <v>0</v>
      </c>
      <c r="W314" s="140">
        <v>0</v>
      </c>
      <c r="X314" s="140">
        <v>0</v>
      </c>
      <c r="Y314" s="160">
        <v>0</v>
      </c>
      <c r="Z314" s="140">
        <v>0</v>
      </c>
      <c r="AA314" s="140">
        <v>0</v>
      </c>
      <c r="AB314" s="143"/>
      <c r="AC314" s="145">
        <v>0</v>
      </c>
      <c r="AD314" s="140">
        <f t="shared" si="55"/>
        <v>0</v>
      </c>
      <c r="AE314" s="140">
        <v>0</v>
      </c>
      <c r="AF314" s="144">
        <v>0</v>
      </c>
      <c r="AG314" s="140">
        <f>INT(((AF314*Valores!$C$2)*100)+0.5)/100</f>
        <v>0</v>
      </c>
      <c r="AH314" s="140"/>
      <c r="AI314" s="140"/>
      <c r="AJ314" s="146">
        <f t="shared" si="56"/>
        <v>19962.643</v>
      </c>
      <c r="AK314" s="166"/>
      <c r="AL314" s="143">
        <v>0</v>
      </c>
      <c r="AM314" s="143"/>
      <c r="AN314" s="145">
        <v>0</v>
      </c>
      <c r="AO314" s="147">
        <f t="shared" si="57"/>
        <v>0</v>
      </c>
      <c r="AP314" s="148">
        <f>AJ314*Valores!$C$69</f>
        <v>-2195.8907300000001</v>
      </c>
      <c r="AQ314" s="149">
        <f>AJ314*-Valores!$C$70</f>
        <v>0</v>
      </c>
      <c r="AR314" s="142">
        <f>AJ314*Valores!$C$71</f>
        <v>-898.31893500000001</v>
      </c>
      <c r="AS314" s="147">
        <v>0</v>
      </c>
      <c r="AT314" s="147">
        <v>0</v>
      </c>
      <c r="AU314" s="146">
        <f t="shared" si="58"/>
        <v>16868.433335000002</v>
      </c>
      <c r="AV314" s="199">
        <f t="shared" si="54"/>
        <v>-2195.8907300000001</v>
      </c>
      <c r="AW314" s="142">
        <f>AJ314*Valores!$C$72</f>
        <v>-538.99136099999998</v>
      </c>
      <c r="AX314" s="142">
        <f>AJ314*Valores!$C$73</f>
        <v>-59.887929</v>
      </c>
      <c r="AY314" s="146">
        <f t="shared" si="59"/>
        <v>17167.87298</v>
      </c>
      <c r="AZ314" s="150"/>
      <c r="BA314" s="150"/>
      <c r="BB314" s="135" t="s">
        <v>4</v>
      </c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  <c r="AMF314" s="114"/>
      <c r="AMG314" s="114"/>
      <c r="AMH314" s="114"/>
    </row>
    <row r="315" spans="1:1022" s="185" customFormat="1" ht="11.25" customHeight="1" x14ac:dyDescent="0.15">
      <c r="A315" s="134">
        <v>313</v>
      </c>
      <c r="B315" s="134"/>
      <c r="C315" s="135"/>
      <c r="D315" s="184">
        <v>1</v>
      </c>
      <c r="E315" s="184">
        <f t="shared" si="51"/>
        <v>26</v>
      </c>
      <c r="F315" s="168" t="s">
        <v>513</v>
      </c>
      <c r="G315" s="167">
        <f t="shared" si="64"/>
        <v>1395</v>
      </c>
      <c r="H315" s="138">
        <f>INT((G315*Valores!$C$2*100)+0.5)/100</f>
        <v>18668.73</v>
      </c>
      <c r="I315" s="156">
        <v>0</v>
      </c>
      <c r="J315" s="140">
        <f>INT((I315*Valores!$C$2*100)+0.5)/100</f>
        <v>0</v>
      </c>
      <c r="K315" s="155">
        <v>0</v>
      </c>
      <c r="L315" s="140">
        <f>INT((K315*Valores!$C$2*100)+0.5)/100</f>
        <v>0</v>
      </c>
      <c r="M315" s="153">
        <v>0</v>
      </c>
      <c r="N315" s="140">
        <f>INT((M315*Valores!$C$2*100)+0.5)/100</f>
        <v>0</v>
      </c>
      <c r="O315" s="140">
        <f t="shared" si="52"/>
        <v>2929.3020000000001</v>
      </c>
      <c r="P315" s="140">
        <f t="shared" si="53"/>
        <v>0</v>
      </c>
      <c r="Q315" s="154">
        <v>0</v>
      </c>
      <c r="R315" s="154">
        <v>0</v>
      </c>
      <c r="S315" s="140">
        <v>0</v>
      </c>
      <c r="T315" s="143">
        <f>IF($H$5="NO",IF(Valores!$C$47*D315&gt;Valores!$C$45,Valores!$C$45,Valores!$C$47*D315),IF(Valores!$C$47*D315&gt;Valores!$C$45,Valores!$C$45,Valores!$C$47*D315)/2)*9</f>
        <v>859.94999999999993</v>
      </c>
      <c r="U315" s="143">
        <v>0</v>
      </c>
      <c r="V315" s="140">
        <f t="shared" si="62"/>
        <v>0</v>
      </c>
      <c r="W315" s="140">
        <v>0</v>
      </c>
      <c r="X315" s="140">
        <v>0</v>
      </c>
      <c r="Y315" s="160">
        <v>0</v>
      </c>
      <c r="Z315" s="140">
        <v>0</v>
      </c>
      <c r="AA315" s="140">
        <v>0</v>
      </c>
      <c r="AB315" s="143"/>
      <c r="AC315" s="145">
        <v>0</v>
      </c>
      <c r="AD315" s="140">
        <f t="shared" si="55"/>
        <v>0</v>
      </c>
      <c r="AE315" s="140">
        <v>0</v>
      </c>
      <c r="AF315" s="144">
        <v>0</v>
      </c>
      <c r="AG315" s="140">
        <f>INT(((AF315*Valores!$C$2)*100)+0.5)/100</f>
        <v>0</v>
      </c>
      <c r="AH315" s="140"/>
      <c r="AI315" s="140"/>
      <c r="AJ315" s="146">
        <f t="shared" si="56"/>
        <v>22457.982</v>
      </c>
      <c r="AK315" s="166"/>
      <c r="AL315" s="143">
        <v>0</v>
      </c>
      <c r="AM315" s="143"/>
      <c r="AN315" s="145">
        <v>0</v>
      </c>
      <c r="AO315" s="147">
        <f t="shared" si="57"/>
        <v>0</v>
      </c>
      <c r="AP315" s="148">
        <f>AJ315*Valores!$C$69</f>
        <v>-2470.3780200000001</v>
      </c>
      <c r="AQ315" s="149">
        <f>AJ315*-Valores!$C$70</f>
        <v>0</v>
      </c>
      <c r="AR315" s="142">
        <f>AJ315*Valores!$C$71</f>
        <v>-1010.60919</v>
      </c>
      <c r="AS315" s="147">
        <v>0</v>
      </c>
      <c r="AT315" s="147">
        <v>0</v>
      </c>
      <c r="AU315" s="146">
        <f t="shared" si="58"/>
        <v>18976.994790000001</v>
      </c>
      <c r="AV315" s="199">
        <f t="shared" si="54"/>
        <v>-2470.3780200000001</v>
      </c>
      <c r="AW315" s="142">
        <f>AJ315*Valores!$C$72</f>
        <v>-606.36551399999996</v>
      </c>
      <c r="AX315" s="142">
        <f>AJ315*Valores!$C$73</f>
        <v>-67.373946000000004</v>
      </c>
      <c r="AY315" s="146">
        <f t="shared" si="59"/>
        <v>19313.864519999999</v>
      </c>
      <c r="AZ315" s="150"/>
      <c r="BA315" s="150"/>
      <c r="BB315" s="135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  <c r="AMF315" s="114"/>
      <c r="AMG315" s="114"/>
      <c r="AMH315" s="114"/>
    </row>
    <row r="316" spans="1:1022" s="185" customFormat="1" ht="11.25" customHeight="1" x14ac:dyDescent="0.15">
      <c r="A316" s="134">
        <v>314</v>
      </c>
      <c r="B316" s="134"/>
      <c r="C316" s="135"/>
      <c r="D316" s="184">
        <v>1</v>
      </c>
      <c r="E316" s="184">
        <f t="shared" si="51"/>
        <v>26</v>
      </c>
      <c r="F316" s="168" t="s">
        <v>514</v>
      </c>
      <c r="G316" s="167">
        <f t="shared" si="64"/>
        <v>1550</v>
      </c>
      <c r="H316" s="138">
        <f>INT((G316*Valores!$C$2*100)+0.5)/100</f>
        <v>20743.03</v>
      </c>
      <c r="I316" s="156">
        <v>0</v>
      </c>
      <c r="J316" s="140">
        <f>INT((I316*Valores!$C$2*100)+0.5)/100</f>
        <v>0</v>
      </c>
      <c r="K316" s="155">
        <v>0</v>
      </c>
      <c r="L316" s="140">
        <f>INT((K316*Valores!$C$2*100)+0.5)/100</f>
        <v>0</v>
      </c>
      <c r="M316" s="153">
        <v>0</v>
      </c>
      <c r="N316" s="140">
        <f>INT((M316*Valores!$C$2*100)+0.5)/100</f>
        <v>0</v>
      </c>
      <c r="O316" s="140">
        <f t="shared" si="52"/>
        <v>3254.7794999999996</v>
      </c>
      <c r="P316" s="140">
        <f t="shared" si="53"/>
        <v>0</v>
      </c>
      <c r="Q316" s="154">
        <v>0</v>
      </c>
      <c r="R316" s="154">
        <v>0</v>
      </c>
      <c r="S316" s="140">
        <v>0</v>
      </c>
      <c r="T316" s="143">
        <f>IF($H$5="NO",IF(Valores!$C$47*D316&gt;Valores!$C$45,Valores!$C$45,Valores!$C$47*D316),IF(Valores!$C$47*D316&gt;Valores!$C$45,Valores!$C$45,Valores!$C$47*D316)/2)*10</f>
        <v>955.5</v>
      </c>
      <c r="U316" s="154">
        <v>0</v>
      </c>
      <c r="V316" s="140">
        <f t="shared" si="62"/>
        <v>0</v>
      </c>
      <c r="W316" s="140">
        <v>0</v>
      </c>
      <c r="X316" s="140">
        <v>0</v>
      </c>
      <c r="Y316" s="160">
        <v>0</v>
      </c>
      <c r="Z316" s="140">
        <v>0</v>
      </c>
      <c r="AA316" s="140">
        <v>0</v>
      </c>
      <c r="AB316" s="143"/>
      <c r="AC316" s="145">
        <v>0</v>
      </c>
      <c r="AD316" s="140">
        <f t="shared" si="55"/>
        <v>0</v>
      </c>
      <c r="AE316" s="140">
        <v>0</v>
      </c>
      <c r="AF316" s="144">
        <v>0</v>
      </c>
      <c r="AG316" s="140">
        <f>INT(((AF316*Valores!$C$2)*100)+0.5)/100</f>
        <v>0</v>
      </c>
      <c r="AH316" s="140"/>
      <c r="AI316" s="140"/>
      <c r="AJ316" s="146">
        <f t="shared" si="56"/>
        <v>24953.309499999999</v>
      </c>
      <c r="AK316" s="166"/>
      <c r="AL316" s="143">
        <v>0</v>
      </c>
      <c r="AM316" s="143"/>
      <c r="AN316" s="145">
        <v>0</v>
      </c>
      <c r="AO316" s="147">
        <f t="shared" si="57"/>
        <v>0</v>
      </c>
      <c r="AP316" s="148">
        <f>AJ316*Valores!$C$69</f>
        <v>-2744.8640449999998</v>
      </c>
      <c r="AQ316" s="149">
        <f>AJ316*-Valores!$C$70</f>
        <v>0</v>
      </c>
      <c r="AR316" s="142">
        <f>AJ316*Valores!$C$71</f>
        <v>-1122.8989274999999</v>
      </c>
      <c r="AS316" s="147">
        <v>0</v>
      </c>
      <c r="AT316" s="147">
        <v>0</v>
      </c>
      <c r="AU316" s="146">
        <f t="shared" si="58"/>
        <v>21085.546527499999</v>
      </c>
      <c r="AV316" s="199">
        <f t="shared" si="54"/>
        <v>-2744.8640449999998</v>
      </c>
      <c r="AW316" s="142">
        <f>AJ316*Valores!$C$72</f>
        <v>-673.73935649999999</v>
      </c>
      <c r="AX316" s="142">
        <f>AJ316*Valores!$C$73</f>
        <v>-74.859928499999995</v>
      </c>
      <c r="AY316" s="146">
        <f t="shared" si="59"/>
        <v>21459.846170000001</v>
      </c>
      <c r="AZ316" s="150"/>
      <c r="BA316" s="150"/>
      <c r="BB316" s="135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  <c r="AMF316" s="114"/>
      <c r="AMG316" s="114"/>
      <c r="AMH316" s="114"/>
    </row>
    <row r="317" spans="1:1022" s="185" customFormat="1" ht="11.25" customHeight="1" x14ac:dyDescent="0.15">
      <c r="A317" s="152">
        <v>315</v>
      </c>
      <c r="B317" s="152" t="s">
        <v>139</v>
      </c>
      <c r="C317" s="135"/>
      <c r="D317" s="184">
        <v>1</v>
      </c>
      <c r="E317" s="184">
        <f t="shared" si="51"/>
        <v>26</v>
      </c>
      <c r="F317" s="168" t="s">
        <v>515</v>
      </c>
      <c r="G317" s="167">
        <f t="shared" si="64"/>
        <v>1705</v>
      </c>
      <c r="H317" s="138">
        <f>INT((G317*Valores!$C$2*100)+0.5)/100</f>
        <v>22817.33</v>
      </c>
      <c r="I317" s="156">
        <v>0</v>
      </c>
      <c r="J317" s="140">
        <f>INT((I317*Valores!$C$2*100)+0.5)/100</f>
        <v>0</v>
      </c>
      <c r="K317" s="155">
        <v>0</v>
      </c>
      <c r="L317" s="140">
        <f>INT((K317*Valores!$C$2*100)+0.5)/100</f>
        <v>0</v>
      </c>
      <c r="M317" s="153">
        <v>0</v>
      </c>
      <c r="N317" s="140">
        <f>INT((M317*Valores!$C$2*100)+0.5)/100</f>
        <v>0</v>
      </c>
      <c r="O317" s="140">
        <f t="shared" si="52"/>
        <v>3580.2570000000001</v>
      </c>
      <c r="P317" s="140">
        <f t="shared" si="53"/>
        <v>0</v>
      </c>
      <c r="Q317" s="154">
        <v>0</v>
      </c>
      <c r="R317" s="154">
        <v>0</v>
      </c>
      <c r="S317" s="140">
        <v>0</v>
      </c>
      <c r="T317" s="143">
        <f>IF($H$5="NO",IF(Valores!$C$47*D317&gt;Valores!$C$45,Valores!$C$45,Valores!$C$47*D317),IF(Valores!$C$47*D317&gt;Valores!$C$45,Valores!$C$45,Valores!$C$47*D317)/2)*11</f>
        <v>1051.05</v>
      </c>
      <c r="U317" s="154">
        <v>0</v>
      </c>
      <c r="V317" s="140">
        <f t="shared" si="62"/>
        <v>0</v>
      </c>
      <c r="W317" s="140">
        <v>0</v>
      </c>
      <c r="X317" s="140">
        <v>0</v>
      </c>
      <c r="Y317" s="160">
        <v>0</v>
      </c>
      <c r="Z317" s="140">
        <v>0</v>
      </c>
      <c r="AA317" s="140">
        <v>0</v>
      </c>
      <c r="AB317" s="143"/>
      <c r="AC317" s="145">
        <v>0</v>
      </c>
      <c r="AD317" s="140">
        <f t="shared" si="55"/>
        <v>0</v>
      </c>
      <c r="AE317" s="140">
        <v>0</v>
      </c>
      <c r="AF317" s="144">
        <v>0</v>
      </c>
      <c r="AG317" s="140">
        <f>INT(((AF317*Valores!$C$2)*100)+0.5)/100</f>
        <v>0</v>
      </c>
      <c r="AH317" s="140"/>
      <c r="AI317" s="140"/>
      <c r="AJ317" s="146">
        <f t="shared" si="56"/>
        <v>27448.637000000002</v>
      </c>
      <c r="AK317" s="166"/>
      <c r="AL317" s="143">
        <v>0</v>
      </c>
      <c r="AM317" s="143"/>
      <c r="AN317" s="145">
        <v>0</v>
      </c>
      <c r="AO317" s="147">
        <f t="shared" si="57"/>
        <v>0</v>
      </c>
      <c r="AP317" s="148">
        <f>AJ317*Valores!$C$69</f>
        <v>-3019.3500700000004</v>
      </c>
      <c r="AQ317" s="149">
        <f>AJ317*-Valores!$C$70</f>
        <v>0</v>
      </c>
      <c r="AR317" s="142">
        <f>AJ317*Valores!$C$71</f>
        <v>-1235.1886650000001</v>
      </c>
      <c r="AS317" s="147">
        <v>0</v>
      </c>
      <c r="AT317" s="147">
        <v>0</v>
      </c>
      <c r="AU317" s="146">
        <f t="shared" si="58"/>
        <v>23194.098265000001</v>
      </c>
      <c r="AV317" s="199">
        <f t="shared" si="54"/>
        <v>-3019.3500700000004</v>
      </c>
      <c r="AW317" s="142">
        <f>AJ317*Valores!$C$72</f>
        <v>-741.11319900000001</v>
      </c>
      <c r="AX317" s="142">
        <f>AJ317*Valores!$C$73</f>
        <v>-82.345911000000015</v>
      </c>
      <c r="AY317" s="146">
        <f t="shared" si="59"/>
        <v>23605.827820000002</v>
      </c>
      <c r="AZ317" s="150"/>
      <c r="BA317" s="150"/>
      <c r="BB317" s="135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  <c r="AMF317" s="114"/>
      <c r="AMG317" s="114"/>
      <c r="AMH317" s="114"/>
    </row>
    <row r="318" spans="1:1022" s="185" customFormat="1" ht="11.25" customHeight="1" x14ac:dyDescent="0.15">
      <c r="A318" s="134">
        <v>316</v>
      </c>
      <c r="B318" s="134"/>
      <c r="C318" s="135"/>
      <c r="D318" s="184">
        <v>1</v>
      </c>
      <c r="E318" s="184">
        <f t="shared" si="51"/>
        <v>26</v>
      </c>
      <c r="F318" s="168" t="s">
        <v>516</v>
      </c>
      <c r="G318" s="167">
        <f t="shared" si="64"/>
        <v>1860</v>
      </c>
      <c r="H318" s="138">
        <f>INT((G318*Valores!$C$2*100)+0.5)/100</f>
        <v>24891.64</v>
      </c>
      <c r="I318" s="156">
        <v>0</v>
      </c>
      <c r="J318" s="140">
        <f>INT((I318*Valores!$C$2*100)+0.5)/100</f>
        <v>0</v>
      </c>
      <c r="K318" s="155">
        <v>0</v>
      </c>
      <c r="L318" s="140">
        <f>INT((K318*Valores!$C$2*100)+0.5)/100</f>
        <v>0</v>
      </c>
      <c r="M318" s="153">
        <v>0</v>
      </c>
      <c r="N318" s="140">
        <f>INT((M318*Valores!$C$2*100)+0.5)/100</f>
        <v>0</v>
      </c>
      <c r="O318" s="140">
        <f t="shared" si="52"/>
        <v>3905.7359999999994</v>
      </c>
      <c r="P318" s="140">
        <f t="shared" si="53"/>
        <v>0</v>
      </c>
      <c r="Q318" s="154">
        <v>0</v>
      </c>
      <c r="R318" s="154">
        <v>0</v>
      </c>
      <c r="S318" s="140">
        <v>0</v>
      </c>
      <c r="T318" s="143">
        <f>IF($H$5="NO",IF(Valores!$C$47*D318&gt;Valores!$C$45,Valores!$C$45,Valores!$C$47*D318),IF(Valores!$C$47*D318&gt;Valores!$C$45,Valores!$C$45,Valores!$C$47*D318)/2)*12</f>
        <v>1146.5999999999999</v>
      </c>
      <c r="U318" s="154">
        <v>0</v>
      </c>
      <c r="V318" s="140">
        <f t="shared" si="62"/>
        <v>0</v>
      </c>
      <c r="W318" s="140">
        <v>0</v>
      </c>
      <c r="X318" s="140">
        <v>0</v>
      </c>
      <c r="Y318" s="160">
        <v>0</v>
      </c>
      <c r="Z318" s="140">
        <v>0</v>
      </c>
      <c r="AA318" s="140">
        <v>0</v>
      </c>
      <c r="AB318" s="143"/>
      <c r="AC318" s="145">
        <v>0</v>
      </c>
      <c r="AD318" s="140">
        <f t="shared" si="55"/>
        <v>0</v>
      </c>
      <c r="AE318" s="140">
        <v>0</v>
      </c>
      <c r="AF318" s="144">
        <v>0</v>
      </c>
      <c r="AG318" s="140">
        <f>INT(((AF318*Valores!$C$2)*100)+0.5)/100</f>
        <v>0</v>
      </c>
      <c r="AH318" s="140"/>
      <c r="AI318" s="140"/>
      <c r="AJ318" s="146">
        <f t="shared" si="56"/>
        <v>29943.975999999999</v>
      </c>
      <c r="AK318" s="166"/>
      <c r="AL318" s="143">
        <v>0</v>
      </c>
      <c r="AM318" s="143"/>
      <c r="AN318" s="145">
        <v>0</v>
      </c>
      <c r="AO318" s="147">
        <f t="shared" si="57"/>
        <v>0</v>
      </c>
      <c r="AP318" s="148">
        <f>AJ318*Valores!$C$69</f>
        <v>-3293.83736</v>
      </c>
      <c r="AQ318" s="149">
        <f>AJ318*-Valores!$C$70</f>
        <v>0</v>
      </c>
      <c r="AR318" s="142">
        <f>AJ318*Valores!$C$71</f>
        <v>-1347.4789199999998</v>
      </c>
      <c r="AS318" s="147">
        <v>0</v>
      </c>
      <c r="AT318" s="147">
        <v>0</v>
      </c>
      <c r="AU318" s="146">
        <f t="shared" si="58"/>
        <v>25302.65972</v>
      </c>
      <c r="AV318" s="199">
        <f t="shared" si="54"/>
        <v>-3293.83736</v>
      </c>
      <c r="AW318" s="142">
        <f>AJ318*Valores!$C$72</f>
        <v>-808.48735199999999</v>
      </c>
      <c r="AX318" s="142">
        <f>AJ318*Valores!$C$73</f>
        <v>-89.831928000000005</v>
      </c>
      <c r="AY318" s="146">
        <f t="shared" si="59"/>
        <v>25751.819360000001</v>
      </c>
      <c r="AZ318" s="150"/>
      <c r="BA318" s="150"/>
      <c r="BB318" s="135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  <c r="AMF318" s="114"/>
      <c r="AMG318" s="114"/>
      <c r="AMH318" s="114"/>
    </row>
    <row r="319" spans="1:1022" s="185" customFormat="1" ht="11.25" customHeight="1" x14ac:dyDescent="0.15">
      <c r="A319" s="134">
        <v>317</v>
      </c>
      <c r="B319" s="134"/>
      <c r="C319" s="135"/>
      <c r="D319" s="184">
        <v>1</v>
      </c>
      <c r="E319" s="184">
        <f t="shared" si="51"/>
        <v>26</v>
      </c>
      <c r="F319" s="168" t="s">
        <v>517</v>
      </c>
      <c r="G319" s="167">
        <f t="shared" si="64"/>
        <v>2015</v>
      </c>
      <c r="H319" s="138">
        <f>INT((G319*Valores!$C$2*100)+0.5)/100</f>
        <v>26965.94</v>
      </c>
      <c r="I319" s="156">
        <v>0</v>
      </c>
      <c r="J319" s="140">
        <f>INT((I319*Valores!$C$2*100)+0.5)/100</f>
        <v>0</v>
      </c>
      <c r="K319" s="155">
        <v>0</v>
      </c>
      <c r="L319" s="140">
        <f>INT((K319*Valores!$C$2*100)+0.5)/100</f>
        <v>0</v>
      </c>
      <c r="M319" s="153">
        <v>0</v>
      </c>
      <c r="N319" s="140">
        <f>INT((M319*Valores!$C$2*100)+0.5)/100</f>
        <v>0</v>
      </c>
      <c r="O319" s="140">
        <f t="shared" si="52"/>
        <v>4231.2134999999998</v>
      </c>
      <c r="P319" s="140">
        <f t="shared" si="53"/>
        <v>0</v>
      </c>
      <c r="Q319" s="154">
        <v>0</v>
      </c>
      <c r="R319" s="154">
        <v>0</v>
      </c>
      <c r="S319" s="140">
        <v>0</v>
      </c>
      <c r="T319" s="143">
        <f>IF($H$5="NO",IF(Valores!$C$47*D319&gt;Valores!$C$45,Valores!$C$45,Valores!$C$47*D319),IF(Valores!$C$47*D319&gt;Valores!$C$45,Valores!$C$45,Valores!$C$47*D319)/2)*13</f>
        <v>1242.1499999999999</v>
      </c>
      <c r="U319" s="154">
        <v>0</v>
      </c>
      <c r="V319" s="140">
        <f t="shared" si="62"/>
        <v>0</v>
      </c>
      <c r="W319" s="140">
        <v>0</v>
      </c>
      <c r="X319" s="140">
        <v>0</v>
      </c>
      <c r="Y319" s="160">
        <v>0</v>
      </c>
      <c r="Z319" s="140">
        <v>0</v>
      </c>
      <c r="AA319" s="140">
        <v>0</v>
      </c>
      <c r="AB319" s="143"/>
      <c r="AC319" s="145">
        <v>0</v>
      </c>
      <c r="AD319" s="140">
        <f t="shared" si="55"/>
        <v>0</v>
      </c>
      <c r="AE319" s="140">
        <v>0</v>
      </c>
      <c r="AF319" s="144">
        <v>0</v>
      </c>
      <c r="AG319" s="140">
        <f>INT(((AF319*Valores!$C$2)*100)+0.5)/100</f>
        <v>0</v>
      </c>
      <c r="AH319" s="140"/>
      <c r="AI319" s="140"/>
      <c r="AJ319" s="146">
        <f t="shared" si="56"/>
        <v>32439.303500000002</v>
      </c>
      <c r="AK319" s="166"/>
      <c r="AL319" s="143">
        <v>0</v>
      </c>
      <c r="AM319" s="143"/>
      <c r="AN319" s="145">
        <v>0</v>
      </c>
      <c r="AO319" s="147">
        <f t="shared" si="57"/>
        <v>0</v>
      </c>
      <c r="AP319" s="148">
        <f>AJ319*Valores!$C$69</f>
        <v>-3568.3233850000001</v>
      </c>
      <c r="AQ319" s="149">
        <f>AJ319*-Valores!$C$70</f>
        <v>0</v>
      </c>
      <c r="AR319" s="142">
        <f>AJ319*Valores!$C$71</f>
        <v>-1459.7686575</v>
      </c>
      <c r="AS319" s="147">
        <v>0</v>
      </c>
      <c r="AT319" s="147">
        <v>0</v>
      </c>
      <c r="AU319" s="146">
        <f t="shared" si="58"/>
        <v>27411.211457500001</v>
      </c>
      <c r="AV319" s="199">
        <f t="shared" si="54"/>
        <v>-3568.3233850000001</v>
      </c>
      <c r="AW319" s="142">
        <f>AJ319*Valores!$C$72</f>
        <v>-875.86119450000001</v>
      </c>
      <c r="AX319" s="142">
        <f>AJ319*Valores!$C$73</f>
        <v>-97.317910500000011</v>
      </c>
      <c r="AY319" s="146">
        <f t="shared" si="59"/>
        <v>27897.801010000003</v>
      </c>
      <c r="AZ319" s="150"/>
      <c r="BA319" s="150"/>
      <c r="BB319" s="135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  <c r="AMF319" s="114"/>
      <c r="AMG319" s="114"/>
      <c r="AMH319" s="114"/>
    </row>
    <row r="320" spans="1:1022" s="185" customFormat="1" ht="11.25" customHeight="1" x14ac:dyDescent="0.15">
      <c r="A320" s="134">
        <v>318</v>
      </c>
      <c r="B320" s="134"/>
      <c r="C320" s="135"/>
      <c r="D320" s="184">
        <v>1</v>
      </c>
      <c r="E320" s="184">
        <f t="shared" si="51"/>
        <v>26</v>
      </c>
      <c r="F320" s="168" t="s">
        <v>518</v>
      </c>
      <c r="G320" s="167">
        <f t="shared" si="64"/>
        <v>2170</v>
      </c>
      <c r="H320" s="138">
        <f>INT((G320*Valores!$C$2*100)+0.5)/100</f>
        <v>29040.240000000002</v>
      </c>
      <c r="I320" s="156">
        <v>0</v>
      </c>
      <c r="J320" s="140">
        <f>INT((I320*Valores!$C$2*100)+0.5)/100</f>
        <v>0</v>
      </c>
      <c r="K320" s="155">
        <v>0</v>
      </c>
      <c r="L320" s="140">
        <f>INT((K320*Valores!$C$2*100)+0.5)/100</f>
        <v>0</v>
      </c>
      <c r="M320" s="153">
        <v>0</v>
      </c>
      <c r="N320" s="140">
        <f>INT((M320*Valores!$C$2*100)+0.5)/100</f>
        <v>0</v>
      </c>
      <c r="O320" s="140">
        <f t="shared" si="52"/>
        <v>4556.6909999999998</v>
      </c>
      <c r="P320" s="140">
        <f t="shared" si="53"/>
        <v>0</v>
      </c>
      <c r="Q320" s="154">
        <v>0</v>
      </c>
      <c r="R320" s="154">
        <v>0</v>
      </c>
      <c r="S320" s="140">
        <v>0</v>
      </c>
      <c r="T320" s="143">
        <f>IF($H$5="NO",IF(Valores!$C$47*D320&gt;Valores!$C$45,Valores!$C$45,Valores!$C$47*D320),IF(Valores!$C$47*D320&gt;Valores!$C$45,Valores!$C$45,Valores!$C$47*D320)/2)*14</f>
        <v>1337.7</v>
      </c>
      <c r="U320" s="143">
        <v>0</v>
      </c>
      <c r="V320" s="140">
        <f t="shared" si="62"/>
        <v>0</v>
      </c>
      <c r="W320" s="140">
        <v>0</v>
      </c>
      <c r="X320" s="140">
        <v>0</v>
      </c>
      <c r="Y320" s="160">
        <v>0</v>
      </c>
      <c r="Z320" s="140">
        <v>0</v>
      </c>
      <c r="AA320" s="140">
        <v>0</v>
      </c>
      <c r="AB320" s="143"/>
      <c r="AC320" s="145">
        <v>0</v>
      </c>
      <c r="AD320" s="140">
        <f t="shared" si="55"/>
        <v>0</v>
      </c>
      <c r="AE320" s="140">
        <v>0</v>
      </c>
      <c r="AF320" s="144">
        <v>0</v>
      </c>
      <c r="AG320" s="140">
        <f>INT(((AF320*Valores!$C$2)*100)+0.5)/100</f>
        <v>0</v>
      </c>
      <c r="AH320" s="140"/>
      <c r="AI320" s="140"/>
      <c r="AJ320" s="146">
        <f t="shared" si="56"/>
        <v>34934.631000000001</v>
      </c>
      <c r="AK320" s="166"/>
      <c r="AL320" s="143">
        <v>0</v>
      </c>
      <c r="AM320" s="143"/>
      <c r="AN320" s="145">
        <v>0</v>
      </c>
      <c r="AO320" s="147">
        <f t="shared" si="57"/>
        <v>0</v>
      </c>
      <c r="AP320" s="148">
        <f>AJ320*Valores!$C$69</f>
        <v>-3842.8094100000003</v>
      </c>
      <c r="AQ320" s="149">
        <f>AJ320*-Valores!$C$70</f>
        <v>0</v>
      </c>
      <c r="AR320" s="142">
        <f>AJ320*Valores!$C$71</f>
        <v>-1572.058395</v>
      </c>
      <c r="AS320" s="147">
        <v>0</v>
      </c>
      <c r="AT320" s="147">
        <v>0</v>
      </c>
      <c r="AU320" s="146">
        <f t="shared" si="58"/>
        <v>29519.763195</v>
      </c>
      <c r="AV320" s="199">
        <f t="shared" si="54"/>
        <v>-3842.8094100000003</v>
      </c>
      <c r="AW320" s="142">
        <f>AJ320*Valores!$C$72</f>
        <v>-943.23503700000003</v>
      </c>
      <c r="AX320" s="142">
        <f>AJ320*Valores!$C$73</f>
        <v>-104.803893</v>
      </c>
      <c r="AY320" s="146">
        <f t="shared" si="59"/>
        <v>30043.782660000001</v>
      </c>
      <c r="AZ320" s="150"/>
      <c r="BA320" s="150"/>
      <c r="BB320" s="135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  <c r="AMF320" s="114"/>
      <c r="AMG320" s="114"/>
      <c r="AMH320" s="114"/>
    </row>
    <row r="321" spans="1:1022" s="185" customFormat="1" ht="11.25" customHeight="1" x14ac:dyDescent="0.15">
      <c r="A321" s="134">
        <v>319</v>
      </c>
      <c r="B321" s="134"/>
      <c r="C321" s="135"/>
      <c r="D321" s="184">
        <v>1</v>
      </c>
      <c r="E321" s="184">
        <f t="shared" si="51"/>
        <v>26</v>
      </c>
      <c r="F321" s="168" t="s">
        <v>519</v>
      </c>
      <c r="G321" s="167">
        <f t="shared" si="64"/>
        <v>2325</v>
      </c>
      <c r="H321" s="138">
        <f>INT((G321*Valores!$C$2*100)+0.5)/100</f>
        <v>31114.55</v>
      </c>
      <c r="I321" s="156">
        <v>0</v>
      </c>
      <c r="J321" s="140">
        <f>INT((I321*Valores!$C$2*100)+0.5)/100</f>
        <v>0</v>
      </c>
      <c r="K321" s="155">
        <v>0</v>
      </c>
      <c r="L321" s="140">
        <f>INT((K321*Valores!$C$2*100)+0.5)/100</f>
        <v>0</v>
      </c>
      <c r="M321" s="153">
        <v>0</v>
      </c>
      <c r="N321" s="140">
        <f>INT((M321*Valores!$C$2*100)+0.5)/100</f>
        <v>0</v>
      </c>
      <c r="O321" s="140">
        <f t="shared" si="52"/>
        <v>4882.17</v>
      </c>
      <c r="P321" s="140">
        <f t="shared" si="53"/>
        <v>0</v>
      </c>
      <c r="Q321" s="154">
        <v>0</v>
      </c>
      <c r="R321" s="154">
        <v>0</v>
      </c>
      <c r="S321" s="140">
        <v>0</v>
      </c>
      <c r="T321" s="143">
        <f>IF($H$5="NO",IF(Valores!$C$47*D321&gt;Valores!$C$45,Valores!$C$45,Valores!$C$47*D321),IF(Valores!$C$47*D321&gt;Valores!$C$45,Valores!$C$45,Valores!$C$47*D321)/2)*15</f>
        <v>1433.25</v>
      </c>
      <c r="U321" s="154">
        <v>0</v>
      </c>
      <c r="V321" s="140">
        <f t="shared" si="62"/>
        <v>0</v>
      </c>
      <c r="W321" s="140">
        <v>0</v>
      </c>
      <c r="X321" s="140">
        <v>0</v>
      </c>
      <c r="Y321" s="160">
        <v>0</v>
      </c>
      <c r="Z321" s="140">
        <v>0</v>
      </c>
      <c r="AA321" s="140">
        <v>0</v>
      </c>
      <c r="AB321" s="143"/>
      <c r="AC321" s="145">
        <v>0</v>
      </c>
      <c r="AD321" s="140">
        <f t="shared" si="55"/>
        <v>0</v>
      </c>
      <c r="AE321" s="140">
        <v>0</v>
      </c>
      <c r="AF321" s="144">
        <v>0</v>
      </c>
      <c r="AG321" s="140">
        <f>INT(((AF321*Valores!$C$2)*100)+0.5)/100</f>
        <v>0</v>
      </c>
      <c r="AH321" s="140"/>
      <c r="AI321" s="140"/>
      <c r="AJ321" s="146">
        <f t="shared" si="56"/>
        <v>37429.97</v>
      </c>
      <c r="AK321" s="166"/>
      <c r="AL321" s="143">
        <v>0</v>
      </c>
      <c r="AM321" s="143"/>
      <c r="AN321" s="145">
        <v>0</v>
      </c>
      <c r="AO321" s="147">
        <f t="shared" si="57"/>
        <v>0</v>
      </c>
      <c r="AP321" s="148">
        <f>AJ321*Valores!$C$69</f>
        <v>-4117.2966999999999</v>
      </c>
      <c r="AQ321" s="149">
        <f>AJ321*-Valores!$C$70</f>
        <v>0</v>
      </c>
      <c r="AR321" s="142">
        <f>AJ321*Valores!$C$71</f>
        <v>-1684.3486499999999</v>
      </c>
      <c r="AS321" s="147">
        <v>0</v>
      </c>
      <c r="AT321" s="147">
        <v>0</v>
      </c>
      <c r="AU321" s="146">
        <f t="shared" si="58"/>
        <v>31628.324650000002</v>
      </c>
      <c r="AV321" s="199">
        <f t="shared" si="54"/>
        <v>-4117.2966999999999</v>
      </c>
      <c r="AW321" s="142">
        <f>AJ321*Valores!$C$72</f>
        <v>-1010.60919</v>
      </c>
      <c r="AX321" s="142">
        <f>AJ321*Valores!$C$73</f>
        <v>-112.28991000000001</v>
      </c>
      <c r="AY321" s="146">
        <f t="shared" si="59"/>
        <v>32189.7742</v>
      </c>
      <c r="AZ321" s="150"/>
      <c r="BA321" s="150"/>
      <c r="BB321" s="135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  <c r="AMF321" s="114"/>
      <c r="AMG321" s="114"/>
      <c r="AMH321" s="114"/>
    </row>
    <row r="322" spans="1:1022" s="185" customFormat="1" ht="11.25" customHeight="1" x14ac:dyDescent="0.15">
      <c r="A322" s="152">
        <v>320</v>
      </c>
      <c r="B322" s="152" t="s">
        <v>139</v>
      </c>
      <c r="C322" s="135"/>
      <c r="D322" s="184">
        <v>1</v>
      </c>
      <c r="E322" s="184">
        <f t="shared" si="51"/>
        <v>26</v>
      </c>
      <c r="F322" s="168" t="s">
        <v>520</v>
      </c>
      <c r="G322" s="167">
        <f t="shared" si="64"/>
        <v>2480</v>
      </c>
      <c r="H322" s="138">
        <f>INT((G322*Valores!$C$2*100)+0.5)/100</f>
        <v>33188.85</v>
      </c>
      <c r="I322" s="156">
        <v>0</v>
      </c>
      <c r="J322" s="140">
        <f>INT((I322*Valores!$C$2*100)+0.5)/100</f>
        <v>0</v>
      </c>
      <c r="K322" s="155">
        <v>0</v>
      </c>
      <c r="L322" s="140">
        <f>INT((K322*Valores!$C$2*100)+0.5)/100</f>
        <v>0</v>
      </c>
      <c r="M322" s="153">
        <v>0</v>
      </c>
      <c r="N322" s="140">
        <f>INT((M322*Valores!$C$2*100)+0.5)/100</f>
        <v>0</v>
      </c>
      <c r="O322" s="140">
        <f t="shared" si="52"/>
        <v>5207.6475</v>
      </c>
      <c r="P322" s="140">
        <f t="shared" si="53"/>
        <v>0</v>
      </c>
      <c r="Q322" s="154">
        <v>0</v>
      </c>
      <c r="R322" s="154">
        <v>0</v>
      </c>
      <c r="S322" s="140">
        <v>0</v>
      </c>
      <c r="T322" s="143">
        <f>IF($H$5="NO",IF(Valores!$C$47*D322&gt;Valores!$C$45,Valores!$C$45,Valores!$C$47*D322),IF(Valores!$C$47*D322&gt;Valores!$C$45,Valores!$C$45,Valores!$C$47*D322)/2)*16</f>
        <v>1528.8</v>
      </c>
      <c r="U322" s="154">
        <v>0</v>
      </c>
      <c r="V322" s="140">
        <f t="shared" si="62"/>
        <v>0</v>
      </c>
      <c r="W322" s="140">
        <v>0</v>
      </c>
      <c r="X322" s="140">
        <v>0</v>
      </c>
      <c r="Y322" s="160">
        <v>0</v>
      </c>
      <c r="Z322" s="140">
        <v>0</v>
      </c>
      <c r="AA322" s="140">
        <v>0</v>
      </c>
      <c r="AB322" s="143"/>
      <c r="AC322" s="145">
        <v>0</v>
      </c>
      <c r="AD322" s="140">
        <f t="shared" si="55"/>
        <v>0</v>
      </c>
      <c r="AE322" s="140">
        <v>0</v>
      </c>
      <c r="AF322" s="144">
        <v>0</v>
      </c>
      <c r="AG322" s="140">
        <f>INT(((AF322*Valores!$C$2)*100)+0.5)/100</f>
        <v>0</v>
      </c>
      <c r="AH322" s="140"/>
      <c r="AI322" s="140"/>
      <c r="AJ322" s="146">
        <f t="shared" si="56"/>
        <v>39925.297500000001</v>
      </c>
      <c r="AK322" s="166"/>
      <c r="AL322" s="143">
        <v>0</v>
      </c>
      <c r="AM322" s="143"/>
      <c r="AN322" s="145">
        <v>0</v>
      </c>
      <c r="AO322" s="147">
        <f t="shared" si="57"/>
        <v>0</v>
      </c>
      <c r="AP322" s="148">
        <f>AJ322*Valores!$C$69</f>
        <v>-4391.782725</v>
      </c>
      <c r="AQ322" s="149">
        <f>AJ322*-Valores!$C$70</f>
        <v>0</v>
      </c>
      <c r="AR322" s="142">
        <f>AJ322*Valores!$C$71</f>
        <v>-1796.6383874999999</v>
      </c>
      <c r="AS322" s="147">
        <v>0</v>
      </c>
      <c r="AT322" s="147">
        <v>0</v>
      </c>
      <c r="AU322" s="146">
        <f t="shared" si="58"/>
        <v>33736.8763875</v>
      </c>
      <c r="AV322" s="199">
        <f t="shared" si="54"/>
        <v>-4391.782725</v>
      </c>
      <c r="AW322" s="142">
        <f>AJ322*Valores!$C$72</f>
        <v>-1077.9830325</v>
      </c>
      <c r="AX322" s="142">
        <f>AJ322*Valores!$C$73</f>
        <v>-119.7758925</v>
      </c>
      <c r="AY322" s="146">
        <f t="shared" si="59"/>
        <v>34335.755850000001</v>
      </c>
      <c r="AZ322" s="150"/>
      <c r="BA322" s="150"/>
      <c r="BB322" s="135" t="s">
        <v>4</v>
      </c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  <c r="AMF322" s="114"/>
      <c r="AMG322" s="114"/>
      <c r="AMH322" s="114"/>
    </row>
    <row r="323" spans="1:1022" s="185" customFormat="1" ht="11.25" customHeight="1" x14ac:dyDescent="0.15">
      <c r="A323" s="134">
        <v>321</v>
      </c>
      <c r="B323" s="134"/>
      <c r="C323" s="186" t="s">
        <v>500</v>
      </c>
      <c r="D323" s="184">
        <v>1</v>
      </c>
      <c r="E323" s="184">
        <f t="shared" si="51"/>
        <v>40</v>
      </c>
      <c r="F323" s="168" t="s">
        <v>521</v>
      </c>
      <c r="G323" s="167">
        <v>275</v>
      </c>
      <c r="H323" s="138">
        <f>INT((G323*Valores!$C$2*100)+0.5)/100</f>
        <v>3680.22</v>
      </c>
      <c r="I323" s="156">
        <v>0</v>
      </c>
      <c r="J323" s="140">
        <f>INT((I323*Valores!$C$2*100)+0.5)/100</f>
        <v>0</v>
      </c>
      <c r="K323" s="155">
        <v>0</v>
      </c>
      <c r="L323" s="140">
        <f>INT((K323*Valores!$C$2*100)+0.5)/100</f>
        <v>0</v>
      </c>
      <c r="M323" s="153">
        <v>0</v>
      </c>
      <c r="N323" s="140">
        <f>INT((M323*Valores!$C$2*100)+0.5)/100</f>
        <v>0</v>
      </c>
      <c r="O323" s="140">
        <f t="shared" si="52"/>
        <v>0</v>
      </c>
      <c r="P323" s="140">
        <f t="shared" si="53"/>
        <v>0</v>
      </c>
      <c r="Q323" s="154">
        <v>0</v>
      </c>
      <c r="R323" s="154">
        <v>0</v>
      </c>
      <c r="S323" s="140">
        <v>0</v>
      </c>
      <c r="T323" s="143">
        <f>IF($H$5="NO",Valores!$C$48,Valores!$C$48/2)</f>
        <v>222.57</v>
      </c>
      <c r="U323" s="154">
        <v>0</v>
      </c>
      <c r="V323" s="140">
        <f t="shared" si="62"/>
        <v>0</v>
      </c>
      <c r="W323" s="140">
        <v>0</v>
      </c>
      <c r="X323" s="140">
        <v>0</v>
      </c>
      <c r="Y323" s="160">
        <v>0</v>
      </c>
      <c r="Z323" s="140">
        <v>0</v>
      </c>
      <c r="AA323" s="140">
        <v>0</v>
      </c>
      <c r="AB323" s="143">
        <f>Valores!$C$94</f>
        <v>257.54000000000002</v>
      </c>
      <c r="AC323" s="145">
        <v>0</v>
      </c>
      <c r="AD323" s="140">
        <f t="shared" si="55"/>
        <v>0</v>
      </c>
      <c r="AE323" s="140">
        <v>0</v>
      </c>
      <c r="AF323" s="144">
        <v>0</v>
      </c>
      <c r="AG323" s="140">
        <f>INT(((AF323*Valores!$C$2)*100)+0.5)/100</f>
        <v>0</v>
      </c>
      <c r="AH323" s="140">
        <f>Valores!$C$61</f>
        <v>75.88</v>
      </c>
      <c r="AI323" s="140">
        <f>Valores!$C$63</f>
        <v>21.69</v>
      </c>
      <c r="AJ323" s="146">
        <f t="shared" si="56"/>
        <v>4257.9000000000005</v>
      </c>
      <c r="AK323" s="166"/>
      <c r="AL323" s="143">
        <f>Valores!$C$89</f>
        <v>227.49999999999997</v>
      </c>
      <c r="AM323" s="143"/>
      <c r="AN323" s="145">
        <v>0</v>
      </c>
      <c r="AO323" s="147">
        <f t="shared" si="57"/>
        <v>227.49999999999997</v>
      </c>
      <c r="AP323" s="148">
        <f>AJ323*Valores!$C$69</f>
        <v>-468.36900000000009</v>
      </c>
      <c r="AQ323" s="149">
        <f>AJ323*-Valores!$C$70</f>
        <v>0</v>
      </c>
      <c r="AR323" s="142">
        <f>AJ323*Valores!$C$71</f>
        <v>-191.60550000000001</v>
      </c>
      <c r="AS323" s="147">
        <v>0</v>
      </c>
      <c r="AT323" s="147">
        <v>0</v>
      </c>
      <c r="AU323" s="146">
        <f t="shared" si="58"/>
        <v>3825.4255000000003</v>
      </c>
      <c r="AV323" s="199">
        <f t="shared" si="54"/>
        <v>-468.36900000000009</v>
      </c>
      <c r="AW323" s="142">
        <f>AJ323*Valores!$C$72</f>
        <v>-114.96330000000002</v>
      </c>
      <c r="AX323" s="142">
        <f>AJ323*Valores!$C$73</f>
        <v>-12.773700000000002</v>
      </c>
      <c r="AY323" s="146">
        <f t="shared" si="59"/>
        <v>3889.2940000000003</v>
      </c>
      <c r="AZ323" s="150"/>
      <c r="BA323" s="150"/>
      <c r="BB323" s="135" t="s">
        <v>4</v>
      </c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  <c r="AMF323" s="114"/>
      <c r="AMG323" s="114"/>
      <c r="AMH323" s="114"/>
    </row>
    <row r="324" spans="1:1022" s="185" customFormat="1" ht="11.25" customHeight="1" x14ac:dyDescent="0.15">
      <c r="A324" s="134">
        <v>322</v>
      </c>
      <c r="B324" s="134"/>
      <c r="C324" s="187" t="s">
        <v>500</v>
      </c>
      <c r="D324" s="184">
        <v>1</v>
      </c>
      <c r="E324" s="184">
        <f t="shared" si="51"/>
        <v>40</v>
      </c>
      <c r="F324" s="168" t="s">
        <v>522</v>
      </c>
      <c r="G324" s="167">
        <v>245</v>
      </c>
      <c r="H324" s="138">
        <f>INT((G324*Valores!$C$2*100)+0.5)/100</f>
        <v>3278.74</v>
      </c>
      <c r="I324" s="156">
        <v>0</v>
      </c>
      <c r="J324" s="140">
        <f>INT((I324*Valores!$C$2*100)+0.5)/100</f>
        <v>0</v>
      </c>
      <c r="K324" s="155">
        <v>0</v>
      </c>
      <c r="L324" s="140">
        <f>INT((K324*Valores!$C$2*100)+0.5)/100</f>
        <v>0</v>
      </c>
      <c r="M324" s="153">
        <v>0</v>
      </c>
      <c r="N324" s="140">
        <f>INT((M324*Valores!$C$2*100)+0.5)/100</f>
        <v>0</v>
      </c>
      <c r="O324" s="140">
        <f t="shared" si="52"/>
        <v>0</v>
      </c>
      <c r="P324" s="140">
        <f t="shared" si="53"/>
        <v>0</v>
      </c>
      <c r="Q324" s="154">
        <v>0</v>
      </c>
      <c r="R324" s="154">
        <v>0</v>
      </c>
      <c r="S324" s="140">
        <v>0</v>
      </c>
      <c r="T324" s="143">
        <f>IF($H$5="NO",Valores!$C$48,Valores!$C$48/2)</f>
        <v>222.57</v>
      </c>
      <c r="U324" s="154">
        <v>0</v>
      </c>
      <c r="V324" s="140">
        <f t="shared" si="62"/>
        <v>0</v>
      </c>
      <c r="W324" s="140">
        <v>0</v>
      </c>
      <c r="X324" s="140">
        <v>0</v>
      </c>
      <c r="Y324" s="160">
        <v>0</v>
      </c>
      <c r="Z324" s="140">
        <v>0</v>
      </c>
      <c r="AA324" s="140">
        <v>0</v>
      </c>
      <c r="AB324" s="143">
        <f>Valores!$C$94</f>
        <v>257.54000000000002</v>
      </c>
      <c r="AC324" s="145">
        <v>0</v>
      </c>
      <c r="AD324" s="140">
        <f t="shared" si="55"/>
        <v>0</v>
      </c>
      <c r="AE324" s="140">
        <v>0</v>
      </c>
      <c r="AF324" s="144">
        <v>0</v>
      </c>
      <c r="AG324" s="140">
        <f>INT(((AF324*Valores!$C$2)*100)+0.5)/100</f>
        <v>0</v>
      </c>
      <c r="AH324" s="140">
        <f>Valores!$C$61</f>
        <v>75.88</v>
      </c>
      <c r="AI324" s="140">
        <f>Valores!$C$63</f>
        <v>21.69</v>
      </c>
      <c r="AJ324" s="146">
        <f t="shared" si="56"/>
        <v>3856.42</v>
      </c>
      <c r="AK324" s="166"/>
      <c r="AL324" s="143">
        <f>Valores!$C$89</f>
        <v>227.49999999999997</v>
      </c>
      <c r="AM324" s="143"/>
      <c r="AN324" s="145">
        <v>0</v>
      </c>
      <c r="AO324" s="147">
        <f t="shared" si="57"/>
        <v>227.49999999999997</v>
      </c>
      <c r="AP324" s="148">
        <f>AJ324*Valores!$C$69</f>
        <v>-424.20620000000002</v>
      </c>
      <c r="AQ324" s="149">
        <f>AJ324*-Valores!$C$70</f>
        <v>0</v>
      </c>
      <c r="AR324" s="142">
        <f>AJ324*Valores!$C$71</f>
        <v>-173.53889999999998</v>
      </c>
      <c r="AS324" s="147">
        <v>0</v>
      </c>
      <c r="AT324" s="147">
        <v>0</v>
      </c>
      <c r="AU324" s="146">
        <f t="shared" si="58"/>
        <v>3486.1749</v>
      </c>
      <c r="AV324" s="199">
        <f t="shared" si="54"/>
        <v>-424.20620000000002</v>
      </c>
      <c r="AW324" s="142">
        <f>AJ324*Valores!$C$72</f>
        <v>-104.12334</v>
      </c>
      <c r="AX324" s="142">
        <f>AJ324*Valores!$C$73</f>
        <v>-11.56926</v>
      </c>
      <c r="AY324" s="146">
        <f t="shared" si="59"/>
        <v>3544.0212000000001</v>
      </c>
      <c r="AZ324" s="150"/>
      <c r="BA324" s="150"/>
      <c r="BB324" s="135" t="s">
        <v>4</v>
      </c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  <c r="AMF324" s="114"/>
      <c r="AMG324" s="114"/>
      <c r="AMH324" s="114"/>
    </row>
    <row r="325" spans="1:1022" s="185" customFormat="1" ht="11.25" customHeight="1" x14ac:dyDescent="0.15">
      <c r="A325" s="134">
        <v>323</v>
      </c>
      <c r="B325" s="134"/>
      <c r="C325" s="187" t="s">
        <v>500</v>
      </c>
      <c r="D325" s="184">
        <v>1</v>
      </c>
      <c r="E325" s="184">
        <f t="shared" si="51"/>
        <v>40</v>
      </c>
      <c r="F325" s="168" t="s">
        <v>523</v>
      </c>
      <c r="G325" s="167">
        <v>238</v>
      </c>
      <c r="H325" s="138">
        <f>INT((G325*Valores!$C$2*100)+0.5)/100</f>
        <v>3185.06</v>
      </c>
      <c r="I325" s="156">
        <v>0</v>
      </c>
      <c r="J325" s="140">
        <f>INT((I325*Valores!$C$2*100)+0.5)/100</f>
        <v>0</v>
      </c>
      <c r="K325" s="155">
        <v>0</v>
      </c>
      <c r="L325" s="140">
        <f>INT((K325*Valores!$C$2*100)+0.5)/100</f>
        <v>0</v>
      </c>
      <c r="M325" s="153">
        <v>0</v>
      </c>
      <c r="N325" s="140">
        <f>INT((M325*Valores!$C$2*100)+0.5)/100</f>
        <v>0</v>
      </c>
      <c r="O325" s="140">
        <f t="shared" si="52"/>
        <v>0</v>
      </c>
      <c r="P325" s="140">
        <f t="shared" si="53"/>
        <v>0</v>
      </c>
      <c r="Q325" s="154">
        <v>0</v>
      </c>
      <c r="R325" s="154">
        <v>0</v>
      </c>
      <c r="S325" s="140">
        <v>0</v>
      </c>
      <c r="T325" s="143">
        <f>IF($H$5="NO",Valores!$C$48,Valores!$C$48/2)</f>
        <v>222.57</v>
      </c>
      <c r="U325" s="154">
        <v>0</v>
      </c>
      <c r="V325" s="140">
        <f t="shared" si="62"/>
        <v>0</v>
      </c>
      <c r="W325" s="140">
        <v>0</v>
      </c>
      <c r="X325" s="140">
        <v>0</v>
      </c>
      <c r="Y325" s="160">
        <v>0</v>
      </c>
      <c r="Z325" s="140">
        <v>0</v>
      </c>
      <c r="AA325" s="140">
        <v>0</v>
      </c>
      <c r="AB325" s="143">
        <f>Valores!$C$94</f>
        <v>257.54000000000002</v>
      </c>
      <c r="AC325" s="145">
        <v>0</v>
      </c>
      <c r="AD325" s="140">
        <f t="shared" si="55"/>
        <v>0</v>
      </c>
      <c r="AE325" s="140">
        <v>0</v>
      </c>
      <c r="AF325" s="144">
        <v>0</v>
      </c>
      <c r="AG325" s="140">
        <f>INT(((AF325*Valores!$C$2)*100)+0.5)/100</f>
        <v>0</v>
      </c>
      <c r="AH325" s="140">
        <f>Valores!$C$61</f>
        <v>75.88</v>
      </c>
      <c r="AI325" s="140">
        <f>Valores!$C$63</f>
        <v>21.69</v>
      </c>
      <c r="AJ325" s="146">
        <f t="shared" si="56"/>
        <v>3762.7400000000002</v>
      </c>
      <c r="AK325" s="166"/>
      <c r="AL325" s="143">
        <f>Valores!$C$89</f>
        <v>227.49999999999997</v>
      </c>
      <c r="AM325" s="143"/>
      <c r="AN325" s="145">
        <v>0</v>
      </c>
      <c r="AO325" s="147">
        <f t="shared" si="57"/>
        <v>227.49999999999997</v>
      </c>
      <c r="AP325" s="148">
        <f>AJ325*Valores!$C$69</f>
        <v>-413.90140000000002</v>
      </c>
      <c r="AQ325" s="149">
        <f>AJ325*-Valores!$C$70</f>
        <v>0</v>
      </c>
      <c r="AR325" s="142">
        <f>AJ325*Valores!$C$71</f>
        <v>-169.32330000000002</v>
      </c>
      <c r="AS325" s="147">
        <v>0</v>
      </c>
      <c r="AT325" s="147">
        <v>0</v>
      </c>
      <c r="AU325" s="146">
        <f t="shared" si="58"/>
        <v>3407.0153</v>
      </c>
      <c r="AV325" s="199">
        <f t="shared" si="54"/>
        <v>-413.90140000000002</v>
      </c>
      <c r="AW325" s="142">
        <f>AJ325*Valores!$C$72</f>
        <v>-101.59398</v>
      </c>
      <c r="AX325" s="142">
        <f>AJ325*Valores!$C$73</f>
        <v>-11.288220000000001</v>
      </c>
      <c r="AY325" s="146">
        <f t="shared" si="59"/>
        <v>3463.4564</v>
      </c>
      <c r="AZ325" s="150"/>
      <c r="BA325" s="150"/>
      <c r="BB325" s="135" t="s">
        <v>4</v>
      </c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  <c r="AMF325" s="114"/>
      <c r="AMG325" s="114"/>
      <c r="AMH325" s="114"/>
    </row>
    <row r="326" spans="1:1022" s="185" customFormat="1" ht="11.25" customHeight="1" x14ac:dyDescent="0.15">
      <c r="A326" s="134">
        <v>324</v>
      </c>
      <c r="B326" s="134"/>
      <c r="C326" s="187" t="s">
        <v>500</v>
      </c>
      <c r="D326" s="184">
        <v>1</v>
      </c>
      <c r="E326" s="184">
        <f t="shared" si="51"/>
        <v>40</v>
      </c>
      <c r="F326" s="168" t="s">
        <v>524</v>
      </c>
      <c r="G326" s="167">
        <v>245</v>
      </c>
      <c r="H326" s="138">
        <f>INT((G326*Valores!$C$2*100)+0.5)/100</f>
        <v>3278.74</v>
      </c>
      <c r="I326" s="156">
        <v>0</v>
      </c>
      <c r="J326" s="140">
        <f>INT((I326*Valores!$C$2*100)+0.5)/100</f>
        <v>0</v>
      </c>
      <c r="K326" s="155">
        <v>0</v>
      </c>
      <c r="L326" s="140">
        <f>INT((K326*Valores!$C$2*100)+0.5)/100</f>
        <v>0</v>
      </c>
      <c r="M326" s="153">
        <v>0</v>
      </c>
      <c r="N326" s="140">
        <f>INT((M326*Valores!$C$2*100)+0.5)/100</f>
        <v>0</v>
      </c>
      <c r="O326" s="140">
        <f t="shared" si="52"/>
        <v>0</v>
      </c>
      <c r="P326" s="140">
        <f t="shared" si="53"/>
        <v>0</v>
      </c>
      <c r="Q326" s="154">
        <v>0</v>
      </c>
      <c r="R326" s="154">
        <v>0</v>
      </c>
      <c r="S326" s="140">
        <v>0</v>
      </c>
      <c r="T326" s="143">
        <f>IF($H$5="NO",Valores!$C$48,Valores!$C$48/2)</f>
        <v>222.57</v>
      </c>
      <c r="U326" s="143">
        <v>0</v>
      </c>
      <c r="V326" s="140">
        <f t="shared" si="62"/>
        <v>0</v>
      </c>
      <c r="W326" s="140">
        <v>0</v>
      </c>
      <c r="X326" s="140">
        <v>0</v>
      </c>
      <c r="Y326" s="160">
        <v>0</v>
      </c>
      <c r="Z326" s="140">
        <v>0</v>
      </c>
      <c r="AA326" s="140">
        <v>0</v>
      </c>
      <c r="AB326" s="143">
        <f>Valores!$C$94</f>
        <v>257.54000000000002</v>
      </c>
      <c r="AC326" s="145">
        <v>0</v>
      </c>
      <c r="AD326" s="140">
        <f t="shared" si="55"/>
        <v>0</v>
      </c>
      <c r="AE326" s="140">
        <v>0</v>
      </c>
      <c r="AF326" s="144">
        <v>0</v>
      </c>
      <c r="AG326" s="140">
        <f>INT(((AF326*Valores!$C$2)*100)+0.5)/100</f>
        <v>0</v>
      </c>
      <c r="AH326" s="140">
        <f>Valores!$C$61</f>
        <v>75.88</v>
      </c>
      <c r="AI326" s="140">
        <f>Valores!$C$63</f>
        <v>21.69</v>
      </c>
      <c r="AJ326" s="146">
        <f t="shared" si="56"/>
        <v>3856.42</v>
      </c>
      <c r="AK326" s="166"/>
      <c r="AL326" s="143">
        <f>Valores!$C$89</f>
        <v>227.49999999999997</v>
      </c>
      <c r="AM326" s="143"/>
      <c r="AN326" s="145">
        <v>0</v>
      </c>
      <c r="AO326" s="147">
        <f t="shared" si="57"/>
        <v>227.49999999999997</v>
      </c>
      <c r="AP326" s="148">
        <f>AJ326*Valores!$C$69</f>
        <v>-424.20620000000002</v>
      </c>
      <c r="AQ326" s="149">
        <f>AJ326*-Valores!$C$70</f>
        <v>0</v>
      </c>
      <c r="AR326" s="142">
        <f>AJ326*Valores!$C$71</f>
        <v>-173.53889999999998</v>
      </c>
      <c r="AS326" s="147">
        <v>0</v>
      </c>
      <c r="AT326" s="147">
        <v>0</v>
      </c>
      <c r="AU326" s="146">
        <f t="shared" si="58"/>
        <v>3486.1749</v>
      </c>
      <c r="AV326" s="199">
        <f t="shared" si="54"/>
        <v>-424.20620000000002</v>
      </c>
      <c r="AW326" s="142">
        <f>AJ326*Valores!$C$72</f>
        <v>-104.12334</v>
      </c>
      <c r="AX326" s="142">
        <f>AJ326*Valores!$C$73</f>
        <v>-11.56926</v>
      </c>
      <c r="AY326" s="146">
        <f t="shared" si="59"/>
        <v>3544.0212000000001</v>
      </c>
      <c r="AZ326" s="150"/>
      <c r="BA326" s="150"/>
      <c r="BB326" s="135" t="s">
        <v>4</v>
      </c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  <c r="AMF326" s="114"/>
      <c r="AMG326" s="114"/>
      <c r="AMH326" s="114"/>
    </row>
    <row r="327" spans="1:1022" s="185" customFormat="1" ht="11.25" customHeight="1" x14ac:dyDescent="0.15">
      <c r="A327" s="152">
        <v>325</v>
      </c>
      <c r="B327" s="152" t="s">
        <v>139</v>
      </c>
      <c r="C327" s="186" t="s">
        <v>500</v>
      </c>
      <c r="D327" s="184">
        <v>1</v>
      </c>
      <c r="E327" s="184">
        <f t="shared" si="51"/>
        <v>43</v>
      </c>
      <c r="F327" s="168" t="s">
        <v>525</v>
      </c>
      <c r="G327" s="167">
        <v>243</v>
      </c>
      <c r="H327" s="138">
        <f>INT((G327*Valores!$C$2*100)+0.5)/100</f>
        <v>3251.97</v>
      </c>
      <c r="I327" s="156">
        <v>0</v>
      </c>
      <c r="J327" s="140">
        <f>INT((I327*Valores!$C$2*100)+0.5)/100</f>
        <v>0</v>
      </c>
      <c r="K327" s="155">
        <v>0</v>
      </c>
      <c r="L327" s="140">
        <f>INT((K327*Valores!$C$2*100)+0.5)/100</f>
        <v>0</v>
      </c>
      <c r="M327" s="153">
        <v>0</v>
      </c>
      <c r="N327" s="140">
        <f>INT((M327*Valores!$C$2*100)+0.5)/100</f>
        <v>0</v>
      </c>
      <c r="O327" s="140">
        <f t="shared" si="52"/>
        <v>0</v>
      </c>
      <c r="P327" s="140">
        <f t="shared" si="53"/>
        <v>0</v>
      </c>
      <c r="Q327" s="154">
        <v>0</v>
      </c>
      <c r="R327" s="154">
        <v>0</v>
      </c>
      <c r="S327" s="140">
        <v>0</v>
      </c>
      <c r="T327" s="143">
        <f>IF($H$5="NO",Valores!$C$48,Valores!$C$48/2)</f>
        <v>222.57</v>
      </c>
      <c r="U327" s="154">
        <v>0</v>
      </c>
      <c r="V327" s="140">
        <f t="shared" si="62"/>
        <v>0</v>
      </c>
      <c r="W327" s="140">
        <v>0</v>
      </c>
      <c r="X327" s="140">
        <v>0</v>
      </c>
      <c r="Y327" s="160">
        <v>0</v>
      </c>
      <c r="Z327" s="140">
        <v>0</v>
      </c>
      <c r="AA327" s="140">
        <v>0</v>
      </c>
      <c r="AB327" s="143">
        <f>Valores!$C$94</f>
        <v>257.54000000000002</v>
      </c>
      <c r="AC327" s="145">
        <v>0</v>
      </c>
      <c r="AD327" s="140">
        <f t="shared" si="55"/>
        <v>0</v>
      </c>
      <c r="AE327" s="140">
        <v>0</v>
      </c>
      <c r="AF327" s="144">
        <v>0</v>
      </c>
      <c r="AG327" s="140">
        <f>INT(((AF327*Valores!$C$2)*100)+0.5)/100</f>
        <v>0</v>
      </c>
      <c r="AH327" s="140">
        <f>Valores!$C$61</f>
        <v>75.88</v>
      </c>
      <c r="AI327" s="140">
        <f>Valores!$C$63</f>
        <v>21.69</v>
      </c>
      <c r="AJ327" s="146">
        <f t="shared" si="56"/>
        <v>3829.65</v>
      </c>
      <c r="AK327" s="166"/>
      <c r="AL327" s="143">
        <f>Valores!$C$89</f>
        <v>227.49999999999997</v>
      </c>
      <c r="AM327" s="143"/>
      <c r="AN327" s="145">
        <v>0</v>
      </c>
      <c r="AO327" s="147">
        <f t="shared" si="57"/>
        <v>227.49999999999997</v>
      </c>
      <c r="AP327" s="148">
        <f>AJ327*Valores!$C$69</f>
        <v>-421.26150000000001</v>
      </c>
      <c r="AQ327" s="149">
        <f>AJ327*-Valores!$C$70</f>
        <v>0</v>
      </c>
      <c r="AR327" s="142">
        <f>AJ327*Valores!$C$71</f>
        <v>-172.33425</v>
      </c>
      <c r="AS327" s="147">
        <v>0</v>
      </c>
      <c r="AT327" s="147">
        <v>0</v>
      </c>
      <c r="AU327" s="146">
        <f t="shared" si="58"/>
        <v>3463.5542500000001</v>
      </c>
      <c r="AV327" s="199">
        <f t="shared" si="54"/>
        <v>-421.26150000000001</v>
      </c>
      <c r="AW327" s="142">
        <f>AJ327*Valores!$C$72</f>
        <v>-103.40055</v>
      </c>
      <c r="AX327" s="142">
        <f>AJ327*Valores!$C$73</f>
        <v>-11.488950000000001</v>
      </c>
      <c r="AY327" s="146">
        <f t="shared" si="59"/>
        <v>3520.9989999999998</v>
      </c>
      <c r="AZ327" s="150"/>
      <c r="BA327" s="150"/>
      <c r="BB327" s="135" t="s">
        <v>4</v>
      </c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  <c r="AMF327" s="114"/>
      <c r="AMG327" s="114"/>
      <c r="AMH327" s="114"/>
    </row>
    <row r="328" spans="1:1022" s="185" customFormat="1" ht="11.25" customHeight="1" x14ac:dyDescent="0.15">
      <c r="A328" s="134">
        <v>326</v>
      </c>
      <c r="B328" s="134"/>
      <c r="C328" s="186" t="s">
        <v>500</v>
      </c>
      <c r="D328" s="135"/>
      <c r="E328" s="184">
        <f>LEN(F328)</f>
        <v>46</v>
      </c>
      <c r="F328" s="168" t="s">
        <v>526</v>
      </c>
      <c r="G328" s="167">
        <v>235</v>
      </c>
      <c r="H328" s="138">
        <f>INT((G328*Valores!$C$2*100)+0.5)/100</f>
        <v>3144.91</v>
      </c>
      <c r="I328" s="156">
        <v>0</v>
      </c>
      <c r="J328" s="140">
        <f>INT((I328*Valores!$C$2*100)+0.5)/100</f>
        <v>0</v>
      </c>
      <c r="K328" s="155">
        <v>0</v>
      </c>
      <c r="L328" s="140">
        <f>INT((K328*Valores!$C$2*100)+0.5)/100</f>
        <v>0</v>
      </c>
      <c r="M328" s="153">
        <v>0</v>
      </c>
      <c r="N328" s="140">
        <f>INT((M328*Valores!$C$2*100)+0.5)/100</f>
        <v>0</v>
      </c>
      <c r="O328" s="140">
        <f>IF($J$2=0,IF(C328&lt;&gt;"13-930",(SUM(H328,J328,L328,N328,Z328,U328,T328)*$O$2),0),0)</f>
        <v>0</v>
      </c>
      <c r="P328" s="140">
        <f t="shared" si="53"/>
        <v>0</v>
      </c>
      <c r="Q328" s="154">
        <v>0</v>
      </c>
      <c r="R328" s="154">
        <v>0</v>
      </c>
      <c r="S328" s="140">
        <v>0</v>
      </c>
      <c r="T328" s="143">
        <f>IF($H$5="NO",Valores!$C$48,Valores!$C$48/2)</f>
        <v>222.57</v>
      </c>
      <c r="U328" s="154">
        <v>0</v>
      </c>
      <c r="V328" s="140">
        <f t="shared" si="62"/>
        <v>0</v>
      </c>
      <c r="W328" s="140">
        <v>0</v>
      </c>
      <c r="X328" s="140">
        <v>0</v>
      </c>
      <c r="Y328" s="160">
        <v>0</v>
      </c>
      <c r="Z328" s="140">
        <v>0</v>
      </c>
      <c r="AA328" s="140">
        <v>0</v>
      </c>
      <c r="AB328" s="143">
        <f>Valores!$C$94</f>
        <v>257.54000000000002</v>
      </c>
      <c r="AC328" s="145">
        <v>0</v>
      </c>
      <c r="AD328" s="140">
        <f t="shared" si="55"/>
        <v>0</v>
      </c>
      <c r="AE328" s="140">
        <v>0</v>
      </c>
      <c r="AF328" s="144">
        <v>0</v>
      </c>
      <c r="AG328" s="140">
        <f>INT(((AF328*Valores!$C$2)*100)+0.5)/100</f>
        <v>0</v>
      </c>
      <c r="AH328" s="140">
        <f>Valores!$C$61</f>
        <v>75.88</v>
      </c>
      <c r="AI328" s="140">
        <f>Valores!$C$63</f>
        <v>21.69</v>
      </c>
      <c r="AJ328" s="146">
        <f t="shared" si="56"/>
        <v>3722.59</v>
      </c>
      <c r="AK328" s="166"/>
      <c r="AL328" s="143">
        <f>Valores!$C$89</f>
        <v>227.49999999999997</v>
      </c>
      <c r="AM328" s="143"/>
      <c r="AN328" s="145">
        <v>0</v>
      </c>
      <c r="AO328" s="147">
        <f t="shared" si="57"/>
        <v>227.49999999999997</v>
      </c>
      <c r="AP328" s="148">
        <f>AJ328*Valores!$C$69</f>
        <v>-409.48490000000004</v>
      </c>
      <c r="AQ328" s="149">
        <f>AJ328*-Valores!$C$70</f>
        <v>0</v>
      </c>
      <c r="AR328" s="142">
        <f>AJ328*Valores!$C$71</f>
        <v>-167.51655</v>
      </c>
      <c r="AS328" s="147">
        <v>0</v>
      </c>
      <c r="AT328" s="147">
        <v>0</v>
      </c>
      <c r="AU328" s="146">
        <f t="shared" si="58"/>
        <v>3373.0885499999999</v>
      </c>
      <c r="AV328" s="199">
        <f t="shared" ref="AV328" si="65">AP328</f>
        <v>-409.48490000000004</v>
      </c>
      <c r="AW328" s="142">
        <f>AJ328*Valores!$C$72</f>
        <v>-100.50993</v>
      </c>
      <c r="AX328" s="142">
        <f>AJ328*Valores!$C$73</f>
        <v>-11.167770000000001</v>
      </c>
      <c r="AY328" s="146">
        <f t="shared" si="59"/>
        <v>3428.9274</v>
      </c>
      <c r="AZ328" s="150"/>
      <c r="BA328" s="150"/>
      <c r="BB328" s="135" t="s">
        <v>4</v>
      </c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  <c r="AMF328" s="114"/>
      <c r="AMG328" s="114"/>
      <c r="AMH328" s="114"/>
    </row>
    <row r="330" spans="1:1022" ht="11.25" customHeight="1" x14ac:dyDescent="0.3">
      <c r="H330" s="224"/>
      <c r="J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70">
        <f>Y49-Y56</f>
        <v>0</v>
      </c>
      <c r="Z330" s="169"/>
      <c r="AA330" s="169"/>
      <c r="AB330" s="169"/>
      <c r="AC330" s="169"/>
      <c r="AD330" s="169"/>
      <c r="AE330" s="169"/>
      <c r="AH330" s="169"/>
      <c r="AI330" s="169"/>
      <c r="AJ330" s="171"/>
      <c r="AK330" s="172"/>
    </row>
    <row r="334" spans="1:1022" x14ac:dyDescent="0.3">
      <c r="T334" s="218"/>
    </row>
  </sheetData>
  <autoFilter ref="A8:BB328"/>
  <mergeCells count="16">
    <mergeCell ref="AP6:AU6"/>
    <mergeCell ref="AV6:AY6"/>
    <mergeCell ref="C1:AN1"/>
    <mergeCell ref="AN2:AN3"/>
    <mergeCell ref="I3:J3"/>
    <mergeCell ref="K3:L3"/>
    <mergeCell ref="AF7:AG7"/>
    <mergeCell ref="AM7:AM8"/>
    <mergeCell ref="C6:F6"/>
    <mergeCell ref="Q3:X3"/>
    <mergeCell ref="C5:F5"/>
    <mergeCell ref="G7:H7"/>
    <mergeCell ref="I7:J7"/>
    <mergeCell ref="K7:L7"/>
    <mergeCell ref="M7:N7"/>
    <mergeCell ref="Y7:Z7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09375" defaultRowHeight="13.2" x14ac:dyDescent="0.25"/>
  <cols>
    <col min="1" max="1" width="4.6640625" customWidth="1"/>
    <col min="2" max="2" width="31" customWidth="1"/>
    <col min="3" max="3" width="7.5546875" customWidth="1"/>
    <col min="4" max="4" width="6.88671875" customWidth="1"/>
    <col min="5" max="5" width="10.5546875" customWidth="1"/>
    <col min="6" max="6" width="8.109375" customWidth="1"/>
    <col min="7" max="7" width="7.109375" customWidth="1"/>
    <col min="8" max="8" width="9" customWidth="1"/>
    <col min="9" max="9" width="7.109375" customWidth="1"/>
    <col min="10" max="10" width="8" customWidth="1"/>
    <col min="11" max="11" width="7.44140625" customWidth="1"/>
    <col min="12" max="12" width="12.44140625" hidden="1" customWidth="1"/>
    <col min="13" max="13" width="6.33203125" hidden="1" customWidth="1"/>
    <col min="14" max="15" width="11.5546875" hidden="1"/>
    <col min="16" max="16" width="2.5546875" customWidth="1"/>
    <col min="17" max="17" width="7" customWidth="1"/>
    <col min="18" max="18" width="7.109375" customWidth="1"/>
    <col min="19" max="19" width="6.5546875" customWidth="1"/>
    <col min="20" max="20" width="7.109375" customWidth="1"/>
    <col min="21" max="21" width="5.88671875" customWidth="1"/>
    <col min="22" max="22" width="7" customWidth="1"/>
    <col min="23" max="23" width="6" customWidth="1"/>
    <col min="24" max="24" width="8.33203125" customWidth="1"/>
    <col min="25" max="1025" width="10.6640625" customWidth="1"/>
  </cols>
  <sheetData>
    <row r="1" spans="1:33" ht="25.5" customHeight="1" x14ac:dyDescent="0.25">
      <c r="A1" s="243" t="str">
        <f ca="1">MID(CELL("FILENAME",L41),FIND("[",CELL("FILENAME",L41))+1,FIND("]",CELL("FILENAME",L41))-FIND("[",CELL("FILENAME",L41))-1)</f>
        <v>Esc Doc 2021 11 Cba V 1 1.xlsx</v>
      </c>
      <c r="B1" s="243"/>
      <c r="C1" s="243"/>
      <c r="D1" s="243"/>
      <c r="E1" s="243"/>
      <c r="F1" s="243"/>
      <c r="G1" s="243"/>
      <c r="H1" s="243"/>
      <c r="I1" s="243"/>
      <c r="J1" s="24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5">
      <c r="A2" s="244" t="s">
        <v>67</v>
      </c>
      <c r="B2" s="24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5">
      <c r="G3" s="26"/>
      <c r="H3" s="27"/>
      <c r="I3" s="27"/>
      <c r="J3" s="27"/>
      <c r="K3" s="28"/>
      <c r="Q3" s="245" t="s">
        <v>527</v>
      </c>
      <c r="R3" s="245"/>
      <c r="S3" s="245"/>
      <c r="T3" s="246" t="s">
        <v>528</v>
      </c>
      <c r="U3" s="246"/>
      <c r="V3" s="246"/>
      <c r="W3" s="246"/>
      <c r="Y3" s="17"/>
    </row>
    <row r="4" spans="1:33" ht="16.8" x14ac:dyDescent="0.25">
      <c r="A4" s="13"/>
      <c r="B4" s="13"/>
      <c r="C4" s="29" t="s">
        <v>529</v>
      </c>
      <c r="D4" s="30" t="s">
        <v>75</v>
      </c>
      <c r="E4" s="30" t="s">
        <v>530</v>
      </c>
      <c r="F4" s="30" t="s">
        <v>531</v>
      </c>
      <c r="G4" s="31" t="s">
        <v>76</v>
      </c>
      <c r="H4" s="32" t="s">
        <v>77</v>
      </c>
      <c r="I4" s="33" t="s">
        <v>532</v>
      </c>
      <c r="J4" s="34" t="s">
        <v>533</v>
      </c>
      <c r="K4" s="35" t="s">
        <v>532</v>
      </c>
      <c r="Q4" s="36" t="s">
        <v>534</v>
      </c>
      <c r="R4" s="37" t="s">
        <v>535</v>
      </c>
      <c r="S4" s="37" t="s">
        <v>536</v>
      </c>
      <c r="T4" s="38" t="s">
        <v>537</v>
      </c>
      <c r="U4" s="39" t="s">
        <v>538</v>
      </c>
      <c r="V4" s="39" t="s">
        <v>539</v>
      </c>
      <c r="W4" s="39" t="s">
        <v>536</v>
      </c>
      <c r="X4" s="40" t="s">
        <v>540</v>
      </c>
      <c r="Y4" s="40" t="s">
        <v>541</v>
      </c>
    </row>
    <row r="5" spans="1:33" x14ac:dyDescent="0.25">
      <c r="A5" s="14" t="s">
        <v>96</v>
      </c>
      <c r="B5" s="15" t="s">
        <v>97</v>
      </c>
      <c r="C5" s="41" t="s">
        <v>99</v>
      </c>
      <c r="D5" s="42" t="s">
        <v>106</v>
      </c>
      <c r="E5" s="42" t="s">
        <v>542</v>
      </c>
      <c r="F5" s="43"/>
      <c r="G5" s="43" t="s">
        <v>107</v>
      </c>
      <c r="H5" s="43" t="s">
        <v>108</v>
      </c>
      <c r="I5" s="44" t="s">
        <v>543</v>
      </c>
      <c r="J5" s="45" t="s">
        <v>544</v>
      </c>
      <c r="K5" s="44" t="s">
        <v>545</v>
      </c>
      <c r="L5" s="46" t="s">
        <v>546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5">
      <c r="A6" s="12" t="s">
        <v>547</v>
      </c>
      <c r="B6" s="16" t="s">
        <v>548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5">
      <c r="A7" s="53" t="s">
        <v>549</v>
      </c>
      <c r="B7" s="16" t="s">
        <v>550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529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5">
      <c r="A8" s="53" t="s">
        <v>551</v>
      </c>
      <c r="B8" s="16" t="s">
        <v>552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553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5">
      <c r="A9" s="55" t="s">
        <v>554</v>
      </c>
      <c r="B9" s="56" t="s">
        <v>555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556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5">
      <c r="A10" s="55" t="s">
        <v>557</v>
      </c>
      <c r="B10" s="56" t="s">
        <v>558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559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5">
      <c r="A11" s="53" t="s">
        <v>560</v>
      </c>
      <c r="B11" s="16" t="s">
        <v>561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562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5">
      <c r="A12" s="53" t="s">
        <v>563</v>
      </c>
      <c r="B12" s="16" t="s">
        <v>564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565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5">
      <c r="A13" s="53" t="s">
        <v>566</v>
      </c>
      <c r="B13" s="16" t="s">
        <v>567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568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5">
      <c r="A14" s="53" t="s">
        <v>569</v>
      </c>
      <c r="B14" s="16" t="s">
        <v>570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571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5">
      <c r="A15" s="53" t="s">
        <v>572</v>
      </c>
      <c r="B15" s="16" t="s">
        <v>573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574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5">
      <c r="A16" s="53" t="s">
        <v>575</v>
      </c>
      <c r="B16" s="16" t="s">
        <v>576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5">
      <c r="A17" s="53" t="s">
        <v>577</v>
      </c>
      <c r="B17" s="16" t="s">
        <v>578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5">
      <c r="A18" s="53" t="s">
        <v>579</v>
      </c>
      <c r="B18" s="16" t="s">
        <v>580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581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5">
      <c r="A19" s="53" t="s">
        <v>582</v>
      </c>
      <c r="B19" s="16" t="s">
        <v>583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584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5">
      <c r="A20" s="53" t="s">
        <v>585</v>
      </c>
      <c r="B20" s="16" t="s">
        <v>586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5">
      <c r="A21" s="53" t="s">
        <v>587</v>
      </c>
      <c r="B21" s="16" t="s">
        <v>588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5">
      <c r="A22" s="53" t="s">
        <v>587</v>
      </c>
      <c r="B22" s="16" t="s">
        <v>589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5">
      <c r="A23" s="53" t="s">
        <v>587</v>
      </c>
      <c r="B23" s="16" t="s">
        <v>590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5">
      <c r="A24" s="53" t="s">
        <v>587</v>
      </c>
      <c r="B24" s="16" t="s">
        <v>591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5">
      <c r="A25" s="53" t="s">
        <v>587</v>
      </c>
      <c r="B25" s="16" t="s">
        <v>592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5">
      <c r="A26" s="53" t="s">
        <v>587</v>
      </c>
      <c r="B26" s="16" t="s">
        <v>593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5">
      <c r="A27" s="53" t="s">
        <v>587</v>
      </c>
      <c r="B27" s="16" t="s">
        <v>594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5">
      <c r="A28" s="53" t="s">
        <v>587</v>
      </c>
      <c r="B28" s="16" t="s">
        <v>595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5">
      <c r="A29" s="53" t="s">
        <v>587</v>
      </c>
      <c r="B29" s="16" t="s">
        <v>596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5">
      <c r="A30" s="53" t="s">
        <v>587</v>
      </c>
      <c r="B30" s="16" t="s">
        <v>597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5">
      <c r="A31" s="53" t="s">
        <v>587</v>
      </c>
      <c r="B31" s="16" t="s">
        <v>598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5">
      <c r="A32" s="53" t="s">
        <v>587</v>
      </c>
      <c r="B32" s="16" t="s">
        <v>599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5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5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600</v>
      </c>
      <c r="Y34" s="17"/>
    </row>
    <row r="35" spans="1:25" ht="12.75" customHeight="1" x14ac:dyDescent="0.25">
      <c r="A35" s="53" t="s">
        <v>601</v>
      </c>
      <c r="B35" s="16" t="s">
        <v>602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603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5">
      <c r="A36" s="53" t="s">
        <v>604</v>
      </c>
      <c r="B36" s="16" t="s">
        <v>605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606</v>
      </c>
      <c r="M36" s="16" t="s">
        <v>607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5">
      <c r="A37" s="53" t="s">
        <v>608</v>
      </c>
      <c r="B37" s="16" t="s">
        <v>609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610</v>
      </c>
      <c r="M37" s="16" t="s">
        <v>611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5">
      <c r="A38" s="53" t="s">
        <v>612</v>
      </c>
      <c r="B38" s="16" t="s">
        <v>613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5">
      <c r="A39" s="53" t="s">
        <v>614</v>
      </c>
      <c r="B39" s="16" t="s">
        <v>615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603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5">
      <c r="A40" s="53" t="s">
        <v>616</v>
      </c>
      <c r="B40" s="16" t="s">
        <v>617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603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5">
      <c r="A41" s="53" t="s">
        <v>618</v>
      </c>
      <c r="B41" s="16" t="s">
        <v>619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603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5">
      <c r="A42" s="53" t="s">
        <v>620</v>
      </c>
      <c r="B42" s="16" t="s">
        <v>621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603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5">
      <c r="A43" s="53" t="s">
        <v>622</v>
      </c>
      <c r="B43" s="16" t="s">
        <v>623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5">
      <c r="A44" s="53" t="s">
        <v>624</v>
      </c>
      <c r="B44" s="16" t="s">
        <v>625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606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5">
      <c r="A45" s="53" t="s">
        <v>626</v>
      </c>
      <c r="B45" s="16" t="s">
        <v>627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606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5">
      <c r="A46" s="53" t="s">
        <v>628</v>
      </c>
      <c r="B46" s="16" t="s">
        <v>629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606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5">
      <c r="A47" s="53" t="s">
        <v>630</v>
      </c>
      <c r="B47" s="16" t="s">
        <v>631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606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2021-11-30T15:09:58Z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