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Docente'!$A$1:$AM$326</definedName>
    <definedName name="_xlnm.Print_Area" localSheetId="4">'UPC'!$A$2:$J$37</definedName>
    <definedName name="_xlnm.Print_Area" localSheetId="0">'Valores'!$A$1:$G$85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<sst xmlns="http://schemas.openxmlformats.org/spreadsheetml/2006/main" count="1568" uniqueCount="824">
  <si>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</si>
  <si>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</si>
  <si>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</si>
  <si>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</si>
  <si>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</si>
  <si>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</si>
  <si>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</si>
  <si>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</si>
  <si>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</si>
  <si>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</si>
  <si>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</si>
  <si>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</si>
  <si>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</si>
  <si>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</si>
  <si>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</si>
  <si>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</si>
  <si>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</si>
  <si>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</si>
  <si>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</si>
  <si>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</si>
  <si>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</si>
  <si>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</si>
  <si>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</si>
  <si>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</si>
  <si>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</si>
  <si>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</si>
  <si>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</si>
  <si>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</si>
  <si>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</si>
  <si>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</si>
  <si>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</si>
  <si>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</si>
  <si>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</si>
  <si>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</si>
  <si>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</si>
  <si>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</si>
  <si>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</si>
  <si>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</si>
  <si>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</si>
  <si>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</si>
  <si>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</si>
  <si>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</si>
  <si>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</si>
  <si>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</si>
  <si>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</si>
  <si>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</si>
  <si>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</si>
  <si>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</si>
  <si>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</si>
  <si>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</si>
  <si>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</si>
  <si>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</si>
  <si>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</si>
  <si>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</si>
  <si>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</si>
  <si>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</si>
  <si>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</si>
  <si>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</si>
  <si>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</si>
  <si>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</si>
  <si>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</si>
  <si>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</si>
  <si>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</si>
  <si>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</si>
  <si>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</si>
  <si>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</si>
  <si>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</si>
  <si>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</si>
  <si>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</si>
  <si>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</si>
  <si>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</si>
  <si>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</si>
  <si>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</si>
  <si>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</si>
  <si>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</si>
  <si>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</si>
  <si>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</si>
  <si>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</si>
  <si>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</si>
  <si>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</si>
  <si>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</si>
  <si>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</si>
  <si>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</si>
  <si>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</si>
  <si>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</si>
  <si>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</si>
  <si>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</si>
  <si>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</si>
  <si>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</si>
  <si>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</si>
  <si>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</si>
  <si>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</si>
  <si>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</si>
  <si>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</si>
  <si>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</si>
  <si>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</si>
  <si>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</si>
  <si>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</si>
  <si>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</si>
  <si>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</si>
  <si>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</si>
  <si>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</si>
  <si>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</si>
  <si>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</si>
  <si>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</si>
  <si>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</si>
  <si>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</si>
  <si>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</si>
  <si>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</si>
  <si>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</si>
  <si>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</si>
  <si>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</si>
  <si>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</si>
  <si>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</si>
  <si>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</si>
  <si>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</si>
  <si>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</si>
  <si>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</si>
  <si>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</si>
  <si>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</si>
  <si>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</si>
  <si>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</si>
  <si>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</si>
  <si>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</si>
  <si>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</si>
  <si>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</si>
  <si>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</si>
  <si>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</si>
  <si>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</si>
  <si>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</si>
  <si>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</si>
  <si>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</si>
  <si>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</si>
  <si>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</si>
  <si>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</si>
  <si>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</si>
  <si>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</si>
  <si>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</si>
  <si>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</si>
  <si>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</si>
  <si>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</si>
  <si>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</si>
  <si>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</si>
  <si>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</si>
  <si>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</si>
  <si>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</si>
  <si>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</si>
  <si>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</si>
  <si>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</si>
  <si>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</si>
  <si>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</si>
  <si>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</si>
  <si>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</si>
  <si>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</si>
  <si>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</si>
  <si>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</si>
  <si>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</si>
  <si>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</si>
  <si>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</si>
  <si>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</si>
  <si>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</si>
  <si>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</si>
  <si>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</si>
  <si>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</si>
  <si>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</si>
  <si>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</si>
  <si>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</si>
  <si>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</si>
  <si>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</si>
  <si>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</si>
  <si>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</si>
  <si>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</si>
  <si>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</si>
  <si>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</si>
  <si>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</si>
  <si>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</si>
  <si>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</si>
  <si>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</si>
  <si>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</si>
  <si>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</si>
  <si>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</si>
  <si>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</si>
  <si>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</si>
  <si>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</si>
  <si>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</si>
  <si>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</si>
  <si>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</si>
  <si>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</si>
  <si>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</si>
  <si>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</si>
  <si>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</si>
  <si>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</si>
  <si>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</si>
  <si>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</si>
  <si>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</si>
  <si>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</si>
  <si>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</si>
  <si>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</si>
  <si>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</si>
  <si>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</si>
  <si>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</si>
  <si>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</si>
  <si>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</si>
  <si>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</si>
  <si>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</si>
  <si>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</si>
  <si>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</si>
  <si>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</si>
  <si>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</si>
  <si>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</si>
  <si>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</si>
  <si>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</si>
  <si>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</si>
  <si>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</si>
  <si>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</si>
  <si>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</si>
  <si>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</si>
  <si>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</si>
  <si>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</si>
  <si>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</si>
  <si>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</si>
  <si>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</si>
  <si>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</si>
  <si>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</si>
  <si>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</si>
  <si>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</si>
  <si>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</si>
  <si>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</si>
  <si>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</si>
  <si>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</si>
  <si>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</si>
  <si>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</si>
  <si>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</si>
  <si>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</si>
  <si>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</si>
  <si>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</si>
  <si>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</si>
  <si>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</si>
  <si>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</si>
  <si>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</si>
  <si>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</si>
  <si>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</si>
  <si>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</si>
  <si>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</si>
  <si>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</si>
  <si>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</si>
  <si>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</si>
  <si>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</si>
  <si>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</si>
  <si>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</si>
  <si>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</si>
  <si>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</si>
  <si>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</si>
  <si>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</si>
  <si>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</si>
  <si>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</si>
  <si>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</si>
  <si>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</si>
  <si>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</si>
  <si>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</si>
  <si>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</si>
  <si>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</si>
  <si>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</si>
  <si>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</si>
  <si>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</si>
  <si>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</si>
  <si>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</si>
  <si>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</si>
  <si>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</si>
  <si>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</si>
  <si>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</si>
  <si>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</si>
  <si>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</si>
  <si>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</si>
  <si>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</si>
  <si>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</si>
  <si>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</si>
  <si>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</si>
  <si>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</si>
  <si>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</si>
  <si>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</si>
  <si>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</si>
  <si>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</si>
  <si>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</si>
  <si>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</si>
  <si>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</si>
  <si>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</si>
  <si>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</si>
  <si>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</si>
  <si>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</si>
  <si>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</si>
  <si>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</si>
  <si>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</si>
  <si>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</si>
  <si>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</si>
  <si>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</si>
  <si>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</si>
  <si>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</si>
  <si>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</si>
  <si>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</si>
  <si>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</si>
  <si>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</si>
  <si>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</si>
  <si>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</si>
  <si>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</si>
  <si>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</si>
  <si>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</si>
  <si>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</si>
  <si>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</si>
  <si>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</si>
  <si>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</si>
  <si>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</si>
  <si>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</si>
  <si>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</si>
  <si>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</si>
  <si>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</si>
  <si>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</si>
  <si>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</si>
  <si>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</si>
  <si>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</si>
  <si>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</si>
  <si>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</si>
  <si>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</si>
  <si>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</si>
  <si>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</si>
  <si>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</si>
  <si>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</si>
  <si>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</si>
  <si>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</si>
  <si>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</si>
  <si>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</si>
  <si>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</si>
  <si>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</si>
  <si>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</si>
  <si>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</si>
  <si>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</si>
  <si>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</si>
  <si>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</si>
  <si>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</si>
  <si>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</si>
  <si>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</si>
  <si>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</si>
  <si>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</si>
  <si>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</si>
  <si>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</si>
  <si>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</si>
  <si>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</si>
  <si>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</si>
  <si>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</si>
  <si>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</si>
  <si>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</si>
  <si>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</si>
  <si>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</si>
  <si>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</si>
  <si>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</si>
  <si>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</si>
  <si>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</si>
  <si>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</si>
  <si>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</si>
  <si>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</si>
  <si>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</si>
  <si>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</si>
  <si>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</si>
  <si>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</si>
  <si>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</si>
  <si>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</si>
  <si>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</si>
  <si>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</si>
  <si>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</si>
  <si>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</si>
  <si>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</si>
  <si>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</si>
  <si>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</si>
  <si>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</si>
  <si>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</si>
  <si>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</si>
  <si>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</si>
  <si>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</si>
  <si>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</si>
  <si>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</si>
  <si>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</si>
  <si>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</si>
  <si>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</si>
  <si>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</si>
  <si>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</si>
  <si>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</si>
  <si>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</si>
  <si>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</si>
  <si>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</si>
  <si>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</si>
  <si>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</si>
  <si>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</si>
  <si>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</si>
  <si>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</si>
  <si>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</si>
  <si>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</si>
  <si>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</si>
  <si>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</si>
  <si>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</si>
  <si>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</si>
  <si>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</si>
  <si>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</si>
  <si>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</si>
  <si>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</si>
  <si>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</si>
  <si>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</si>
  <si>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</si>
  <si>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</si>
  <si>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</si>
  <si>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</si>
  <si>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</si>
  <si>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</si>
  <si>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</si>
  <si>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</si>
  <si>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</si>
  <si>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</si>
  <si>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</si>
  <si>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</si>
  <si>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</si>
  <si>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</si>
  <si>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</si>
  <si>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</si>
  <si>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</si>
  <si>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</si>
  <si>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</si>
  <si>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</si>
  <si>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</si>
  <si>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</si>
  <si>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</si>
  <si>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</si>
  <si>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</si>
  <si>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</si>
  <si>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</si>
  <si>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</si>
  <si>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</si>
  <si>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</si>
  <si>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</si>
  <si>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</si>
  <si>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</si>
  <si>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</si>
  <si>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</si>
  <si>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</si>
  <si>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</si>
  <si>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</si>
  <si>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</si>
  <si>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</si>
  <si>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</si>
  <si>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</si>
  <si>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</si>
  <si>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</si>
  <si>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</si>
  <si>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</si>
  <si>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</si>
  <si>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</si>
  <si>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</si>
  <si>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</si>
  <si>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</si>
  <si>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</si>
  <si>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</si>
  <si>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</si>
  <si>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</si>
  <si>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</si>
  <si>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</si>
  <si>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</si>
  <si>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</si>
  <si>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</si>
  <si>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</si>
  <si>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</si>
  <si>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</si>
  <si>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</si>
  <si>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</si>
  <si>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</si>
  <si>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</si>
  <si>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</si>
  <si>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</si>
  <si>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</si>
  <si>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</si>
  <si>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</si>
  <si>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</si>
  <si>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</si>
  <si>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</si>
  <si>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</si>
  <si>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</si>
  <si>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</si>
  <si>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</si>
  <si>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</si>
  <si>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</si>
  <si>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</si>
  <si>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</si>
  <si>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</si>
  <si>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</si>
  <si>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</si>
  <si>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</si>
  <si>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</si>
  <si>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</si>
  <si>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</si>
  <si>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</si>
  <si>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</si>
  <si>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</si>
  <si>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</si>
  <si>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</si>
  <si>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</si>
  <si>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</si>
  <si>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</si>
  <si>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</si>
  <si>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</si>
  <si>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</si>
  <si>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</si>
  <si>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</si>
  <si>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</si>
  <si>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</si>
  <si>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</si>
  <si>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</si>
  <si>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</si>
  <si>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</si>
  <si>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</si>
  <si>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</si>
  <si>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</si>
  <si>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</si>
  <si>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</si>
  <si>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</si>
  <si>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</si>
  <si>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</si>
  <si>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</si>
  <si>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</si>
  <si>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</si>
  <si>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</si>
  <si>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</si>
  <si>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</si>
  <si>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</si>
  <si>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</si>
  <si>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</si>
  <si>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</si>
  <si>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</si>
  <si>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</si>
  <si>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</si>
  <si>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</si>
  <si>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</si>
  <si>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</si>
  <si>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</si>
  <si>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</si>
  <si>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</si>
  <si>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</si>
  <si>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</si>
  <si>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</si>
  <si>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</si>
  <si>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</si>
  <si>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</si>
  <si>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</si>
  <si>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</si>
  <si>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</si>
  <si>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</si>
  <si>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</si>
  <si>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</si>
  <si>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</si>
  <si>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</si>
  <si>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</si>
  <si>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</si>
  <si>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</si>
  <si>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</si>
  <si>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</si>
  <si>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</si>
  <si>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</si>
  <si>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</si>
  <si>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</si>
  <si>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</si>
  <si>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</si>
  <si>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</si>
  <si>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</si>
  <si>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</si>
  <si>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</si>
  <si>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</si>
  <si>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</si>
  <si>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</si>
  <si>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</si>
  <si>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</si>
  <si>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</si>
  <si>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</si>
  <si>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</si>
  <si>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</si>
  <si>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</si>
  <si>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</si>
  <si>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</si>
  <si>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</si>
  <si>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</si>
  <si>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</si>
  <si>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</si>
  <si>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</si>
  <si>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</si>
  <si>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</si>
  <si>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</si>
  <si>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</si>
  <si>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</si>
  <si>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</si>
  <si>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</si>
  <si>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</si>
  <si>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</si>
  <si>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</si>
  <si>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</si>
  <si>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</si>
  <si>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</si>
  <si>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</si>
  <si>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</si>
  <si>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</si>
  <si>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</si>
  <si>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</si>
  <si>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</si>
  <si>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</si>
  <si>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</si>
  <si>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</si>
  <si>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</si>
  <si>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</si>
  <si>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</si>
  <si>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</si>
  <si>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</si>
  <si>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</si>
  <si>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</si>
  <si>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</si>
  <si>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</si>
  <si>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</si>
  <si>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</si>
  <si>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</si>
  <si>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</si>
  <si>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</si>
  <si>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</si>
  <si>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</si>
  <si>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</si>
  <si>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</si>
  <si>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</si>
  <si>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</si>
  <si>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</si>
  <si>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</si>
  <si>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</si>
  <si>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</si>
  <si>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04 13-003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</si>
  <si>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</si>
  <si>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</si>
  <si>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</si>
  <si>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</si>
  <si>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</si>
  <si>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</si>
  <si>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</si>
  <si>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</si>
  <si>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</si>
  <si>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</si>
  <si>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</si>
  <si>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</si>
  <si>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</si>
  <si>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</si>
  <si>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</si>
  <si>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</si>
  <si>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</si>
  <si>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</si>
  <si>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</si>
  <si>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</si>
  <si>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</si>
  <si>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</si>
  <si>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</si>
  <si>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</si>
  <si>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Complemento FONID</t>
  </si>
  <si>
    <t>Complemento FONID HS</t>
  </si>
  <si>
    <t>"2022 - Las Malvinas son argentinas”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</si>
  <si>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</si>
  <si>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</si>
  <si>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</si>
  <si>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</si>
  <si>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</si>
  <si>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</si>
  <si>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</si>
  <si>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</si>
  <si>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</si>
  <si>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</si>
  <si>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</si>
  <si>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</si>
  <si>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</si>
  <si>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</si>
  <si>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</si>
  <si>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</si>
  <si>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</si>
  <si>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</si>
  <si>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</si>
  <si>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</si>
  <si>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</si>
  <si>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</si>
  <si>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</si>
  <si>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</si>
  <si>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</si>
  <si>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</si>
  <si>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</si>
  <si>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</si>
  <si>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</si>
  <si>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</si>
  <si>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</si>
  <si>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</si>
  <si>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</si>
  <si>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</si>
  <si>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</si>
  <si>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</si>
  <si>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</si>
  <si>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</si>
  <si>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</si>
  <si>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</si>
  <si>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</si>
  <si>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</si>
  <si>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</si>
  <si>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</si>
  <si>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</si>
  <si>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</si>
  <si>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</si>
  <si>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</si>
  <si>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</si>
  <si>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</si>
  <si>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</si>
  <si>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</si>
  <si>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</si>
  <si>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</si>
  <si>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</si>
  <si>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</si>
  <si>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</si>
  <si>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</si>
  <si>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</si>
  <si>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</si>
  <si>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</si>
  <si>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</si>
  <si>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</si>
  <si>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</si>
  <si>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</si>
  <si>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</si>
  <si>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</si>
  <si>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</si>
  <si>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</si>
  <si>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</si>
  <si>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</si>
  <si>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</si>
  <si>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</si>
  <si>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</si>
  <si>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</si>
  <si>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</si>
  <si>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</si>
  <si>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</si>
  <si>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</si>
  <si>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</si>
  <si>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</si>
  <si>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</si>
  <si>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</si>
  <si>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</si>
  <si>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</si>
  <si>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</si>
  <si>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</si>
  <si>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</si>
  <si>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</si>
  <si>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</si>
  <si>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</si>
  <si>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</si>
  <si>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</si>
  <si>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</si>
  <si>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</si>
  <si>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</si>
  <si>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</si>
  <si>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</si>
  <si>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</si>
  <si>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</si>
  <si>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</si>
  <si>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</si>
  <si>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</si>
  <si>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</si>
  <si>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</si>
  <si>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</si>
  <si>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</si>
  <si>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</si>
  <si>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</si>
  <si>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</si>
  <si>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</si>
  <si>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</si>
  <si>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</si>
  <si>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</si>
  <si>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</si>
  <si>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</si>
  <si>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</si>
  <si>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</si>
  <si>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</si>
  <si>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</si>
  <si>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</si>
  <si>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</si>
  <si>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</si>
  <si>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</si>
  <si>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</si>
  <si>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</si>
  <si>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</si>
  <si>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</si>
  <si>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</si>
  <si>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</si>
  <si>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</si>
  <si>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</si>
  <si>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</si>
  <si>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</si>
  <si>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</si>
  <si>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</si>
  <si>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</si>
  <si>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</si>
  <si>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</si>
  <si>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</si>
  <si>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</si>
  <si>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</si>
  <si>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</si>
  <si>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</si>
  <si>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</si>
  <si>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</si>
  <si>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</si>
  <si>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</si>
  <si>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</si>
  <si>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</si>
  <si>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</si>
  <si>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</si>
  <si>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</si>
  <si>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</si>
  <si>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</si>
  <si>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</si>
  <si>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</si>
  <si>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</si>
  <si>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Adic Rem Cgo 9 DIR 2da CTRO DEP</t>
  </si>
  <si>
    <t>Corr pauta FONID HS 930</t>
  </si>
  <si>
    <t>Corr pauta FONID HS 940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</si>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</sst>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6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5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7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9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30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49" fontId="0" fillId="0" borderId="0" xfId="0" applyNumberFormat="1" applyBorder="1"/>
    <xf numFmtId="175" fontId="32" fillId="0" borderId="0" xfId="23" applyNumberFormat="1" applyFont="1" applyBorder="1" applyAlignment="1">
      <alignment horizontal="right"/>
      <protection/>
    </xf>
    <xf numFmtId="167" fontId="32" fillId="0" borderId="0" xfId="23" applyNumberFormat="1" applyFont="1" applyBorder="1">
      <alignment/>
      <protection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3" fillId="0" borderId="0" xfId="23" applyNumberFormat="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17" fontId="25" fillId="0" borderId="0" xfId="23" applyNumberFormat="1" applyFont="1" applyBorder="1" applyAlignment="1" quotePrefix="1">
      <alignment horizontal="left" vertical="center" wrapText="1"/>
      <protection/>
    </xf>
    <xf numFmtId="0" fontId="25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228600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workbookViewId="0" topLeftCell="A1">
      <pane ySplit="1" topLeftCell="A78" activePane="bottomLeft" state="frozen"/>
      <selection pane="bottomLeft" activeCell="C96" sqref="C96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2">
        <v>21.4188</v>
      </c>
      <c r="G2" s="82"/>
      <c r="I2" s="81">
        <v>0</v>
      </c>
      <c r="J2" s="83">
        <v>0</v>
      </c>
      <c r="L2" s="136">
        <v>1</v>
      </c>
      <c r="N2" s="214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4">
        <v>0.2</v>
      </c>
    </row>
    <row r="4" spans="1:14" s="81" customFormat="1" ht="12.75">
      <c r="A4" s="80" t="s">
        <v>4</v>
      </c>
      <c r="B4" s="80" t="s">
        <v>673</v>
      </c>
      <c r="C4" s="6">
        <v>0.15</v>
      </c>
      <c r="H4" s="84"/>
      <c r="I4" s="81">
        <v>2</v>
      </c>
      <c r="J4" s="83">
        <v>0.15</v>
      </c>
      <c r="L4" s="137">
        <v>3</v>
      </c>
      <c r="N4" s="214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ROUND(('Escala Docente'!F142*C5),2)</f>
        <v>10949.29</v>
      </c>
      <c r="E5" s="95">
        <f>ROUND(D5/15,2)</f>
        <v>729.95</v>
      </c>
      <c r="F5" s="84"/>
      <c r="G5" s="84"/>
      <c r="I5" s="81">
        <v>3</v>
      </c>
      <c r="J5" s="83">
        <v>0.15</v>
      </c>
      <c r="L5" s="137">
        <v>4</v>
      </c>
      <c r="N5" s="214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4">
        <v>0.8</v>
      </c>
    </row>
    <row r="7" spans="1:14" s="81" customFormat="1" ht="12.75">
      <c r="A7" s="162" t="s">
        <v>4</v>
      </c>
      <c r="B7" s="163" t="s">
        <v>9</v>
      </c>
      <c r="C7" s="175">
        <v>726.37</v>
      </c>
      <c r="D7" s="95"/>
      <c r="E7" s="83"/>
      <c r="I7" s="81">
        <v>5</v>
      </c>
      <c r="J7" s="83">
        <v>0.3</v>
      </c>
      <c r="L7" s="136">
        <v>6</v>
      </c>
      <c r="N7" s="214">
        <v>1</v>
      </c>
    </row>
    <row r="8" spans="1:14" s="81" customFormat="1" ht="12.75">
      <c r="A8" s="162" t="s">
        <v>4</v>
      </c>
      <c r="B8" s="164" t="s">
        <v>10</v>
      </c>
      <c r="C8" s="175">
        <v>23890.21</v>
      </c>
      <c r="D8" s="95"/>
      <c r="E8" s="83"/>
      <c r="F8" s="89"/>
      <c r="I8" s="81">
        <v>6</v>
      </c>
      <c r="J8" s="83">
        <v>0.3</v>
      </c>
      <c r="L8" s="137">
        <v>7</v>
      </c>
      <c r="N8" s="214">
        <v>1.5</v>
      </c>
    </row>
    <row r="9" spans="1:12" s="81" customFormat="1" ht="12.75">
      <c r="A9" s="162" t="s">
        <v>4</v>
      </c>
      <c r="B9" s="164" t="s">
        <v>11</v>
      </c>
      <c r="C9" s="101">
        <v>23959.59</v>
      </c>
      <c r="D9" s="95"/>
      <c r="E9" s="83"/>
      <c r="F9" s="89"/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4</v>
      </c>
      <c r="B10" s="164" t="s">
        <v>622</v>
      </c>
      <c r="C10" s="101">
        <v>20598.54</v>
      </c>
      <c r="D10" s="95"/>
      <c r="E10" s="83"/>
      <c r="F10" s="89"/>
      <c r="I10" s="81">
        <v>8</v>
      </c>
      <c r="J10" s="83">
        <v>0.4</v>
      </c>
      <c r="L10" s="137">
        <v>9</v>
      </c>
    </row>
    <row r="11" spans="1:10" s="81" customFormat="1" ht="12.75">
      <c r="A11" s="162"/>
      <c r="B11" s="164" t="s">
        <v>819</v>
      </c>
      <c r="C11" s="101">
        <v>19098.54</v>
      </c>
      <c r="D11" s="95"/>
      <c r="E11" s="83"/>
      <c r="F11" s="89"/>
      <c r="I11" s="81">
        <v>9</v>
      </c>
      <c r="J11" s="83">
        <v>0.4</v>
      </c>
    </row>
    <row r="12" spans="1:10" s="81" customFormat="1" ht="12.75">
      <c r="A12" s="162" t="s">
        <v>4</v>
      </c>
      <c r="B12" s="163" t="s">
        <v>12</v>
      </c>
      <c r="C12" s="101">
        <v>44887.29</v>
      </c>
      <c r="D12" s="95"/>
      <c r="E12" s="83"/>
      <c r="F12" s="89"/>
      <c r="G12" s="84"/>
      <c r="I12" s="81">
        <v>10</v>
      </c>
      <c r="J12" s="83">
        <v>0.5</v>
      </c>
    </row>
    <row r="13" spans="1:10" s="81" customFormat="1" ht="12.75">
      <c r="A13" s="162" t="s">
        <v>4</v>
      </c>
      <c r="B13" s="164" t="s">
        <v>13</v>
      </c>
      <c r="C13" s="101">
        <v>19619.08</v>
      </c>
      <c r="D13" s="95"/>
      <c r="E13" s="83"/>
      <c r="F13" s="90"/>
      <c r="G13" s="84"/>
      <c r="I13" s="81">
        <v>11</v>
      </c>
      <c r="J13" s="83">
        <v>0.5</v>
      </c>
    </row>
    <row r="14" spans="1:10" s="81" customFormat="1" ht="12.75">
      <c r="A14" s="162" t="s">
        <v>4</v>
      </c>
      <c r="B14" s="164" t="s">
        <v>14</v>
      </c>
      <c r="C14" s="175">
        <v>20008.63</v>
      </c>
      <c r="D14" s="95"/>
      <c r="E14" s="83"/>
      <c r="F14" s="90"/>
      <c r="G14" s="84"/>
      <c r="I14" s="81">
        <v>12</v>
      </c>
      <c r="J14" s="83">
        <v>0.6</v>
      </c>
    </row>
    <row r="15" spans="1:10" s="81" customFormat="1" ht="12.75">
      <c r="A15" s="162" t="s">
        <v>4</v>
      </c>
      <c r="B15" s="164" t="s">
        <v>609</v>
      </c>
      <c r="C15" s="101">
        <v>27992.85</v>
      </c>
      <c r="D15" s="95"/>
      <c r="E15" s="83"/>
      <c r="F15" s="90"/>
      <c r="G15" s="84"/>
      <c r="I15" s="81">
        <v>13</v>
      </c>
      <c r="J15" s="83">
        <v>0.6</v>
      </c>
    </row>
    <row r="16" spans="1:10" s="81" customFormat="1" ht="12.75">
      <c r="A16" s="162"/>
      <c r="B16" s="164" t="s">
        <v>820</v>
      </c>
      <c r="C16" s="101">
        <v>18508.63</v>
      </c>
      <c r="D16" s="95"/>
      <c r="E16" s="83"/>
      <c r="F16" s="90"/>
      <c r="G16" s="84"/>
      <c r="I16" s="81">
        <v>14</v>
      </c>
      <c r="J16" s="83">
        <v>0.6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176" t="s">
        <v>650</v>
      </c>
      <c r="M17" s="81" t="s">
        <v>638</v>
      </c>
    </row>
    <row r="18" spans="1:13" s="81" customFormat="1" ht="12.75">
      <c r="A18" s="162" t="s">
        <v>4</v>
      </c>
      <c r="B18" s="163" t="s">
        <v>15</v>
      </c>
      <c r="C18" s="101">
        <v>228.46</v>
      </c>
      <c r="D18" s="95"/>
      <c r="E18" s="167"/>
      <c r="F18" s="84"/>
      <c r="G18" s="84"/>
      <c r="H18" s="84"/>
      <c r="I18" s="81">
        <v>16</v>
      </c>
      <c r="J18" s="83">
        <v>0.7</v>
      </c>
      <c r="L18" s="176" t="s">
        <v>651</v>
      </c>
      <c r="M18" s="81" t="s">
        <v>639</v>
      </c>
    </row>
    <row r="19" spans="1:13" s="81" customFormat="1" ht="12.75">
      <c r="A19" s="162" t="s">
        <v>4</v>
      </c>
      <c r="B19" s="163" t="s">
        <v>631</v>
      </c>
      <c r="C19" s="101">
        <v>10188.49</v>
      </c>
      <c r="D19" s="95"/>
      <c r="E19" s="167"/>
      <c r="F19" s="84"/>
      <c r="G19" s="84"/>
      <c r="I19" s="81">
        <v>17</v>
      </c>
      <c r="J19" s="83">
        <v>0.8</v>
      </c>
      <c r="L19" s="176" t="s">
        <v>652</v>
      </c>
      <c r="M19" s="81" t="s">
        <v>640</v>
      </c>
    </row>
    <row r="20" spans="1:13" s="81" customFormat="1" ht="12.75">
      <c r="A20" s="162" t="s">
        <v>4</v>
      </c>
      <c r="B20" s="163" t="s">
        <v>632</v>
      </c>
      <c r="C20" s="101">
        <v>10084.32</v>
      </c>
      <c r="D20" s="95"/>
      <c r="E20" s="167"/>
      <c r="F20" s="84"/>
      <c r="G20" s="84"/>
      <c r="H20" s="84"/>
      <c r="I20" s="81">
        <v>18</v>
      </c>
      <c r="J20" s="83">
        <v>0.8</v>
      </c>
      <c r="L20" s="176" t="s">
        <v>653</v>
      </c>
      <c r="M20" s="81" t="s">
        <v>641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176" t="s">
        <v>654</v>
      </c>
      <c r="M21" s="81" t="s">
        <v>642</v>
      </c>
    </row>
    <row r="22" spans="1:13" s="81" customFormat="1" ht="12.75">
      <c r="A22" s="80" t="s">
        <v>4</v>
      </c>
      <c r="B22" s="86" t="s">
        <v>633</v>
      </c>
      <c r="C22" s="101">
        <v>9768.51</v>
      </c>
      <c r="D22" s="166"/>
      <c r="H22" s="84"/>
      <c r="I22" s="81">
        <v>20</v>
      </c>
      <c r="J22" s="83">
        <v>1</v>
      </c>
      <c r="L22" s="176" t="s">
        <v>655</v>
      </c>
      <c r="M22" s="81" t="s">
        <v>643</v>
      </c>
    </row>
    <row r="23" spans="1:13" s="81" customFormat="1" ht="12.75">
      <c r="A23" s="80" t="s">
        <v>4</v>
      </c>
      <c r="B23" s="86" t="s">
        <v>630</v>
      </c>
      <c r="C23" s="101">
        <v>9091.88</v>
      </c>
      <c r="D23" s="166"/>
      <c r="H23" s="84"/>
      <c r="I23" s="81">
        <v>21</v>
      </c>
      <c r="J23" s="83">
        <v>1</v>
      </c>
      <c r="L23" s="176" t="s">
        <v>656</v>
      </c>
      <c r="M23" s="81" t="s">
        <v>644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176" t="s">
        <v>657</v>
      </c>
      <c r="M24" s="81" t="s">
        <v>645</v>
      </c>
    </row>
    <row r="25" spans="1:13" s="81" customFormat="1" ht="12.75">
      <c r="A25" s="80" t="s">
        <v>4</v>
      </c>
      <c r="B25" s="86" t="s">
        <v>16</v>
      </c>
      <c r="C25" s="101">
        <v>447.83</v>
      </c>
      <c r="D25" s="95"/>
      <c r="F25" s="87">
        <f>+C25*1.5</f>
        <v>671.745</v>
      </c>
      <c r="H25" s="84"/>
      <c r="I25" s="81">
        <v>23</v>
      </c>
      <c r="J25" s="83">
        <v>1.1</v>
      </c>
      <c r="L25" s="176" t="s">
        <v>658</v>
      </c>
      <c r="M25" s="81" t="s">
        <v>646</v>
      </c>
    </row>
    <row r="26" spans="1:13" s="81" customFormat="1" ht="12.75">
      <c r="A26" s="80" t="s">
        <v>4</v>
      </c>
      <c r="B26" s="86" t="s">
        <v>17</v>
      </c>
      <c r="C26" s="101">
        <f>C25</f>
        <v>447.83</v>
      </c>
      <c r="D26" s="95"/>
      <c r="F26" s="87">
        <f>C26</f>
        <v>447.83</v>
      </c>
      <c r="H26" s="84"/>
      <c r="I26" s="81">
        <v>24</v>
      </c>
      <c r="J26" s="83">
        <v>1.2</v>
      </c>
      <c r="L26" s="176">
        <v>10</v>
      </c>
      <c r="M26" s="81" t="s">
        <v>647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176">
        <v>11</v>
      </c>
      <c r="M27" s="81" t="s">
        <v>648</v>
      </c>
    </row>
    <row r="28" spans="1:13" s="81" customFormat="1" ht="12.75">
      <c r="A28" s="80" t="s">
        <v>4</v>
      </c>
      <c r="B28" s="81" t="s">
        <v>18</v>
      </c>
      <c r="C28" s="101">
        <v>17.94</v>
      </c>
      <c r="F28" s="87">
        <f>F25</f>
        <v>671.745</v>
      </c>
      <c r="I28" s="81">
        <v>26</v>
      </c>
      <c r="J28" s="83">
        <v>1.3</v>
      </c>
      <c r="L28" s="176">
        <v>12</v>
      </c>
      <c r="M28" s="81" t="s">
        <v>649</v>
      </c>
    </row>
    <row r="29" spans="1:10" s="81" customFormat="1" ht="13.5" thickBot="1">
      <c r="A29" s="91" t="s">
        <v>4</v>
      </c>
      <c r="B29" s="92" t="s">
        <v>19</v>
      </c>
      <c r="C29" s="101">
        <v>14.94</v>
      </c>
      <c r="D29" s="92"/>
      <c r="E29" s="92"/>
      <c r="F29" s="93">
        <f>F26</f>
        <v>447.83</v>
      </c>
      <c r="G29" s="92">
        <f>C29*30</f>
        <v>448.2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4</v>
      </c>
      <c r="B31" s="96" t="s">
        <v>20</v>
      </c>
      <c r="C31" s="101">
        <v>4980.08</v>
      </c>
      <c r="D31" s="97">
        <f>C31/C32</f>
        <v>14.999789162977018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4</v>
      </c>
      <c r="B32" s="96" t="s">
        <v>21</v>
      </c>
      <c r="C32" s="101">
        <v>332.01</v>
      </c>
      <c r="D32" s="98"/>
      <c r="E32" s="97"/>
      <c r="F32" s="97">
        <f>(C31*2)+0</f>
        <v>9960.16</v>
      </c>
      <c r="G32" s="97"/>
      <c r="I32" s="81">
        <v>30</v>
      </c>
      <c r="J32" s="83">
        <v>1.5</v>
      </c>
    </row>
    <row r="33" spans="1:10" s="81" customFormat="1" ht="12.75">
      <c r="A33" s="96"/>
      <c r="B33" s="96" t="s">
        <v>821</v>
      </c>
      <c r="C33" s="101">
        <v>273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/>
      <c r="B34" s="96" t="s">
        <v>822</v>
      </c>
      <c r="C34" s="101">
        <f>C33/2</f>
        <v>136.5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/>
      <c r="B35" s="96" t="s">
        <v>659</v>
      </c>
      <c r="C35" s="101">
        <v>5000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/>
      <c r="B36" s="96" t="s">
        <v>660</v>
      </c>
      <c r="C36" s="101">
        <v>333.33</v>
      </c>
      <c r="D36" s="98"/>
      <c r="E36" s="97"/>
      <c r="F36" s="97">
        <f>(C35*2)+0</f>
        <v>10000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/>
      <c r="B38" t="s">
        <v>22</v>
      </c>
      <c r="C38" s="77">
        <v>0</v>
      </c>
      <c r="D38" s="5"/>
      <c r="E38" s="5"/>
      <c r="F38" s="182">
        <f>(C37*2)+0</f>
        <v>0</v>
      </c>
      <c r="G38" s="5"/>
      <c r="H38" s="5"/>
      <c r="I38">
        <v>36</v>
      </c>
      <c r="J38" s="3">
        <v>1.5</v>
      </c>
    </row>
    <row r="39" spans="1:10" ht="12.75">
      <c r="A39" s="74"/>
      <c r="B39" s="74" t="s">
        <v>670</v>
      </c>
      <c r="C39" s="77">
        <f>C38</f>
        <v>0</v>
      </c>
      <c r="D39" s="5"/>
      <c r="E39" s="5"/>
      <c r="F39" s="181"/>
      <c r="G39" s="5"/>
      <c r="H39" s="5"/>
      <c r="I39">
        <v>39</v>
      </c>
      <c r="J39" s="3">
        <v>1.5</v>
      </c>
    </row>
    <row r="40" spans="1:10" ht="12.75">
      <c r="A40" s="75" t="s">
        <v>607</v>
      </c>
      <c r="B40" s="75"/>
      <c r="C40" s="78"/>
      <c r="D40" s="75"/>
      <c r="E40" s="75"/>
      <c r="F40" s="75"/>
      <c r="G40" s="75"/>
      <c r="H40" s="5"/>
      <c r="I40">
        <v>40</v>
      </c>
      <c r="J40" s="3">
        <v>1.5</v>
      </c>
    </row>
    <row r="41" spans="1:10" ht="12.75">
      <c r="A41" s="74" t="s">
        <v>4</v>
      </c>
      <c r="B41" s="2" t="s">
        <v>637</v>
      </c>
      <c r="C41" s="100">
        <v>2772.49</v>
      </c>
      <c r="D41" s="6"/>
      <c r="E41" s="165"/>
      <c r="F41" s="5"/>
      <c r="G41" s="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636</v>
      </c>
      <c r="C42" s="101">
        <v>3200.97</v>
      </c>
      <c r="D42" s="6"/>
      <c r="E42" s="165"/>
      <c r="F42" s="5"/>
      <c r="G42" s="5"/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635</v>
      </c>
      <c r="C43" s="101">
        <v>3629.53</v>
      </c>
      <c r="D43" s="6"/>
      <c r="E43" s="165"/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634</v>
      </c>
      <c r="C44" s="101">
        <v>5343.37</v>
      </c>
      <c r="D44" s="6"/>
      <c r="E44" s="165"/>
      <c r="F44" s="8">
        <f>+C44</f>
        <v>5343.37</v>
      </c>
      <c r="G44" s="8"/>
      <c r="I44">
        <v>44</v>
      </c>
      <c r="J44" s="3">
        <v>1.5</v>
      </c>
    </row>
    <row r="45" spans="1:10" ht="12.75">
      <c r="A45" s="74" t="s">
        <v>4</v>
      </c>
      <c r="B45" s="2" t="s">
        <v>23</v>
      </c>
      <c r="C45" s="101">
        <v>152.92</v>
      </c>
      <c r="D45" s="6"/>
      <c r="E45" s="165"/>
      <c r="I45">
        <v>45</v>
      </c>
      <c r="J45" s="3">
        <v>1.5</v>
      </c>
    </row>
    <row r="46" spans="1:10" ht="12.75">
      <c r="A46" s="74" t="s">
        <v>4</v>
      </c>
      <c r="B46" s="2" t="s">
        <v>24</v>
      </c>
      <c r="C46" s="101">
        <v>356.24</v>
      </c>
      <c r="D46" s="6"/>
      <c r="E46" s="165"/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664</v>
      </c>
      <c r="C47" s="101">
        <f>C46/2</f>
        <v>178.12</v>
      </c>
      <c r="D47" s="6"/>
      <c r="E47" s="165"/>
      <c r="I47">
        <v>47</v>
      </c>
      <c r="J47" s="3">
        <v>1.5</v>
      </c>
    </row>
    <row r="48" spans="1:10" ht="12.75">
      <c r="A48" s="75" t="s">
        <v>607</v>
      </c>
      <c r="B48" s="75"/>
      <c r="C48" s="78"/>
      <c r="D48" s="75"/>
      <c r="E48" s="75"/>
      <c r="F48" s="75"/>
      <c r="G48" s="75"/>
      <c r="I48">
        <v>48</v>
      </c>
      <c r="J48" s="3">
        <v>1.5</v>
      </c>
    </row>
    <row r="49" spans="1:10" ht="12.75">
      <c r="A49" s="74"/>
      <c r="B49" s="74" t="s">
        <v>25</v>
      </c>
      <c r="C49" s="94">
        <f>INT((D49/15*100)+0.49)/100</f>
        <v>80.67</v>
      </c>
      <c r="D49" s="74">
        <f>D50</f>
        <v>1210</v>
      </c>
      <c r="E49" s="74"/>
      <c r="F49" s="74">
        <v>1210</v>
      </c>
      <c r="G49" s="74"/>
      <c r="I49">
        <v>49</v>
      </c>
      <c r="J49" s="3">
        <v>1.5</v>
      </c>
    </row>
    <row r="50" spans="1:12" ht="12.75">
      <c r="A50" s="74"/>
      <c r="B50" s="74" t="s">
        <v>26</v>
      </c>
      <c r="C50" s="94">
        <v>1210</v>
      </c>
      <c r="D50" s="74">
        <v>1210</v>
      </c>
      <c r="E50" s="74"/>
      <c r="F50" s="74"/>
      <c r="G50" s="74"/>
      <c r="I50">
        <v>50</v>
      </c>
      <c r="J50" s="3">
        <v>1.5</v>
      </c>
      <c r="L50">
        <f>267.87+5.37</f>
        <v>273.24</v>
      </c>
    </row>
    <row r="51" spans="1:10" ht="12.75">
      <c r="A51" s="74"/>
      <c r="B51" s="2" t="s">
        <v>27</v>
      </c>
      <c r="C51" s="100">
        <v>327.6</v>
      </c>
      <c r="I51">
        <v>51</v>
      </c>
      <c r="J51" s="3">
        <v>1.5</v>
      </c>
    </row>
    <row r="52" spans="1:10" ht="12" customHeight="1">
      <c r="A52" s="74"/>
      <c r="B52" s="2" t="s">
        <v>28</v>
      </c>
      <c r="C52" s="100">
        <v>170.34</v>
      </c>
      <c r="I52">
        <v>52</v>
      </c>
      <c r="J52" s="3">
        <v>1.5</v>
      </c>
    </row>
    <row r="53" spans="1:10" ht="12.75">
      <c r="A53" s="74"/>
      <c r="B53" s="2" t="s">
        <v>29</v>
      </c>
      <c r="C53" s="101">
        <v>327.6</v>
      </c>
      <c r="I53">
        <v>53</v>
      </c>
      <c r="J53" s="3">
        <v>1.5</v>
      </c>
    </row>
    <row r="54" spans="1:3" ht="12.75">
      <c r="A54" s="74"/>
      <c r="B54" s="2" t="s">
        <v>30</v>
      </c>
      <c r="C54" s="101">
        <v>155.18</v>
      </c>
    </row>
    <row r="55" spans="1:3" ht="12.75">
      <c r="A55" s="74"/>
      <c r="B55" s="2" t="s">
        <v>31</v>
      </c>
      <c r="C55" s="101">
        <v>149.55200000000002</v>
      </c>
    </row>
    <row r="56" spans="1:3" ht="12.75">
      <c r="A56" s="74"/>
      <c r="B56" s="2" t="s">
        <v>32</v>
      </c>
      <c r="C56" s="101">
        <v>252.668</v>
      </c>
    </row>
    <row r="57" spans="1:6" ht="12.75">
      <c r="A57" s="74"/>
      <c r="B57" s="2" t="s">
        <v>33</v>
      </c>
      <c r="C57" s="101">
        <v>14.195</v>
      </c>
      <c r="E57" s="73">
        <f>F57/C57</f>
        <v>23.078548784783376</v>
      </c>
      <c r="F57" s="5">
        <f>C51</f>
        <v>327.6</v>
      </c>
    </row>
    <row r="58" spans="1:9" ht="12.75">
      <c r="A58" s="74"/>
      <c r="B58" s="2" t="s">
        <v>34</v>
      </c>
      <c r="C58" s="99">
        <v>11.3559</v>
      </c>
      <c r="E58" s="73">
        <f>F58/C58</f>
        <v>28.848440017964233</v>
      </c>
      <c r="F58" s="5">
        <f>C51</f>
        <v>327.6</v>
      </c>
      <c r="I58" s="174">
        <f>+C59/15</f>
        <v>211.41133333333335</v>
      </c>
    </row>
    <row r="59" spans="1:9" ht="12.75">
      <c r="A59" s="74" t="s">
        <v>4</v>
      </c>
      <c r="B59" s="2" t="s">
        <v>623</v>
      </c>
      <c r="C59" s="100">
        <v>3171.17</v>
      </c>
      <c r="D59" s="3">
        <f>ROUND(C59/15,2)</f>
        <v>211.41</v>
      </c>
      <c r="E59" s="79">
        <v>38.47</v>
      </c>
      <c r="F59" s="3">
        <f>+C59*2</f>
        <v>6342.34</v>
      </c>
      <c r="I59" s="3"/>
    </row>
    <row r="60" spans="1:9" ht="12.75">
      <c r="A60" s="74" t="s">
        <v>4</v>
      </c>
      <c r="B60" s="2" t="s">
        <v>35</v>
      </c>
      <c r="C60" s="100">
        <v>338.16</v>
      </c>
      <c r="D60" s="172"/>
      <c r="F60" s="3"/>
      <c r="I60" s="3"/>
    </row>
    <row r="61" spans="1:9" ht="12.75">
      <c r="A61" s="74" t="s">
        <v>4</v>
      </c>
      <c r="B61" s="2" t="s">
        <v>665</v>
      </c>
      <c r="C61" s="100">
        <f>C60/2</f>
        <v>169.08</v>
      </c>
      <c r="D61" s="172"/>
      <c r="F61" s="3"/>
      <c r="I61" s="3"/>
    </row>
    <row r="62" spans="1:7" ht="12.75">
      <c r="A62" s="75" t="s">
        <v>607</v>
      </c>
      <c r="B62" s="75"/>
      <c r="C62" s="76"/>
      <c r="D62" s="75"/>
      <c r="E62" s="75"/>
      <c r="F62" s="75"/>
      <c r="G62" s="75"/>
    </row>
    <row r="63" spans="1:7" ht="12.75">
      <c r="A63" s="104" t="s">
        <v>8</v>
      </c>
      <c r="B63" t="s">
        <v>610</v>
      </c>
      <c r="C63" s="103">
        <v>1210</v>
      </c>
      <c r="D63" s="102"/>
      <c r="E63" s="102"/>
      <c r="F63">
        <v>2420</v>
      </c>
      <c r="G63" s="213"/>
    </row>
    <row r="64" spans="1:7" ht="12.75">
      <c r="A64" s="75" t="s">
        <v>607</v>
      </c>
      <c r="B64" s="75"/>
      <c r="C64" s="76"/>
      <c r="D64" s="75"/>
      <c r="E64" s="75"/>
      <c r="F64" s="75"/>
      <c r="G64" s="75"/>
    </row>
    <row r="65" spans="1:7" ht="12.75">
      <c r="A65" s="74"/>
      <c r="B65" s="2" t="s">
        <v>36</v>
      </c>
      <c r="C65" s="9">
        <v>0</v>
      </c>
      <c r="D65" s="10"/>
      <c r="G65" s="213"/>
    </row>
    <row r="66" spans="1:7" ht="12.75">
      <c r="A66" s="75" t="s">
        <v>607</v>
      </c>
      <c r="B66" s="75"/>
      <c r="C66" s="76"/>
      <c r="D66" s="75"/>
      <c r="E66" s="75"/>
      <c r="F66" s="75"/>
      <c r="G66" s="75"/>
    </row>
    <row r="67" spans="1:3" ht="12.75">
      <c r="A67" s="74"/>
      <c r="B67" t="s">
        <v>37</v>
      </c>
      <c r="C67" s="11">
        <v>-0.11</v>
      </c>
    </row>
    <row r="68" spans="1:3" ht="12.75">
      <c r="A68" s="74"/>
      <c r="B68" t="s">
        <v>38</v>
      </c>
      <c r="C68" s="11">
        <v>0</v>
      </c>
    </row>
    <row r="69" spans="1:3" ht="12.75">
      <c r="A69" s="74"/>
      <c r="B69" t="s">
        <v>39</v>
      </c>
      <c r="C69" s="11">
        <v>-0.045</v>
      </c>
    </row>
    <row r="70" spans="1:3" ht="12.75">
      <c r="A70" s="74"/>
      <c r="B70" t="s">
        <v>40</v>
      </c>
      <c r="C70" s="11">
        <v>-0.027</v>
      </c>
    </row>
    <row r="71" spans="1:7" ht="12.75">
      <c r="A71" s="74"/>
      <c r="B71" t="s">
        <v>41</v>
      </c>
      <c r="C71" s="11">
        <v>-0.003</v>
      </c>
      <c r="G71" s="213"/>
    </row>
    <row r="72" spans="1:7" ht="12.75">
      <c r="A72" s="75" t="s">
        <v>607</v>
      </c>
      <c r="B72" s="75"/>
      <c r="C72" s="76"/>
      <c r="D72" s="75"/>
      <c r="E72" s="75"/>
      <c r="F72" s="75"/>
      <c r="G72" s="75"/>
    </row>
    <row r="73" spans="1:3" ht="12.75">
      <c r="A73" s="74"/>
      <c r="B73" t="s">
        <v>42</v>
      </c>
      <c r="C73" s="11">
        <v>0.16</v>
      </c>
    </row>
    <row r="74" spans="1:3" ht="12.75">
      <c r="A74" s="74"/>
      <c r="B74" t="s">
        <v>43</v>
      </c>
      <c r="C74" s="11">
        <v>0.07</v>
      </c>
    </row>
    <row r="75" spans="1:7" ht="12.75">
      <c r="A75" s="74"/>
      <c r="B75" t="s">
        <v>44</v>
      </c>
      <c r="C75" s="11">
        <v>0.01</v>
      </c>
      <c r="G75" s="213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/>
      <c r="B77" t="s">
        <v>45</v>
      </c>
      <c r="C77" s="11">
        <v>0.035</v>
      </c>
    </row>
    <row r="78" spans="1:3" ht="12.75">
      <c r="A78" s="74"/>
      <c r="B78" t="s">
        <v>46</v>
      </c>
      <c r="C78" s="11">
        <v>0.006</v>
      </c>
    </row>
    <row r="79" spans="1:7" ht="12.75">
      <c r="A79" s="74"/>
      <c r="B79" t="s">
        <v>47</v>
      </c>
      <c r="C79" s="11">
        <v>0.054</v>
      </c>
      <c r="G79" s="213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7" ht="12.75">
      <c r="A81" s="74"/>
      <c r="B81" t="s">
        <v>48</v>
      </c>
      <c r="C81" s="4">
        <v>0.5</v>
      </c>
      <c r="G81" s="213"/>
    </row>
    <row r="82" spans="1:7" ht="12.75">
      <c r="A82" s="75" t="s">
        <v>607</v>
      </c>
      <c r="B82" s="75"/>
      <c r="C82" s="76"/>
      <c r="D82" s="75"/>
      <c r="E82" s="75"/>
      <c r="F82" s="75"/>
      <c r="G82" s="75"/>
    </row>
    <row r="83" spans="1:5" ht="12.75">
      <c r="A83" s="74" t="s">
        <v>4</v>
      </c>
      <c r="B83" s="74" t="s">
        <v>624</v>
      </c>
      <c r="C83" s="8">
        <v>2275</v>
      </c>
      <c r="E83" s="8"/>
    </row>
    <row r="84" spans="1:5" ht="12.75">
      <c r="A84" s="74" t="s">
        <v>4</v>
      </c>
      <c r="B84" s="74" t="s">
        <v>625</v>
      </c>
      <c r="C84" s="8">
        <v>2730</v>
      </c>
      <c r="E84" s="8"/>
    </row>
    <row r="85" spans="1:6" ht="12.75">
      <c r="A85" s="74" t="s">
        <v>4</v>
      </c>
      <c r="B85" s="74" t="s">
        <v>626</v>
      </c>
      <c r="C85" s="100">
        <v>4550</v>
      </c>
      <c r="E85" s="8"/>
      <c r="F85" s="8">
        <f>+C85</f>
        <v>4550</v>
      </c>
    </row>
    <row r="86" spans="1:5" ht="12.75">
      <c r="A86" s="74" t="s">
        <v>4</v>
      </c>
      <c r="B86" s="74" t="s">
        <v>627</v>
      </c>
      <c r="C86" s="8">
        <v>113.74999999999999</v>
      </c>
      <c r="E86" s="8"/>
    </row>
    <row r="87" spans="1:5" ht="12.75">
      <c r="A87" s="74" t="s">
        <v>4</v>
      </c>
      <c r="B87" s="74" t="s">
        <v>666</v>
      </c>
      <c r="C87" s="8">
        <v>227.49999999999997</v>
      </c>
      <c r="E87" s="8"/>
    </row>
    <row r="88" spans="1:5" ht="12.75">
      <c r="A88" s="74" t="s">
        <v>4</v>
      </c>
      <c r="B88" s="74" t="s">
        <v>668</v>
      </c>
      <c r="C88" s="8">
        <f>C87/2</f>
        <v>113.74999999999999</v>
      </c>
      <c r="E88" s="8"/>
    </row>
    <row r="89" spans="1:5" ht="12.75">
      <c r="A89" s="74"/>
      <c r="B89" s="74"/>
      <c r="C89" s="8"/>
      <c r="E89" s="8"/>
    </row>
    <row r="90" spans="1:3" ht="12.75">
      <c r="A90" s="74" t="s">
        <v>4</v>
      </c>
      <c r="B90" s="74" t="s">
        <v>611</v>
      </c>
      <c r="C90" s="3">
        <v>4899.43</v>
      </c>
    </row>
    <row r="91" spans="1:7" ht="12.75">
      <c r="A91" s="74" t="s">
        <v>4</v>
      </c>
      <c r="B91" s="74" t="s">
        <v>612</v>
      </c>
      <c r="C91" s="3">
        <v>5879.31</v>
      </c>
      <c r="G91" s="3"/>
    </row>
    <row r="92" spans="1:6" ht="12.75">
      <c r="A92" s="74" t="s">
        <v>4</v>
      </c>
      <c r="B92" s="74" t="s">
        <v>613</v>
      </c>
      <c r="C92" s="3">
        <v>9798.86</v>
      </c>
      <c r="F92" s="3">
        <f>+C92</f>
        <v>9798.86</v>
      </c>
    </row>
    <row r="93" spans="1:3" ht="12.75">
      <c r="A93" s="74" t="s">
        <v>4</v>
      </c>
      <c r="B93" s="74" t="s">
        <v>614</v>
      </c>
      <c r="C93" s="3">
        <v>251.57</v>
      </c>
    </row>
    <row r="94" spans="1:3" ht="12.75">
      <c r="A94" s="74" t="s">
        <v>4</v>
      </c>
      <c r="B94" s="74" t="s">
        <v>667</v>
      </c>
      <c r="C94" s="3">
        <v>489.94</v>
      </c>
    </row>
    <row r="95" spans="1:3" ht="12.75">
      <c r="A95" s="74" t="s">
        <v>4</v>
      </c>
      <c r="B95" s="74" t="s">
        <v>669</v>
      </c>
      <c r="C95" s="3">
        <f>C94/2</f>
        <v>244.97</v>
      </c>
    </row>
    <row r="96" spans="2:3" ht="12.75">
      <c r="B96" s="74" t="s">
        <v>628</v>
      </c>
      <c r="C96">
        <v>-280.91</v>
      </c>
    </row>
    <row r="97" spans="2:3" ht="12.75">
      <c r="B97" t="s">
        <v>618</v>
      </c>
      <c r="C97" s="3">
        <v>-329</v>
      </c>
    </row>
  </sheetData>
  <autoFilter ref="A1:J95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40" zoomScaleNormal="14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M2" sqref="M2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8.421875" style="111" customWidth="1"/>
    <col min="5" max="5" width="4.8515625" style="196" hidden="1" customWidth="1"/>
    <col min="6" max="6" width="6.7109375" style="128" customWidth="1"/>
    <col min="7" max="7" width="5.140625" style="198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9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6.7109375" style="107" customWidth="1"/>
    <col min="19" max="19" width="8.7109375" style="114" customWidth="1"/>
    <col min="20" max="20" width="7.140625" style="107" customWidth="1"/>
    <col min="21" max="21" width="7.0039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8" width="6.14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6.7109375" style="107" customWidth="1"/>
    <col min="34" max="34" width="7.8515625" style="107" customWidth="1"/>
    <col min="35" max="35" width="9.421875" style="107" customWidth="1"/>
    <col min="36" max="36" width="9.421875" style="109" customWidth="1"/>
    <col min="37" max="37" width="6.14062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hidden="1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customWidth="1"/>
    <col min="51" max="51" width="3.7109375" style="105" customWidth="1"/>
    <col min="52" max="52" width="3.421875" style="110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6" t="s">
        <v>823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106"/>
      <c r="AN1" s="106"/>
    </row>
    <row r="2" spans="1:52" ht="11.25" customHeight="1">
      <c r="A2" s="134" t="s">
        <v>49</v>
      </c>
      <c r="B2" s="134"/>
      <c r="C2" s="189"/>
      <c r="D2" s="134"/>
      <c r="E2" s="192"/>
      <c r="F2" s="132">
        <v>0</v>
      </c>
      <c r="G2" s="197"/>
      <c r="H2" s="138">
        <f>LOOKUP(F2,Valores!I:I,Valores!J:J)</f>
        <v>0</v>
      </c>
      <c r="I2" s="139"/>
      <c r="J2" s="130"/>
      <c r="K2" s="201"/>
      <c r="L2" s="179"/>
      <c r="M2" s="180">
        <v>0.15</v>
      </c>
      <c r="N2" s="179"/>
      <c r="AJ2" s="107"/>
      <c r="AK2" s="107"/>
      <c r="AL2" s="218"/>
      <c r="AZ2" s="116">
        <f>(((F139+S139)*1.15)+O139+P139+Q139+AA139+AD139)*0.05</f>
        <v>3671.4881250000008</v>
      </c>
    </row>
    <row r="3" spans="1:49" ht="11.25" customHeight="1">
      <c r="A3" s="134" t="s">
        <v>51</v>
      </c>
      <c r="B3" s="134"/>
      <c r="C3" s="189"/>
      <c r="D3" s="134"/>
      <c r="E3" s="192"/>
      <c r="F3" s="133" t="s">
        <v>8</v>
      </c>
      <c r="G3" s="219" t="s">
        <v>50</v>
      </c>
      <c r="H3" s="219"/>
      <c r="I3" s="220">
        <f>Valores!C2</f>
        <v>21.4188</v>
      </c>
      <c r="J3" s="220"/>
      <c r="K3" s="200"/>
      <c r="L3" s="178" t="e">
        <f>VLOOKUP(K3,Valores!L17:M28,2,)</f>
        <v>#N/A</v>
      </c>
      <c r="M3" s="177"/>
      <c r="N3" s="178"/>
      <c r="O3" s="225" t="s">
        <v>661</v>
      </c>
      <c r="P3" s="225"/>
      <c r="Q3" s="225"/>
      <c r="R3" s="225"/>
      <c r="S3" s="225"/>
      <c r="T3" s="225"/>
      <c r="U3" s="225"/>
      <c r="V3" s="225"/>
      <c r="AJ3" s="117" t="s">
        <v>4</v>
      </c>
      <c r="AK3" s="118"/>
      <c r="AL3" s="218"/>
      <c r="AM3" s="117" t="s">
        <v>4</v>
      </c>
      <c r="AN3" s="118"/>
      <c r="AO3" s="119">
        <f>Valores!C2</f>
        <v>21.4188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2" t="s">
        <v>621</v>
      </c>
      <c r="B4" s="223"/>
      <c r="C4" s="223"/>
      <c r="D4" s="224"/>
      <c r="E4" s="192"/>
      <c r="F4" s="133" t="s">
        <v>8</v>
      </c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2" t="s">
        <v>616</v>
      </c>
      <c r="B5" s="223"/>
      <c r="C5" s="223"/>
      <c r="D5" s="224"/>
      <c r="E5" s="192"/>
      <c r="F5" s="161">
        <v>1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4"/>
      <c r="B6" s="185"/>
      <c r="C6" s="185"/>
      <c r="D6" s="184"/>
      <c r="E6" s="226" t="s">
        <v>52</v>
      </c>
      <c r="F6" s="227"/>
      <c r="G6" s="228" t="s">
        <v>53</v>
      </c>
      <c r="H6" s="228"/>
      <c r="I6" s="229" t="s">
        <v>54</v>
      </c>
      <c r="J6" s="229"/>
      <c r="K6" s="221" t="s">
        <v>55</v>
      </c>
      <c r="L6" s="221"/>
      <c r="M6" s="150" t="s">
        <v>56</v>
      </c>
      <c r="N6" s="151" t="s">
        <v>57</v>
      </c>
      <c r="O6" s="150" t="s">
        <v>58</v>
      </c>
      <c r="P6" s="169" t="str">
        <f>CONCATENATE("Est. Doc (tope ",TEXT(Valores!D5,"$0,00"),")")</f>
        <v>Est. Doc (tope $10949,29)</v>
      </c>
      <c r="Q6" s="150" t="s">
        <v>59</v>
      </c>
      <c r="R6" s="158" t="str">
        <f>CONCATENATE("Gtos. Inh. Lab. Doc. (tope ",TEXT(Valores!C44,"$0,00"),")")</f>
        <v>Gtos. Inh. Lab. Doc. (tope $5343,37)</v>
      </c>
      <c r="S6" s="151" t="s">
        <v>60</v>
      </c>
      <c r="T6" s="150" t="s">
        <v>60</v>
      </c>
      <c r="U6" s="150" t="s">
        <v>61</v>
      </c>
      <c r="V6" s="150" t="s">
        <v>62</v>
      </c>
      <c r="W6" s="230" t="s">
        <v>63</v>
      </c>
      <c r="X6" s="230"/>
      <c r="Y6" s="150" t="s">
        <v>64</v>
      </c>
      <c r="Z6" s="159" t="str">
        <f>CONCATENATE("Bonif. Compensatoria Rem. (tope ",TEXT(Valores!F92,"$0,00"),")")</f>
        <v>Bonif. Compensatoria Rem. (tope $9798,86)</v>
      </c>
      <c r="AA6" s="159" t="str">
        <f>CONCATENATE("Ad R Doc (tope ",TEXT(Valores!F25,"$0,00"),")")</f>
        <v>Ad R Doc (tope $671,75)</v>
      </c>
      <c r="AB6" s="159" t="s">
        <v>707</v>
      </c>
      <c r="AC6" s="150" t="s">
        <v>65</v>
      </c>
      <c r="AD6" s="158" t="str">
        <f>CONCATENATE("Nuevo  A.R.D. (tope ",TEXT(Valores!F26,"$0,00"),")")</f>
        <v>Nuevo  A.R.D. (tope $447,83)</v>
      </c>
      <c r="AE6" s="221" t="s">
        <v>66</v>
      </c>
      <c r="AF6" s="221"/>
      <c r="AG6" s="158" t="str">
        <f>CONCATENATE("Ap Mat Did Rem. (tope ",TEXT(Valores!F59,"$0,00"),")")</f>
        <v>Ap Mat Did Rem. (tope $6342,34)</v>
      </c>
      <c r="AH6" s="150" t="s">
        <v>67</v>
      </c>
      <c r="AI6" s="158" t="str">
        <f>CONCATENATE("Corrección Pauta Salarial sobre FONID (tope ",TEXT(Valores!F32,"$0,00"),")")</f>
        <v>Corrección Pauta Salarial sobre FONID (tope $9960,16)</v>
      </c>
      <c r="AJ6" s="158" t="str">
        <f>CONCATENATE("Bonif. Compensatoria No Rem. (tope ",TEXT(Valores!C85,"$0,00"),")")</f>
        <v>Bonif. Compensatoria No Rem. (tope $4550,00)</v>
      </c>
      <c r="AK6" s="158" t="str">
        <f>CONCATENATE("Adic Extr. (tope ",TEXT(Valores!F38,"$0,00"),")")</f>
        <v>Adic Extr. (tope $0,00)</v>
      </c>
      <c r="AL6" s="159" t="str">
        <f>CONCATENATE("Adel Inc Docente (tope ",TEXT(Valores!C51,"$0,00"),")")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6" t="s">
        <v>76</v>
      </c>
      <c r="B7" s="187"/>
      <c r="C7" s="190" t="s">
        <v>672</v>
      </c>
      <c r="D7" s="188" t="s">
        <v>77</v>
      </c>
      <c r="E7" s="148" t="s">
        <v>78</v>
      </c>
      <c r="F7" s="149" t="s">
        <v>79</v>
      </c>
      <c r="G7" s="191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3" t="s">
        <v>699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3">
        <v>107</v>
      </c>
      <c r="F8" s="125">
        <f>ROUND(E8*Valores!$C$2,2)</f>
        <v>2291.81</v>
      </c>
      <c r="G8" s="193">
        <v>3779</v>
      </c>
      <c r="H8" s="125">
        <f>ROUND(G8*Valores!$C$2,2)</f>
        <v>80941.65</v>
      </c>
      <c r="I8" s="193">
        <v>219</v>
      </c>
      <c r="J8" s="125">
        <f>ROUND(I8*Valores!$C$2,2)</f>
        <v>4690.72</v>
      </c>
      <c r="K8" s="193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13990.13</v>
      </c>
      <c r="N8" s="125">
        <f aca="true" t="shared" si="1" ref="N8:N71">ROUND(SUM(F8,H8,J8,L8,X8,R8)*$H$2,2)</f>
        <v>0</v>
      </c>
      <c r="O8" s="125">
        <f>Valores!$C$11</f>
        <v>19098.54</v>
      </c>
      <c r="P8" s="125">
        <f>Valores!$D$5</f>
        <v>10949.29</v>
      </c>
      <c r="Q8" s="125">
        <v>0</v>
      </c>
      <c r="R8" s="125">
        <f>IF($F$4="NO",Valores!$C$44,Valores!$C$44/2)</f>
        <v>5343.37</v>
      </c>
      <c r="S8" s="125">
        <v>0</v>
      </c>
      <c r="T8" s="125">
        <f>ROUND(S8*(1+$H$2),2)</f>
        <v>0</v>
      </c>
      <c r="U8" s="125">
        <f>SUM(F8,H8,J8)</f>
        <v>87924.18</v>
      </c>
      <c r="V8" s="125">
        <f>INT((SUM(F8,H8,J8)*0.4*100)+0.49)/100</f>
        <v>35169.67</v>
      </c>
      <c r="W8" s="193">
        <v>0</v>
      </c>
      <c r="X8" s="125">
        <f>ROUND(W8*Valores!$C$2,2)</f>
        <v>0</v>
      </c>
      <c r="Y8" s="125">
        <v>0</v>
      </c>
      <c r="Z8" s="125">
        <f>Valores!$C$90</f>
        <v>4899.43</v>
      </c>
      <c r="AA8" s="125">
        <f>Valores!$C$25</f>
        <v>447.83</v>
      </c>
      <c r="AB8" s="215">
        <v>0</v>
      </c>
      <c r="AC8" s="125">
        <f aca="true" t="shared" si="2" ref="AC8:AC71">ROUND(SUM(F8,H8,J8,X8,R8)*AB8,2)</f>
        <v>0</v>
      </c>
      <c r="AD8" s="125">
        <f>Valores!$C$26</f>
        <v>447.83</v>
      </c>
      <c r="AE8" s="193">
        <v>0</v>
      </c>
      <c r="AF8" s="125">
        <f>ROUND(AE8*Valores!$C$2,2)</f>
        <v>0</v>
      </c>
      <c r="AG8" s="125">
        <f>ROUND(IF($F$4="NO",Valores!$C$59,Valores!$C$59/2),2)</f>
        <v>3171.17</v>
      </c>
      <c r="AH8" s="125">
        <f>SUM(F8,H8,J8,L8,M8,N8,O8,P8,Q8,R8,T8,U8,V8,X8,Y8,Z8,AA8,AC8,AD8,AF8,AG8)</f>
        <v>269365.62</v>
      </c>
      <c r="AI8" s="125">
        <f>Valores!$C$31</f>
        <v>4980.08</v>
      </c>
      <c r="AJ8" s="125">
        <f>Valores!$C$83</f>
        <v>2275</v>
      </c>
      <c r="AK8" s="125">
        <f>Valores!C$38*B8</f>
        <v>0</v>
      </c>
      <c r="AL8" s="125">
        <f>IF($F$3="NO",0,Valores!$C$51)</f>
        <v>0</v>
      </c>
      <c r="AM8" s="125">
        <f aca="true" t="shared" si="3" ref="AM8:AM71">SUM(AI8:AL8)</f>
        <v>7255.08</v>
      </c>
      <c r="AN8" s="125">
        <f>AH8*Valores!$C$67</f>
        <v>-29630.2182</v>
      </c>
      <c r="AO8" s="125">
        <f>AH8*-Valores!$C$68</f>
        <v>0</v>
      </c>
      <c r="AP8" s="125">
        <f>AH8*Valores!$C$69</f>
        <v>-12121.4529</v>
      </c>
      <c r="AQ8" s="125">
        <f>Valores!$C$96</f>
        <v>-280.91</v>
      </c>
      <c r="AR8" s="125">
        <f>IF($F$5=0,Valores!$C$97,(Valores!$C$97+$F$5*(Valores!$C$97)))</f>
        <v>-658</v>
      </c>
      <c r="AS8" s="125">
        <f>AH8+AM8+SUM(AN8:AR8)</f>
        <v>233930.1189</v>
      </c>
      <c r="AT8" s="125">
        <f t="shared" si="0"/>
        <v>-29630.2182</v>
      </c>
      <c r="AU8" s="125">
        <f>AH8*Valores!$C$70</f>
        <v>-7272.87174</v>
      </c>
      <c r="AV8" s="125">
        <f>AH8*Valores!$C$71</f>
        <v>-808.09686</v>
      </c>
      <c r="AW8" s="125">
        <f aca="true" t="shared" si="4" ref="AW8:AW71">AH8+AM8+SUM(AT8:AV8)</f>
        <v>238909.51320000002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3">
        <v>107</v>
      </c>
      <c r="F9" s="125">
        <f>ROUND(E9*Valores!$C$2,2)</f>
        <v>2291.81</v>
      </c>
      <c r="G9" s="193">
        <v>3779</v>
      </c>
      <c r="H9" s="125">
        <f>ROUND(G9*Valores!$C$2,2)</f>
        <v>80941.65</v>
      </c>
      <c r="I9" s="193">
        <v>219</v>
      </c>
      <c r="J9" s="125">
        <f>ROUND(I9*Valores!$C$2,2)</f>
        <v>4690.72</v>
      </c>
      <c r="K9" s="193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13990.13</v>
      </c>
      <c r="N9" s="125">
        <f t="shared" si="1"/>
        <v>0</v>
      </c>
      <c r="O9" s="125">
        <f>Valores!$C$11</f>
        <v>19098.54</v>
      </c>
      <c r="P9" s="125">
        <f>Valores!$D$5</f>
        <v>10949.29</v>
      </c>
      <c r="Q9" s="125">
        <v>0</v>
      </c>
      <c r="R9" s="125">
        <f>IF($F$4="NO",Valores!$C$44,Valores!$C$44/2)</f>
        <v>5343.37</v>
      </c>
      <c r="S9" s="125">
        <v>0</v>
      </c>
      <c r="T9" s="125">
        <f>ROUND(S9*(1+$H$2),2)</f>
        <v>0</v>
      </c>
      <c r="U9" s="125">
        <f>SUM(F9,H9,J9)</f>
        <v>87924.18</v>
      </c>
      <c r="V9" s="125">
        <f>INT((SUM(F9,H9,J9)*0.4*100)+0.49)/100</f>
        <v>35169.67</v>
      </c>
      <c r="W9" s="193">
        <v>0</v>
      </c>
      <c r="X9" s="125">
        <f>ROUND(W9*Valores!$C$2,2)</f>
        <v>0</v>
      </c>
      <c r="Y9" s="125">
        <v>0</v>
      </c>
      <c r="Z9" s="125">
        <f>Valores!$C$90</f>
        <v>4899.43</v>
      </c>
      <c r="AA9" s="125">
        <f>Valores!$C$25</f>
        <v>447.83</v>
      </c>
      <c r="AB9" s="215">
        <v>0</v>
      </c>
      <c r="AC9" s="125">
        <f t="shared" si="2"/>
        <v>0</v>
      </c>
      <c r="AD9" s="125">
        <f>Valores!$C$26</f>
        <v>447.83</v>
      </c>
      <c r="AE9" s="193">
        <v>0</v>
      </c>
      <c r="AF9" s="125">
        <f>ROUND(AE9*Valores!$C$2,2)</f>
        <v>0</v>
      </c>
      <c r="AG9" s="125">
        <f>ROUND(IF($F$4="NO",Valores!$C$59,Valores!$C$59/2),2)</f>
        <v>3171.17</v>
      </c>
      <c r="AH9" s="125">
        <f aca="true" t="shared" si="5" ref="AH9:AH72">SUM(F9,H9,J9,L9,M9,N9,O9,P9,Q9,R9,T9,U9,V9,X9,Y9,Z9,AA9,AC9,AD9,AF9,AG9)</f>
        <v>269365.62</v>
      </c>
      <c r="AI9" s="125">
        <f>Valores!$C$31</f>
        <v>4980.08</v>
      </c>
      <c r="AJ9" s="125">
        <f>Valores!$C$83</f>
        <v>2275</v>
      </c>
      <c r="AK9" s="125">
        <f>Valores!C$38*B9</f>
        <v>0</v>
      </c>
      <c r="AL9" s="125">
        <f>IF($F$3="NO",0,Valores!$C$51)</f>
        <v>0</v>
      </c>
      <c r="AM9" s="125">
        <f t="shared" si="3"/>
        <v>7255.08</v>
      </c>
      <c r="AN9" s="125">
        <f>AH9*Valores!$C$67</f>
        <v>-29630.2182</v>
      </c>
      <c r="AO9" s="125">
        <f>AH9*-Valores!$C$68</f>
        <v>0</v>
      </c>
      <c r="AP9" s="125">
        <f>AH9*Valores!$C$69</f>
        <v>-12121.4529</v>
      </c>
      <c r="AQ9" s="125">
        <f>Valores!$C$96</f>
        <v>-280.91</v>
      </c>
      <c r="AR9" s="125">
        <f>IF($F$5=0,Valores!$C$97,(Valores!$C$97+$F$5*(Valores!$C$97)))</f>
        <v>-658</v>
      </c>
      <c r="AS9" s="125">
        <f aca="true" t="shared" si="6" ref="AS9:AS72">AH9+SUM(AM9:AR9)</f>
        <v>233930.1189</v>
      </c>
      <c r="AT9" s="125">
        <f t="shared" si="0"/>
        <v>-29630.2182</v>
      </c>
      <c r="AU9" s="125">
        <f>AH9*Valores!$C$70</f>
        <v>-7272.87174</v>
      </c>
      <c r="AV9" s="125">
        <f>AH9*Valores!$C$71</f>
        <v>-808.09686</v>
      </c>
      <c r="AW9" s="125">
        <f t="shared" si="4"/>
        <v>238909.51320000002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3">
        <v>107</v>
      </c>
      <c r="F10" s="125">
        <f>ROUND(E10*Valores!$C$2,2)</f>
        <v>2291.81</v>
      </c>
      <c r="G10" s="193">
        <v>3720</v>
      </c>
      <c r="H10" s="125">
        <f>ROUND(G10*Valores!$C$2,2)</f>
        <v>79677.94</v>
      </c>
      <c r="I10" s="193">
        <v>1226</v>
      </c>
      <c r="J10" s="125">
        <f>ROUND(I10*Valores!$C$2,2)</f>
        <v>26259.45</v>
      </c>
      <c r="K10" s="193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18564.16</v>
      </c>
      <c r="N10" s="125">
        <f t="shared" si="1"/>
        <v>0</v>
      </c>
      <c r="O10" s="125">
        <f>Valores!$C$13</f>
        <v>19619.08</v>
      </c>
      <c r="P10" s="125">
        <f>Valores!$D$5</f>
        <v>10949.29</v>
      </c>
      <c r="Q10" s="125">
        <v>0</v>
      </c>
      <c r="R10" s="125">
        <f>IF($F$4="NO",Valores!$C$44,Valores!$C$44/2)</f>
        <v>5343.37</v>
      </c>
      <c r="S10" s="125">
        <f>Valores!$C$19</f>
        <v>10188.49</v>
      </c>
      <c r="T10" s="125">
        <f>ROUND(S10*(1+$H$2),2)</f>
        <v>10188.49</v>
      </c>
      <c r="U10" s="125">
        <v>0</v>
      </c>
      <c r="V10" s="125">
        <v>0</v>
      </c>
      <c r="W10" s="193">
        <v>0</v>
      </c>
      <c r="X10" s="125">
        <f>ROUND(W10*Valores!$C$2,2)</f>
        <v>0</v>
      </c>
      <c r="Y10" s="125">
        <v>0</v>
      </c>
      <c r="Z10" s="125">
        <f>Valores!$C$90</f>
        <v>4899.43</v>
      </c>
      <c r="AA10" s="125">
        <f>Valores!$C$25</f>
        <v>447.83</v>
      </c>
      <c r="AB10" s="215">
        <v>0</v>
      </c>
      <c r="AC10" s="125">
        <f t="shared" si="2"/>
        <v>0</v>
      </c>
      <c r="AD10" s="125">
        <f>Valores!$C$26</f>
        <v>447.83</v>
      </c>
      <c r="AE10" s="193">
        <v>0</v>
      </c>
      <c r="AF10" s="125">
        <f>ROUND(AE10*Valores!$C$2,2)</f>
        <v>0</v>
      </c>
      <c r="AG10" s="125">
        <f>ROUND(IF($F$4="NO",Valores!$C$59,Valores!$C$59/2),2)</f>
        <v>3171.17</v>
      </c>
      <c r="AH10" s="125">
        <f t="shared" si="5"/>
        <v>181859.84999999998</v>
      </c>
      <c r="AI10" s="125">
        <f>Valores!$C$31</f>
        <v>4980.08</v>
      </c>
      <c r="AJ10" s="125">
        <f>Valores!$C$83</f>
        <v>2275</v>
      </c>
      <c r="AK10" s="125">
        <f>Valores!C$38*B10</f>
        <v>0</v>
      </c>
      <c r="AL10" s="125">
        <f>IF($F$3="NO",0,Valores!$C$51)</f>
        <v>0</v>
      </c>
      <c r="AM10" s="125">
        <f t="shared" si="3"/>
        <v>7255.08</v>
      </c>
      <c r="AN10" s="125">
        <f>AH10*Valores!$C$67</f>
        <v>-20004.583499999997</v>
      </c>
      <c r="AO10" s="125">
        <f>AH10*-Valores!$C$68</f>
        <v>0</v>
      </c>
      <c r="AP10" s="125">
        <f>AH10*Valores!$C$69</f>
        <v>-8183.693249999998</v>
      </c>
      <c r="AQ10" s="125">
        <f>Valores!$C$96</f>
        <v>-280.91</v>
      </c>
      <c r="AR10" s="125">
        <f>IF($F$5=0,Valores!$C$97,(Valores!$C$97+$F$5*(Valores!$C$97)))</f>
        <v>-658</v>
      </c>
      <c r="AS10" s="125">
        <f t="shared" si="6"/>
        <v>159987.74324999997</v>
      </c>
      <c r="AT10" s="125">
        <f t="shared" si="0"/>
        <v>-20004.583499999997</v>
      </c>
      <c r="AU10" s="125">
        <f>AH10*Valores!$C$70</f>
        <v>-4910.215949999999</v>
      </c>
      <c r="AV10" s="125">
        <f>AH10*Valores!$C$71</f>
        <v>-545.5795499999999</v>
      </c>
      <c r="AW10" s="125">
        <f t="shared" si="4"/>
        <v>163654.55099999998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3">
        <v>107</v>
      </c>
      <c r="F11" s="125">
        <f>ROUND(E11*Valores!$C$2,2)</f>
        <v>2291.81</v>
      </c>
      <c r="G11" s="193">
        <v>3779</v>
      </c>
      <c r="H11" s="125">
        <f>ROUND(G11*Valores!$C$2,2)</f>
        <v>80941.65</v>
      </c>
      <c r="I11" s="193">
        <v>219</v>
      </c>
      <c r="J11" s="125">
        <f>ROUND(I11*Valores!$C$2,2)</f>
        <v>4690.72</v>
      </c>
      <c r="K11" s="193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13990.13</v>
      </c>
      <c r="N11" s="125">
        <f t="shared" si="1"/>
        <v>0</v>
      </c>
      <c r="O11" s="125">
        <f>Valores!$C$11</f>
        <v>19098.54</v>
      </c>
      <c r="P11" s="125">
        <f>Valores!$D$5</f>
        <v>10949.29</v>
      </c>
      <c r="Q11" s="125">
        <v>0</v>
      </c>
      <c r="R11" s="125">
        <f>IF($F$4="NO",Valores!$C$44,Valores!$C$44/2)</f>
        <v>5343.37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87924.18</v>
      </c>
      <c r="V11" s="125">
        <f aca="true" t="shared" si="9" ref="V11:V20">INT((SUM(F11,H11,J11)*0.4*100)+0.49)/100</f>
        <v>35169.67</v>
      </c>
      <c r="W11" s="193">
        <v>0</v>
      </c>
      <c r="X11" s="125">
        <f>ROUND(W11*Valores!$C$2,2)</f>
        <v>0</v>
      </c>
      <c r="Y11" s="125">
        <v>0</v>
      </c>
      <c r="Z11" s="125">
        <f>Valores!$C$90</f>
        <v>4899.43</v>
      </c>
      <c r="AA11" s="125">
        <f>Valores!$C$25</f>
        <v>447.83</v>
      </c>
      <c r="AB11" s="215">
        <v>0</v>
      </c>
      <c r="AC11" s="125">
        <f t="shared" si="2"/>
        <v>0</v>
      </c>
      <c r="AD11" s="125">
        <f>Valores!$C$26</f>
        <v>447.83</v>
      </c>
      <c r="AE11" s="193">
        <v>0</v>
      </c>
      <c r="AF11" s="125">
        <f>ROUND(AE11*Valores!$C$2,2)</f>
        <v>0</v>
      </c>
      <c r="AG11" s="125">
        <f>ROUND(IF($F$4="NO",Valores!$C$59,Valores!$C$59/2),2)</f>
        <v>3171.17</v>
      </c>
      <c r="AH11" s="125">
        <f t="shared" si="5"/>
        <v>269365.62</v>
      </c>
      <c r="AI11" s="125">
        <f>Valores!$C$31</f>
        <v>4980.08</v>
      </c>
      <c r="AJ11" s="125">
        <f>Valores!$C$83</f>
        <v>2275</v>
      </c>
      <c r="AK11" s="125">
        <f>Valores!C$38*B11</f>
        <v>0</v>
      </c>
      <c r="AL11" s="125">
        <f>IF($F$3="NO",0,Valores!$C$51)</f>
        <v>0</v>
      </c>
      <c r="AM11" s="125">
        <f t="shared" si="3"/>
        <v>7255.08</v>
      </c>
      <c r="AN11" s="125">
        <f>AH11*Valores!$C$67</f>
        <v>-29630.2182</v>
      </c>
      <c r="AO11" s="125">
        <f>AH11*-Valores!$C$68</f>
        <v>0</v>
      </c>
      <c r="AP11" s="125">
        <f>AH11*Valores!$C$69</f>
        <v>-12121.4529</v>
      </c>
      <c r="AQ11" s="125">
        <f>Valores!$C$96</f>
        <v>-280.91</v>
      </c>
      <c r="AR11" s="125">
        <f>IF($F$5=0,Valores!$C$97,(Valores!$C$97+$F$5*(Valores!$C$97)))</f>
        <v>-658</v>
      </c>
      <c r="AS11" s="125">
        <f t="shared" si="6"/>
        <v>233930.1189</v>
      </c>
      <c r="AT11" s="125">
        <f t="shared" si="0"/>
        <v>-29630.2182</v>
      </c>
      <c r="AU11" s="125">
        <f>AH11*Valores!$C$70</f>
        <v>-7272.87174</v>
      </c>
      <c r="AV11" s="125">
        <f>AH11*Valores!$C$71</f>
        <v>-808.09686</v>
      </c>
      <c r="AW11" s="125">
        <f t="shared" si="4"/>
        <v>238909.51320000002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3">
        <v>107</v>
      </c>
      <c r="F12" s="125">
        <f>ROUND(E12*Valores!$C$2,2)</f>
        <v>2291.81</v>
      </c>
      <c r="G12" s="193">
        <v>3779</v>
      </c>
      <c r="H12" s="125">
        <f>ROUND(G12*Valores!$C$2,2)</f>
        <v>80941.65</v>
      </c>
      <c r="I12" s="193">
        <v>219</v>
      </c>
      <c r="J12" s="125">
        <f>ROUND(I12*Valores!$C$2,2)</f>
        <v>4690.72</v>
      </c>
      <c r="K12" s="193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13990.13</v>
      </c>
      <c r="N12" s="125">
        <f t="shared" si="1"/>
        <v>0</v>
      </c>
      <c r="O12" s="125">
        <f>Valores!$C$11</f>
        <v>19098.54</v>
      </c>
      <c r="P12" s="125">
        <f>Valores!$D$5</f>
        <v>10949.29</v>
      </c>
      <c r="Q12" s="125">
        <v>0</v>
      </c>
      <c r="R12" s="125">
        <f>IF($F$4="NO",Valores!$C$44,Valores!$C$44/2)</f>
        <v>5343.37</v>
      </c>
      <c r="S12" s="125">
        <v>0</v>
      </c>
      <c r="T12" s="125">
        <f t="shared" si="7"/>
        <v>0</v>
      </c>
      <c r="U12" s="125">
        <f t="shared" si="8"/>
        <v>87924.18</v>
      </c>
      <c r="V12" s="125">
        <f t="shared" si="9"/>
        <v>35169.67</v>
      </c>
      <c r="W12" s="193">
        <v>0</v>
      </c>
      <c r="X12" s="125">
        <f>ROUND(W12*Valores!$C$2,2)</f>
        <v>0</v>
      </c>
      <c r="Y12" s="125">
        <v>0</v>
      </c>
      <c r="Z12" s="125">
        <f>Valores!$C$90</f>
        <v>4899.43</v>
      </c>
      <c r="AA12" s="125">
        <f>Valores!$C$25</f>
        <v>447.83</v>
      </c>
      <c r="AB12" s="215">
        <v>0</v>
      </c>
      <c r="AC12" s="125">
        <f t="shared" si="2"/>
        <v>0</v>
      </c>
      <c r="AD12" s="125">
        <f>Valores!$C$26</f>
        <v>447.83</v>
      </c>
      <c r="AE12" s="193">
        <v>0</v>
      </c>
      <c r="AF12" s="125">
        <f>ROUND(AE12*Valores!$C$2,2)</f>
        <v>0</v>
      </c>
      <c r="AG12" s="125">
        <f>ROUND(IF($F$4="NO",Valores!$C$59,Valores!$C$59/2),2)</f>
        <v>3171.17</v>
      </c>
      <c r="AH12" s="125">
        <f t="shared" si="5"/>
        <v>269365.62</v>
      </c>
      <c r="AI12" s="125">
        <f>Valores!$C$31</f>
        <v>4980.08</v>
      </c>
      <c r="AJ12" s="125">
        <f>Valores!$C$83</f>
        <v>2275</v>
      </c>
      <c r="AK12" s="125">
        <f>Valores!C$38*B12</f>
        <v>0</v>
      </c>
      <c r="AL12" s="125">
        <f>IF($F$3="NO",0,Valores!$C$51)</f>
        <v>0</v>
      </c>
      <c r="AM12" s="125">
        <f t="shared" si="3"/>
        <v>7255.08</v>
      </c>
      <c r="AN12" s="125">
        <f>AH12*Valores!$C$67</f>
        <v>-29630.2182</v>
      </c>
      <c r="AO12" s="125">
        <f>AH12*-Valores!$C$68</f>
        <v>0</v>
      </c>
      <c r="AP12" s="125">
        <f>AH12*Valores!$C$69</f>
        <v>-12121.4529</v>
      </c>
      <c r="AQ12" s="125">
        <f>Valores!$C$96</f>
        <v>-280.91</v>
      </c>
      <c r="AR12" s="125">
        <f>IF($F$5=0,Valores!$C$97,(Valores!$C$97+$F$5*(Valores!$C$97)))</f>
        <v>-658</v>
      </c>
      <c r="AS12" s="125">
        <f t="shared" si="6"/>
        <v>233930.1189</v>
      </c>
      <c r="AT12" s="125">
        <f t="shared" si="0"/>
        <v>-29630.2182</v>
      </c>
      <c r="AU12" s="125">
        <f>AH12*Valores!$C$70</f>
        <v>-7272.87174</v>
      </c>
      <c r="AV12" s="125">
        <f>AH12*Valores!$C$71</f>
        <v>-808.09686</v>
      </c>
      <c r="AW12" s="125">
        <f t="shared" si="4"/>
        <v>238909.51320000002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3">
        <v>107</v>
      </c>
      <c r="F13" s="125">
        <f>ROUND(E13*Valores!$C$2,2)</f>
        <v>2291.81</v>
      </c>
      <c r="G13" s="193">
        <v>3779</v>
      </c>
      <c r="H13" s="125">
        <f>ROUND(G13*Valores!$C$2,2)</f>
        <v>80941.65</v>
      </c>
      <c r="I13" s="193">
        <v>219</v>
      </c>
      <c r="J13" s="125">
        <f>ROUND(I13*Valores!$C$2,2)</f>
        <v>4690.72</v>
      </c>
      <c r="K13" s="193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13990.13</v>
      </c>
      <c r="N13" s="125">
        <f t="shared" si="1"/>
        <v>0</v>
      </c>
      <c r="O13" s="125">
        <f>Valores!$C$11</f>
        <v>19098.54</v>
      </c>
      <c r="P13" s="125">
        <f>Valores!$D$5</f>
        <v>10949.29</v>
      </c>
      <c r="Q13" s="125">
        <v>0</v>
      </c>
      <c r="R13" s="125">
        <f>IF($F$4="NO",Valores!$C$44,Valores!$C$44/2)</f>
        <v>5343.37</v>
      </c>
      <c r="S13" s="125">
        <v>0</v>
      </c>
      <c r="T13" s="125">
        <f t="shared" si="7"/>
        <v>0</v>
      </c>
      <c r="U13" s="125">
        <f t="shared" si="8"/>
        <v>87924.18</v>
      </c>
      <c r="V13" s="125">
        <f t="shared" si="9"/>
        <v>35169.67</v>
      </c>
      <c r="W13" s="193">
        <v>0</v>
      </c>
      <c r="X13" s="125">
        <f>ROUND(W13*Valores!$C$2,2)</f>
        <v>0</v>
      </c>
      <c r="Y13" s="125">
        <v>0</v>
      </c>
      <c r="Z13" s="125">
        <f>Valores!$C$90</f>
        <v>4899.43</v>
      </c>
      <c r="AA13" s="125">
        <f>Valores!$C$25</f>
        <v>447.83</v>
      </c>
      <c r="AB13" s="215">
        <v>0</v>
      </c>
      <c r="AC13" s="125">
        <f t="shared" si="2"/>
        <v>0</v>
      </c>
      <c r="AD13" s="125">
        <f>Valores!$C$26</f>
        <v>447.83</v>
      </c>
      <c r="AE13" s="193">
        <v>0</v>
      </c>
      <c r="AF13" s="125">
        <f>ROUND(AE13*Valores!$C$2,2)</f>
        <v>0</v>
      </c>
      <c r="AG13" s="125">
        <f>ROUND(IF($F$4="NO",Valores!$C$59,Valores!$C$59/2),2)</f>
        <v>3171.17</v>
      </c>
      <c r="AH13" s="125">
        <f t="shared" si="5"/>
        <v>269365.62</v>
      </c>
      <c r="AI13" s="125">
        <f>Valores!$C$31</f>
        <v>4980.08</v>
      </c>
      <c r="AJ13" s="125">
        <f>Valores!$C$83</f>
        <v>2275</v>
      </c>
      <c r="AK13" s="125">
        <f>Valores!C$38*B13</f>
        <v>0</v>
      </c>
      <c r="AL13" s="125">
        <f>IF($F$3="NO",0,Valores!$C$51)</f>
        <v>0</v>
      </c>
      <c r="AM13" s="125">
        <f t="shared" si="3"/>
        <v>7255.08</v>
      </c>
      <c r="AN13" s="125">
        <f>AH13*Valores!$C$67</f>
        <v>-29630.2182</v>
      </c>
      <c r="AO13" s="125">
        <f>AH13*-Valores!$C$68</f>
        <v>0</v>
      </c>
      <c r="AP13" s="125">
        <f>AH13*Valores!$C$69</f>
        <v>-12121.4529</v>
      </c>
      <c r="AQ13" s="125">
        <f>Valores!$C$96</f>
        <v>-280.91</v>
      </c>
      <c r="AR13" s="125">
        <f>IF($F$5=0,Valores!$C$97,(Valores!$C$97+$F$5*(Valores!$C$97)))</f>
        <v>-658</v>
      </c>
      <c r="AS13" s="125">
        <f t="shared" si="6"/>
        <v>233930.1189</v>
      </c>
      <c r="AT13" s="125">
        <f t="shared" si="0"/>
        <v>-29630.2182</v>
      </c>
      <c r="AU13" s="125">
        <f>AH13*Valores!$C$70</f>
        <v>-7272.87174</v>
      </c>
      <c r="AV13" s="125">
        <f>AH13*Valores!$C$71</f>
        <v>-808.09686</v>
      </c>
      <c r="AW13" s="125">
        <f t="shared" si="4"/>
        <v>238909.51320000002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3">
        <v>107</v>
      </c>
      <c r="F14" s="125">
        <f>ROUND(E14*Valores!$C$2,2)</f>
        <v>2291.81</v>
      </c>
      <c r="G14" s="193">
        <v>3779</v>
      </c>
      <c r="H14" s="125">
        <f>ROUND(G14*Valores!$C$2,2)</f>
        <v>80941.65</v>
      </c>
      <c r="I14" s="193">
        <v>219</v>
      </c>
      <c r="J14" s="125">
        <f>ROUND(I14*Valores!$C$2,2)</f>
        <v>4690.72</v>
      </c>
      <c r="K14" s="193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13990.13</v>
      </c>
      <c r="N14" s="125">
        <f t="shared" si="1"/>
        <v>0</v>
      </c>
      <c r="O14" s="125">
        <f>Valores!$C$11</f>
        <v>19098.54</v>
      </c>
      <c r="P14" s="125">
        <f>Valores!$D$5</f>
        <v>10949.29</v>
      </c>
      <c r="Q14" s="125">
        <v>0</v>
      </c>
      <c r="R14" s="125">
        <f>IF($F$4="NO",Valores!$C$44,Valores!$C$44/2)</f>
        <v>5343.37</v>
      </c>
      <c r="S14" s="125">
        <v>0</v>
      </c>
      <c r="T14" s="125">
        <f t="shared" si="7"/>
        <v>0</v>
      </c>
      <c r="U14" s="125">
        <f t="shared" si="8"/>
        <v>87924.18</v>
      </c>
      <c r="V14" s="125">
        <f t="shared" si="9"/>
        <v>35169.67</v>
      </c>
      <c r="W14" s="193">
        <v>0</v>
      </c>
      <c r="X14" s="125">
        <f>ROUND(W14*Valores!$C$2,2)</f>
        <v>0</v>
      </c>
      <c r="Y14" s="125">
        <v>0</v>
      </c>
      <c r="Z14" s="125">
        <f>Valores!$C$90</f>
        <v>4899.43</v>
      </c>
      <c r="AA14" s="125">
        <f>Valores!$C$25</f>
        <v>447.83</v>
      </c>
      <c r="AB14" s="215">
        <v>0</v>
      </c>
      <c r="AC14" s="125">
        <f t="shared" si="2"/>
        <v>0</v>
      </c>
      <c r="AD14" s="125">
        <f>Valores!$C$26</f>
        <v>447.83</v>
      </c>
      <c r="AE14" s="193">
        <v>0</v>
      </c>
      <c r="AF14" s="125">
        <f>ROUND(AE14*Valores!$C$2,2)</f>
        <v>0</v>
      </c>
      <c r="AG14" s="125">
        <f>ROUND(IF($F$4="NO",Valores!$C$59,Valores!$C$59/2),2)</f>
        <v>3171.17</v>
      </c>
      <c r="AH14" s="125">
        <f t="shared" si="5"/>
        <v>269365.62</v>
      </c>
      <c r="AI14" s="125">
        <f>Valores!$C$31</f>
        <v>4980.08</v>
      </c>
      <c r="AJ14" s="125">
        <f>Valores!$C$83</f>
        <v>2275</v>
      </c>
      <c r="AK14" s="125">
        <f>Valores!C$38*B14</f>
        <v>0</v>
      </c>
      <c r="AL14" s="125">
        <f>IF($F$3="NO",0,Valores!$C$51)</f>
        <v>0</v>
      </c>
      <c r="AM14" s="125">
        <f t="shared" si="3"/>
        <v>7255.08</v>
      </c>
      <c r="AN14" s="125">
        <f>AH14*Valores!$C$67</f>
        <v>-29630.2182</v>
      </c>
      <c r="AO14" s="125">
        <f>AH14*-Valores!$C$68</f>
        <v>0</v>
      </c>
      <c r="AP14" s="125">
        <f>AH14*Valores!$C$69</f>
        <v>-12121.4529</v>
      </c>
      <c r="AQ14" s="125">
        <f>Valores!$C$96</f>
        <v>-280.91</v>
      </c>
      <c r="AR14" s="125">
        <f>IF($F$5=0,Valores!$C$97,(Valores!$C$97+$F$5*(Valores!$C$97)))</f>
        <v>-658</v>
      </c>
      <c r="AS14" s="125">
        <f t="shared" si="6"/>
        <v>233930.1189</v>
      </c>
      <c r="AT14" s="125">
        <f t="shared" si="0"/>
        <v>-29630.2182</v>
      </c>
      <c r="AU14" s="125">
        <f>AH14*Valores!$C$70</f>
        <v>-7272.87174</v>
      </c>
      <c r="AV14" s="125">
        <f>AH14*Valores!$C$71</f>
        <v>-808.09686</v>
      </c>
      <c r="AW14" s="125">
        <f t="shared" si="4"/>
        <v>238909.51320000002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3">
        <v>107</v>
      </c>
      <c r="F15" s="125">
        <f>ROUND(E15*Valores!$C$2,2)</f>
        <v>2291.81</v>
      </c>
      <c r="G15" s="193">
        <v>3779</v>
      </c>
      <c r="H15" s="125">
        <f>ROUND(G15*Valores!$C$2,2)</f>
        <v>80941.65</v>
      </c>
      <c r="I15" s="193">
        <v>219</v>
      </c>
      <c r="J15" s="125">
        <f>ROUND(I15*Valores!$C$2,2)</f>
        <v>4690.72</v>
      </c>
      <c r="K15" s="193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13990.13</v>
      </c>
      <c r="N15" s="125">
        <f t="shared" si="1"/>
        <v>0</v>
      </c>
      <c r="O15" s="125">
        <f>Valores!$C$11</f>
        <v>19098.54</v>
      </c>
      <c r="P15" s="125">
        <f>Valores!$D$5</f>
        <v>10949.29</v>
      </c>
      <c r="Q15" s="125">
        <v>0</v>
      </c>
      <c r="R15" s="125">
        <f>IF($F$4="NO",Valores!$C$44,Valores!$C$44/2)</f>
        <v>5343.37</v>
      </c>
      <c r="S15" s="125">
        <v>0</v>
      </c>
      <c r="T15" s="125">
        <f t="shared" si="7"/>
        <v>0</v>
      </c>
      <c r="U15" s="125">
        <f t="shared" si="8"/>
        <v>87924.18</v>
      </c>
      <c r="V15" s="125">
        <f t="shared" si="9"/>
        <v>35169.67</v>
      </c>
      <c r="W15" s="193">
        <v>0</v>
      </c>
      <c r="X15" s="125">
        <f>ROUND(W15*Valores!$C$2,2)</f>
        <v>0</v>
      </c>
      <c r="Y15" s="125">
        <v>0</v>
      </c>
      <c r="Z15" s="125">
        <f>Valores!$C$90</f>
        <v>4899.43</v>
      </c>
      <c r="AA15" s="125">
        <f>Valores!$C$25</f>
        <v>447.83</v>
      </c>
      <c r="AB15" s="215">
        <v>0</v>
      </c>
      <c r="AC15" s="125">
        <f t="shared" si="2"/>
        <v>0</v>
      </c>
      <c r="AD15" s="125">
        <f>Valores!$C$26</f>
        <v>447.83</v>
      </c>
      <c r="AE15" s="193">
        <v>0</v>
      </c>
      <c r="AF15" s="125">
        <f>ROUND(AE15*Valores!$C$2,2)</f>
        <v>0</v>
      </c>
      <c r="AG15" s="125">
        <f>ROUND(IF($F$4="NO",Valores!$C$59,Valores!$C$59/2),2)</f>
        <v>3171.17</v>
      </c>
      <c r="AH15" s="125">
        <f t="shared" si="5"/>
        <v>269365.62</v>
      </c>
      <c r="AI15" s="125">
        <f>Valores!$C$31</f>
        <v>4980.08</v>
      </c>
      <c r="AJ15" s="125">
        <f>Valores!$C$83</f>
        <v>2275</v>
      </c>
      <c r="AK15" s="125">
        <f>Valores!C$38*B15</f>
        <v>0</v>
      </c>
      <c r="AL15" s="125">
        <f>IF($F$3="NO",0,Valores!$C$51)</f>
        <v>0</v>
      </c>
      <c r="AM15" s="125">
        <f t="shared" si="3"/>
        <v>7255.08</v>
      </c>
      <c r="AN15" s="125">
        <f>AH15*Valores!$C$67</f>
        <v>-29630.2182</v>
      </c>
      <c r="AO15" s="125">
        <f>AH15*-Valores!$C$68</f>
        <v>0</v>
      </c>
      <c r="AP15" s="125">
        <f>AH15*Valores!$C$69</f>
        <v>-12121.4529</v>
      </c>
      <c r="AQ15" s="125">
        <f>Valores!$C$96</f>
        <v>-280.91</v>
      </c>
      <c r="AR15" s="125">
        <f>IF($F$5=0,Valores!$C$97,(Valores!$C$97+$F$5*(Valores!$C$97)))</f>
        <v>-658</v>
      </c>
      <c r="AS15" s="125">
        <f t="shared" si="6"/>
        <v>233930.1189</v>
      </c>
      <c r="AT15" s="125">
        <f t="shared" si="0"/>
        <v>-29630.2182</v>
      </c>
      <c r="AU15" s="125">
        <f>AH15*Valores!$C$70</f>
        <v>-7272.87174</v>
      </c>
      <c r="AV15" s="125">
        <f>AH15*Valores!$C$71</f>
        <v>-808.09686</v>
      </c>
      <c r="AW15" s="125">
        <f t="shared" si="4"/>
        <v>238909.51320000002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3">
        <v>100</v>
      </c>
      <c r="F16" s="125">
        <f>ROUND(E16*Valores!$C$2,2)</f>
        <v>2141.88</v>
      </c>
      <c r="G16" s="193">
        <v>3727</v>
      </c>
      <c r="H16" s="125">
        <f>ROUND(G16*Valores!$C$2,2)</f>
        <v>79827.87</v>
      </c>
      <c r="I16" s="193">
        <v>219</v>
      </c>
      <c r="J16" s="125">
        <f>ROUND(I16*Valores!$C$2,2)</f>
        <v>4690.72</v>
      </c>
      <c r="K16" s="193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13800.58</v>
      </c>
      <c r="N16" s="125">
        <f t="shared" si="1"/>
        <v>0</v>
      </c>
      <c r="O16" s="125">
        <f>Valores!$C$11</f>
        <v>19098.54</v>
      </c>
      <c r="P16" s="125">
        <f>Valores!$D$5</f>
        <v>10949.29</v>
      </c>
      <c r="Q16" s="125">
        <v>0</v>
      </c>
      <c r="R16" s="125">
        <f>IF($F$4="NO",Valores!$C$44,Valores!$C$44/2)</f>
        <v>5343.37</v>
      </c>
      <c r="S16" s="125">
        <v>0</v>
      </c>
      <c r="T16" s="125">
        <f t="shared" si="7"/>
        <v>0</v>
      </c>
      <c r="U16" s="125">
        <f t="shared" si="8"/>
        <v>86660.47</v>
      </c>
      <c r="V16" s="125">
        <f t="shared" si="9"/>
        <v>34664.19</v>
      </c>
      <c r="W16" s="193">
        <v>0</v>
      </c>
      <c r="X16" s="125">
        <f>ROUND(W16*Valores!$C$2,2)</f>
        <v>0</v>
      </c>
      <c r="Y16" s="125">
        <v>0</v>
      </c>
      <c r="Z16" s="125">
        <f>Valores!$C$90</f>
        <v>4899.43</v>
      </c>
      <c r="AA16" s="125">
        <f>Valores!$C$25</f>
        <v>447.83</v>
      </c>
      <c r="AB16" s="215">
        <v>0</v>
      </c>
      <c r="AC16" s="125">
        <f t="shared" si="2"/>
        <v>0</v>
      </c>
      <c r="AD16" s="125">
        <f>Valores!$C$26</f>
        <v>447.83</v>
      </c>
      <c r="AE16" s="193">
        <v>0</v>
      </c>
      <c r="AF16" s="125">
        <f>ROUND(AE16*Valores!$C$2,2)</f>
        <v>0</v>
      </c>
      <c r="AG16" s="125">
        <f>ROUND(IF($F$4="NO",Valores!$C$59,Valores!$C$59/2),2)</f>
        <v>3171.17</v>
      </c>
      <c r="AH16" s="125">
        <f t="shared" si="5"/>
        <v>266143.17</v>
      </c>
      <c r="AI16" s="125">
        <f>Valores!$C$31</f>
        <v>4980.08</v>
      </c>
      <c r="AJ16" s="125">
        <f>Valores!$C$83</f>
        <v>2275</v>
      </c>
      <c r="AK16" s="125">
        <f>Valores!C$38*B16</f>
        <v>0</v>
      </c>
      <c r="AL16" s="125">
        <f>IF($F$3="NO",0,Valores!$C$51)</f>
        <v>0</v>
      </c>
      <c r="AM16" s="125">
        <f t="shared" si="3"/>
        <v>7255.08</v>
      </c>
      <c r="AN16" s="125">
        <f>AH16*Valores!$C$67</f>
        <v>-29275.7487</v>
      </c>
      <c r="AO16" s="125">
        <f>AH16*-Valores!$C$68</f>
        <v>0</v>
      </c>
      <c r="AP16" s="125">
        <f>AH16*Valores!$C$69</f>
        <v>-11976.442649999999</v>
      </c>
      <c r="AQ16" s="125">
        <f>Valores!$C$96</f>
        <v>-280.91</v>
      </c>
      <c r="AR16" s="125">
        <f>IF($F$5=0,Valores!$C$97,(Valores!$C$97+$F$5*(Valores!$C$97)))</f>
        <v>-658</v>
      </c>
      <c r="AS16" s="125">
        <f t="shared" si="6"/>
        <v>231207.14865</v>
      </c>
      <c r="AT16" s="125">
        <f t="shared" si="0"/>
        <v>-29275.7487</v>
      </c>
      <c r="AU16" s="125">
        <f>AH16*Valores!$C$70</f>
        <v>-7185.865589999999</v>
      </c>
      <c r="AV16" s="125">
        <f>AH16*Valores!$C$71</f>
        <v>-798.4295099999999</v>
      </c>
      <c r="AW16" s="125">
        <f t="shared" si="4"/>
        <v>236138.20620000002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3">
        <v>100</v>
      </c>
      <c r="F17" s="125">
        <f>ROUND(E17*Valores!$C$2,2)</f>
        <v>2141.88</v>
      </c>
      <c r="G17" s="193">
        <v>3727</v>
      </c>
      <c r="H17" s="125">
        <f>ROUND(G17*Valores!$C$2,2)</f>
        <v>79827.87</v>
      </c>
      <c r="I17" s="193">
        <v>219</v>
      </c>
      <c r="J17" s="125">
        <f>ROUND(I17*Valores!$C$2,2)</f>
        <v>4690.72</v>
      </c>
      <c r="K17" s="193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13800.58</v>
      </c>
      <c r="N17" s="125">
        <f t="shared" si="1"/>
        <v>0</v>
      </c>
      <c r="O17" s="125">
        <f>Valores!$C$11</f>
        <v>19098.54</v>
      </c>
      <c r="P17" s="125">
        <f>Valores!$D$5</f>
        <v>10949.29</v>
      </c>
      <c r="Q17" s="125">
        <v>0</v>
      </c>
      <c r="R17" s="125">
        <f>IF($F$4="NO",Valores!$C$44,Valores!$C$44/2)</f>
        <v>5343.37</v>
      </c>
      <c r="S17" s="125">
        <v>0</v>
      </c>
      <c r="T17" s="125">
        <f t="shared" si="7"/>
        <v>0</v>
      </c>
      <c r="U17" s="125">
        <f t="shared" si="8"/>
        <v>86660.47</v>
      </c>
      <c r="V17" s="125">
        <f t="shared" si="9"/>
        <v>34664.19</v>
      </c>
      <c r="W17" s="193">
        <v>0</v>
      </c>
      <c r="X17" s="125">
        <f>ROUND(W17*Valores!$C$2,2)</f>
        <v>0</v>
      </c>
      <c r="Y17" s="125">
        <v>0</v>
      </c>
      <c r="Z17" s="125">
        <f>Valores!$C$90</f>
        <v>4899.43</v>
      </c>
      <c r="AA17" s="125">
        <f>Valores!$C$25</f>
        <v>447.83</v>
      </c>
      <c r="AB17" s="215">
        <v>0</v>
      </c>
      <c r="AC17" s="125">
        <f t="shared" si="2"/>
        <v>0</v>
      </c>
      <c r="AD17" s="125">
        <f>Valores!$C$26</f>
        <v>447.83</v>
      </c>
      <c r="AE17" s="193">
        <v>0</v>
      </c>
      <c r="AF17" s="125">
        <f>ROUND(AE17*Valores!$C$2,2)</f>
        <v>0</v>
      </c>
      <c r="AG17" s="125">
        <f>ROUND(IF($F$4="NO",Valores!$C$59,Valores!$C$59/2),2)</f>
        <v>3171.17</v>
      </c>
      <c r="AH17" s="125">
        <f t="shared" si="5"/>
        <v>266143.17</v>
      </c>
      <c r="AI17" s="125">
        <f>Valores!$C$31</f>
        <v>4980.08</v>
      </c>
      <c r="AJ17" s="125">
        <f>Valores!$C$83</f>
        <v>2275</v>
      </c>
      <c r="AK17" s="125">
        <f>Valores!C$38*B17</f>
        <v>0</v>
      </c>
      <c r="AL17" s="125">
        <f>IF($F$3="NO",0,Valores!$C$51)</f>
        <v>0</v>
      </c>
      <c r="AM17" s="125">
        <f t="shared" si="3"/>
        <v>7255.08</v>
      </c>
      <c r="AN17" s="125">
        <f>AH17*Valores!$C$67</f>
        <v>-29275.7487</v>
      </c>
      <c r="AO17" s="125">
        <f>AH17*-Valores!$C$68</f>
        <v>0</v>
      </c>
      <c r="AP17" s="125">
        <f>AH17*Valores!$C$69</f>
        <v>-11976.442649999999</v>
      </c>
      <c r="AQ17" s="125">
        <f>Valores!$C$96</f>
        <v>-280.91</v>
      </c>
      <c r="AR17" s="125">
        <f>IF($F$5=0,Valores!$C$97,(Valores!$C$97+$F$5*(Valores!$C$97)))</f>
        <v>-658</v>
      </c>
      <c r="AS17" s="125">
        <f t="shared" si="6"/>
        <v>231207.14865</v>
      </c>
      <c r="AT17" s="125">
        <f t="shared" si="0"/>
        <v>-29275.7487</v>
      </c>
      <c r="AU17" s="125">
        <f>AH17*Valores!$C$70</f>
        <v>-7185.865589999999</v>
      </c>
      <c r="AV17" s="125">
        <f>AH17*Valores!$C$71</f>
        <v>-798.4295099999999</v>
      </c>
      <c r="AW17" s="125">
        <f t="shared" si="4"/>
        <v>236138.20620000002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3">
        <v>100</v>
      </c>
      <c r="F18" s="125">
        <f>ROUND(E18*Valores!$C$2,2)</f>
        <v>2141.88</v>
      </c>
      <c r="G18" s="193">
        <v>3727</v>
      </c>
      <c r="H18" s="125">
        <f>ROUND(G18*Valores!$C$2,2)</f>
        <v>79827.87</v>
      </c>
      <c r="I18" s="193">
        <v>219</v>
      </c>
      <c r="J18" s="125">
        <f>ROUND(I18*Valores!$C$2,2)</f>
        <v>4690.72</v>
      </c>
      <c r="K18" s="193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13800.58</v>
      </c>
      <c r="N18" s="125">
        <f t="shared" si="1"/>
        <v>0</v>
      </c>
      <c r="O18" s="125">
        <f>Valores!$C$11</f>
        <v>19098.54</v>
      </c>
      <c r="P18" s="125">
        <f>Valores!$D$5</f>
        <v>10949.29</v>
      </c>
      <c r="Q18" s="125">
        <v>0</v>
      </c>
      <c r="R18" s="125">
        <f>IF($F$4="NO",Valores!$C$44,Valores!$C$44/2)</f>
        <v>5343.37</v>
      </c>
      <c r="S18" s="125">
        <v>0</v>
      </c>
      <c r="T18" s="125">
        <f t="shared" si="7"/>
        <v>0</v>
      </c>
      <c r="U18" s="125">
        <f t="shared" si="8"/>
        <v>86660.47</v>
      </c>
      <c r="V18" s="125">
        <f t="shared" si="9"/>
        <v>34664.19</v>
      </c>
      <c r="W18" s="193">
        <v>0</v>
      </c>
      <c r="X18" s="125">
        <f>ROUND(W18*Valores!$C$2,2)</f>
        <v>0</v>
      </c>
      <c r="Y18" s="125">
        <v>0</v>
      </c>
      <c r="Z18" s="125">
        <f>Valores!$C$90</f>
        <v>4899.43</v>
      </c>
      <c r="AA18" s="125">
        <f>Valores!$C$25</f>
        <v>447.83</v>
      </c>
      <c r="AB18" s="215">
        <v>0</v>
      </c>
      <c r="AC18" s="125">
        <f t="shared" si="2"/>
        <v>0</v>
      </c>
      <c r="AD18" s="125">
        <f>Valores!$C$26</f>
        <v>447.83</v>
      </c>
      <c r="AE18" s="193">
        <v>0</v>
      </c>
      <c r="AF18" s="125">
        <f>ROUND(AE18*Valores!$C$2,2)</f>
        <v>0</v>
      </c>
      <c r="AG18" s="125">
        <f>ROUND(IF($F$4="NO",Valores!$C$59,Valores!$C$59/2),2)</f>
        <v>3171.17</v>
      </c>
      <c r="AH18" s="125">
        <f t="shared" si="5"/>
        <v>266143.17</v>
      </c>
      <c r="AI18" s="125">
        <f>Valores!$C$31</f>
        <v>4980.08</v>
      </c>
      <c r="AJ18" s="125">
        <f>Valores!$C$83</f>
        <v>2275</v>
      </c>
      <c r="AK18" s="125">
        <f>Valores!C$38*B18</f>
        <v>0</v>
      </c>
      <c r="AL18" s="125">
        <f>IF($F$3="NO",0,Valores!$C$51)</f>
        <v>0</v>
      </c>
      <c r="AM18" s="125">
        <f t="shared" si="3"/>
        <v>7255.08</v>
      </c>
      <c r="AN18" s="125">
        <f>AH18*Valores!$C$67</f>
        <v>-29275.7487</v>
      </c>
      <c r="AO18" s="125">
        <f>AH18*-Valores!$C$68</f>
        <v>0</v>
      </c>
      <c r="AP18" s="125">
        <f>AH18*Valores!$C$69</f>
        <v>-11976.442649999999</v>
      </c>
      <c r="AQ18" s="125">
        <f>Valores!$C$96</f>
        <v>-280.91</v>
      </c>
      <c r="AR18" s="125">
        <f>IF($F$5=0,Valores!$C$97,(Valores!$C$97+$F$5*(Valores!$C$97)))</f>
        <v>-658</v>
      </c>
      <c r="AS18" s="125">
        <f t="shared" si="6"/>
        <v>231207.14865</v>
      </c>
      <c r="AT18" s="125">
        <f t="shared" si="0"/>
        <v>-29275.7487</v>
      </c>
      <c r="AU18" s="125">
        <f>AH18*Valores!$C$70</f>
        <v>-7185.865589999999</v>
      </c>
      <c r="AV18" s="125">
        <f>AH18*Valores!$C$71</f>
        <v>-798.4295099999999</v>
      </c>
      <c r="AW18" s="125">
        <f t="shared" si="4"/>
        <v>236138.20620000002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3">
        <v>100</v>
      </c>
      <c r="F19" s="125">
        <f>ROUND(E19*Valores!$C$2,2)</f>
        <v>2141.88</v>
      </c>
      <c r="G19" s="193">
        <v>3727</v>
      </c>
      <c r="H19" s="125">
        <f>ROUND(G19*Valores!$C$2,2)</f>
        <v>79827.87</v>
      </c>
      <c r="I19" s="193">
        <v>219</v>
      </c>
      <c r="J19" s="125">
        <f>ROUND(I19*Valores!$C$2,2)</f>
        <v>4690.72</v>
      </c>
      <c r="K19" s="193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13800.58</v>
      </c>
      <c r="N19" s="125">
        <f t="shared" si="1"/>
        <v>0</v>
      </c>
      <c r="O19" s="125">
        <f>Valores!$C$11</f>
        <v>19098.54</v>
      </c>
      <c r="P19" s="125">
        <f>Valores!$D$5</f>
        <v>10949.29</v>
      </c>
      <c r="Q19" s="125">
        <v>0</v>
      </c>
      <c r="R19" s="125">
        <f>IF($F$4="NO",Valores!$C$44,Valores!$C$44/2)</f>
        <v>5343.37</v>
      </c>
      <c r="S19" s="125">
        <v>0</v>
      </c>
      <c r="T19" s="125">
        <f t="shared" si="7"/>
        <v>0</v>
      </c>
      <c r="U19" s="125">
        <f t="shared" si="8"/>
        <v>86660.47</v>
      </c>
      <c r="V19" s="125">
        <f t="shared" si="9"/>
        <v>34664.19</v>
      </c>
      <c r="W19" s="193">
        <v>0</v>
      </c>
      <c r="X19" s="125">
        <f>ROUND(W19*Valores!$C$2,2)</f>
        <v>0</v>
      </c>
      <c r="Y19" s="125">
        <v>0</v>
      </c>
      <c r="Z19" s="125">
        <f>Valores!$C$90</f>
        <v>4899.43</v>
      </c>
      <c r="AA19" s="125">
        <f>Valores!$C$25</f>
        <v>447.83</v>
      </c>
      <c r="AB19" s="215">
        <v>0</v>
      </c>
      <c r="AC19" s="125">
        <f t="shared" si="2"/>
        <v>0</v>
      </c>
      <c r="AD19" s="125">
        <f>Valores!$C$26</f>
        <v>447.83</v>
      </c>
      <c r="AE19" s="193">
        <v>0</v>
      </c>
      <c r="AF19" s="125">
        <f>ROUND(AE19*Valores!$C$2,2)</f>
        <v>0</v>
      </c>
      <c r="AG19" s="125">
        <f>ROUND(IF($F$4="NO",Valores!$C$59,Valores!$C$59/2),2)</f>
        <v>3171.17</v>
      </c>
      <c r="AH19" s="125">
        <f t="shared" si="5"/>
        <v>266143.17</v>
      </c>
      <c r="AI19" s="125">
        <f>Valores!$C$31</f>
        <v>4980.08</v>
      </c>
      <c r="AJ19" s="125">
        <f>Valores!$C$83</f>
        <v>2275</v>
      </c>
      <c r="AK19" s="125">
        <f>Valores!C$38*B19</f>
        <v>0</v>
      </c>
      <c r="AL19" s="125">
        <f>IF($F$3="NO",0,Valores!$C$51)</f>
        <v>0</v>
      </c>
      <c r="AM19" s="125">
        <f t="shared" si="3"/>
        <v>7255.08</v>
      </c>
      <c r="AN19" s="125">
        <f>AH19*Valores!$C$67</f>
        <v>-29275.7487</v>
      </c>
      <c r="AO19" s="125">
        <f>AH19*-Valores!$C$68</f>
        <v>0</v>
      </c>
      <c r="AP19" s="125">
        <f>AH19*Valores!$C$69</f>
        <v>-11976.442649999999</v>
      </c>
      <c r="AQ19" s="125">
        <f>Valores!$C$96</f>
        <v>-280.91</v>
      </c>
      <c r="AR19" s="125">
        <f>IF($F$5=0,Valores!$C$97,(Valores!$C$97+$F$5*(Valores!$C$97)))</f>
        <v>-658</v>
      </c>
      <c r="AS19" s="125">
        <f t="shared" si="6"/>
        <v>231207.14865</v>
      </c>
      <c r="AT19" s="125">
        <f t="shared" si="0"/>
        <v>-29275.7487</v>
      </c>
      <c r="AU19" s="125">
        <f>AH19*Valores!$C$70</f>
        <v>-7185.865589999999</v>
      </c>
      <c r="AV19" s="125">
        <f>AH19*Valores!$C$71</f>
        <v>-798.4295099999999</v>
      </c>
      <c r="AW19" s="125">
        <f t="shared" si="4"/>
        <v>236138.20620000002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3">
        <v>100</v>
      </c>
      <c r="F20" s="125">
        <f>ROUND(E20*Valores!$C$2,2)</f>
        <v>2141.88</v>
      </c>
      <c r="G20" s="193">
        <v>3727</v>
      </c>
      <c r="H20" s="125">
        <f>ROUND(G20*Valores!$C$2,2)</f>
        <v>79827.87</v>
      </c>
      <c r="I20" s="193">
        <v>219</v>
      </c>
      <c r="J20" s="125">
        <f>ROUND(I20*Valores!$C$2,2)</f>
        <v>4690.72</v>
      </c>
      <c r="K20" s="193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13800.58</v>
      </c>
      <c r="N20" s="125">
        <f t="shared" si="1"/>
        <v>0</v>
      </c>
      <c r="O20" s="125">
        <f>Valores!$C$11</f>
        <v>19098.54</v>
      </c>
      <c r="P20" s="125">
        <f>Valores!$D$5</f>
        <v>10949.29</v>
      </c>
      <c r="Q20" s="125">
        <v>0</v>
      </c>
      <c r="R20" s="125">
        <f>IF($F$4="NO",Valores!$C$44,Valores!$C$44/2)</f>
        <v>5343.37</v>
      </c>
      <c r="S20" s="125">
        <v>0</v>
      </c>
      <c r="T20" s="125">
        <f t="shared" si="7"/>
        <v>0</v>
      </c>
      <c r="U20" s="125">
        <f t="shared" si="8"/>
        <v>86660.47</v>
      </c>
      <c r="V20" s="125">
        <f t="shared" si="9"/>
        <v>34664.19</v>
      </c>
      <c r="W20" s="193">
        <v>0</v>
      </c>
      <c r="X20" s="125">
        <f>ROUND(W20*Valores!$C$2,2)</f>
        <v>0</v>
      </c>
      <c r="Y20" s="125">
        <v>0</v>
      </c>
      <c r="Z20" s="125">
        <f>Valores!$C$90</f>
        <v>4899.43</v>
      </c>
      <c r="AA20" s="125">
        <f>Valores!$C$25</f>
        <v>447.83</v>
      </c>
      <c r="AB20" s="215">
        <v>0</v>
      </c>
      <c r="AC20" s="125">
        <f t="shared" si="2"/>
        <v>0</v>
      </c>
      <c r="AD20" s="125">
        <f>Valores!$C$26</f>
        <v>447.83</v>
      </c>
      <c r="AE20" s="193">
        <v>0</v>
      </c>
      <c r="AF20" s="125">
        <f>ROUND(AE20*Valores!$C$2,2)</f>
        <v>0</v>
      </c>
      <c r="AG20" s="125">
        <f>ROUND(IF($F$4="NO",Valores!$C$59,Valores!$C$59/2),2)</f>
        <v>3171.17</v>
      </c>
      <c r="AH20" s="125">
        <f t="shared" si="5"/>
        <v>266143.17</v>
      </c>
      <c r="AI20" s="125">
        <f>Valores!$C$31</f>
        <v>4980.08</v>
      </c>
      <c r="AJ20" s="125">
        <f>Valores!$C$83</f>
        <v>2275</v>
      </c>
      <c r="AK20" s="125">
        <f>Valores!C$38*B20</f>
        <v>0</v>
      </c>
      <c r="AL20" s="125">
        <f>IF($F$3="NO",0,Valores!$C$51)</f>
        <v>0</v>
      </c>
      <c r="AM20" s="125">
        <f t="shared" si="3"/>
        <v>7255.08</v>
      </c>
      <c r="AN20" s="125">
        <f>AH20*Valores!$C$67</f>
        <v>-29275.7487</v>
      </c>
      <c r="AO20" s="125">
        <f>AH20*-Valores!$C$68</f>
        <v>0</v>
      </c>
      <c r="AP20" s="125">
        <f>AH20*Valores!$C$69</f>
        <v>-11976.442649999999</v>
      </c>
      <c r="AQ20" s="125">
        <f>Valores!$C$96</f>
        <v>-280.91</v>
      </c>
      <c r="AR20" s="125">
        <f>IF($F$5=0,Valores!$C$97,(Valores!$C$97+$F$5*(Valores!$C$97)))</f>
        <v>-658</v>
      </c>
      <c r="AS20" s="125">
        <f t="shared" si="6"/>
        <v>231207.14865</v>
      </c>
      <c r="AT20" s="125">
        <f t="shared" si="0"/>
        <v>-29275.7487</v>
      </c>
      <c r="AU20" s="125">
        <f>AH20*Valores!$C$70</f>
        <v>-7185.865589999999</v>
      </c>
      <c r="AV20" s="125">
        <f>AH20*Valores!$C$71</f>
        <v>-798.4295099999999</v>
      </c>
      <c r="AW20" s="125">
        <f t="shared" si="4"/>
        <v>236138.20620000002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3">
        <v>107</v>
      </c>
      <c r="F21" s="125">
        <f>ROUND(E21*Valores!$C$2,2)</f>
        <v>2291.81</v>
      </c>
      <c r="G21" s="193">
        <v>3720</v>
      </c>
      <c r="H21" s="125">
        <f>ROUND(G21*Valores!$C$2,2)</f>
        <v>79677.94</v>
      </c>
      <c r="I21" s="193">
        <v>1226</v>
      </c>
      <c r="J21" s="125">
        <f>ROUND(I21*Valores!$C$2,2)</f>
        <v>26259.45</v>
      </c>
      <c r="K21" s="193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18564.16</v>
      </c>
      <c r="N21" s="125">
        <f t="shared" si="1"/>
        <v>0</v>
      </c>
      <c r="O21" s="125">
        <f>Valores!$C$12</f>
        <v>44887.29</v>
      </c>
      <c r="P21" s="125">
        <f>Valores!$D$5</f>
        <v>10949.29</v>
      </c>
      <c r="Q21" s="125">
        <v>0</v>
      </c>
      <c r="R21" s="125">
        <f>IF($F$4="NO",Valores!$C$44,Valores!$C$44/2)</f>
        <v>5343.37</v>
      </c>
      <c r="S21" s="125">
        <f>Valores!$C$19</f>
        <v>10188.49</v>
      </c>
      <c r="T21" s="125">
        <f t="shared" si="7"/>
        <v>10188.49</v>
      </c>
      <c r="U21" s="125">
        <v>0</v>
      </c>
      <c r="V21" s="125">
        <v>0</v>
      </c>
      <c r="W21" s="193">
        <v>0</v>
      </c>
      <c r="X21" s="125">
        <f>ROUND(W21*Valores!$C$2,2)</f>
        <v>0</v>
      </c>
      <c r="Y21" s="125">
        <v>0</v>
      </c>
      <c r="Z21" s="125">
        <f>Valores!$C$92</f>
        <v>9798.86</v>
      </c>
      <c r="AA21" s="125">
        <f>Valores!$C$25</f>
        <v>447.83</v>
      </c>
      <c r="AB21" s="215">
        <v>0</v>
      </c>
      <c r="AC21" s="125">
        <f t="shared" si="2"/>
        <v>0</v>
      </c>
      <c r="AD21" s="125">
        <f>Valores!$C$26</f>
        <v>447.83</v>
      </c>
      <c r="AE21" s="193">
        <v>0</v>
      </c>
      <c r="AF21" s="125">
        <f>ROUND(AE21*Valores!$C$2,2)</f>
        <v>0</v>
      </c>
      <c r="AG21" s="125">
        <f>ROUND(IF($F$4="NO",Valores!$C$59,Valores!$C$59/2),2)</f>
        <v>3171.17</v>
      </c>
      <c r="AH21" s="125">
        <f t="shared" si="5"/>
        <v>212027.48999999996</v>
      </c>
      <c r="AI21" s="125">
        <f>Valores!$C$31</f>
        <v>4980.08</v>
      </c>
      <c r="AJ21" s="125">
        <f>Valores!$C$85</f>
        <v>4550</v>
      </c>
      <c r="AK21" s="125">
        <f>Valores!C$38*B21</f>
        <v>0</v>
      </c>
      <c r="AL21" s="125">
        <f>IF($F$3="NO",0,Valores!$C$51)</f>
        <v>0</v>
      </c>
      <c r="AM21" s="125">
        <f t="shared" si="3"/>
        <v>9530.08</v>
      </c>
      <c r="AN21" s="125">
        <f>AH21*Valores!$C$67</f>
        <v>-23323.023899999997</v>
      </c>
      <c r="AO21" s="125">
        <f>AH21*-Valores!$C$68</f>
        <v>0</v>
      </c>
      <c r="AP21" s="125">
        <f>AH21*Valores!$C$69</f>
        <v>-9541.237049999998</v>
      </c>
      <c r="AQ21" s="125">
        <f>Valores!$C$96</f>
        <v>-280.91</v>
      </c>
      <c r="AR21" s="125">
        <f>IF($F$5=0,Valores!$C$97,(Valores!$C$97+$F$5*(Valores!$C$97)))</f>
        <v>-658</v>
      </c>
      <c r="AS21" s="125">
        <f t="shared" si="6"/>
        <v>187754.39904999998</v>
      </c>
      <c r="AT21" s="125">
        <f t="shared" si="0"/>
        <v>-23323.023899999997</v>
      </c>
      <c r="AU21" s="125">
        <f>AH21*Valores!$C$70</f>
        <v>-5724.742229999999</v>
      </c>
      <c r="AV21" s="125">
        <f>AH21*Valores!$C$71</f>
        <v>-636.08247</v>
      </c>
      <c r="AW21" s="125">
        <f t="shared" si="4"/>
        <v>191873.72139999995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3">
        <v>100</v>
      </c>
      <c r="F22" s="125">
        <f>ROUND(E22*Valores!$C$2,2)</f>
        <v>2141.88</v>
      </c>
      <c r="G22" s="193">
        <v>3727</v>
      </c>
      <c r="H22" s="125">
        <f>ROUND(G22*Valores!$C$2,2)</f>
        <v>79827.87</v>
      </c>
      <c r="I22" s="193">
        <v>219</v>
      </c>
      <c r="J22" s="125">
        <f>ROUND(I22*Valores!$C$2,2)</f>
        <v>4690.72</v>
      </c>
      <c r="K22" s="193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13800.58</v>
      </c>
      <c r="N22" s="125">
        <f t="shared" si="1"/>
        <v>0</v>
      </c>
      <c r="O22" s="125">
        <f>Valores!$C$11</f>
        <v>19098.54</v>
      </c>
      <c r="P22" s="125">
        <f>Valores!$D$5</f>
        <v>10949.29</v>
      </c>
      <c r="Q22" s="125">
        <v>0</v>
      </c>
      <c r="R22" s="125">
        <f>IF($F$4="NO",Valores!$C$44,Valores!$C$44/2)</f>
        <v>5343.37</v>
      </c>
      <c r="S22" s="125">
        <v>0</v>
      </c>
      <c r="T22" s="125">
        <f t="shared" si="7"/>
        <v>0</v>
      </c>
      <c r="U22" s="125">
        <f>SUM(F22,H22,J22)</f>
        <v>86660.47</v>
      </c>
      <c r="V22" s="125">
        <f>INT((SUM(F22,H22,J22)*0.4*100)+0.49)/100</f>
        <v>34664.19</v>
      </c>
      <c r="W22" s="193">
        <v>0</v>
      </c>
      <c r="X22" s="125">
        <f>ROUND(W22*Valores!$C$2,2)</f>
        <v>0</v>
      </c>
      <c r="Y22" s="125">
        <v>0</v>
      </c>
      <c r="Z22" s="125">
        <f>Valores!$C$90</f>
        <v>4899.43</v>
      </c>
      <c r="AA22" s="125">
        <f>Valores!$C$25</f>
        <v>447.83</v>
      </c>
      <c r="AB22" s="215">
        <v>0</v>
      </c>
      <c r="AC22" s="125">
        <f t="shared" si="2"/>
        <v>0</v>
      </c>
      <c r="AD22" s="125">
        <f>Valores!$C$26</f>
        <v>447.83</v>
      </c>
      <c r="AE22" s="193">
        <v>0</v>
      </c>
      <c r="AF22" s="125">
        <f>ROUND(AE22*Valores!$C$2,2)</f>
        <v>0</v>
      </c>
      <c r="AG22" s="125">
        <f>ROUND(IF($F$4="NO",Valores!$C$59,Valores!$C$59/2),2)</f>
        <v>3171.17</v>
      </c>
      <c r="AH22" s="125">
        <f t="shared" si="5"/>
        <v>266143.17</v>
      </c>
      <c r="AI22" s="125">
        <f>Valores!$C$31</f>
        <v>4980.08</v>
      </c>
      <c r="AJ22" s="125">
        <f>Valores!$C$83</f>
        <v>2275</v>
      </c>
      <c r="AK22" s="125">
        <f>Valores!C$38*B22</f>
        <v>0</v>
      </c>
      <c r="AL22" s="125">
        <f>IF($F$3="NO",0,Valores!$C$51)</f>
        <v>0</v>
      </c>
      <c r="AM22" s="125">
        <f t="shared" si="3"/>
        <v>7255.08</v>
      </c>
      <c r="AN22" s="125">
        <f>AH22*Valores!$C$67</f>
        <v>-29275.7487</v>
      </c>
      <c r="AO22" s="125">
        <f>AH22*-Valores!$C$68</f>
        <v>0</v>
      </c>
      <c r="AP22" s="125">
        <f>AH22*Valores!$C$69</f>
        <v>-11976.442649999999</v>
      </c>
      <c r="AQ22" s="125">
        <f>Valores!$C$96</f>
        <v>-280.91</v>
      </c>
      <c r="AR22" s="125">
        <f>IF($F$5=0,Valores!$C$97,(Valores!$C$97+$F$5*(Valores!$C$97)))</f>
        <v>-658</v>
      </c>
      <c r="AS22" s="125">
        <f t="shared" si="6"/>
        <v>231207.14865</v>
      </c>
      <c r="AT22" s="125">
        <f t="shared" si="0"/>
        <v>-29275.7487</v>
      </c>
      <c r="AU22" s="125">
        <f>AH22*Valores!$C$70</f>
        <v>-7185.865589999999</v>
      </c>
      <c r="AV22" s="125">
        <f>AH22*Valores!$C$71</f>
        <v>-798.4295099999999</v>
      </c>
      <c r="AW22" s="125">
        <f t="shared" si="4"/>
        <v>236138.20620000002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3">
        <v>100</v>
      </c>
      <c r="F23" s="125">
        <f>ROUND(E23*Valores!$C$2,2)</f>
        <v>2141.88</v>
      </c>
      <c r="G23" s="193">
        <v>3727</v>
      </c>
      <c r="H23" s="125">
        <f>ROUND(G23*Valores!$C$2,2)</f>
        <v>79827.87</v>
      </c>
      <c r="I23" s="193">
        <v>219</v>
      </c>
      <c r="J23" s="125">
        <f>ROUND(I23*Valores!$C$2,2)</f>
        <v>4690.72</v>
      </c>
      <c r="K23" s="193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13800.58</v>
      </c>
      <c r="N23" s="125">
        <f t="shared" si="1"/>
        <v>0</v>
      </c>
      <c r="O23" s="125">
        <f>Valores!$C$11</f>
        <v>19098.54</v>
      </c>
      <c r="P23" s="125">
        <f>Valores!$D$5</f>
        <v>10949.29</v>
      </c>
      <c r="Q23" s="125">
        <v>0</v>
      </c>
      <c r="R23" s="125">
        <f>IF($F$4="NO",Valores!$C$44,Valores!$C$44/2)</f>
        <v>5343.37</v>
      </c>
      <c r="S23" s="125">
        <v>0</v>
      </c>
      <c r="T23" s="125">
        <f t="shared" si="7"/>
        <v>0</v>
      </c>
      <c r="U23" s="125">
        <f>SUM(F23,H23,J23)</f>
        <v>86660.47</v>
      </c>
      <c r="V23" s="125">
        <f>INT((SUM(F23,H23,J23)*0.4*100)+0.49)/100</f>
        <v>34664.19</v>
      </c>
      <c r="W23" s="193">
        <v>0</v>
      </c>
      <c r="X23" s="125">
        <f>ROUND(W23*Valores!$C$2,2)</f>
        <v>0</v>
      </c>
      <c r="Y23" s="125">
        <v>0</v>
      </c>
      <c r="Z23" s="125">
        <f>Valores!$C$90</f>
        <v>4899.43</v>
      </c>
      <c r="AA23" s="125">
        <f>Valores!$C$25</f>
        <v>447.83</v>
      </c>
      <c r="AB23" s="215">
        <v>0</v>
      </c>
      <c r="AC23" s="125">
        <f t="shared" si="2"/>
        <v>0</v>
      </c>
      <c r="AD23" s="125">
        <f>Valores!$C$26</f>
        <v>447.83</v>
      </c>
      <c r="AE23" s="193">
        <v>0</v>
      </c>
      <c r="AF23" s="125">
        <f>ROUND(AE23*Valores!$C$2,2)</f>
        <v>0</v>
      </c>
      <c r="AG23" s="125">
        <f>ROUND(IF($F$4="NO",Valores!$C$59,Valores!$C$59/2),2)</f>
        <v>3171.17</v>
      </c>
      <c r="AH23" s="125">
        <f t="shared" si="5"/>
        <v>266143.17</v>
      </c>
      <c r="AI23" s="125">
        <f>Valores!$C$31</f>
        <v>4980.08</v>
      </c>
      <c r="AJ23" s="125">
        <f>Valores!$C$83</f>
        <v>2275</v>
      </c>
      <c r="AK23" s="125">
        <f>Valores!C$38*B23</f>
        <v>0</v>
      </c>
      <c r="AL23" s="125">
        <f>IF($F$3="NO",0,Valores!$C$51)</f>
        <v>0</v>
      </c>
      <c r="AM23" s="125">
        <f t="shared" si="3"/>
        <v>7255.08</v>
      </c>
      <c r="AN23" s="125">
        <f>AH23*Valores!$C$67</f>
        <v>-29275.7487</v>
      </c>
      <c r="AO23" s="125">
        <f>AH23*-Valores!$C$68</f>
        <v>0</v>
      </c>
      <c r="AP23" s="125">
        <f>AH23*Valores!$C$69</f>
        <v>-11976.442649999999</v>
      </c>
      <c r="AQ23" s="125">
        <f>Valores!$C$96</f>
        <v>-280.91</v>
      </c>
      <c r="AR23" s="125">
        <f>IF($F$5=0,Valores!$C$97,(Valores!$C$97+$F$5*(Valores!$C$97)))</f>
        <v>-658</v>
      </c>
      <c r="AS23" s="125">
        <f t="shared" si="6"/>
        <v>231207.14865</v>
      </c>
      <c r="AT23" s="125">
        <f t="shared" si="0"/>
        <v>-29275.7487</v>
      </c>
      <c r="AU23" s="125">
        <f>AH23*Valores!$C$70</f>
        <v>-7185.865589999999</v>
      </c>
      <c r="AV23" s="125">
        <f>AH23*Valores!$C$71</f>
        <v>-798.4295099999999</v>
      </c>
      <c r="AW23" s="125">
        <f t="shared" si="4"/>
        <v>236138.20620000002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3">
        <v>100</v>
      </c>
      <c r="F24" s="125">
        <f>ROUND(E24*Valores!$C$2,2)</f>
        <v>2141.88</v>
      </c>
      <c r="G24" s="193">
        <v>3727</v>
      </c>
      <c r="H24" s="125">
        <f>ROUND(G24*Valores!$C$2,2)</f>
        <v>79827.87</v>
      </c>
      <c r="I24" s="193">
        <v>219</v>
      </c>
      <c r="J24" s="125">
        <f>ROUND(I24*Valores!$C$2,2)</f>
        <v>4690.72</v>
      </c>
      <c r="K24" s="193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13800.58</v>
      </c>
      <c r="N24" s="125">
        <f t="shared" si="1"/>
        <v>0</v>
      </c>
      <c r="O24" s="125">
        <f>Valores!$C$11</f>
        <v>19098.54</v>
      </c>
      <c r="P24" s="125">
        <f>Valores!$D$5</f>
        <v>10949.29</v>
      </c>
      <c r="Q24" s="125">
        <v>0</v>
      </c>
      <c r="R24" s="125">
        <f>IF($F$4="NO",Valores!$C$44,Valores!$C$44/2)</f>
        <v>5343.37</v>
      </c>
      <c r="S24" s="125">
        <v>0</v>
      </c>
      <c r="T24" s="125">
        <f t="shared" si="7"/>
        <v>0</v>
      </c>
      <c r="U24" s="125">
        <f>SUM(F24,H24,J24)</f>
        <v>86660.47</v>
      </c>
      <c r="V24" s="125">
        <f>INT((SUM(F24,H24,J24)*0.4*100)+0.49)/100</f>
        <v>34664.19</v>
      </c>
      <c r="W24" s="193">
        <v>0</v>
      </c>
      <c r="X24" s="125">
        <f>ROUND(W24*Valores!$C$2,2)</f>
        <v>0</v>
      </c>
      <c r="Y24" s="125">
        <v>0</v>
      </c>
      <c r="Z24" s="125">
        <f>Valores!$C$90</f>
        <v>4899.43</v>
      </c>
      <c r="AA24" s="125">
        <f>Valores!$C$25</f>
        <v>447.83</v>
      </c>
      <c r="AB24" s="215">
        <v>0</v>
      </c>
      <c r="AC24" s="125">
        <f t="shared" si="2"/>
        <v>0</v>
      </c>
      <c r="AD24" s="125">
        <f>Valores!$C$26</f>
        <v>447.83</v>
      </c>
      <c r="AE24" s="193">
        <v>0</v>
      </c>
      <c r="AF24" s="125">
        <f>ROUND(AE24*Valores!$C$2,2)</f>
        <v>0</v>
      </c>
      <c r="AG24" s="125">
        <f>ROUND(IF($F$4="NO",Valores!$C$59,Valores!$C$59/2),2)</f>
        <v>3171.17</v>
      </c>
      <c r="AH24" s="125">
        <f t="shared" si="5"/>
        <v>266143.17</v>
      </c>
      <c r="AI24" s="125">
        <f>Valores!$C$31</f>
        <v>4980.08</v>
      </c>
      <c r="AJ24" s="125">
        <f>Valores!$C$83</f>
        <v>2275</v>
      </c>
      <c r="AK24" s="125">
        <f>Valores!C$38*B24</f>
        <v>0</v>
      </c>
      <c r="AL24" s="125">
        <f>IF($F$3="NO",0,Valores!$C$51)</f>
        <v>0</v>
      </c>
      <c r="AM24" s="125">
        <f t="shared" si="3"/>
        <v>7255.08</v>
      </c>
      <c r="AN24" s="125">
        <f>AH24*Valores!$C$67</f>
        <v>-29275.7487</v>
      </c>
      <c r="AO24" s="125">
        <f>AH24*-Valores!$C$68</f>
        <v>0</v>
      </c>
      <c r="AP24" s="125">
        <f>AH24*Valores!$C$69</f>
        <v>-11976.442649999999</v>
      </c>
      <c r="AQ24" s="125">
        <f>Valores!$C$96</f>
        <v>-280.91</v>
      </c>
      <c r="AR24" s="125">
        <f>IF($F$5=0,Valores!$C$97,(Valores!$C$97+$F$5*(Valores!$C$97)))</f>
        <v>-658</v>
      </c>
      <c r="AS24" s="125">
        <f t="shared" si="6"/>
        <v>231207.14865</v>
      </c>
      <c r="AT24" s="125">
        <f t="shared" si="0"/>
        <v>-29275.7487</v>
      </c>
      <c r="AU24" s="125">
        <f>AH24*Valores!$C$70</f>
        <v>-7185.865589999999</v>
      </c>
      <c r="AV24" s="125">
        <f>AH24*Valores!$C$71</f>
        <v>-798.4295099999999</v>
      </c>
      <c r="AW24" s="125">
        <f t="shared" si="4"/>
        <v>236138.20620000002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3">
        <v>96</v>
      </c>
      <c r="F25" s="125">
        <f>ROUND(E25*Valores!$C$2,2)</f>
        <v>2056.2</v>
      </c>
      <c r="G25" s="193">
        <v>3737</v>
      </c>
      <c r="H25" s="125">
        <f>ROUND(G25*Valores!$C$2,2)</f>
        <v>80042.06</v>
      </c>
      <c r="I25" s="193">
        <v>1220</v>
      </c>
      <c r="J25" s="125">
        <f>ROUND(I25*Valores!$C$2,2)</f>
        <v>26130.94</v>
      </c>
      <c r="K25" s="193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18564.16</v>
      </c>
      <c r="N25" s="125">
        <f t="shared" si="1"/>
        <v>0</v>
      </c>
      <c r="O25" s="125">
        <f>Valores!$C$12</f>
        <v>44887.29</v>
      </c>
      <c r="P25" s="125">
        <f>Valores!$D$5</f>
        <v>10949.29</v>
      </c>
      <c r="Q25" s="125">
        <v>0</v>
      </c>
      <c r="R25" s="125">
        <f>IF($F$4="NO",Valores!$C$44,Valores!$C$44/2)</f>
        <v>5343.37</v>
      </c>
      <c r="S25" s="125">
        <f>Valores!$C$19</f>
        <v>10188.49</v>
      </c>
      <c r="T25" s="125">
        <f t="shared" si="7"/>
        <v>10188.49</v>
      </c>
      <c r="U25" s="125">
        <v>0</v>
      </c>
      <c r="V25" s="125">
        <v>0</v>
      </c>
      <c r="W25" s="193">
        <v>0</v>
      </c>
      <c r="X25" s="125">
        <f>ROUND(W25*Valores!$C$2,2)</f>
        <v>0</v>
      </c>
      <c r="Y25" s="125">
        <v>0</v>
      </c>
      <c r="Z25" s="125">
        <f>Valores!$C$92</f>
        <v>9798.86</v>
      </c>
      <c r="AA25" s="125">
        <f>Valores!$C$25</f>
        <v>447.83</v>
      </c>
      <c r="AB25" s="215">
        <v>0</v>
      </c>
      <c r="AC25" s="125">
        <f t="shared" si="2"/>
        <v>0</v>
      </c>
      <c r="AD25" s="125">
        <f>Valores!$C$26</f>
        <v>447.83</v>
      </c>
      <c r="AE25" s="193">
        <v>0</v>
      </c>
      <c r="AF25" s="125">
        <f>ROUND(AE25*Valores!$C$2,2)</f>
        <v>0</v>
      </c>
      <c r="AG25" s="125">
        <f>ROUND(IF($F$4="NO",Valores!$C$59,Valores!$C$59/2),2)</f>
        <v>3171.17</v>
      </c>
      <c r="AH25" s="125">
        <f t="shared" si="5"/>
        <v>212027.48999999996</v>
      </c>
      <c r="AI25" s="125">
        <f>Valores!$C$31</f>
        <v>4980.08</v>
      </c>
      <c r="AJ25" s="125">
        <f>Valores!$C$85</f>
        <v>4550</v>
      </c>
      <c r="AK25" s="125">
        <f>Valores!C$38*B25</f>
        <v>0</v>
      </c>
      <c r="AL25" s="125">
        <f>IF($F$3="NO",0,Valores!$C$51)</f>
        <v>0</v>
      </c>
      <c r="AM25" s="125">
        <f t="shared" si="3"/>
        <v>9530.08</v>
      </c>
      <c r="AN25" s="125">
        <f>AH25*Valores!$C$67</f>
        <v>-23323.023899999997</v>
      </c>
      <c r="AO25" s="125">
        <f>AH25*-Valores!$C$68</f>
        <v>0</v>
      </c>
      <c r="AP25" s="125">
        <f>AH25*Valores!$C$69</f>
        <v>-9541.237049999998</v>
      </c>
      <c r="AQ25" s="125">
        <f>Valores!$C$96</f>
        <v>-280.91</v>
      </c>
      <c r="AR25" s="125">
        <f>IF($F$5=0,Valores!$C$97,(Valores!$C$97+$F$5*(Valores!$C$97)))</f>
        <v>-658</v>
      </c>
      <c r="AS25" s="125">
        <f t="shared" si="6"/>
        <v>187754.39904999998</v>
      </c>
      <c r="AT25" s="125">
        <f t="shared" si="0"/>
        <v>-23323.023899999997</v>
      </c>
      <c r="AU25" s="125">
        <f>AH25*Valores!$C$70</f>
        <v>-5724.742229999999</v>
      </c>
      <c r="AV25" s="125">
        <f>AH25*Valores!$C$71</f>
        <v>-636.08247</v>
      </c>
      <c r="AW25" s="125">
        <f t="shared" si="4"/>
        <v>191873.72139999995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3">
        <v>96</v>
      </c>
      <c r="F26" s="125">
        <f>ROUND(E26*Valores!$C$2,2)</f>
        <v>2056.2</v>
      </c>
      <c r="G26" s="193">
        <v>3737</v>
      </c>
      <c r="H26" s="125">
        <f>ROUND(G26*Valores!$C$2,2)</f>
        <v>80042.06</v>
      </c>
      <c r="I26" s="193">
        <v>1220</v>
      </c>
      <c r="J26" s="125">
        <f>ROUND(I26*Valores!$C$2,2)</f>
        <v>26130.94</v>
      </c>
      <c r="K26" s="193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18564.16</v>
      </c>
      <c r="N26" s="125">
        <f t="shared" si="1"/>
        <v>0</v>
      </c>
      <c r="O26" s="125">
        <f>Valores!$C$12</f>
        <v>44887.29</v>
      </c>
      <c r="P26" s="125">
        <f>Valores!$D$5</f>
        <v>10949.29</v>
      </c>
      <c r="Q26" s="125">
        <v>0</v>
      </c>
      <c r="R26" s="125">
        <f>IF($F$4="NO",Valores!$C$44,Valores!$C$44/2)</f>
        <v>5343.37</v>
      </c>
      <c r="S26" s="125">
        <f>Valores!$C$19</f>
        <v>10188.49</v>
      </c>
      <c r="T26" s="125">
        <f t="shared" si="7"/>
        <v>10188.49</v>
      </c>
      <c r="U26" s="125">
        <v>0</v>
      </c>
      <c r="V26" s="125">
        <v>0</v>
      </c>
      <c r="W26" s="193">
        <v>0</v>
      </c>
      <c r="X26" s="125">
        <f>ROUND(W26*Valores!$C$2,2)</f>
        <v>0</v>
      </c>
      <c r="Y26" s="125">
        <v>0</v>
      </c>
      <c r="Z26" s="125">
        <f>Valores!$C$92</f>
        <v>9798.86</v>
      </c>
      <c r="AA26" s="125">
        <f>Valores!$C$25</f>
        <v>447.83</v>
      </c>
      <c r="AB26" s="215">
        <v>0</v>
      </c>
      <c r="AC26" s="125">
        <f t="shared" si="2"/>
        <v>0</v>
      </c>
      <c r="AD26" s="125">
        <f>Valores!$C$26</f>
        <v>447.83</v>
      </c>
      <c r="AE26" s="193">
        <v>0</v>
      </c>
      <c r="AF26" s="125">
        <f>ROUND(AE26*Valores!$C$2,2)</f>
        <v>0</v>
      </c>
      <c r="AG26" s="125">
        <f>ROUND(IF($F$4="NO",Valores!$C$59,Valores!$C$59/2),2)</f>
        <v>3171.17</v>
      </c>
      <c r="AH26" s="125">
        <f t="shared" si="5"/>
        <v>212027.48999999996</v>
      </c>
      <c r="AI26" s="125">
        <f>Valores!$C$31</f>
        <v>4980.08</v>
      </c>
      <c r="AJ26" s="125">
        <f>Valores!$C$85</f>
        <v>4550</v>
      </c>
      <c r="AK26" s="125">
        <f>Valores!C$38*B26</f>
        <v>0</v>
      </c>
      <c r="AL26" s="125">
        <f>IF($F$3="NO",0,Valores!$C$51)</f>
        <v>0</v>
      </c>
      <c r="AM26" s="125">
        <f t="shared" si="3"/>
        <v>9530.08</v>
      </c>
      <c r="AN26" s="125">
        <f>AH26*Valores!$C$67</f>
        <v>-23323.023899999997</v>
      </c>
      <c r="AO26" s="125">
        <f>AH26*-Valores!$C$68</f>
        <v>0</v>
      </c>
      <c r="AP26" s="125">
        <f>AH26*Valores!$C$69</f>
        <v>-9541.237049999998</v>
      </c>
      <c r="AQ26" s="125">
        <f>Valores!$C$96</f>
        <v>-280.91</v>
      </c>
      <c r="AR26" s="125">
        <f>IF($F$5=0,Valores!$C$97,(Valores!$C$97+$F$5*(Valores!$C$97)))</f>
        <v>-658</v>
      </c>
      <c r="AS26" s="125">
        <f t="shared" si="6"/>
        <v>187754.39904999998</v>
      </c>
      <c r="AT26" s="125">
        <f t="shared" si="0"/>
        <v>-23323.023899999997</v>
      </c>
      <c r="AU26" s="125">
        <f>AH26*Valores!$C$70</f>
        <v>-5724.742229999999</v>
      </c>
      <c r="AV26" s="125">
        <f>AH26*Valores!$C$71</f>
        <v>-636.08247</v>
      </c>
      <c r="AW26" s="125">
        <f t="shared" si="4"/>
        <v>191873.72139999995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3">
        <v>96</v>
      </c>
      <c r="F27" s="125">
        <f>ROUND(E27*Valores!$C$2,2)</f>
        <v>2056.2</v>
      </c>
      <c r="G27" s="193">
        <v>3737</v>
      </c>
      <c r="H27" s="125">
        <f>ROUND(G27*Valores!$C$2,2)</f>
        <v>80042.06</v>
      </c>
      <c r="I27" s="193">
        <v>1220</v>
      </c>
      <c r="J27" s="125">
        <f>ROUND(I27*Valores!$C$2,2)</f>
        <v>26130.94</v>
      </c>
      <c r="K27" s="193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18564.16</v>
      </c>
      <c r="N27" s="125">
        <f t="shared" si="1"/>
        <v>0</v>
      </c>
      <c r="O27" s="125">
        <f>Valores!$C$12</f>
        <v>44887.29</v>
      </c>
      <c r="P27" s="125">
        <f>Valores!$D$5</f>
        <v>10949.29</v>
      </c>
      <c r="Q27" s="125">
        <v>0</v>
      </c>
      <c r="R27" s="125">
        <f>IF($F$4="NO",Valores!$C$44,Valores!$C$44/2)</f>
        <v>5343.37</v>
      </c>
      <c r="S27" s="125">
        <f>Valores!$C$19</f>
        <v>10188.49</v>
      </c>
      <c r="T27" s="125">
        <f t="shared" si="7"/>
        <v>10188.49</v>
      </c>
      <c r="U27" s="125">
        <v>0</v>
      </c>
      <c r="V27" s="125">
        <v>0</v>
      </c>
      <c r="W27" s="193">
        <v>0</v>
      </c>
      <c r="X27" s="125">
        <f>ROUND(W27*Valores!$C$2,2)</f>
        <v>0</v>
      </c>
      <c r="Y27" s="125">
        <v>0</v>
      </c>
      <c r="Z27" s="125">
        <f>Valores!$C$92</f>
        <v>9798.86</v>
      </c>
      <c r="AA27" s="125">
        <f>Valores!$C$25</f>
        <v>447.83</v>
      </c>
      <c r="AB27" s="215">
        <v>0</v>
      </c>
      <c r="AC27" s="125">
        <f t="shared" si="2"/>
        <v>0</v>
      </c>
      <c r="AD27" s="125">
        <f>Valores!$C$26</f>
        <v>447.83</v>
      </c>
      <c r="AE27" s="193">
        <v>0</v>
      </c>
      <c r="AF27" s="125">
        <f>ROUND(AE27*Valores!$C$2,2)</f>
        <v>0</v>
      </c>
      <c r="AG27" s="125">
        <f>ROUND(IF($F$4="NO",Valores!$C$59,Valores!$C$59/2),2)</f>
        <v>3171.17</v>
      </c>
      <c r="AH27" s="125">
        <f t="shared" si="5"/>
        <v>212027.48999999996</v>
      </c>
      <c r="AI27" s="125">
        <f>Valores!$C$31</f>
        <v>4980.08</v>
      </c>
      <c r="AJ27" s="125">
        <f>Valores!$C$85</f>
        <v>4550</v>
      </c>
      <c r="AK27" s="125">
        <f>Valores!C$38*B27</f>
        <v>0</v>
      </c>
      <c r="AL27" s="125">
        <f>IF($F$3="NO",0,Valores!$C$51)</f>
        <v>0</v>
      </c>
      <c r="AM27" s="125">
        <f t="shared" si="3"/>
        <v>9530.08</v>
      </c>
      <c r="AN27" s="125">
        <f>AH27*Valores!$C$67</f>
        <v>-23323.023899999997</v>
      </c>
      <c r="AO27" s="125">
        <f>AH27*-Valores!$C$68</f>
        <v>0</v>
      </c>
      <c r="AP27" s="125">
        <f>AH27*Valores!$C$69</f>
        <v>-9541.237049999998</v>
      </c>
      <c r="AQ27" s="125">
        <f>Valores!$C$96</f>
        <v>-280.91</v>
      </c>
      <c r="AR27" s="125">
        <f>IF($F$5=0,Valores!$C$97,(Valores!$C$97+$F$5*(Valores!$C$97)))</f>
        <v>-658</v>
      </c>
      <c r="AS27" s="125">
        <f t="shared" si="6"/>
        <v>187754.39904999998</v>
      </c>
      <c r="AT27" s="125">
        <f t="shared" si="0"/>
        <v>-23323.023899999997</v>
      </c>
      <c r="AU27" s="125">
        <f>AH27*Valores!$C$70</f>
        <v>-5724.742229999999</v>
      </c>
      <c r="AV27" s="125">
        <f>AH27*Valores!$C$71</f>
        <v>-636.08247</v>
      </c>
      <c r="AW27" s="125">
        <f t="shared" si="4"/>
        <v>191873.72139999995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3">
        <v>107</v>
      </c>
      <c r="F28" s="125">
        <f>ROUND(E28*Valores!$C$2,2)</f>
        <v>2291.81</v>
      </c>
      <c r="G28" s="193">
        <v>3728</v>
      </c>
      <c r="H28" s="125">
        <f>ROUND(G28*Valores!$C$2,2)</f>
        <v>79849.29</v>
      </c>
      <c r="I28" s="193">
        <v>1218</v>
      </c>
      <c r="J28" s="125">
        <f>ROUND(I28*Valores!$C$2,2)</f>
        <v>26088.1</v>
      </c>
      <c r="K28" s="193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18564.16</v>
      </c>
      <c r="N28" s="125">
        <f t="shared" si="1"/>
        <v>0</v>
      </c>
      <c r="O28" s="125">
        <f>Valores!$C$12</f>
        <v>44887.29</v>
      </c>
      <c r="P28" s="125">
        <f>Valores!$D$5</f>
        <v>10949.29</v>
      </c>
      <c r="Q28" s="125">
        <v>0</v>
      </c>
      <c r="R28" s="125">
        <f>IF($F$4="NO",Valores!$C$44,Valores!$C$44/2)</f>
        <v>5343.37</v>
      </c>
      <c r="S28" s="125">
        <f>Valores!$C$19</f>
        <v>10188.49</v>
      </c>
      <c r="T28" s="125">
        <f t="shared" si="7"/>
        <v>10188.49</v>
      </c>
      <c r="U28" s="125">
        <v>0</v>
      </c>
      <c r="V28" s="125">
        <v>0</v>
      </c>
      <c r="W28" s="193">
        <v>0</v>
      </c>
      <c r="X28" s="125">
        <f>ROUND(W28*Valores!$C$2,2)</f>
        <v>0</v>
      </c>
      <c r="Y28" s="125">
        <v>0</v>
      </c>
      <c r="Z28" s="125">
        <f>Valores!$C$92</f>
        <v>9798.86</v>
      </c>
      <c r="AA28" s="125">
        <f>Valores!$C$25</f>
        <v>447.83</v>
      </c>
      <c r="AB28" s="215">
        <v>0</v>
      </c>
      <c r="AC28" s="125">
        <f t="shared" si="2"/>
        <v>0</v>
      </c>
      <c r="AD28" s="125">
        <f>Valores!$C$26</f>
        <v>447.83</v>
      </c>
      <c r="AE28" s="193">
        <v>0</v>
      </c>
      <c r="AF28" s="125">
        <f>ROUND(AE28*Valores!$C$2,2)</f>
        <v>0</v>
      </c>
      <c r="AG28" s="125">
        <f>ROUND(IF($F$4="NO",Valores!$C$59,Valores!$C$59/2),2)</f>
        <v>3171.17</v>
      </c>
      <c r="AH28" s="125">
        <f t="shared" si="5"/>
        <v>212027.48999999996</v>
      </c>
      <c r="AI28" s="125">
        <f>Valores!$C$31</f>
        <v>4980.08</v>
      </c>
      <c r="AJ28" s="125">
        <f>Valores!$C$85</f>
        <v>4550</v>
      </c>
      <c r="AK28" s="125">
        <f>Valores!C$38*B28</f>
        <v>0</v>
      </c>
      <c r="AL28" s="125">
        <f>IF($F$3="NO",0,Valores!$C$51)</f>
        <v>0</v>
      </c>
      <c r="AM28" s="125">
        <f t="shared" si="3"/>
        <v>9530.08</v>
      </c>
      <c r="AN28" s="125">
        <f>AH28*Valores!$C$67</f>
        <v>-23323.023899999997</v>
      </c>
      <c r="AO28" s="125">
        <f>AH28*-Valores!$C$68</f>
        <v>0</v>
      </c>
      <c r="AP28" s="125">
        <f>AH28*Valores!$C$69</f>
        <v>-9541.237049999998</v>
      </c>
      <c r="AQ28" s="125">
        <f>Valores!$C$96</f>
        <v>-280.91</v>
      </c>
      <c r="AR28" s="125">
        <f>IF($F$5=0,Valores!$C$97,(Valores!$C$97+$F$5*(Valores!$C$97)))</f>
        <v>-658</v>
      </c>
      <c r="AS28" s="125">
        <f t="shared" si="6"/>
        <v>187754.39904999998</v>
      </c>
      <c r="AT28" s="125">
        <f t="shared" si="0"/>
        <v>-23323.023899999997</v>
      </c>
      <c r="AU28" s="125">
        <f>AH28*Valores!$C$70</f>
        <v>-5724.742229999999</v>
      </c>
      <c r="AV28" s="125">
        <f>AH28*Valores!$C$71</f>
        <v>-636.08247</v>
      </c>
      <c r="AW28" s="125">
        <f t="shared" si="4"/>
        <v>191873.72139999995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3">
        <v>94</v>
      </c>
      <c r="F29" s="125">
        <f>ROUND(E29*Valores!$C$2,2)</f>
        <v>2013.37</v>
      </c>
      <c r="G29" s="193">
        <v>3624</v>
      </c>
      <c r="H29" s="125">
        <f>ROUND(G29*Valores!$C$2,2)</f>
        <v>77621.73</v>
      </c>
      <c r="I29" s="193">
        <v>1219</v>
      </c>
      <c r="J29" s="125">
        <f>ROUND(I29*Valores!$C$2,2)</f>
        <v>26109.52</v>
      </c>
      <c r="K29" s="193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18191.47</v>
      </c>
      <c r="N29" s="125">
        <f t="shared" si="1"/>
        <v>0</v>
      </c>
      <c r="O29" s="125">
        <f>Valores!$C$12</f>
        <v>44887.29</v>
      </c>
      <c r="P29" s="125">
        <f>Valores!$D$5</f>
        <v>10949.29</v>
      </c>
      <c r="Q29" s="125">
        <v>0</v>
      </c>
      <c r="R29" s="125">
        <f>IF($F$4="NO",Valores!$C$44,Valores!$C$44/2)</f>
        <v>5343.37</v>
      </c>
      <c r="S29" s="125">
        <f>Valores!$C$19</f>
        <v>10188.49</v>
      </c>
      <c r="T29" s="125">
        <f t="shared" si="7"/>
        <v>10188.49</v>
      </c>
      <c r="U29" s="125">
        <v>0</v>
      </c>
      <c r="V29" s="125">
        <v>0</v>
      </c>
      <c r="W29" s="193">
        <v>0</v>
      </c>
      <c r="X29" s="125">
        <f>ROUND(W29*Valores!$C$2,2)</f>
        <v>0</v>
      </c>
      <c r="Y29" s="125">
        <v>0</v>
      </c>
      <c r="Z29" s="125">
        <f>Valores!$C$92</f>
        <v>9798.86</v>
      </c>
      <c r="AA29" s="125">
        <f>Valores!$C$25</f>
        <v>447.83</v>
      </c>
      <c r="AB29" s="215">
        <v>0</v>
      </c>
      <c r="AC29" s="125">
        <f t="shared" si="2"/>
        <v>0</v>
      </c>
      <c r="AD29" s="125">
        <f>Valores!$C$26</f>
        <v>447.83</v>
      </c>
      <c r="AE29" s="193">
        <v>0</v>
      </c>
      <c r="AF29" s="125">
        <f>ROUND(AE29*Valores!$C$2,2)</f>
        <v>0</v>
      </c>
      <c r="AG29" s="125">
        <f>ROUND(IF($F$4="NO",Valores!$C$59,Valores!$C$59/2),2)</f>
        <v>3171.17</v>
      </c>
      <c r="AH29" s="125">
        <f t="shared" si="5"/>
        <v>209170.22</v>
      </c>
      <c r="AI29" s="125">
        <f>Valores!$C$31</f>
        <v>4980.08</v>
      </c>
      <c r="AJ29" s="125">
        <f>Valores!$C$85</f>
        <v>4550</v>
      </c>
      <c r="AK29" s="125">
        <f>Valores!C$38*B29</f>
        <v>0</v>
      </c>
      <c r="AL29" s="125">
        <f>IF($F$3="NO",0,Valores!$C$51)</f>
        <v>0</v>
      </c>
      <c r="AM29" s="125">
        <f t="shared" si="3"/>
        <v>9530.08</v>
      </c>
      <c r="AN29" s="125">
        <f>AH29*Valores!$C$67</f>
        <v>-23008.7242</v>
      </c>
      <c r="AO29" s="125">
        <f>AH29*-Valores!$C$68</f>
        <v>0</v>
      </c>
      <c r="AP29" s="125">
        <f>AH29*Valores!$C$69</f>
        <v>-9412.6599</v>
      </c>
      <c r="AQ29" s="125">
        <f>Valores!$C$96</f>
        <v>-280.91</v>
      </c>
      <c r="AR29" s="125">
        <f>IF($F$5=0,Valores!$C$97,(Valores!$C$97+$F$5*(Valores!$C$97)))</f>
        <v>-658</v>
      </c>
      <c r="AS29" s="125">
        <f t="shared" si="6"/>
        <v>185340.0059</v>
      </c>
      <c r="AT29" s="125">
        <f t="shared" si="0"/>
        <v>-23008.7242</v>
      </c>
      <c r="AU29" s="125">
        <f>AH29*Valores!$C$70</f>
        <v>-5647.59594</v>
      </c>
      <c r="AV29" s="125">
        <f>AH29*Valores!$C$71</f>
        <v>-627.51066</v>
      </c>
      <c r="AW29" s="125">
        <f t="shared" si="4"/>
        <v>189416.4692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3">
        <v>93</v>
      </c>
      <c r="F30" s="125">
        <f>ROUND(E30*Valores!$C$2,2)</f>
        <v>1991.95</v>
      </c>
      <c r="G30" s="193">
        <v>3627</v>
      </c>
      <c r="H30" s="125">
        <f>ROUND(G30*Valores!$C$2,2)</f>
        <v>77685.99</v>
      </c>
      <c r="I30" s="193">
        <v>210</v>
      </c>
      <c r="J30" s="125">
        <f>ROUND(I30*Valores!$C$2,2)</f>
        <v>4497.95</v>
      </c>
      <c r="K30" s="193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14956.16</v>
      </c>
      <c r="N30" s="125">
        <f t="shared" si="1"/>
        <v>0</v>
      </c>
      <c r="O30" s="125">
        <f>Valores!$C$12</f>
        <v>44887.29</v>
      </c>
      <c r="P30" s="125">
        <f>Valores!$D$5</f>
        <v>10949.29</v>
      </c>
      <c r="Q30" s="125">
        <v>0</v>
      </c>
      <c r="R30" s="125">
        <f>IF($F$4="NO",Valores!$C$44,Valores!$C$44/2)</f>
        <v>5343.37</v>
      </c>
      <c r="S30" s="125">
        <f>Valores!$C$19</f>
        <v>10188.49</v>
      </c>
      <c r="T30" s="125">
        <f t="shared" si="7"/>
        <v>10188.49</v>
      </c>
      <c r="U30" s="125">
        <v>0</v>
      </c>
      <c r="V30" s="125">
        <v>0</v>
      </c>
      <c r="W30" s="193">
        <v>0</v>
      </c>
      <c r="X30" s="125">
        <f>ROUND(W30*Valores!$C$2,2)</f>
        <v>0</v>
      </c>
      <c r="Y30" s="125">
        <v>0</v>
      </c>
      <c r="Z30" s="125">
        <f>Valores!$C$92</f>
        <v>9798.86</v>
      </c>
      <c r="AA30" s="125">
        <f>Valores!$C$25</f>
        <v>447.83</v>
      </c>
      <c r="AB30" s="215">
        <v>0</v>
      </c>
      <c r="AC30" s="125">
        <f t="shared" si="2"/>
        <v>0</v>
      </c>
      <c r="AD30" s="125">
        <f>Valores!$C$26</f>
        <v>447.83</v>
      </c>
      <c r="AE30" s="193">
        <v>0</v>
      </c>
      <c r="AF30" s="125">
        <f>ROUND(AE30*Valores!$C$2,2)</f>
        <v>0</v>
      </c>
      <c r="AG30" s="125">
        <f>ROUND(IF($F$4="NO",Valores!$C$59,Valores!$C$59/2),2)</f>
        <v>3171.17</v>
      </c>
      <c r="AH30" s="125">
        <f t="shared" si="5"/>
        <v>184366.17999999996</v>
      </c>
      <c r="AI30" s="125">
        <f>Valores!$C$31</f>
        <v>4980.08</v>
      </c>
      <c r="AJ30" s="125">
        <f>Valores!$C$85</f>
        <v>4550</v>
      </c>
      <c r="AK30" s="125">
        <f>Valores!C$38*B30</f>
        <v>0</v>
      </c>
      <c r="AL30" s="125">
        <f>IF($F$3="NO",0,Valores!$C$51)</f>
        <v>0</v>
      </c>
      <c r="AM30" s="125">
        <f t="shared" si="3"/>
        <v>9530.08</v>
      </c>
      <c r="AN30" s="125">
        <f>AH30*Valores!$C$67</f>
        <v>-20280.279799999997</v>
      </c>
      <c r="AO30" s="125">
        <f>AH30*-Valores!$C$68</f>
        <v>0</v>
      </c>
      <c r="AP30" s="125">
        <f>AH30*Valores!$C$69</f>
        <v>-8296.478099999998</v>
      </c>
      <c r="AQ30" s="125">
        <f>Valores!$C$96</f>
        <v>-280.91</v>
      </c>
      <c r="AR30" s="125">
        <f>IF($F$5=0,Valores!$C$97,(Valores!$C$97+$F$5*(Valores!$C$97)))</f>
        <v>-658</v>
      </c>
      <c r="AS30" s="125">
        <f t="shared" si="6"/>
        <v>164380.59209999998</v>
      </c>
      <c r="AT30" s="125">
        <f t="shared" si="0"/>
        <v>-20280.279799999997</v>
      </c>
      <c r="AU30" s="125">
        <f>AH30*Valores!$C$70</f>
        <v>-4977.886859999999</v>
      </c>
      <c r="AV30" s="125">
        <f>AH30*Valores!$C$71</f>
        <v>-553.09854</v>
      </c>
      <c r="AW30" s="125">
        <f t="shared" si="4"/>
        <v>168084.99479999996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3">
        <v>93</v>
      </c>
      <c r="F31" s="125">
        <f>ROUND(E31*Valores!$C$2,2)</f>
        <v>1991.95</v>
      </c>
      <c r="G31" s="193">
        <v>3630</v>
      </c>
      <c r="H31" s="125">
        <f>ROUND(G31*Valores!$C$2,2)</f>
        <v>77750.24</v>
      </c>
      <c r="I31" s="193">
        <v>1214</v>
      </c>
      <c r="J31" s="125">
        <f>ROUND(I31*Valores!$C$2,2)</f>
        <v>26002.42</v>
      </c>
      <c r="K31" s="193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18191.47</v>
      </c>
      <c r="N31" s="125">
        <f t="shared" si="1"/>
        <v>0</v>
      </c>
      <c r="O31" s="125">
        <f>Valores!$C$12</f>
        <v>44887.29</v>
      </c>
      <c r="P31" s="125">
        <f>Valores!$D$5</f>
        <v>10949.29</v>
      </c>
      <c r="Q31" s="125">
        <v>0</v>
      </c>
      <c r="R31" s="125">
        <f>IF($F$4="NO",Valores!$C$44,Valores!$C$44/2)</f>
        <v>5343.37</v>
      </c>
      <c r="S31" s="125">
        <f>Valores!$C$19</f>
        <v>10188.49</v>
      </c>
      <c r="T31" s="125">
        <f t="shared" si="7"/>
        <v>10188.49</v>
      </c>
      <c r="U31" s="125">
        <v>0</v>
      </c>
      <c r="V31" s="125">
        <v>0</v>
      </c>
      <c r="W31" s="193">
        <v>0</v>
      </c>
      <c r="X31" s="125">
        <f>ROUND(W31*Valores!$C$2,2)</f>
        <v>0</v>
      </c>
      <c r="Y31" s="125">
        <v>0</v>
      </c>
      <c r="Z31" s="125">
        <f>Valores!$C$92</f>
        <v>9798.86</v>
      </c>
      <c r="AA31" s="125">
        <f>Valores!$C$25</f>
        <v>447.83</v>
      </c>
      <c r="AB31" s="215">
        <v>0</v>
      </c>
      <c r="AC31" s="125">
        <f t="shared" si="2"/>
        <v>0</v>
      </c>
      <c r="AD31" s="125">
        <f>Valores!$C$26</f>
        <v>447.83</v>
      </c>
      <c r="AE31" s="193">
        <v>0</v>
      </c>
      <c r="AF31" s="125">
        <f>ROUND(AE31*Valores!$C$2,2)</f>
        <v>0</v>
      </c>
      <c r="AG31" s="125">
        <f>ROUND(IF($F$4="NO",Valores!$C$59,Valores!$C$59/2),2)</f>
        <v>3171.17</v>
      </c>
      <c r="AH31" s="125">
        <f t="shared" si="5"/>
        <v>209170.21</v>
      </c>
      <c r="AI31" s="125">
        <f>Valores!$C$31</f>
        <v>4980.08</v>
      </c>
      <c r="AJ31" s="125">
        <f>Valores!$C$85</f>
        <v>4550</v>
      </c>
      <c r="AK31" s="125">
        <f>Valores!C$38*B31</f>
        <v>0</v>
      </c>
      <c r="AL31" s="125">
        <f>IF($F$3="NO",0,Valores!$C$51)</f>
        <v>0</v>
      </c>
      <c r="AM31" s="125">
        <f t="shared" si="3"/>
        <v>9530.08</v>
      </c>
      <c r="AN31" s="125">
        <f>AH31*Valores!$C$67</f>
        <v>-23008.7231</v>
      </c>
      <c r="AO31" s="125">
        <f>AH31*-Valores!$C$68</f>
        <v>0</v>
      </c>
      <c r="AP31" s="125">
        <f>AH31*Valores!$C$69</f>
        <v>-9412.65945</v>
      </c>
      <c r="AQ31" s="125">
        <f>Valores!$C$96</f>
        <v>-280.91</v>
      </c>
      <c r="AR31" s="125">
        <f>IF($F$5=0,Valores!$C$97,(Valores!$C$97+$F$5*(Valores!$C$97)))</f>
        <v>-658</v>
      </c>
      <c r="AS31" s="125">
        <f t="shared" si="6"/>
        <v>185339.99745</v>
      </c>
      <c r="AT31" s="125">
        <f t="shared" si="0"/>
        <v>-23008.7231</v>
      </c>
      <c r="AU31" s="125">
        <f>AH31*Valores!$C$70</f>
        <v>-5647.59567</v>
      </c>
      <c r="AV31" s="125">
        <f>AH31*Valores!$C$71</f>
        <v>-627.51063</v>
      </c>
      <c r="AW31" s="125">
        <f t="shared" si="4"/>
        <v>189416.4606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3">
        <v>96</v>
      </c>
      <c r="F32" s="125">
        <f>ROUND(E32*Valores!$C$2,2)</f>
        <v>2056.2</v>
      </c>
      <c r="G32" s="193">
        <v>3737</v>
      </c>
      <c r="H32" s="125">
        <f>ROUND(G32*Valores!$C$2,2)</f>
        <v>80042.06</v>
      </c>
      <c r="I32" s="193">
        <v>1220</v>
      </c>
      <c r="J32" s="125">
        <f>ROUND(I32*Valores!$C$2,2)</f>
        <v>26130.94</v>
      </c>
      <c r="K32" s="193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18564.16</v>
      </c>
      <c r="N32" s="125">
        <f t="shared" si="1"/>
        <v>0</v>
      </c>
      <c r="O32" s="125">
        <f>Valores!$C$12</f>
        <v>44887.29</v>
      </c>
      <c r="P32" s="125">
        <f>Valores!$D$5</f>
        <v>10949.29</v>
      </c>
      <c r="Q32" s="125">
        <v>0</v>
      </c>
      <c r="R32" s="125">
        <f>IF($F$4="NO",Valores!$C$44,Valores!$C$44/2)</f>
        <v>5343.37</v>
      </c>
      <c r="S32" s="125">
        <f>Valores!$C$19</f>
        <v>10188.49</v>
      </c>
      <c r="T32" s="125">
        <f t="shared" si="7"/>
        <v>10188.49</v>
      </c>
      <c r="U32" s="125">
        <v>0</v>
      </c>
      <c r="V32" s="125">
        <v>0</v>
      </c>
      <c r="W32" s="193">
        <v>0</v>
      </c>
      <c r="X32" s="125">
        <f>ROUND(W32*Valores!$C$2,2)</f>
        <v>0</v>
      </c>
      <c r="Y32" s="125">
        <f>ROUND(SUM(J32,H32,F32,T32)*Valores!$C$3,2)</f>
        <v>17762.65</v>
      </c>
      <c r="Z32" s="125">
        <f>Valores!$C$92</f>
        <v>9798.86</v>
      </c>
      <c r="AA32" s="125">
        <f>Valores!$C$25</f>
        <v>447.83</v>
      </c>
      <c r="AB32" s="215">
        <v>0</v>
      </c>
      <c r="AC32" s="125">
        <f t="shared" si="2"/>
        <v>0</v>
      </c>
      <c r="AD32" s="125">
        <f>Valores!$C$26</f>
        <v>447.83</v>
      </c>
      <c r="AE32" s="193">
        <v>0</v>
      </c>
      <c r="AF32" s="125">
        <f>ROUND(AE32*Valores!$C$2,2)</f>
        <v>0</v>
      </c>
      <c r="AG32" s="125">
        <f>ROUND(IF($F$4="NO",Valores!$C$59,Valores!$C$59/2),2)</f>
        <v>3171.17</v>
      </c>
      <c r="AH32" s="125">
        <f t="shared" si="5"/>
        <v>229790.13999999998</v>
      </c>
      <c r="AI32" s="125">
        <f>Valores!$C$31</f>
        <v>4980.08</v>
      </c>
      <c r="AJ32" s="125">
        <f>Valores!$C$85</f>
        <v>4550</v>
      </c>
      <c r="AK32" s="125">
        <f>Valores!C$38*B32</f>
        <v>0</v>
      </c>
      <c r="AL32" s="125">
        <f>IF($F$3="NO",0,Valores!$C$51)</f>
        <v>0</v>
      </c>
      <c r="AM32" s="125">
        <f t="shared" si="3"/>
        <v>9530.08</v>
      </c>
      <c r="AN32" s="125">
        <f>AH32*Valores!$C$67</f>
        <v>-25276.915399999998</v>
      </c>
      <c r="AO32" s="125">
        <f>AH32*-Valores!$C$68</f>
        <v>0</v>
      </c>
      <c r="AP32" s="125">
        <f>AH32*Valores!$C$69</f>
        <v>-10340.556299999998</v>
      </c>
      <c r="AQ32" s="125">
        <f>Valores!$C$96</f>
        <v>-280.91</v>
      </c>
      <c r="AR32" s="125">
        <f>IF($F$5=0,Valores!$C$97,(Valores!$C$97+$F$5*(Valores!$C$97)))</f>
        <v>-658</v>
      </c>
      <c r="AS32" s="125">
        <f t="shared" si="6"/>
        <v>202763.8383</v>
      </c>
      <c r="AT32" s="125">
        <f t="shared" si="0"/>
        <v>-25276.915399999998</v>
      </c>
      <c r="AU32" s="125">
        <f>AH32*Valores!$C$70</f>
        <v>-6204.33378</v>
      </c>
      <c r="AV32" s="125">
        <f>AH32*Valores!$C$71</f>
        <v>-689.37042</v>
      </c>
      <c r="AW32" s="125">
        <f t="shared" si="4"/>
        <v>207149.60039999997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3">
        <v>92</v>
      </c>
      <c r="F33" s="125">
        <f>ROUND(E33*Valores!$C$2,2)</f>
        <v>1970.53</v>
      </c>
      <c r="G33" s="193">
        <v>3483</v>
      </c>
      <c r="H33" s="125">
        <f>ROUND(G33*Valores!$C$2,2)</f>
        <v>74601.68</v>
      </c>
      <c r="I33" s="193">
        <v>1217</v>
      </c>
      <c r="J33" s="125">
        <f>ROUND(I33*Valores!$C$2,2)</f>
        <v>26066.68</v>
      </c>
      <c r="K33" s="193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17725.61</v>
      </c>
      <c r="N33" s="125">
        <f t="shared" si="1"/>
        <v>0</v>
      </c>
      <c r="O33" s="125">
        <f>Valores!$C$12</f>
        <v>44887.29</v>
      </c>
      <c r="P33" s="125">
        <f>Valores!$D$5</f>
        <v>10949.29</v>
      </c>
      <c r="Q33" s="125">
        <v>0</v>
      </c>
      <c r="R33" s="125">
        <f>IF($F$4="NO",Valores!$C$44,Valores!$C$44/2)</f>
        <v>5343.37</v>
      </c>
      <c r="S33" s="125">
        <f>Valores!$C$19</f>
        <v>10188.49</v>
      </c>
      <c r="T33" s="125">
        <f t="shared" si="7"/>
        <v>10188.49</v>
      </c>
      <c r="U33" s="125">
        <v>0</v>
      </c>
      <c r="V33" s="125">
        <v>0</v>
      </c>
      <c r="W33" s="193">
        <v>0</v>
      </c>
      <c r="X33" s="125">
        <f>ROUND(W33*Valores!$C$2,2)</f>
        <v>0</v>
      </c>
      <c r="Y33" s="125">
        <v>0</v>
      </c>
      <c r="Z33" s="125">
        <f>Valores!$C$92</f>
        <v>9798.86</v>
      </c>
      <c r="AA33" s="125">
        <f>Valores!$C$25</f>
        <v>447.83</v>
      </c>
      <c r="AB33" s="215">
        <v>0</v>
      </c>
      <c r="AC33" s="125">
        <f t="shared" si="2"/>
        <v>0</v>
      </c>
      <c r="AD33" s="125">
        <f>Valores!$C$26</f>
        <v>447.83</v>
      </c>
      <c r="AE33" s="193">
        <v>0</v>
      </c>
      <c r="AF33" s="125">
        <f>ROUND(AE33*Valores!$C$2,2)</f>
        <v>0</v>
      </c>
      <c r="AG33" s="125">
        <f>ROUND(IF($F$4="NO",Valores!$C$59,Valores!$C$59/2),2)</f>
        <v>3171.17</v>
      </c>
      <c r="AH33" s="125">
        <f t="shared" si="5"/>
        <v>205598.62999999998</v>
      </c>
      <c r="AI33" s="125">
        <f>Valores!$C$31</f>
        <v>4980.08</v>
      </c>
      <c r="AJ33" s="125">
        <f>Valores!$C$85</f>
        <v>4550</v>
      </c>
      <c r="AK33" s="125">
        <f>Valores!C$38*B33</f>
        <v>0</v>
      </c>
      <c r="AL33" s="125">
        <f>IF($F$3="NO",0,Valores!$C$51)</f>
        <v>0</v>
      </c>
      <c r="AM33" s="125">
        <f t="shared" si="3"/>
        <v>9530.08</v>
      </c>
      <c r="AN33" s="125">
        <f>AH33*Valores!$C$67</f>
        <v>-22615.849299999998</v>
      </c>
      <c r="AO33" s="125">
        <f>AH33*-Valores!$C$68</f>
        <v>0</v>
      </c>
      <c r="AP33" s="125">
        <f>AH33*Valores!$C$69</f>
        <v>-9251.938349999999</v>
      </c>
      <c r="AQ33" s="125">
        <f>Valores!$C$96</f>
        <v>-280.91</v>
      </c>
      <c r="AR33" s="125">
        <f>IF($F$5=0,Valores!$C$97,(Valores!$C$97+$F$5*(Valores!$C$97)))</f>
        <v>-658</v>
      </c>
      <c r="AS33" s="125">
        <f t="shared" si="6"/>
        <v>182322.01234999998</v>
      </c>
      <c r="AT33" s="125">
        <f t="shared" si="0"/>
        <v>-22615.849299999998</v>
      </c>
      <c r="AU33" s="125">
        <f>AH33*Valores!$C$70</f>
        <v>-5551.163009999999</v>
      </c>
      <c r="AV33" s="125">
        <f>AH33*Valores!$C$71</f>
        <v>-616.79589</v>
      </c>
      <c r="AW33" s="125">
        <f t="shared" si="4"/>
        <v>186344.90179999996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3">
        <v>85</v>
      </c>
      <c r="F34" s="125">
        <f>ROUND(E34*Valores!$C$2,2)</f>
        <v>1820.6</v>
      </c>
      <c r="G34" s="193">
        <v>3498</v>
      </c>
      <c r="H34" s="125">
        <f>ROUND(G34*Valores!$C$2,2)</f>
        <v>74922.96</v>
      </c>
      <c r="I34" s="193">
        <v>1209</v>
      </c>
      <c r="J34" s="125">
        <f>ROUND(I34*Valores!$C$2,2)</f>
        <v>25895.33</v>
      </c>
      <c r="K34" s="193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17725.61</v>
      </c>
      <c r="N34" s="125">
        <f t="shared" si="1"/>
        <v>0</v>
      </c>
      <c r="O34" s="125">
        <f>Valores!$C$12</f>
        <v>44887.29</v>
      </c>
      <c r="P34" s="125">
        <f>Valores!$D$5</f>
        <v>10949.29</v>
      </c>
      <c r="Q34" s="125">
        <v>0</v>
      </c>
      <c r="R34" s="125">
        <f>IF($F$4="NO",Valores!$C$44,Valores!$C$44/2)</f>
        <v>5343.37</v>
      </c>
      <c r="S34" s="125">
        <f>Valores!$C$19</f>
        <v>10188.49</v>
      </c>
      <c r="T34" s="125">
        <f t="shared" si="7"/>
        <v>10188.49</v>
      </c>
      <c r="U34" s="125">
        <v>0</v>
      </c>
      <c r="V34" s="125">
        <v>0</v>
      </c>
      <c r="W34" s="193">
        <v>0</v>
      </c>
      <c r="X34" s="125">
        <f>ROUND(W34*Valores!$C$2,2)</f>
        <v>0</v>
      </c>
      <c r="Y34" s="125">
        <v>0</v>
      </c>
      <c r="Z34" s="125">
        <f>Valores!$C$92</f>
        <v>9798.86</v>
      </c>
      <c r="AA34" s="125">
        <f>Valores!$C$25</f>
        <v>447.83</v>
      </c>
      <c r="AB34" s="215">
        <v>0</v>
      </c>
      <c r="AC34" s="125">
        <f t="shared" si="2"/>
        <v>0</v>
      </c>
      <c r="AD34" s="125">
        <f>Valores!$C$26</f>
        <v>447.83</v>
      </c>
      <c r="AE34" s="193">
        <v>0</v>
      </c>
      <c r="AF34" s="125">
        <f>ROUND(AE34*Valores!$C$2,2)</f>
        <v>0</v>
      </c>
      <c r="AG34" s="125">
        <f>ROUND(IF($F$4="NO",Valores!$C$59,Valores!$C$59/2),2)</f>
        <v>3171.17</v>
      </c>
      <c r="AH34" s="125">
        <f t="shared" si="5"/>
        <v>205598.62999999998</v>
      </c>
      <c r="AI34" s="125">
        <f>Valores!$C$31</f>
        <v>4980.08</v>
      </c>
      <c r="AJ34" s="125">
        <f>Valores!$C$85</f>
        <v>4550</v>
      </c>
      <c r="AK34" s="125">
        <f>Valores!C$38*B34</f>
        <v>0</v>
      </c>
      <c r="AL34" s="125">
        <f>IF($F$3="NO",0,Valores!$C$51)</f>
        <v>0</v>
      </c>
      <c r="AM34" s="125">
        <f t="shared" si="3"/>
        <v>9530.08</v>
      </c>
      <c r="AN34" s="125">
        <f>AH34*Valores!$C$67</f>
        <v>-22615.849299999998</v>
      </c>
      <c r="AO34" s="125">
        <f>AH34*-Valores!$C$68</f>
        <v>0</v>
      </c>
      <c r="AP34" s="125">
        <f>AH34*Valores!$C$69</f>
        <v>-9251.938349999999</v>
      </c>
      <c r="AQ34" s="125">
        <f>Valores!$C$96</f>
        <v>-280.91</v>
      </c>
      <c r="AR34" s="125">
        <f>IF($F$5=0,Valores!$C$97,(Valores!$C$97+$F$5*(Valores!$C$97)))</f>
        <v>-658</v>
      </c>
      <c r="AS34" s="125">
        <f t="shared" si="6"/>
        <v>182322.01234999998</v>
      </c>
      <c r="AT34" s="125">
        <f t="shared" si="0"/>
        <v>-22615.849299999998</v>
      </c>
      <c r="AU34" s="125">
        <f>AH34*Valores!$C$70</f>
        <v>-5551.163009999999</v>
      </c>
      <c r="AV34" s="125">
        <f>AH34*Valores!$C$71</f>
        <v>-616.79589</v>
      </c>
      <c r="AW34" s="125">
        <f t="shared" si="4"/>
        <v>186344.90179999996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3">
        <v>92</v>
      </c>
      <c r="F35" s="125">
        <f>ROUND(E35*Valores!$C$2,2)</f>
        <v>1970.53</v>
      </c>
      <c r="G35" s="193">
        <v>3483</v>
      </c>
      <c r="H35" s="125">
        <f>ROUND(G35*Valores!$C$2,2)</f>
        <v>74601.68</v>
      </c>
      <c r="I35" s="193">
        <v>1217</v>
      </c>
      <c r="J35" s="125">
        <f>ROUND(I35*Valores!$C$2,2)</f>
        <v>26066.68</v>
      </c>
      <c r="K35" s="193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17725.61</v>
      </c>
      <c r="N35" s="125">
        <f t="shared" si="1"/>
        <v>0</v>
      </c>
      <c r="O35" s="125">
        <f>Valores!$C$12</f>
        <v>44887.29</v>
      </c>
      <c r="P35" s="125">
        <f>Valores!$D$5</f>
        <v>10949.29</v>
      </c>
      <c r="Q35" s="125">
        <v>0</v>
      </c>
      <c r="R35" s="125">
        <f>IF($F$4="NO",Valores!$C$44,Valores!$C$44/2)</f>
        <v>5343.37</v>
      </c>
      <c r="S35" s="125">
        <f>Valores!$C$19</f>
        <v>10188.49</v>
      </c>
      <c r="T35" s="125">
        <f t="shared" si="7"/>
        <v>10188.49</v>
      </c>
      <c r="U35" s="125">
        <v>0</v>
      </c>
      <c r="V35" s="125">
        <v>0</v>
      </c>
      <c r="W35" s="193">
        <v>0</v>
      </c>
      <c r="X35" s="125">
        <f>ROUND(W35*Valores!$C$2,2)</f>
        <v>0</v>
      </c>
      <c r="Y35" s="125">
        <v>0</v>
      </c>
      <c r="Z35" s="125">
        <f>Valores!$C$92</f>
        <v>9798.86</v>
      </c>
      <c r="AA35" s="125">
        <f>Valores!$C$25</f>
        <v>447.83</v>
      </c>
      <c r="AB35" s="215">
        <v>0</v>
      </c>
      <c r="AC35" s="125">
        <f t="shared" si="2"/>
        <v>0</v>
      </c>
      <c r="AD35" s="125">
        <f>Valores!$C$26</f>
        <v>447.83</v>
      </c>
      <c r="AE35" s="193">
        <v>0</v>
      </c>
      <c r="AF35" s="125">
        <f>ROUND(AE35*Valores!$C$2,2)</f>
        <v>0</v>
      </c>
      <c r="AG35" s="125">
        <f>ROUND(IF($F$4="NO",Valores!$C$59,Valores!$C$59/2),2)</f>
        <v>3171.17</v>
      </c>
      <c r="AH35" s="125">
        <f t="shared" si="5"/>
        <v>205598.62999999998</v>
      </c>
      <c r="AI35" s="125">
        <f>Valores!$C$31</f>
        <v>4980.08</v>
      </c>
      <c r="AJ35" s="125">
        <f>Valores!$C$85</f>
        <v>4550</v>
      </c>
      <c r="AK35" s="125">
        <f>Valores!C$38*B35</f>
        <v>0</v>
      </c>
      <c r="AL35" s="125">
        <f>IF($F$3="NO",0,Valores!$C$51)</f>
        <v>0</v>
      </c>
      <c r="AM35" s="125">
        <f t="shared" si="3"/>
        <v>9530.08</v>
      </c>
      <c r="AN35" s="125">
        <f>AH35*Valores!$C$67</f>
        <v>-22615.849299999998</v>
      </c>
      <c r="AO35" s="125">
        <f>AH35*-Valores!$C$68</f>
        <v>0</v>
      </c>
      <c r="AP35" s="125">
        <f>AH35*Valores!$C$69</f>
        <v>-9251.938349999999</v>
      </c>
      <c r="AQ35" s="125">
        <f>Valores!$C$96</f>
        <v>-280.91</v>
      </c>
      <c r="AR35" s="125">
        <f>IF($F$5=0,Valores!$C$97,(Valores!$C$97+$F$5*(Valores!$C$97)))</f>
        <v>-658</v>
      </c>
      <c r="AS35" s="125">
        <f t="shared" si="6"/>
        <v>182322.01234999998</v>
      </c>
      <c r="AT35" s="125">
        <f t="shared" si="0"/>
        <v>-22615.849299999998</v>
      </c>
      <c r="AU35" s="125">
        <f>AH35*Valores!$C$70</f>
        <v>-5551.163009999999</v>
      </c>
      <c r="AV35" s="125">
        <f>AH35*Valores!$C$71</f>
        <v>-616.79589</v>
      </c>
      <c r="AW35" s="125">
        <f t="shared" si="4"/>
        <v>186344.90179999996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3">
        <v>85</v>
      </c>
      <c r="F36" s="125">
        <f>ROUND(E36*Valores!$C$2,2)</f>
        <v>1820.6</v>
      </c>
      <c r="G36" s="193">
        <v>3498</v>
      </c>
      <c r="H36" s="125">
        <f>ROUND(G36*Valores!$C$2,2)</f>
        <v>74922.96</v>
      </c>
      <c r="I36" s="193">
        <v>1209</v>
      </c>
      <c r="J36" s="125">
        <f>ROUND(I36*Valores!$C$2,2)</f>
        <v>25895.33</v>
      </c>
      <c r="K36" s="193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17725.61</v>
      </c>
      <c r="N36" s="125">
        <f t="shared" si="1"/>
        <v>0</v>
      </c>
      <c r="O36" s="125">
        <f>Valores!$C$12</f>
        <v>44887.29</v>
      </c>
      <c r="P36" s="125">
        <f>Valores!$D$5</f>
        <v>10949.29</v>
      </c>
      <c r="Q36" s="125">
        <v>0</v>
      </c>
      <c r="R36" s="125">
        <f>IF($F$4="NO",Valores!$C$44,Valores!$C$44/2)</f>
        <v>5343.37</v>
      </c>
      <c r="S36" s="125">
        <f>Valores!$C$19</f>
        <v>10188.49</v>
      </c>
      <c r="T36" s="125">
        <f t="shared" si="7"/>
        <v>10188.49</v>
      </c>
      <c r="U36" s="125">
        <v>0</v>
      </c>
      <c r="V36" s="125">
        <v>0</v>
      </c>
      <c r="W36" s="193">
        <v>0</v>
      </c>
      <c r="X36" s="125">
        <f>ROUND(W36*Valores!$C$2,2)</f>
        <v>0</v>
      </c>
      <c r="Y36" s="125">
        <v>0</v>
      </c>
      <c r="Z36" s="125">
        <f>Valores!$C$92</f>
        <v>9798.86</v>
      </c>
      <c r="AA36" s="125">
        <f>Valores!$C$25</f>
        <v>447.83</v>
      </c>
      <c r="AB36" s="215">
        <v>0</v>
      </c>
      <c r="AC36" s="125">
        <f t="shared" si="2"/>
        <v>0</v>
      </c>
      <c r="AD36" s="125">
        <f>Valores!$C$26</f>
        <v>447.83</v>
      </c>
      <c r="AE36" s="193">
        <v>0</v>
      </c>
      <c r="AF36" s="125">
        <f>ROUND(AE36*Valores!$C$2,2)</f>
        <v>0</v>
      </c>
      <c r="AG36" s="125">
        <f>ROUND(IF($F$4="NO",Valores!$C$59,Valores!$C$59/2),2)</f>
        <v>3171.17</v>
      </c>
      <c r="AH36" s="125">
        <f t="shared" si="5"/>
        <v>205598.62999999998</v>
      </c>
      <c r="AI36" s="125">
        <f>Valores!$C$31</f>
        <v>4980.08</v>
      </c>
      <c r="AJ36" s="125">
        <f>Valores!$C$85</f>
        <v>4550</v>
      </c>
      <c r="AK36" s="125">
        <f>Valores!C$38*B36</f>
        <v>0</v>
      </c>
      <c r="AL36" s="125">
        <f>IF($F$3="NO",0,Valores!$C$51)</f>
        <v>0</v>
      </c>
      <c r="AM36" s="125">
        <f t="shared" si="3"/>
        <v>9530.08</v>
      </c>
      <c r="AN36" s="125">
        <f>AH36*Valores!$C$67</f>
        <v>-22615.849299999998</v>
      </c>
      <c r="AO36" s="125">
        <f>AH36*-Valores!$C$68</f>
        <v>0</v>
      </c>
      <c r="AP36" s="125">
        <f>AH36*Valores!$C$69</f>
        <v>-9251.938349999999</v>
      </c>
      <c r="AQ36" s="125">
        <f>Valores!$C$96</f>
        <v>-280.91</v>
      </c>
      <c r="AR36" s="125">
        <f>IF($F$5=0,Valores!$C$97,(Valores!$C$97+$F$5*(Valores!$C$97)))</f>
        <v>-658</v>
      </c>
      <c r="AS36" s="125">
        <f t="shared" si="6"/>
        <v>182322.01234999998</v>
      </c>
      <c r="AT36" s="125">
        <f t="shared" si="0"/>
        <v>-22615.849299999998</v>
      </c>
      <c r="AU36" s="125">
        <f>AH36*Valores!$C$70</f>
        <v>-5551.163009999999</v>
      </c>
      <c r="AV36" s="125">
        <f>AH36*Valores!$C$71</f>
        <v>-616.79589</v>
      </c>
      <c r="AW36" s="125">
        <f t="shared" si="4"/>
        <v>186344.90179999996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3">
        <v>92</v>
      </c>
      <c r="F37" s="125">
        <f>ROUND(E37*Valores!$C$2,2)</f>
        <v>1970.53</v>
      </c>
      <c r="G37" s="193">
        <v>3483</v>
      </c>
      <c r="H37" s="125">
        <f>ROUND(G37*Valores!$C$2,2)</f>
        <v>74601.68</v>
      </c>
      <c r="I37" s="193">
        <v>1217</v>
      </c>
      <c r="J37" s="125">
        <f>ROUND(I37*Valores!$C$2,2)</f>
        <v>26066.68</v>
      </c>
      <c r="K37" s="193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17725.61</v>
      </c>
      <c r="N37" s="125">
        <f t="shared" si="1"/>
        <v>0</v>
      </c>
      <c r="O37" s="125">
        <f>Valores!$C$12</f>
        <v>44887.29</v>
      </c>
      <c r="P37" s="125">
        <f>Valores!$D$5</f>
        <v>10949.29</v>
      </c>
      <c r="Q37" s="125">
        <v>0</v>
      </c>
      <c r="R37" s="125">
        <f>IF($F$4="NO",Valores!$C$44,Valores!$C$44/2)</f>
        <v>5343.37</v>
      </c>
      <c r="S37" s="125">
        <f>Valores!$C$19</f>
        <v>10188.49</v>
      </c>
      <c r="T37" s="125">
        <f t="shared" si="7"/>
        <v>10188.49</v>
      </c>
      <c r="U37" s="125">
        <v>0</v>
      </c>
      <c r="V37" s="125">
        <v>0</v>
      </c>
      <c r="W37" s="193">
        <v>0</v>
      </c>
      <c r="X37" s="125">
        <f>ROUND(W37*Valores!$C$2,2)</f>
        <v>0</v>
      </c>
      <c r="Y37" s="125">
        <f>ROUND(SUM(J37,H37,F37,T37)*Valores!$C$3,2)</f>
        <v>16924.11</v>
      </c>
      <c r="Z37" s="125">
        <f>Valores!$C$92</f>
        <v>9798.86</v>
      </c>
      <c r="AA37" s="125">
        <f>Valores!$C$25</f>
        <v>447.83</v>
      </c>
      <c r="AB37" s="215">
        <v>0</v>
      </c>
      <c r="AC37" s="125">
        <f t="shared" si="2"/>
        <v>0</v>
      </c>
      <c r="AD37" s="125">
        <f>Valores!$C$26</f>
        <v>447.83</v>
      </c>
      <c r="AE37" s="193">
        <v>0</v>
      </c>
      <c r="AF37" s="125">
        <f>ROUND(AE37*Valores!$C$2,2)</f>
        <v>0</v>
      </c>
      <c r="AG37" s="125">
        <f>ROUND(IF($F$4="NO",Valores!$C$59,Valores!$C$59/2),2)</f>
        <v>3171.17</v>
      </c>
      <c r="AH37" s="125">
        <f t="shared" si="5"/>
        <v>222522.73999999996</v>
      </c>
      <c r="AI37" s="125">
        <f>Valores!$C$31</f>
        <v>4980.08</v>
      </c>
      <c r="AJ37" s="125">
        <f>Valores!$C$85</f>
        <v>4550</v>
      </c>
      <c r="AK37" s="125">
        <f>Valores!C$38*B37</f>
        <v>0</v>
      </c>
      <c r="AL37" s="125">
        <f>IF($F$3="NO",0,Valores!$C$51)</f>
        <v>0</v>
      </c>
      <c r="AM37" s="125">
        <f t="shared" si="3"/>
        <v>9530.08</v>
      </c>
      <c r="AN37" s="125">
        <f>AH37*Valores!$C$67</f>
        <v>-24477.501399999997</v>
      </c>
      <c r="AO37" s="125">
        <f>AH37*-Valores!$C$68</f>
        <v>0</v>
      </c>
      <c r="AP37" s="125">
        <f>AH37*Valores!$C$69</f>
        <v>-10013.523299999997</v>
      </c>
      <c r="AQ37" s="125">
        <f>Valores!$C$96</f>
        <v>-280.91</v>
      </c>
      <c r="AR37" s="125">
        <f>IF($F$5=0,Valores!$C$97,(Valores!$C$97+$F$5*(Valores!$C$97)))</f>
        <v>-658</v>
      </c>
      <c r="AS37" s="125">
        <f t="shared" si="6"/>
        <v>196622.88529999997</v>
      </c>
      <c r="AT37" s="125">
        <f t="shared" si="0"/>
        <v>-24477.501399999997</v>
      </c>
      <c r="AU37" s="125">
        <f>AH37*Valores!$C$70</f>
        <v>-6008.113979999999</v>
      </c>
      <c r="AV37" s="125">
        <f>AH37*Valores!$C$71</f>
        <v>-667.5682199999999</v>
      </c>
      <c r="AW37" s="125">
        <f t="shared" si="4"/>
        <v>200899.63639999996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3">
        <v>85</v>
      </c>
      <c r="F38" s="125">
        <f>ROUND(E38*Valores!$C$2,2)</f>
        <v>1820.6</v>
      </c>
      <c r="G38" s="193">
        <v>3498</v>
      </c>
      <c r="H38" s="125">
        <f>ROUND(G38*Valores!$C$2,2)</f>
        <v>74922.96</v>
      </c>
      <c r="I38" s="193">
        <v>202</v>
      </c>
      <c r="J38" s="125">
        <f>ROUND(I38*Valores!$C$2,2)</f>
        <v>4326.6</v>
      </c>
      <c r="K38" s="193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14490.3</v>
      </c>
      <c r="N38" s="125">
        <f t="shared" si="1"/>
        <v>0</v>
      </c>
      <c r="O38" s="125">
        <f>Valores!$C$12</f>
        <v>44887.29</v>
      </c>
      <c r="P38" s="125">
        <f>Valores!$D$5</f>
        <v>10949.29</v>
      </c>
      <c r="Q38" s="125">
        <v>0</v>
      </c>
      <c r="R38" s="125">
        <f>IF($F$4="NO",Valores!$C$44,Valores!$C$44/2)</f>
        <v>5343.37</v>
      </c>
      <c r="S38" s="125">
        <f>Valores!$C$19</f>
        <v>10188.49</v>
      </c>
      <c r="T38" s="125">
        <f t="shared" si="7"/>
        <v>10188.49</v>
      </c>
      <c r="U38" s="125">
        <v>0</v>
      </c>
      <c r="V38" s="125">
        <v>0</v>
      </c>
      <c r="W38" s="193">
        <v>0</v>
      </c>
      <c r="X38" s="125">
        <f>ROUND(W38*Valores!$C$2,2)</f>
        <v>0</v>
      </c>
      <c r="Y38" s="125">
        <v>0</v>
      </c>
      <c r="Z38" s="125">
        <f>Valores!$C$92</f>
        <v>9798.86</v>
      </c>
      <c r="AA38" s="125">
        <f>Valores!$C$25</f>
        <v>447.83</v>
      </c>
      <c r="AB38" s="215">
        <v>0</v>
      </c>
      <c r="AC38" s="125">
        <f t="shared" si="2"/>
        <v>0</v>
      </c>
      <c r="AD38" s="125">
        <f>Valores!$C$26</f>
        <v>447.83</v>
      </c>
      <c r="AE38" s="193">
        <v>0</v>
      </c>
      <c r="AF38" s="125">
        <f>ROUND(AE38*Valores!$C$2,2)</f>
        <v>0</v>
      </c>
      <c r="AG38" s="125">
        <f>ROUND(IF($F$4="NO",Valores!$C$59,Valores!$C$59/2),2)</f>
        <v>3171.17</v>
      </c>
      <c r="AH38" s="125">
        <f t="shared" si="5"/>
        <v>180794.59</v>
      </c>
      <c r="AI38" s="125">
        <f>Valores!$C$31</f>
        <v>4980.08</v>
      </c>
      <c r="AJ38" s="125">
        <f>Valores!$C$85</f>
        <v>4550</v>
      </c>
      <c r="AK38" s="125">
        <f>Valores!C$38*B38</f>
        <v>0</v>
      </c>
      <c r="AL38" s="125">
        <f>IF($F$3="NO",0,Valores!$C$51)</f>
        <v>0</v>
      </c>
      <c r="AM38" s="125">
        <f t="shared" si="3"/>
        <v>9530.08</v>
      </c>
      <c r="AN38" s="125">
        <f>AH38*Valores!$C$67</f>
        <v>-19887.4049</v>
      </c>
      <c r="AO38" s="125">
        <f>AH38*-Valores!$C$68</f>
        <v>0</v>
      </c>
      <c r="AP38" s="125">
        <f>AH38*Valores!$C$69</f>
        <v>-8135.756549999999</v>
      </c>
      <c r="AQ38" s="125">
        <f>Valores!$C$96</f>
        <v>-280.91</v>
      </c>
      <c r="AR38" s="125">
        <f>IF($F$5=0,Valores!$C$97,(Valores!$C$97+$F$5*(Valores!$C$97)))</f>
        <v>-658</v>
      </c>
      <c r="AS38" s="125">
        <f t="shared" si="6"/>
        <v>161362.59855</v>
      </c>
      <c r="AT38" s="125">
        <f t="shared" si="0"/>
        <v>-19887.4049</v>
      </c>
      <c r="AU38" s="125">
        <f>AH38*Valores!$C$70</f>
        <v>-4881.45393</v>
      </c>
      <c r="AV38" s="125">
        <f>AH38*Valores!$C$71</f>
        <v>-542.38377</v>
      </c>
      <c r="AW38" s="125">
        <f t="shared" si="4"/>
        <v>165013.4274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3">
        <v>85</v>
      </c>
      <c r="F39" s="125">
        <f>ROUND(E39*Valores!$C$2,2)</f>
        <v>1820.6</v>
      </c>
      <c r="G39" s="193">
        <v>3498</v>
      </c>
      <c r="H39" s="125">
        <f>ROUND(G39*Valores!$C$2,2)</f>
        <v>74922.96</v>
      </c>
      <c r="I39" s="193">
        <v>1209</v>
      </c>
      <c r="J39" s="125">
        <f>ROUND(I39*Valores!$C$2,2)</f>
        <v>25895.33</v>
      </c>
      <c r="K39" s="193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17725.61</v>
      </c>
      <c r="N39" s="125">
        <f t="shared" si="1"/>
        <v>0</v>
      </c>
      <c r="O39" s="125">
        <f>Valores!$C$12</f>
        <v>44887.29</v>
      </c>
      <c r="P39" s="125">
        <f>Valores!$D$5</f>
        <v>10949.29</v>
      </c>
      <c r="Q39" s="125">
        <v>0</v>
      </c>
      <c r="R39" s="125">
        <f>IF($F$4="NO",Valores!$C$44,Valores!$C$44/2)</f>
        <v>5343.37</v>
      </c>
      <c r="S39" s="125">
        <f>Valores!$C$19</f>
        <v>10188.49</v>
      </c>
      <c r="T39" s="125">
        <f t="shared" si="7"/>
        <v>10188.49</v>
      </c>
      <c r="U39" s="125">
        <v>0</v>
      </c>
      <c r="V39" s="125">
        <v>0</v>
      </c>
      <c r="W39" s="193">
        <v>0</v>
      </c>
      <c r="X39" s="125">
        <f>ROUND(W39*Valores!$C$2,2)</f>
        <v>0</v>
      </c>
      <c r="Y39" s="125">
        <v>0</v>
      </c>
      <c r="Z39" s="125">
        <f>Valores!$C$92</f>
        <v>9798.86</v>
      </c>
      <c r="AA39" s="125">
        <f>Valores!$C$25</f>
        <v>447.83</v>
      </c>
      <c r="AB39" s="215">
        <v>0</v>
      </c>
      <c r="AC39" s="125">
        <f t="shared" si="2"/>
        <v>0</v>
      </c>
      <c r="AD39" s="125">
        <f>Valores!$C$26</f>
        <v>447.83</v>
      </c>
      <c r="AE39" s="193">
        <v>0</v>
      </c>
      <c r="AF39" s="125">
        <f>ROUND(AE39*Valores!$C$2,2)</f>
        <v>0</v>
      </c>
      <c r="AG39" s="125">
        <f>ROUND(IF($F$4="NO",Valores!$C$59,Valores!$C$59/2),2)</f>
        <v>3171.17</v>
      </c>
      <c r="AH39" s="125">
        <f t="shared" si="5"/>
        <v>205598.62999999998</v>
      </c>
      <c r="AI39" s="125">
        <f>Valores!$C$31</f>
        <v>4980.08</v>
      </c>
      <c r="AJ39" s="125">
        <f>Valores!$C$85</f>
        <v>4550</v>
      </c>
      <c r="AK39" s="125">
        <f>Valores!C$38*B39</f>
        <v>0</v>
      </c>
      <c r="AL39" s="125">
        <f>IF($F$3="NO",0,Valores!$C$51)</f>
        <v>0</v>
      </c>
      <c r="AM39" s="125">
        <f t="shared" si="3"/>
        <v>9530.08</v>
      </c>
      <c r="AN39" s="125">
        <f>AH39*Valores!$C$67</f>
        <v>-22615.849299999998</v>
      </c>
      <c r="AO39" s="125">
        <f>AH39*-Valores!$C$68</f>
        <v>0</v>
      </c>
      <c r="AP39" s="125">
        <f>AH39*Valores!$C$69</f>
        <v>-9251.938349999999</v>
      </c>
      <c r="AQ39" s="125">
        <f>Valores!$C$96</f>
        <v>-280.91</v>
      </c>
      <c r="AR39" s="125">
        <f>IF($F$5=0,Valores!$C$97,(Valores!$C$97+$F$5*(Valores!$C$97)))</f>
        <v>-658</v>
      </c>
      <c r="AS39" s="125">
        <f t="shared" si="6"/>
        <v>182322.01234999998</v>
      </c>
      <c r="AT39" s="125">
        <f t="shared" si="0"/>
        <v>-22615.849299999998</v>
      </c>
      <c r="AU39" s="125">
        <f>AH39*Valores!$C$70</f>
        <v>-5551.163009999999</v>
      </c>
      <c r="AV39" s="125">
        <f>AH39*Valores!$C$71</f>
        <v>-616.79589</v>
      </c>
      <c r="AW39" s="125">
        <f t="shared" si="4"/>
        <v>186344.90179999996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3">
        <v>85</v>
      </c>
      <c r="F40" s="125">
        <f>ROUND(E40*Valores!$C$2,2)</f>
        <v>1820.6</v>
      </c>
      <c r="G40" s="193">
        <v>3498</v>
      </c>
      <c r="H40" s="125">
        <f>ROUND(G40*Valores!$C$2,2)</f>
        <v>74922.96</v>
      </c>
      <c r="I40" s="193">
        <v>1209</v>
      </c>
      <c r="J40" s="125">
        <f>ROUND(I40*Valores!$C$2,2)</f>
        <v>25895.33</v>
      </c>
      <c r="K40" s="193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17725.61</v>
      </c>
      <c r="N40" s="125">
        <f t="shared" si="1"/>
        <v>0</v>
      </c>
      <c r="O40" s="125">
        <f>Valores!$C$12</f>
        <v>44887.29</v>
      </c>
      <c r="P40" s="125">
        <f>Valores!$D$5</f>
        <v>10949.29</v>
      </c>
      <c r="Q40" s="125">
        <v>0</v>
      </c>
      <c r="R40" s="125">
        <f>IF($F$4="NO",Valores!$C$44,Valores!$C$44/2)</f>
        <v>5343.37</v>
      </c>
      <c r="S40" s="125">
        <f>Valores!$C$19</f>
        <v>10188.49</v>
      </c>
      <c r="T40" s="125">
        <f t="shared" si="7"/>
        <v>10188.49</v>
      </c>
      <c r="U40" s="125">
        <v>0</v>
      </c>
      <c r="V40" s="125">
        <v>0</v>
      </c>
      <c r="W40" s="193">
        <v>0</v>
      </c>
      <c r="X40" s="125">
        <f>ROUND(W40*Valores!$C$2,2)</f>
        <v>0</v>
      </c>
      <c r="Y40" s="125">
        <v>0</v>
      </c>
      <c r="Z40" s="125">
        <f>Valores!$C$92</f>
        <v>9798.86</v>
      </c>
      <c r="AA40" s="125">
        <f>Valores!$C$25</f>
        <v>447.83</v>
      </c>
      <c r="AB40" s="215">
        <v>0</v>
      </c>
      <c r="AC40" s="125">
        <f t="shared" si="2"/>
        <v>0</v>
      </c>
      <c r="AD40" s="125">
        <f>Valores!$C$26</f>
        <v>447.83</v>
      </c>
      <c r="AE40" s="193">
        <v>0</v>
      </c>
      <c r="AF40" s="125">
        <f>ROUND(AE40*Valores!$C$2,2)</f>
        <v>0</v>
      </c>
      <c r="AG40" s="125">
        <f>ROUND(IF($F$4="NO",Valores!$C$59,Valores!$C$59/2),2)</f>
        <v>3171.17</v>
      </c>
      <c r="AH40" s="125">
        <f t="shared" si="5"/>
        <v>205598.62999999998</v>
      </c>
      <c r="AI40" s="125">
        <f>Valores!$C$31</f>
        <v>4980.08</v>
      </c>
      <c r="AJ40" s="125">
        <f>Valores!$C$85</f>
        <v>4550</v>
      </c>
      <c r="AK40" s="125">
        <f>Valores!C$38*B40</f>
        <v>0</v>
      </c>
      <c r="AL40" s="125">
        <f>IF($F$3="NO",0,Valores!$C$51)</f>
        <v>0</v>
      </c>
      <c r="AM40" s="125">
        <f t="shared" si="3"/>
        <v>9530.08</v>
      </c>
      <c r="AN40" s="125">
        <f>AH40*Valores!$C$67</f>
        <v>-22615.849299999998</v>
      </c>
      <c r="AO40" s="125">
        <f>AH40*-Valores!$C$68</f>
        <v>0</v>
      </c>
      <c r="AP40" s="125">
        <f>AH40*Valores!$C$69</f>
        <v>-9251.938349999999</v>
      </c>
      <c r="AQ40" s="125">
        <f>Valores!$C$96</f>
        <v>-280.91</v>
      </c>
      <c r="AR40" s="125">
        <f>IF($F$5=0,Valores!$C$97,(Valores!$C$97+$F$5*(Valores!$C$97)))</f>
        <v>-658</v>
      </c>
      <c r="AS40" s="125">
        <f t="shared" si="6"/>
        <v>182322.01234999998</v>
      </c>
      <c r="AT40" s="125">
        <f t="shared" si="0"/>
        <v>-22615.849299999998</v>
      </c>
      <c r="AU40" s="125">
        <f>AH40*Valores!$C$70</f>
        <v>-5551.163009999999</v>
      </c>
      <c r="AV40" s="125">
        <f>AH40*Valores!$C$71</f>
        <v>-616.79589</v>
      </c>
      <c r="AW40" s="125">
        <f t="shared" si="4"/>
        <v>186344.90179999996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3">
        <v>101</v>
      </c>
      <c r="F41" s="125">
        <f>ROUND(E41*Valores!$C$2,2)</f>
        <v>2163.3</v>
      </c>
      <c r="G41" s="193">
        <v>2548</v>
      </c>
      <c r="H41" s="125">
        <f>ROUND(G41*Valores!$C$2,2)</f>
        <v>54575.1</v>
      </c>
      <c r="I41" s="193">
        <v>216</v>
      </c>
      <c r="J41" s="125">
        <f>ROUND(I41*Valores!$C$2,2)</f>
        <v>4626.46</v>
      </c>
      <c r="K41" s="193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11534.51</v>
      </c>
      <c r="N41" s="125">
        <f t="shared" si="1"/>
        <v>0</v>
      </c>
      <c r="O41" s="125">
        <f>Valores!$C$9</f>
        <v>23959.59</v>
      </c>
      <c r="P41" s="125">
        <f>Valores!$D$5</f>
        <v>10949.29</v>
      </c>
      <c r="Q41" s="125">
        <v>0</v>
      </c>
      <c r="R41" s="125">
        <f>IF($F$4="NO",Valores!$C$44,Valores!$C$44/2)</f>
        <v>5343.37</v>
      </c>
      <c r="S41" s="125">
        <f>Valores!$C$19</f>
        <v>10188.49</v>
      </c>
      <c r="T41" s="125">
        <f t="shared" si="7"/>
        <v>10188.49</v>
      </c>
      <c r="U41" s="125">
        <v>0</v>
      </c>
      <c r="V41" s="125">
        <v>0</v>
      </c>
      <c r="W41" s="193">
        <v>0</v>
      </c>
      <c r="X41" s="125">
        <f>ROUND(W41*Valores!$C$2,2)</f>
        <v>0</v>
      </c>
      <c r="Y41" s="125">
        <v>0</v>
      </c>
      <c r="Z41" s="125">
        <f>Valores!$C$90</f>
        <v>4899.43</v>
      </c>
      <c r="AA41" s="125">
        <f>Valores!$C$25</f>
        <v>447.83</v>
      </c>
      <c r="AB41" s="215">
        <v>0</v>
      </c>
      <c r="AC41" s="125">
        <f t="shared" si="2"/>
        <v>0</v>
      </c>
      <c r="AD41" s="125">
        <f>Valores!$C$26</f>
        <v>447.83</v>
      </c>
      <c r="AE41" s="193">
        <v>0</v>
      </c>
      <c r="AF41" s="125">
        <f>ROUND(AE41*Valores!$C$2,2)</f>
        <v>0</v>
      </c>
      <c r="AG41" s="125">
        <f>ROUND(IF($F$4="NO",Valores!$C$59,Valores!$C$59/2),2)</f>
        <v>3171.17</v>
      </c>
      <c r="AH41" s="125">
        <f t="shared" si="5"/>
        <v>132306.37000000002</v>
      </c>
      <c r="AI41" s="125">
        <f>Valores!$C$31</f>
        <v>4980.08</v>
      </c>
      <c r="AJ41" s="125">
        <f>Valores!$C$83</f>
        <v>2275</v>
      </c>
      <c r="AK41" s="125">
        <f>Valores!C$38*B41</f>
        <v>0</v>
      </c>
      <c r="AL41" s="125">
        <f>IF($F$3="NO",0,Valores!$C$51)</f>
        <v>0</v>
      </c>
      <c r="AM41" s="125">
        <f t="shared" si="3"/>
        <v>7255.08</v>
      </c>
      <c r="AN41" s="125">
        <f>AH41*Valores!$C$67</f>
        <v>-14553.700700000003</v>
      </c>
      <c r="AO41" s="125">
        <f>AH41*-Valores!$C$68</f>
        <v>0</v>
      </c>
      <c r="AP41" s="125">
        <f>AH41*Valores!$C$69</f>
        <v>-5953.786650000001</v>
      </c>
      <c r="AQ41" s="125">
        <f>Valores!$C$96</f>
        <v>-280.91</v>
      </c>
      <c r="AR41" s="125">
        <f>IF($F$5=0,Valores!$C$97,(Valores!$C$97+$F$5*(Valores!$C$97)))</f>
        <v>-658</v>
      </c>
      <c r="AS41" s="125">
        <f t="shared" si="6"/>
        <v>118115.05265000003</v>
      </c>
      <c r="AT41" s="125">
        <f t="shared" si="0"/>
        <v>-14553.700700000003</v>
      </c>
      <c r="AU41" s="125">
        <f>AH41*Valores!$C$70</f>
        <v>-3572.2719900000006</v>
      </c>
      <c r="AV41" s="125">
        <f>AH41*Valores!$C$71</f>
        <v>-396.9191100000001</v>
      </c>
      <c r="AW41" s="125">
        <f t="shared" si="4"/>
        <v>121038.55820000001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3">
        <v>101</v>
      </c>
      <c r="F42" s="125">
        <f>ROUND(E42*Valores!$C$2,2)</f>
        <v>2163.3</v>
      </c>
      <c r="G42" s="193">
        <v>2548</v>
      </c>
      <c r="H42" s="125">
        <f>ROUND(G42*Valores!$C$2,2)</f>
        <v>54575.1</v>
      </c>
      <c r="I42" s="193">
        <v>216</v>
      </c>
      <c r="J42" s="125">
        <f>ROUND(I42*Valores!$C$2,2)</f>
        <v>4626.46</v>
      </c>
      <c r="K42" s="193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11534.51</v>
      </c>
      <c r="N42" s="125">
        <f t="shared" si="1"/>
        <v>0</v>
      </c>
      <c r="O42" s="125">
        <f>Valores!$C$9</f>
        <v>23959.59</v>
      </c>
      <c r="P42" s="125">
        <f>Valores!$D$5</f>
        <v>10949.29</v>
      </c>
      <c r="Q42" s="125">
        <v>0</v>
      </c>
      <c r="R42" s="125">
        <f>IF($F$4="NO",Valores!$C$44,Valores!$C$44/2)</f>
        <v>5343.37</v>
      </c>
      <c r="S42" s="125">
        <f>Valores!$C$19</f>
        <v>10188.49</v>
      </c>
      <c r="T42" s="125">
        <f t="shared" si="7"/>
        <v>10188.49</v>
      </c>
      <c r="U42" s="125">
        <v>0</v>
      </c>
      <c r="V42" s="125">
        <v>0</v>
      </c>
      <c r="W42" s="193">
        <v>0</v>
      </c>
      <c r="X42" s="125">
        <f>ROUND(W42*Valores!$C$2,2)</f>
        <v>0</v>
      </c>
      <c r="Y42" s="125">
        <v>0</v>
      </c>
      <c r="Z42" s="125">
        <f>Valores!$C$90</f>
        <v>4899.43</v>
      </c>
      <c r="AA42" s="125">
        <f>Valores!$C$25</f>
        <v>447.83</v>
      </c>
      <c r="AB42" s="215">
        <v>0</v>
      </c>
      <c r="AC42" s="125">
        <f t="shared" si="2"/>
        <v>0</v>
      </c>
      <c r="AD42" s="125">
        <f>Valores!$C$26</f>
        <v>447.83</v>
      </c>
      <c r="AE42" s="193">
        <v>0</v>
      </c>
      <c r="AF42" s="125">
        <f>ROUND(AE42*Valores!$C$2,2)</f>
        <v>0</v>
      </c>
      <c r="AG42" s="125">
        <f>ROUND(IF($F$4="NO",Valores!$C$59,Valores!$C$59/2),2)</f>
        <v>3171.17</v>
      </c>
      <c r="AH42" s="125">
        <f t="shared" si="5"/>
        <v>132306.37000000002</v>
      </c>
      <c r="AI42" s="125">
        <f>Valores!$C$31</f>
        <v>4980.08</v>
      </c>
      <c r="AJ42" s="125">
        <f>Valores!$C$83</f>
        <v>2275</v>
      </c>
      <c r="AK42" s="125">
        <f>Valores!C$38*B42</f>
        <v>0</v>
      </c>
      <c r="AL42" s="125">
        <f>IF($F$3="NO",0,Valores!$C$51)</f>
        <v>0</v>
      </c>
      <c r="AM42" s="125">
        <f t="shared" si="3"/>
        <v>7255.08</v>
      </c>
      <c r="AN42" s="125">
        <f>AH42*Valores!$C$67</f>
        <v>-14553.700700000003</v>
      </c>
      <c r="AO42" s="125">
        <f>AH42*-Valores!$C$68</f>
        <v>0</v>
      </c>
      <c r="AP42" s="125">
        <f>AH42*Valores!$C$69</f>
        <v>-5953.786650000001</v>
      </c>
      <c r="AQ42" s="125">
        <f>Valores!$C$96</f>
        <v>-280.91</v>
      </c>
      <c r="AR42" s="125">
        <f>IF($F$5=0,Valores!$C$97,(Valores!$C$97+$F$5*(Valores!$C$97)))</f>
        <v>-658</v>
      </c>
      <c r="AS42" s="125">
        <f t="shared" si="6"/>
        <v>118115.05265000003</v>
      </c>
      <c r="AT42" s="125">
        <f t="shared" si="0"/>
        <v>-14553.700700000003</v>
      </c>
      <c r="AU42" s="125">
        <f>AH42*Valores!$C$70</f>
        <v>-3572.2719900000006</v>
      </c>
      <c r="AV42" s="125">
        <f>AH42*Valores!$C$71</f>
        <v>-396.9191100000001</v>
      </c>
      <c r="AW42" s="125">
        <f t="shared" si="4"/>
        <v>121038.55820000001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3">
        <v>96</v>
      </c>
      <c r="F43" s="125">
        <f>ROUND(E43*Valores!$C$2,2)</f>
        <v>2056.2</v>
      </c>
      <c r="G43" s="193">
        <v>2475</v>
      </c>
      <c r="H43" s="125">
        <f>ROUND(G43*Valores!$C$2,2)</f>
        <v>53011.53</v>
      </c>
      <c r="I43" s="193">
        <v>213</v>
      </c>
      <c r="J43" s="125">
        <f>ROUND(I43*Valores!$C$2,2)</f>
        <v>4562.2</v>
      </c>
      <c r="K43" s="193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11017.19</v>
      </c>
      <c r="N43" s="125">
        <f t="shared" si="1"/>
        <v>0</v>
      </c>
      <c r="O43" s="125">
        <f>Valores!$C$9</f>
        <v>23959.59</v>
      </c>
      <c r="P43" s="125">
        <f>Valores!$D$5</f>
        <v>10949.29</v>
      </c>
      <c r="Q43" s="125">
        <v>0</v>
      </c>
      <c r="R43" s="125">
        <f>IF($F$4="NO",Valores!$C$43,Valores!$C$43/2)</f>
        <v>3629.53</v>
      </c>
      <c r="S43" s="125">
        <f>Valores!$C$19</f>
        <v>10188.49</v>
      </c>
      <c r="T43" s="125">
        <f t="shared" si="7"/>
        <v>10188.49</v>
      </c>
      <c r="U43" s="125">
        <v>0</v>
      </c>
      <c r="V43" s="125">
        <v>0</v>
      </c>
      <c r="W43" s="193">
        <v>0</v>
      </c>
      <c r="X43" s="125">
        <f>ROUND(W43*Valores!$C$2,2)</f>
        <v>0</v>
      </c>
      <c r="Y43" s="125">
        <v>0</v>
      </c>
      <c r="Z43" s="125">
        <f>Valores!$C$90</f>
        <v>4899.43</v>
      </c>
      <c r="AA43" s="125">
        <f>Valores!$C$25</f>
        <v>447.83</v>
      </c>
      <c r="AB43" s="215">
        <v>0</v>
      </c>
      <c r="AC43" s="125">
        <f t="shared" si="2"/>
        <v>0</v>
      </c>
      <c r="AD43" s="125">
        <f>Valores!$C$26</f>
        <v>447.83</v>
      </c>
      <c r="AE43" s="193">
        <v>0</v>
      </c>
      <c r="AF43" s="125">
        <f>ROUND(AE43*Valores!$C$2,2)</f>
        <v>0</v>
      </c>
      <c r="AG43" s="125">
        <f>ROUND(IF($F$4="NO",Valores!$C$59,Valores!$C$59/2),2)</f>
        <v>3171.17</v>
      </c>
      <c r="AH43" s="125">
        <f t="shared" si="5"/>
        <v>128340.28000000001</v>
      </c>
      <c r="AI43" s="125">
        <f>Valores!$C$31</f>
        <v>4980.08</v>
      </c>
      <c r="AJ43" s="125">
        <f>Valores!$C$83</f>
        <v>2275</v>
      </c>
      <c r="AK43" s="125">
        <f>Valores!C$38*B43</f>
        <v>0</v>
      </c>
      <c r="AL43" s="125">
        <f>IF($F$3="NO",0,Valores!$C$52)</f>
        <v>0</v>
      </c>
      <c r="AM43" s="125">
        <f t="shared" si="3"/>
        <v>7255.08</v>
      </c>
      <c r="AN43" s="125">
        <f>AH43*Valores!$C$67</f>
        <v>-14117.430800000002</v>
      </c>
      <c r="AO43" s="125">
        <f>AH43*-Valores!$C$68</f>
        <v>0</v>
      </c>
      <c r="AP43" s="125">
        <f>AH43*Valores!$C$69</f>
        <v>-5775.3126</v>
      </c>
      <c r="AQ43" s="125">
        <f>Valores!$C$96</f>
        <v>-280.91</v>
      </c>
      <c r="AR43" s="125">
        <f>IF($F$5=0,Valores!$C$97,(Valores!$C$97+$F$5*(Valores!$C$97)))</f>
        <v>-658</v>
      </c>
      <c r="AS43" s="125">
        <f t="shared" si="6"/>
        <v>114763.7066</v>
      </c>
      <c r="AT43" s="125">
        <f t="shared" si="0"/>
        <v>-14117.430800000002</v>
      </c>
      <c r="AU43" s="125">
        <f>AH43*Valores!$C$70</f>
        <v>-3465.1875600000003</v>
      </c>
      <c r="AV43" s="125">
        <f>AH43*Valores!$C$71</f>
        <v>-385.02084</v>
      </c>
      <c r="AW43" s="125">
        <f t="shared" si="4"/>
        <v>117627.72080000001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3">
        <v>72</v>
      </c>
      <c r="F44" s="125">
        <f>ROUND(E44*Valores!$C$2,2)</f>
        <v>1542.15</v>
      </c>
      <c r="G44" s="193">
        <v>2471</v>
      </c>
      <c r="H44" s="125">
        <f>ROUND(G44*Valores!$C$2,2)</f>
        <v>52925.85</v>
      </c>
      <c r="I44" s="193">
        <v>199</v>
      </c>
      <c r="J44" s="125">
        <f>ROUND(I44*Valores!$C$2,2)</f>
        <v>4262.34</v>
      </c>
      <c r="K44" s="193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10882.25</v>
      </c>
      <c r="N44" s="125">
        <f t="shared" si="1"/>
        <v>0</v>
      </c>
      <c r="O44" s="125">
        <f>Valores!$C$9</f>
        <v>23959.59</v>
      </c>
      <c r="P44" s="125">
        <f>Valores!$D$5</f>
        <v>10949.29</v>
      </c>
      <c r="Q44" s="125">
        <v>0</v>
      </c>
      <c r="R44" s="125">
        <f>IF($F$4="NO",Valores!$C$43,Valores!$C$43/2)</f>
        <v>3629.53</v>
      </c>
      <c r="S44" s="125">
        <f>Valores!$C$19</f>
        <v>10188.49</v>
      </c>
      <c r="T44" s="125">
        <f t="shared" si="7"/>
        <v>10188.49</v>
      </c>
      <c r="U44" s="125">
        <v>0</v>
      </c>
      <c r="V44" s="125">
        <v>0</v>
      </c>
      <c r="W44" s="193">
        <v>0</v>
      </c>
      <c r="X44" s="125">
        <f>ROUND(W44*Valores!$C$2,2)</f>
        <v>0</v>
      </c>
      <c r="Y44" s="125">
        <v>0</v>
      </c>
      <c r="Z44" s="125">
        <f>Valores!$C$90</f>
        <v>4899.43</v>
      </c>
      <c r="AA44" s="125">
        <f>Valores!$C$25</f>
        <v>447.83</v>
      </c>
      <c r="AB44" s="215">
        <v>0</v>
      </c>
      <c r="AC44" s="125">
        <f t="shared" si="2"/>
        <v>0</v>
      </c>
      <c r="AD44" s="125">
        <f>Valores!$C$26</f>
        <v>447.83</v>
      </c>
      <c r="AE44" s="193">
        <v>0</v>
      </c>
      <c r="AF44" s="125">
        <f>ROUND(AE44*Valores!$C$2,2)</f>
        <v>0</v>
      </c>
      <c r="AG44" s="125">
        <f>ROUND(IF($F$4="NO",Valores!$C$59,Valores!$C$59/2),2)</f>
        <v>3171.17</v>
      </c>
      <c r="AH44" s="125">
        <f t="shared" si="5"/>
        <v>127305.75000000001</v>
      </c>
      <c r="AI44" s="125">
        <f>Valores!$C$31</f>
        <v>4980.08</v>
      </c>
      <c r="AJ44" s="125">
        <f>Valores!$C$83</f>
        <v>2275</v>
      </c>
      <c r="AK44" s="125">
        <f>Valores!C$38*B44</f>
        <v>0</v>
      </c>
      <c r="AL44" s="125">
        <f>IF($F$3="NO",0,Valores!$C$52)</f>
        <v>0</v>
      </c>
      <c r="AM44" s="125">
        <f t="shared" si="3"/>
        <v>7255.08</v>
      </c>
      <c r="AN44" s="125">
        <f>AH44*Valores!$C$67</f>
        <v>-14003.632500000002</v>
      </c>
      <c r="AO44" s="125">
        <f>AH44*-Valores!$C$68</f>
        <v>0</v>
      </c>
      <c r="AP44" s="125">
        <f>AH44*Valores!$C$69</f>
        <v>-5728.758750000001</v>
      </c>
      <c r="AQ44" s="125">
        <f>Valores!$C$96</f>
        <v>-280.91</v>
      </c>
      <c r="AR44" s="125">
        <f>IF($F$5=0,Valores!$C$97,(Valores!$C$97+$F$5*(Valores!$C$97)))</f>
        <v>-658</v>
      </c>
      <c r="AS44" s="125">
        <f t="shared" si="6"/>
        <v>113889.52875000001</v>
      </c>
      <c r="AT44" s="125">
        <f t="shared" si="0"/>
        <v>-14003.632500000002</v>
      </c>
      <c r="AU44" s="125">
        <f>AH44*Valores!$C$70</f>
        <v>-3437.25525</v>
      </c>
      <c r="AV44" s="125">
        <f>AH44*Valores!$C$71</f>
        <v>-381.91725</v>
      </c>
      <c r="AW44" s="125">
        <f t="shared" si="4"/>
        <v>116738.02500000002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3">
        <f>E39</f>
        <v>85</v>
      </c>
      <c r="F45" s="125">
        <f>ROUND(E45*Valores!$C$2,2)</f>
        <v>1820.6</v>
      </c>
      <c r="G45" s="193">
        <f>G39</f>
        <v>3498</v>
      </c>
      <c r="H45" s="125">
        <f>ROUND(G45*Valores!$C$2,2)</f>
        <v>74922.96</v>
      </c>
      <c r="I45" s="193">
        <f>I39</f>
        <v>1209</v>
      </c>
      <c r="J45" s="125">
        <f>ROUND(I45*Valores!$C$2,2)</f>
        <v>25895.33</v>
      </c>
      <c r="K45" s="193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17725.61</v>
      </c>
      <c r="N45" s="125">
        <f t="shared" si="1"/>
        <v>0</v>
      </c>
      <c r="O45" s="125">
        <f>O39</f>
        <v>44887.29</v>
      </c>
      <c r="P45" s="125">
        <f>Valores!$D$5</f>
        <v>10949.29</v>
      </c>
      <c r="Q45" s="125">
        <v>0</v>
      </c>
      <c r="R45" s="125">
        <f>IF($F$4="NO",Valores!$C$44,Valores!$C$44/2)</f>
        <v>5343.37</v>
      </c>
      <c r="S45" s="125">
        <f>S39</f>
        <v>10188.49</v>
      </c>
      <c r="T45" s="125">
        <f t="shared" si="7"/>
        <v>10188.49</v>
      </c>
      <c r="U45" s="125">
        <v>0</v>
      </c>
      <c r="V45" s="125">
        <v>0</v>
      </c>
      <c r="W45" s="193">
        <v>0</v>
      </c>
      <c r="X45" s="125">
        <f>ROUND(W45*Valores!$C$2,2)</f>
        <v>0</v>
      </c>
      <c r="Y45" s="125">
        <v>0</v>
      </c>
      <c r="Z45" s="125">
        <f>Z39</f>
        <v>9798.86</v>
      </c>
      <c r="AA45" s="125">
        <f>Valores!$C$25</f>
        <v>447.83</v>
      </c>
      <c r="AB45" s="215">
        <v>0</v>
      </c>
      <c r="AC45" s="125">
        <f t="shared" si="2"/>
        <v>0</v>
      </c>
      <c r="AD45" s="125">
        <f>Valores!$C$26</f>
        <v>447.83</v>
      </c>
      <c r="AE45" s="193">
        <v>0</v>
      </c>
      <c r="AF45" s="125">
        <f>ROUND(AE45*Valores!$C$2,2)</f>
        <v>0</v>
      </c>
      <c r="AG45" s="125">
        <f>ROUND(IF($F$4="NO",Valores!$C$59,Valores!$C$59/2),2)</f>
        <v>3171.17</v>
      </c>
      <c r="AH45" s="125">
        <f t="shared" si="5"/>
        <v>205598.62999999998</v>
      </c>
      <c r="AI45" s="125">
        <f>Valores!$C$31</f>
        <v>4980.08</v>
      </c>
      <c r="AJ45" s="125">
        <f>AJ39</f>
        <v>4550</v>
      </c>
      <c r="AK45" s="125">
        <f>Valores!C$38*B45</f>
        <v>0</v>
      </c>
      <c r="AL45" s="125">
        <f>IF($F$3="NO",0,Valores!$C$51)</f>
        <v>0</v>
      </c>
      <c r="AM45" s="125">
        <f t="shared" si="3"/>
        <v>9530.08</v>
      </c>
      <c r="AN45" s="125">
        <f>AH45*Valores!$C$67</f>
        <v>-22615.849299999998</v>
      </c>
      <c r="AO45" s="125">
        <f>AH45*-Valores!$C$68</f>
        <v>0</v>
      </c>
      <c r="AP45" s="125">
        <f>AH45*Valores!$C$69</f>
        <v>-9251.938349999999</v>
      </c>
      <c r="AQ45" s="125">
        <f>Valores!$C$96</f>
        <v>-280.91</v>
      </c>
      <c r="AR45" s="125">
        <f>IF($F$5=0,Valores!$C$97,(Valores!$C$97+$F$5*(Valores!$C$97)))</f>
        <v>-658</v>
      </c>
      <c r="AS45" s="125">
        <f t="shared" si="6"/>
        <v>182322.01234999998</v>
      </c>
      <c r="AT45" s="125">
        <f t="shared" si="0"/>
        <v>-22615.849299999998</v>
      </c>
      <c r="AU45" s="125">
        <f>AH45*Valores!$C$70</f>
        <v>-5551.163009999999</v>
      </c>
      <c r="AV45" s="125">
        <f>AH45*Valores!$C$71</f>
        <v>-616.79589</v>
      </c>
      <c r="AW45" s="125">
        <f t="shared" si="4"/>
        <v>186344.90179999996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3">
        <f>E88+E304</f>
        <v>518</v>
      </c>
      <c r="F46" s="125">
        <f>ROUND(E46*Valores!$C$2,2)</f>
        <v>11094.94</v>
      </c>
      <c r="G46" s="193">
        <f>G88+G304</f>
        <v>1997</v>
      </c>
      <c r="H46" s="125">
        <f>ROUND(G46*Valores!$C$2,2)</f>
        <v>42773.34</v>
      </c>
      <c r="I46" s="193">
        <v>0</v>
      </c>
      <c r="J46" s="125">
        <f>ROUND(I46*Valores!$C$2,2)</f>
        <v>0</v>
      </c>
      <c r="K46" s="193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10267.64</v>
      </c>
      <c r="N46" s="125">
        <f t="shared" si="1"/>
        <v>0</v>
      </c>
      <c r="O46" s="125">
        <f>O88+O304</f>
        <v>27992.85</v>
      </c>
      <c r="P46" s="125">
        <f>Valores!$D$5</f>
        <v>10949.29</v>
      </c>
      <c r="Q46" s="125">
        <f>Q88+Q304</f>
        <v>9768.51</v>
      </c>
      <c r="R46" s="125">
        <f>R88+R304</f>
        <v>4394.13</v>
      </c>
      <c r="S46" s="125">
        <f>S88+S304</f>
        <v>10188.49</v>
      </c>
      <c r="T46" s="125">
        <f t="shared" si="7"/>
        <v>10188.49</v>
      </c>
      <c r="U46" s="125">
        <v>0</v>
      </c>
      <c r="V46" s="125">
        <v>0</v>
      </c>
      <c r="W46" s="193">
        <v>0</v>
      </c>
      <c r="X46" s="125">
        <f>ROUND(W46*Valores!$C$2,2)</f>
        <v>0</v>
      </c>
      <c r="Y46" s="125">
        <v>0</v>
      </c>
      <c r="Z46" s="125">
        <f>Z88+Z304</f>
        <v>4899.43</v>
      </c>
      <c r="AA46" s="125">
        <f>Valores!$C$25</f>
        <v>447.83</v>
      </c>
      <c r="AB46" s="215">
        <v>0</v>
      </c>
      <c r="AC46" s="125">
        <f t="shared" si="2"/>
        <v>0</v>
      </c>
      <c r="AD46" s="125">
        <f>Valores!$C$26</f>
        <v>447.83</v>
      </c>
      <c r="AE46" s="193">
        <v>0</v>
      </c>
      <c r="AF46" s="125">
        <f>ROUND(AE46*Valores!$C$2,2)</f>
        <v>0</v>
      </c>
      <c r="AG46" s="125">
        <f>ROUND(IF($F$4="NO",Valores!$C$59,Valores!$C$59/2),2)</f>
        <v>3171.17</v>
      </c>
      <c r="AH46" s="125">
        <f t="shared" si="5"/>
        <v>136395.44999999998</v>
      </c>
      <c r="AI46" s="125">
        <f>Valores!$C$31</f>
        <v>4980.08</v>
      </c>
      <c r="AJ46" s="125">
        <f>AJ88+AJ304</f>
        <v>2275</v>
      </c>
      <c r="AK46" s="125">
        <f>Valores!C$38*B46</f>
        <v>0</v>
      </c>
      <c r="AL46" s="125">
        <f>IF($F$3="NO",0,Valores!$C$52)</f>
        <v>0</v>
      </c>
      <c r="AM46" s="125">
        <f t="shared" si="3"/>
        <v>7255.08</v>
      </c>
      <c r="AN46" s="125">
        <f>AH46*Valores!$C$67</f>
        <v>-15003.499499999998</v>
      </c>
      <c r="AO46" s="125">
        <f>AH46*-Valores!$C$68</f>
        <v>0</v>
      </c>
      <c r="AP46" s="125">
        <f>AH46*Valores!$C$69</f>
        <v>-6137.795249999999</v>
      </c>
      <c r="AQ46" s="125">
        <f>Valores!$C$96</f>
        <v>-280.91</v>
      </c>
      <c r="AR46" s="125">
        <f>IF($F$5=0,Valores!$C$97,(Valores!$C$97+$F$5*(Valores!$C$97)))</f>
        <v>-658</v>
      </c>
      <c r="AS46" s="125">
        <f t="shared" si="6"/>
        <v>121570.32524999998</v>
      </c>
      <c r="AT46" s="125">
        <f t="shared" si="0"/>
        <v>-15003.499499999998</v>
      </c>
      <c r="AU46" s="125">
        <f>AH46*Valores!$C$70</f>
        <v>-3682.6771499999995</v>
      </c>
      <c r="AV46" s="125">
        <f>AH46*Valores!$C$71</f>
        <v>-409.18634999999995</v>
      </c>
      <c r="AW46" s="125">
        <f t="shared" si="4"/>
        <v>124555.16699999997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3">
        <f>E55+E237</f>
        <v>572</v>
      </c>
      <c r="F47" s="125">
        <f>ROUND(E47*Valores!$C$2,2)</f>
        <v>12251.55</v>
      </c>
      <c r="G47" s="193">
        <f>G55+G237</f>
        <v>2686</v>
      </c>
      <c r="H47" s="125">
        <f>ROUND(G47*Valores!$C$2,2)</f>
        <v>57530.9</v>
      </c>
      <c r="I47" s="193">
        <v>0</v>
      </c>
      <c r="J47" s="125">
        <f>ROUND(I47*Valores!$C$2,2)</f>
        <v>0</v>
      </c>
      <c r="K47" s="193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12883.31</v>
      </c>
      <c r="N47" s="125">
        <f t="shared" si="1"/>
        <v>0</v>
      </c>
      <c r="O47" s="125">
        <f>O55+O237</f>
        <v>28317.81</v>
      </c>
      <c r="P47" s="125">
        <f>Valores!$D$5</f>
        <v>10949.29</v>
      </c>
      <c r="Q47" s="125">
        <f>Q55+Q237</f>
        <v>9768.51</v>
      </c>
      <c r="R47" s="125">
        <f>R55+R237</f>
        <v>4547.05</v>
      </c>
      <c r="S47" s="125">
        <f>S55+S237</f>
        <v>11559.25</v>
      </c>
      <c r="T47" s="125">
        <f t="shared" si="7"/>
        <v>11559.25</v>
      </c>
      <c r="U47" s="125">
        <v>0</v>
      </c>
      <c r="V47" s="125">
        <v>0</v>
      </c>
      <c r="W47" s="193">
        <v>0</v>
      </c>
      <c r="X47" s="125">
        <f>ROUND(W47*Valores!$C$2,2)</f>
        <v>0</v>
      </c>
      <c r="Y47" s="125">
        <v>0</v>
      </c>
      <c r="Z47" s="125">
        <f>Z55+Z237</f>
        <v>7388.7300000000005</v>
      </c>
      <c r="AA47" s="125">
        <f>AA55+AA237</f>
        <v>555.47</v>
      </c>
      <c r="AB47" s="215">
        <v>0</v>
      </c>
      <c r="AC47" s="125">
        <f t="shared" si="2"/>
        <v>0</v>
      </c>
      <c r="AD47" s="125">
        <f>Valores!$C$26</f>
        <v>447.83</v>
      </c>
      <c r="AE47" s="193">
        <v>0</v>
      </c>
      <c r="AF47" s="125">
        <f>ROUND(AE47*Valores!$C$2,2)</f>
        <v>0</v>
      </c>
      <c r="AG47" s="125">
        <f>AG55+AG237</f>
        <v>4439.63</v>
      </c>
      <c r="AH47" s="125">
        <f t="shared" si="5"/>
        <v>160639.33</v>
      </c>
      <c r="AI47" s="125">
        <f>AI55+AI237</f>
        <v>6972.139999999999</v>
      </c>
      <c r="AJ47" s="125">
        <f>AJ55+AJ237</f>
        <v>3412.5</v>
      </c>
      <c r="AK47" s="125">
        <f>Valores!C$38*B47</f>
        <v>0</v>
      </c>
      <c r="AL47" s="125">
        <f>IF($F$3="NO",0,Valores!$C$52)</f>
        <v>0</v>
      </c>
      <c r="AM47" s="125">
        <f t="shared" si="3"/>
        <v>10384.64</v>
      </c>
      <c r="AN47" s="125">
        <f>AH47*Valores!$C$67</f>
        <v>-17670.326299999997</v>
      </c>
      <c r="AO47" s="125">
        <f>AH47*-Valores!$C$68</f>
        <v>0</v>
      </c>
      <c r="AP47" s="125">
        <f>AH47*Valores!$C$69</f>
        <v>-7228.769849999999</v>
      </c>
      <c r="AQ47" s="125">
        <f>Valores!$C$96</f>
        <v>-280.91</v>
      </c>
      <c r="AR47" s="125">
        <f>IF($F$5=0,Valores!$C$97,(Valores!$C$97+$F$5*(Valores!$C$97)))</f>
        <v>-658</v>
      </c>
      <c r="AS47" s="125">
        <f t="shared" si="6"/>
        <v>145185.96385</v>
      </c>
      <c r="AT47" s="125">
        <f t="shared" si="0"/>
        <v>-17670.326299999997</v>
      </c>
      <c r="AU47" s="125">
        <f>AH47*Valores!$C$70</f>
        <v>-4337.261909999999</v>
      </c>
      <c r="AV47" s="125">
        <f>AH47*Valores!$C$71</f>
        <v>-481.91799</v>
      </c>
      <c r="AW47" s="125">
        <f t="shared" si="4"/>
        <v>148534.46379999997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3">
        <v>108</v>
      </c>
      <c r="F48" s="125">
        <f>ROUND(E48*Valores!$C$2,2)</f>
        <v>2313.23</v>
      </c>
      <c r="G48" s="193">
        <v>2907</v>
      </c>
      <c r="H48" s="125">
        <f>ROUND(G48*Valores!$C$2,2)</f>
        <v>62264.45</v>
      </c>
      <c r="I48" s="193">
        <v>0</v>
      </c>
      <c r="J48" s="125">
        <f>ROUND(I48*Valores!$C$2,2)</f>
        <v>0</v>
      </c>
      <c r="K48" s="193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11759.36</v>
      </c>
      <c r="N48" s="125">
        <f t="shared" si="1"/>
        <v>0</v>
      </c>
      <c r="O48" s="125">
        <f>Valores!$C$9</f>
        <v>23959.59</v>
      </c>
      <c r="P48" s="125">
        <f>Valores!$D$5</f>
        <v>10949.29</v>
      </c>
      <c r="Q48" s="125">
        <f>Valores!$C$22</f>
        <v>9768.51</v>
      </c>
      <c r="R48" s="125">
        <f>IF($F$4="NO",Valores!$C$43,Valores!$C$43/2)</f>
        <v>3629.53</v>
      </c>
      <c r="S48" s="125">
        <f>Valores!$C$19</f>
        <v>10188.49</v>
      </c>
      <c r="T48" s="125">
        <f t="shared" si="7"/>
        <v>10188.49</v>
      </c>
      <c r="U48" s="125">
        <v>0</v>
      </c>
      <c r="V48" s="125">
        <v>0</v>
      </c>
      <c r="W48" s="193">
        <v>0</v>
      </c>
      <c r="X48" s="125">
        <f>ROUND(W48*Valores!$C$2,2)</f>
        <v>0</v>
      </c>
      <c r="Y48" s="125">
        <v>0</v>
      </c>
      <c r="Z48" s="125">
        <f>Valores!$C$91</f>
        <v>5879.31</v>
      </c>
      <c r="AA48" s="125">
        <f>Valores!$C$25</f>
        <v>447.83</v>
      </c>
      <c r="AB48" s="215">
        <v>0</v>
      </c>
      <c r="AC48" s="125">
        <f t="shared" si="2"/>
        <v>0</v>
      </c>
      <c r="AD48" s="125">
        <f>Valores!$C$26</f>
        <v>447.83</v>
      </c>
      <c r="AE48" s="193">
        <v>0</v>
      </c>
      <c r="AF48" s="125">
        <f>ROUND(AE48*Valores!$C$2,2)</f>
        <v>0</v>
      </c>
      <c r="AG48" s="125">
        <f>ROUND(IF($F$4="NO",Valores!$C$59,Valores!$C$59/2),2)</f>
        <v>3171.17</v>
      </c>
      <c r="AH48" s="125">
        <f t="shared" si="5"/>
        <v>144778.59</v>
      </c>
      <c r="AI48" s="125">
        <f>Valores!$C$31</f>
        <v>4980.08</v>
      </c>
      <c r="AJ48" s="125">
        <f>Valores!$C$84</f>
        <v>2730</v>
      </c>
      <c r="AK48" s="125">
        <f>Valores!C$38*B48</f>
        <v>0</v>
      </c>
      <c r="AL48" s="125">
        <f>IF($F$3="NO",0,Valores!$C$52)</f>
        <v>0</v>
      </c>
      <c r="AM48" s="125">
        <f t="shared" si="3"/>
        <v>7710.08</v>
      </c>
      <c r="AN48" s="125">
        <f>AH48*Valores!$C$67</f>
        <v>-15925.6449</v>
      </c>
      <c r="AO48" s="125">
        <f>AH48*-Valores!$C$68</f>
        <v>0</v>
      </c>
      <c r="AP48" s="125">
        <f>AH48*Valores!$C$69</f>
        <v>-6515.03655</v>
      </c>
      <c r="AQ48" s="125">
        <f>Valores!$C$96</f>
        <v>-280.91</v>
      </c>
      <c r="AR48" s="125">
        <f>IF($F$5=0,Valores!$C$97,(Valores!$C$97+$F$5*(Valores!$C$97)))</f>
        <v>-658</v>
      </c>
      <c r="AS48" s="125">
        <f t="shared" si="6"/>
        <v>129109.07855</v>
      </c>
      <c r="AT48" s="125">
        <f t="shared" si="0"/>
        <v>-15925.6449</v>
      </c>
      <c r="AU48" s="125">
        <f>AH48*Valores!$C$70</f>
        <v>-3909.02193</v>
      </c>
      <c r="AV48" s="125">
        <f>AH48*Valores!$C$71</f>
        <v>-434.33577</v>
      </c>
      <c r="AW48" s="125">
        <f t="shared" si="4"/>
        <v>132219.66739999998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3">
        <v>88</v>
      </c>
      <c r="F49" s="125">
        <f>ROUND(E49*Valores!$C$2,2)</f>
        <v>1884.85</v>
      </c>
      <c r="G49" s="193">
        <v>2622</v>
      </c>
      <c r="H49" s="125">
        <f>ROUND(G49*Valores!$C$2,2)</f>
        <v>56160.09</v>
      </c>
      <c r="I49" s="193">
        <v>0</v>
      </c>
      <c r="J49" s="125">
        <f>ROUND(I49*Valores!$C$2,2)</f>
        <v>0</v>
      </c>
      <c r="K49" s="193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10779.44</v>
      </c>
      <c r="N49" s="125">
        <f t="shared" si="1"/>
        <v>0</v>
      </c>
      <c r="O49" s="125">
        <f>Valores!$C$9</f>
        <v>23959.59</v>
      </c>
      <c r="P49" s="125">
        <f>Valores!$D$5</f>
        <v>10949.29</v>
      </c>
      <c r="Q49" s="125">
        <f>Valores!$C$22</f>
        <v>9768.51</v>
      </c>
      <c r="R49" s="125">
        <f>IF($F$4="NO",Valores!$C$43,Valores!$C$43/2)</f>
        <v>3629.53</v>
      </c>
      <c r="S49" s="125">
        <f>Valores!$C$19</f>
        <v>10188.49</v>
      </c>
      <c r="T49" s="125">
        <f t="shared" si="7"/>
        <v>10188.49</v>
      </c>
      <c r="U49" s="125">
        <v>0</v>
      </c>
      <c r="V49" s="125">
        <v>0</v>
      </c>
      <c r="W49" s="193">
        <v>0</v>
      </c>
      <c r="X49" s="125">
        <f>ROUND(W49*Valores!$C$2,2)</f>
        <v>0</v>
      </c>
      <c r="Y49" s="125">
        <v>0</v>
      </c>
      <c r="Z49" s="125">
        <f>Valores!$C$91</f>
        <v>5879.31</v>
      </c>
      <c r="AA49" s="125">
        <f>Valores!$C$25</f>
        <v>447.83</v>
      </c>
      <c r="AB49" s="215">
        <v>0</v>
      </c>
      <c r="AC49" s="125">
        <f t="shared" si="2"/>
        <v>0</v>
      </c>
      <c r="AD49" s="125">
        <f>Valores!$C$26</f>
        <v>447.83</v>
      </c>
      <c r="AE49" s="193">
        <v>0</v>
      </c>
      <c r="AF49" s="125">
        <f>ROUND(AE49*Valores!$C$2,2)</f>
        <v>0</v>
      </c>
      <c r="AG49" s="125">
        <f>ROUND(IF($F$4="NO",Valores!$C$59,Valores!$C$59/2),2)</f>
        <v>3171.17</v>
      </c>
      <c r="AH49" s="125">
        <f t="shared" si="5"/>
        <v>137265.92999999996</v>
      </c>
      <c r="AI49" s="125">
        <f>Valores!$C$31</f>
        <v>4980.08</v>
      </c>
      <c r="AJ49" s="125">
        <f>Valores!$C$84</f>
        <v>2730</v>
      </c>
      <c r="AK49" s="125">
        <f>Valores!C$38*B49</f>
        <v>0</v>
      </c>
      <c r="AL49" s="125">
        <f>IF($F$3="NO",0,Valores!$C$52)</f>
        <v>0</v>
      </c>
      <c r="AM49" s="125">
        <f t="shared" si="3"/>
        <v>7710.08</v>
      </c>
      <c r="AN49" s="125">
        <f>AH49*Valores!$C$67</f>
        <v>-15099.252299999996</v>
      </c>
      <c r="AO49" s="125">
        <f>AH49*-Valores!$C$68</f>
        <v>0</v>
      </c>
      <c r="AP49" s="125">
        <f>AH49*Valores!$C$69</f>
        <v>-6176.966849999998</v>
      </c>
      <c r="AQ49" s="125">
        <f>Valores!$C$96</f>
        <v>-280.91</v>
      </c>
      <c r="AR49" s="125">
        <f>IF($F$5=0,Valores!$C$97,(Valores!$C$97+$F$5*(Valores!$C$97)))</f>
        <v>-658</v>
      </c>
      <c r="AS49" s="125">
        <f t="shared" si="6"/>
        <v>122760.88084999997</v>
      </c>
      <c r="AT49" s="125">
        <f t="shared" si="0"/>
        <v>-15099.252299999996</v>
      </c>
      <c r="AU49" s="125">
        <f>AH49*Valores!$C$70</f>
        <v>-3706.180109999999</v>
      </c>
      <c r="AV49" s="125">
        <f>AH49*Valores!$C$71</f>
        <v>-411.7977899999999</v>
      </c>
      <c r="AW49" s="125">
        <f t="shared" si="4"/>
        <v>125758.77979999996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3">
        <v>88</v>
      </c>
      <c r="F50" s="125">
        <f>ROUND(E50*Valores!$C$2,2)</f>
        <v>1884.85</v>
      </c>
      <c r="G50" s="193">
        <v>2622</v>
      </c>
      <c r="H50" s="125">
        <f>ROUND(G50*Valores!$C$2,2)</f>
        <v>56160.09</v>
      </c>
      <c r="I50" s="193">
        <v>0</v>
      </c>
      <c r="J50" s="125">
        <f>ROUND(I50*Valores!$C$2,2)</f>
        <v>0</v>
      </c>
      <c r="K50" s="193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10779.44</v>
      </c>
      <c r="N50" s="125">
        <f t="shared" si="1"/>
        <v>0</v>
      </c>
      <c r="O50" s="125">
        <f>Valores!$C$9</f>
        <v>23959.59</v>
      </c>
      <c r="P50" s="125">
        <f>Valores!$D$5</f>
        <v>10949.29</v>
      </c>
      <c r="Q50" s="125">
        <f>Valores!$C$22</f>
        <v>9768.51</v>
      </c>
      <c r="R50" s="125">
        <f>IF($F$4="NO",Valores!$C$43,Valores!$C$43/2)</f>
        <v>3629.53</v>
      </c>
      <c r="S50" s="125">
        <f>Valores!$C$19</f>
        <v>10188.49</v>
      </c>
      <c r="T50" s="125">
        <f t="shared" si="7"/>
        <v>10188.49</v>
      </c>
      <c r="U50" s="125">
        <v>0</v>
      </c>
      <c r="V50" s="125">
        <v>0</v>
      </c>
      <c r="W50" s="193">
        <v>0</v>
      </c>
      <c r="X50" s="125">
        <f>ROUND(W50*Valores!$C$2,2)</f>
        <v>0</v>
      </c>
      <c r="Y50" s="125">
        <v>0</v>
      </c>
      <c r="Z50" s="125">
        <f>Valores!$C$91</f>
        <v>5879.31</v>
      </c>
      <c r="AA50" s="125">
        <f>Valores!$C$25</f>
        <v>447.83</v>
      </c>
      <c r="AB50" s="215">
        <v>0</v>
      </c>
      <c r="AC50" s="125">
        <f t="shared" si="2"/>
        <v>0</v>
      </c>
      <c r="AD50" s="125">
        <f>Valores!$C$26</f>
        <v>447.83</v>
      </c>
      <c r="AE50" s="193">
        <v>0</v>
      </c>
      <c r="AF50" s="125">
        <f>ROUND(AE50*Valores!$C$2,2)</f>
        <v>0</v>
      </c>
      <c r="AG50" s="125">
        <f>ROUND(IF($F$4="NO",Valores!$C$59,Valores!$C$59/2),2)</f>
        <v>3171.17</v>
      </c>
      <c r="AH50" s="125">
        <f t="shared" si="5"/>
        <v>137265.92999999996</v>
      </c>
      <c r="AI50" s="125">
        <f>Valores!$C$31</f>
        <v>4980.08</v>
      </c>
      <c r="AJ50" s="125">
        <f>Valores!$C$84</f>
        <v>2730</v>
      </c>
      <c r="AK50" s="125">
        <f>Valores!C$38*B50</f>
        <v>0</v>
      </c>
      <c r="AL50" s="125">
        <f>IF($F$3="NO",0,Valores!$C$52)</f>
        <v>0</v>
      </c>
      <c r="AM50" s="125">
        <f t="shared" si="3"/>
        <v>7710.08</v>
      </c>
      <c r="AN50" s="125">
        <f>AH50*Valores!$C$67</f>
        <v>-15099.252299999996</v>
      </c>
      <c r="AO50" s="125">
        <f>AH50*-Valores!$C$68</f>
        <v>0</v>
      </c>
      <c r="AP50" s="125">
        <f>AH50*Valores!$C$69</f>
        <v>-6176.966849999998</v>
      </c>
      <c r="AQ50" s="125">
        <f>Valores!$C$96</f>
        <v>-280.91</v>
      </c>
      <c r="AR50" s="125">
        <f>IF($F$5=0,Valores!$C$97,(Valores!$C$97+$F$5*(Valores!$C$97)))</f>
        <v>-658</v>
      </c>
      <c r="AS50" s="125">
        <f t="shared" si="6"/>
        <v>122760.88084999997</v>
      </c>
      <c r="AT50" s="125">
        <f t="shared" si="0"/>
        <v>-15099.252299999996</v>
      </c>
      <c r="AU50" s="125">
        <f>AH50*Valores!$C$70</f>
        <v>-3706.180109999999</v>
      </c>
      <c r="AV50" s="125">
        <f>AH50*Valores!$C$71</f>
        <v>-411.7977899999999</v>
      </c>
      <c r="AW50" s="125">
        <f t="shared" si="4"/>
        <v>125758.77979999996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3">
        <v>80</v>
      </c>
      <c r="F51" s="125">
        <f>ROUND(E51*Valores!$C$2,2)</f>
        <v>1713.5</v>
      </c>
      <c r="G51" s="193">
        <v>2278</v>
      </c>
      <c r="H51" s="125">
        <f>ROUND(G51*Valores!$C$2,2)</f>
        <v>48792.03</v>
      </c>
      <c r="I51" s="193">
        <v>0</v>
      </c>
      <c r="J51" s="125">
        <f>ROUND(I51*Valores!$C$2,2)</f>
        <v>0</v>
      </c>
      <c r="K51" s="193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9648.53</v>
      </c>
      <c r="N51" s="125">
        <f t="shared" si="1"/>
        <v>0</v>
      </c>
      <c r="O51" s="125">
        <f>Valores!$C$9</f>
        <v>23959.59</v>
      </c>
      <c r="P51" s="125">
        <f>Valores!$D$5</f>
        <v>10949.29</v>
      </c>
      <c r="Q51" s="125">
        <f>Valores!$C$22</f>
        <v>9768.51</v>
      </c>
      <c r="R51" s="125">
        <f>IF($F$4="NO",Valores!$C$43,Valores!$C$43/2)</f>
        <v>3629.53</v>
      </c>
      <c r="S51" s="125">
        <f>Valores!$C$19</f>
        <v>10188.49</v>
      </c>
      <c r="T51" s="125">
        <f t="shared" si="7"/>
        <v>10188.49</v>
      </c>
      <c r="U51" s="125">
        <v>0</v>
      </c>
      <c r="V51" s="125">
        <v>0</v>
      </c>
      <c r="W51" s="193">
        <v>0</v>
      </c>
      <c r="X51" s="125">
        <f>ROUND(W51*Valores!$C$2,2)</f>
        <v>0</v>
      </c>
      <c r="Y51" s="125">
        <v>0</v>
      </c>
      <c r="Z51" s="125">
        <f>Valores!$C$91</f>
        <v>5879.31</v>
      </c>
      <c r="AA51" s="125">
        <f>Valores!$C$25</f>
        <v>447.83</v>
      </c>
      <c r="AB51" s="215">
        <v>0</v>
      </c>
      <c r="AC51" s="125">
        <f t="shared" si="2"/>
        <v>0</v>
      </c>
      <c r="AD51" s="125">
        <f>Valores!$C$26</f>
        <v>447.83</v>
      </c>
      <c r="AE51" s="193">
        <v>0</v>
      </c>
      <c r="AF51" s="125">
        <f>ROUND(AE51*Valores!$C$2,2)</f>
        <v>0</v>
      </c>
      <c r="AG51" s="125">
        <f>ROUND(IF($F$4="NO",Valores!$C$59,Valores!$C$59/2),2)</f>
        <v>3171.17</v>
      </c>
      <c r="AH51" s="125">
        <f t="shared" si="5"/>
        <v>128595.61</v>
      </c>
      <c r="AI51" s="125">
        <f>Valores!$C$31</f>
        <v>4980.08</v>
      </c>
      <c r="AJ51" s="125">
        <f>Valores!$C$84</f>
        <v>2730</v>
      </c>
      <c r="AK51" s="125">
        <f>Valores!C$38*B51</f>
        <v>0</v>
      </c>
      <c r="AL51" s="125">
        <f>IF($F$3="NO",0,Valores!$C$52)</f>
        <v>0</v>
      </c>
      <c r="AM51" s="125">
        <f t="shared" si="3"/>
        <v>7710.08</v>
      </c>
      <c r="AN51" s="125">
        <f>AH51*Valores!$C$67</f>
        <v>-14145.517100000001</v>
      </c>
      <c r="AO51" s="125">
        <f>AH51*-Valores!$C$68</f>
        <v>0</v>
      </c>
      <c r="AP51" s="125">
        <f>AH51*Valores!$C$69</f>
        <v>-5786.80245</v>
      </c>
      <c r="AQ51" s="125">
        <f>Valores!$C$96</f>
        <v>-280.91</v>
      </c>
      <c r="AR51" s="125">
        <f>IF($F$5=0,Valores!$C$97,(Valores!$C$97+$F$5*(Valores!$C$97)))</f>
        <v>-658</v>
      </c>
      <c r="AS51" s="125">
        <f t="shared" si="6"/>
        <v>115434.46045</v>
      </c>
      <c r="AT51" s="125">
        <f t="shared" si="0"/>
        <v>-14145.517100000001</v>
      </c>
      <c r="AU51" s="125">
        <f>AH51*Valores!$C$70</f>
        <v>-3472.08147</v>
      </c>
      <c r="AV51" s="125">
        <f>AH51*Valores!$C$71</f>
        <v>-385.78683</v>
      </c>
      <c r="AW51" s="125">
        <f t="shared" si="4"/>
        <v>118302.3046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3">
        <v>100</v>
      </c>
      <c r="F52" s="125">
        <f>ROUND(E52*Valores!$C$2,2)</f>
        <v>2141.88</v>
      </c>
      <c r="G52" s="193">
        <v>3620</v>
      </c>
      <c r="H52" s="125">
        <f>ROUND(G52*Valores!$C$2,2)</f>
        <v>77536.06</v>
      </c>
      <c r="I52" s="193">
        <v>0</v>
      </c>
      <c r="J52" s="125">
        <f>ROUND(I52*Valores!$C$2,2)</f>
        <v>0</v>
      </c>
      <c r="K52" s="193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14281.47</v>
      </c>
      <c r="N52" s="125">
        <f t="shared" si="1"/>
        <v>0</v>
      </c>
      <c r="O52" s="125">
        <f>Valores!$C$9</f>
        <v>23959.59</v>
      </c>
      <c r="P52" s="125">
        <f>Valores!$D$5</f>
        <v>10949.29</v>
      </c>
      <c r="Q52" s="125">
        <f>Valores!$C$22</f>
        <v>9768.51</v>
      </c>
      <c r="R52" s="125">
        <f>IF($F$4="NO",Valores!$C$44,Valores!$C$44/2)</f>
        <v>5343.37</v>
      </c>
      <c r="S52" s="125">
        <f>Valores!$C$19</f>
        <v>10188.49</v>
      </c>
      <c r="T52" s="125">
        <f t="shared" si="7"/>
        <v>10188.49</v>
      </c>
      <c r="U52" s="125">
        <v>0</v>
      </c>
      <c r="V52" s="125">
        <v>0</v>
      </c>
      <c r="W52" s="193">
        <v>0</v>
      </c>
      <c r="X52" s="125">
        <f>ROUND(W52*Valores!$C$2,2)</f>
        <v>0</v>
      </c>
      <c r="Y52" s="125">
        <v>0</v>
      </c>
      <c r="Z52" s="125">
        <f>Valores!$C$92</f>
        <v>9798.86</v>
      </c>
      <c r="AA52" s="125">
        <f>Valores!$C$25</f>
        <v>447.83</v>
      </c>
      <c r="AB52" s="215">
        <v>0</v>
      </c>
      <c r="AC52" s="125">
        <f t="shared" si="2"/>
        <v>0</v>
      </c>
      <c r="AD52" s="125">
        <f>Valores!$C$26</f>
        <v>447.83</v>
      </c>
      <c r="AE52" s="193">
        <v>0</v>
      </c>
      <c r="AF52" s="125">
        <f>ROUND(AE52*Valores!$C$2,2)</f>
        <v>0</v>
      </c>
      <c r="AG52" s="125">
        <f>ROUND(IF($F$4="NO",Valores!$C$59,Valores!$C$59/2),2)</f>
        <v>3171.17</v>
      </c>
      <c r="AH52" s="125">
        <f t="shared" si="5"/>
        <v>168034.35</v>
      </c>
      <c r="AI52" s="125">
        <f>Valores!$C$31</f>
        <v>4980.08</v>
      </c>
      <c r="AJ52" s="125">
        <f>Valores!$C$85</f>
        <v>4550</v>
      </c>
      <c r="AK52" s="125">
        <f>Valores!C$38*B52</f>
        <v>0</v>
      </c>
      <c r="AL52" s="125">
        <f>IF($F$3="NO",0,Valores!$C$52)</f>
        <v>0</v>
      </c>
      <c r="AM52" s="125">
        <f t="shared" si="3"/>
        <v>9530.08</v>
      </c>
      <c r="AN52" s="125">
        <f>AH52*Valores!$C$67</f>
        <v>-18483.7785</v>
      </c>
      <c r="AO52" s="125">
        <f>AH52*-Valores!$C$68</f>
        <v>0</v>
      </c>
      <c r="AP52" s="125">
        <f>AH52*Valores!$C$69</f>
        <v>-7561.54575</v>
      </c>
      <c r="AQ52" s="125">
        <f>Valores!$C$96</f>
        <v>-280.91</v>
      </c>
      <c r="AR52" s="125">
        <f>IF($F$5=0,Valores!$C$97,(Valores!$C$97+$F$5*(Valores!$C$97)))</f>
        <v>-658</v>
      </c>
      <c r="AS52" s="125">
        <f t="shared" si="6"/>
        <v>150580.19575</v>
      </c>
      <c r="AT52" s="125">
        <f t="shared" si="0"/>
        <v>-18483.7785</v>
      </c>
      <c r="AU52" s="125">
        <f>AH52*Valores!$C$70</f>
        <v>-4536.92745</v>
      </c>
      <c r="AV52" s="125">
        <f>AH52*Valores!$C$71</f>
        <v>-504.10305000000005</v>
      </c>
      <c r="AW52" s="125">
        <f t="shared" si="4"/>
        <v>154039.62099999998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3">
        <v>100</v>
      </c>
      <c r="F53" s="125">
        <f>ROUND(E53*Valores!$C$2,2)</f>
        <v>2141.88</v>
      </c>
      <c r="G53" s="193">
        <v>3560</v>
      </c>
      <c r="H53" s="125">
        <f>ROUND(G53*Valores!$C$2,2)</f>
        <v>76250.93</v>
      </c>
      <c r="I53" s="193">
        <v>0</v>
      </c>
      <c r="J53" s="125">
        <f>ROUND(I53*Valores!$C$2,2)</f>
        <v>0</v>
      </c>
      <c r="K53" s="193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14088.7</v>
      </c>
      <c r="N53" s="125">
        <f t="shared" si="1"/>
        <v>0</v>
      </c>
      <c r="O53" s="125">
        <f>Valores!$C$9</f>
        <v>23959.59</v>
      </c>
      <c r="P53" s="125">
        <f>Valores!$D$5</f>
        <v>10949.29</v>
      </c>
      <c r="Q53" s="125">
        <v>0</v>
      </c>
      <c r="R53" s="125">
        <f>IF($F$4="NO",Valores!$C$44,Valores!$C$44/2)</f>
        <v>5343.37</v>
      </c>
      <c r="S53" s="125">
        <f>Valores!$C$19</f>
        <v>10188.49</v>
      </c>
      <c r="T53" s="125">
        <f t="shared" si="7"/>
        <v>10188.49</v>
      </c>
      <c r="U53" s="125">
        <v>0</v>
      </c>
      <c r="V53" s="125">
        <v>0</v>
      </c>
      <c r="W53" s="193">
        <v>0</v>
      </c>
      <c r="X53" s="125">
        <f>ROUND(W53*Valores!$C$2,2)</f>
        <v>0</v>
      </c>
      <c r="Y53" s="125">
        <v>0</v>
      </c>
      <c r="Z53" s="125">
        <f>Valores!$C$92</f>
        <v>9798.86</v>
      </c>
      <c r="AA53" s="125">
        <f>Valores!$C$25</f>
        <v>447.83</v>
      </c>
      <c r="AB53" s="215">
        <v>0</v>
      </c>
      <c r="AC53" s="125">
        <f t="shared" si="2"/>
        <v>0</v>
      </c>
      <c r="AD53" s="125">
        <f>Valores!$C$26</f>
        <v>447.83</v>
      </c>
      <c r="AE53" s="193">
        <v>0</v>
      </c>
      <c r="AF53" s="125">
        <f>ROUND(AE53*Valores!$C$2,2)</f>
        <v>0</v>
      </c>
      <c r="AG53" s="125">
        <f>ROUND(IF($F$4="NO",Valores!$C$59,Valores!$C$59/2),2)</f>
        <v>3171.17</v>
      </c>
      <c r="AH53" s="125">
        <f t="shared" si="5"/>
        <v>156787.93999999997</v>
      </c>
      <c r="AI53" s="125">
        <f>Valores!$C$31</f>
        <v>4980.08</v>
      </c>
      <c r="AJ53" s="125">
        <f>Valores!$C$85</f>
        <v>4550</v>
      </c>
      <c r="AK53" s="125">
        <f>Valores!C$38*B53</f>
        <v>0</v>
      </c>
      <c r="AL53" s="125">
        <f>IF($F$3="NO",0,Valores!$C$52)</f>
        <v>0</v>
      </c>
      <c r="AM53" s="125">
        <f t="shared" si="3"/>
        <v>9530.08</v>
      </c>
      <c r="AN53" s="125">
        <f>AH53*Valores!$C$67</f>
        <v>-17246.673399999996</v>
      </c>
      <c r="AO53" s="125">
        <f>AH53*-Valores!$C$68</f>
        <v>0</v>
      </c>
      <c r="AP53" s="125">
        <f>AH53*Valores!$C$69</f>
        <v>-7055.457299999998</v>
      </c>
      <c r="AQ53" s="125">
        <f>Valores!$C$96</f>
        <v>-280.91</v>
      </c>
      <c r="AR53" s="125">
        <f>IF($F$5=0,Valores!$C$97,(Valores!$C$97+$F$5*(Valores!$C$97)))</f>
        <v>-658</v>
      </c>
      <c r="AS53" s="125">
        <f t="shared" si="6"/>
        <v>141076.97929999998</v>
      </c>
      <c r="AT53" s="125">
        <f t="shared" si="0"/>
        <v>-17246.673399999996</v>
      </c>
      <c r="AU53" s="125">
        <f>AH53*Valores!$C$70</f>
        <v>-4233.274379999999</v>
      </c>
      <c r="AV53" s="125">
        <f>AH53*Valores!$C$71</f>
        <v>-470.3638199999999</v>
      </c>
      <c r="AW53" s="125">
        <f t="shared" si="4"/>
        <v>144367.70839999997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3">
        <v>100</v>
      </c>
      <c r="F54" s="125">
        <f>ROUND(E54*Valores!$C$2,2)</f>
        <v>2141.88</v>
      </c>
      <c r="G54" s="193">
        <v>3360</v>
      </c>
      <c r="H54" s="125">
        <f>ROUND(G54*Valores!$C$2,2)</f>
        <v>71967.17</v>
      </c>
      <c r="I54" s="193">
        <v>0</v>
      </c>
      <c r="J54" s="125">
        <f>ROUND(I54*Valores!$C$2,2)</f>
        <v>0</v>
      </c>
      <c r="K54" s="193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13446.14</v>
      </c>
      <c r="N54" s="125">
        <f t="shared" si="1"/>
        <v>0</v>
      </c>
      <c r="O54" s="125">
        <f>Valores!$C$9</f>
        <v>23959.59</v>
      </c>
      <c r="P54" s="125">
        <f>Valores!$D$5</f>
        <v>10949.29</v>
      </c>
      <c r="Q54" s="125">
        <f>Valores!$C$22</f>
        <v>9768.51</v>
      </c>
      <c r="R54" s="125">
        <f>IF($F$4="NO",Valores!$C$44,Valores!$C$44/2)</f>
        <v>5343.37</v>
      </c>
      <c r="S54" s="125">
        <f>Valores!$C$19</f>
        <v>10188.49</v>
      </c>
      <c r="T54" s="125">
        <f t="shared" si="7"/>
        <v>10188.49</v>
      </c>
      <c r="U54" s="125">
        <v>0</v>
      </c>
      <c r="V54" s="125">
        <v>0</v>
      </c>
      <c r="W54" s="193">
        <v>0</v>
      </c>
      <c r="X54" s="125">
        <f>ROUND(W54*Valores!$C$2,2)</f>
        <v>0</v>
      </c>
      <c r="Y54" s="125">
        <v>0</v>
      </c>
      <c r="Z54" s="125">
        <f>Valores!$C$92</f>
        <v>9798.86</v>
      </c>
      <c r="AA54" s="125">
        <f>Valores!$C$25</f>
        <v>447.83</v>
      </c>
      <c r="AB54" s="215">
        <v>0</v>
      </c>
      <c r="AC54" s="125">
        <f t="shared" si="2"/>
        <v>0</v>
      </c>
      <c r="AD54" s="125">
        <f>Valores!$C$26</f>
        <v>447.83</v>
      </c>
      <c r="AE54" s="193">
        <v>0</v>
      </c>
      <c r="AF54" s="125">
        <f>ROUND(AE54*Valores!$C$2,2)</f>
        <v>0</v>
      </c>
      <c r="AG54" s="125">
        <f>ROUND(IF($F$4="NO",Valores!$C$59,Valores!$C$59/2),2)</f>
        <v>3171.17</v>
      </c>
      <c r="AH54" s="125">
        <f t="shared" si="5"/>
        <v>161630.12999999998</v>
      </c>
      <c r="AI54" s="125">
        <f>Valores!$C$31</f>
        <v>4980.08</v>
      </c>
      <c r="AJ54" s="125">
        <f>Valores!$C$85</f>
        <v>4550</v>
      </c>
      <c r="AK54" s="125">
        <f>Valores!C$38*B54</f>
        <v>0</v>
      </c>
      <c r="AL54" s="125">
        <f>IF($F$3="NO",0,Valores!$C$52)</f>
        <v>0</v>
      </c>
      <c r="AM54" s="125">
        <f t="shared" si="3"/>
        <v>9530.08</v>
      </c>
      <c r="AN54" s="125">
        <f>AH54*Valores!$C$67</f>
        <v>-17779.3143</v>
      </c>
      <c r="AO54" s="125">
        <f>AH54*-Valores!$C$68</f>
        <v>0</v>
      </c>
      <c r="AP54" s="125">
        <f>AH54*Valores!$C$69</f>
        <v>-7273.355849999999</v>
      </c>
      <c r="AQ54" s="125">
        <f>Valores!$C$96</f>
        <v>-280.91</v>
      </c>
      <c r="AR54" s="125">
        <f>IF($F$5=0,Valores!$C$97,(Valores!$C$97+$F$5*(Valores!$C$97)))</f>
        <v>-658</v>
      </c>
      <c r="AS54" s="125">
        <f t="shared" si="6"/>
        <v>145168.62984999997</v>
      </c>
      <c r="AT54" s="125">
        <f t="shared" si="0"/>
        <v>-17779.3143</v>
      </c>
      <c r="AU54" s="125">
        <f>AH54*Valores!$C$70</f>
        <v>-4364.013509999999</v>
      </c>
      <c r="AV54" s="125">
        <f>AH54*Valores!$C$71</f>
        <v>-484.8903899999999</v>
      </c>
      <c r="AW54" s="125">
        <f t="shared" si="4"/>
        <v>148531.99179999996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3">
        <v>98</v>
      </c>
      <c r="F55" s="125">
        <f>ROUND(E55*Valores!$C$2,2)</f>
        <v>2099.04</v>
      </c>
      <c r="G55" s="193">
        <v>2686</v>
      </c>
      <c r="H55" s="125">
        <f>ROUND(G55*Valores!$C$2,2)</f>
        <v>57530.9</v>
      </c>
      <c r="I55" s="193">
        <v>0</v>
      </c>
      <c r="J55" s="125">
        <f>ROUND(I55*Valores!$C$2,2)</f>
        <v>0</v>
      </c>
      <c r="K55" s="193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11017.19</v>
      </c>
      <c r="N55" s="125">
        <f t="shared" si="1"/>
        <v>0</v>
      </c>
      <c r="O55" s="125">
        <f>Valores!$C$9</f>
        <v>23959.59</v>
      </c>
      <c r="P55" s="125">
        <f>Valores!$D$5</f>
        <v>10949.29</v>
      </c>
      <c r="Q55" s="125">
        <f>Valores!$C$22</f>
        <v>9768.51</v>
      </c>
      <c r="R55" s="125">
        <f>IF($F$4="NO",Valores!$C$43,Valores!$C$43/2)</f>
        <v>3629.53</v>
      </c>
      <c r="S55" s="125">
        <f>Valores!$C$19</f>
        <v>10188.49</v>
      </c>
      <c r="T55" s="125">
        <f t="shared" si="7"/>
        <v>10188.49</v>
      </c>
      <c r="U55" s="125">
        <v>0</v>
      </c>
      <c r="V55" s="125">
        <v>0</v>
      </c>
      <c r="W55" s="193">
        <v>0</v>
      </c>
      <c r="X55" s="125">
        <f>ROUND(W55*Valores!$C$2,2)</f>
        <v>0</v>
      </c>
      <c r="Y55" s="125">
        <v>0</v>
      </c>
      <c r="Z55" s="125">
        <f>Valores!$C$91</f>
        <v>5879.31</v>
      </c>
      <c r="AA55" s="125">
        <f>Valores!$C$25</f>
        <v>447.83</v>
      </c>
      <c r="AB55" s="215">
        <v>0</v>
      </c>
      <c r="AC55" s="125">
        <f t="shared" si="2"/>
        <v>0</v>
      </c>
      <c r="AD55" s="125">
        <f>Valores!$C$26</f>
        <v>447.83</v>
      </c>
      <c r="AE55" s="193">
        <v>0</v>
      </c>
      <c r="AF55" s="125">
        <f>ROUND(AE55*Valores!$C$2,2)</f>
        <v>0</v>
      </c>
      <c r="AG55" s="125">
        <f>ROUND(IF($F$4="NO",Valores!$C$59,Valores!$C$59/2),2)</f>
        <v>3171.17</v>
      </c>
      <c r="AH55" s="125">
        <f t="shared" si="5"/>
        <v>139088.68</v>
      </c>
      <c r="AI55" s="125">
        <f>Valores!$C$31</f>
        <v>4980.08</v>
      </c>
      <c r="AJ55" s="125">
        <f>Valores!$C$84</f>
        <v>2730</v>
      </c>
      <c r="AK55" s="125">
        <f>Valores!C$38*B55</f>
        <v>0</v>
      </c>
      <c r="AL55" s="125">
        <f>IF($F$3="NO",0,Valores!$C$52)</f>
        <v>0</v>
      </c>
      <c r="AM55" s="125">
        <f t="shared" si="3"/>
        <v>7710.08</v>
      </c>
      <c r="AN55" s="125">
        <f>AH55*Valores!$C$67</f>
        <v>-15299.754799999999</v>
      </c>
      <c r="AO55" s="125">
        <f>AH55*-Valores!$C$68</f>
        <v>0</v>
      </c>
      <c r="AP55" s="125">
        <f>AH55*Valores!$C$69</f>
        <v>-6258.990599999999</v>
      </c>
      <c r="AQ55" s="125">
        <f>Valores!$C$96</f>
        <v>-280.91</v>
      </c>
      <c r="AR55" s="125">
        <f>IF($F$5=0,Valores!$C$97,(Valores!$C$97+$F$5*(Valores!$C$97)))</f>
        <v>-658</v>
      </c>
      <c r="AS55" s="125">
        <f t="shared" si="6"/>
        <v>124301.10459999999</v>
      </c>
      <c r="AT55" s="125">
        <f t="shared" si="0"/>
        <v>-15299.754799999999</v>
      </c>
      <c r="AU55" s="125">
        <f>AH55*Valores!$C$70</f>
        <v>-3755.39436</v>
      </c>
      <c r="AV55" s="125">
        <f>AH55*Valores!$C$71</f>
        <v>-417.26604</v>
      </c>
      <c r="AW55" s="125">
        <f t="shared" si="4"/>
        <v>127326.34479999999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3">
        <v>94</v>
      </c>
      <c r="F56" s="125">
        <f>ROUND(E56*Valores!$C$2,2)</f>
        <v>2013.37</v>
      </c>
      <c r="G56" s="193">
        <v>2690</v>
      </c>
      <c r="H56" s="125">
        <f>ROUND(G56*Valores!$C$2,2)</f>
        <v>57616.57</v>
      </c>
      <c r="I56" s="193">
        <v>0</v>
      </c>
      <c r="J56" s="125">
        <f>ROUND(I56*Valores!$C$2,2)</f>
        <v>0</v>
      </c>
      <c r="K56" s="193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11017.19</v>
      </c>
      <c r="N56" s="125">
        <f t="shared" si="1"/>
        <v>0</v>
      </c>
      <c r="O56" s="125">
        <f>Valores!$C$9</f>
        <v>23959.59</v>
      </c>
      <c r="P56" s="125">
        <f>Valores!$D$5</f>
        <v>10949.29</v>
      </c>
      <c r="Q56" s="125">
        <f>Valores!$C$22</f>
        <v>9768.51</v>
      </c>
      <c r="R56" s="125">
        <f>IF($F$4="NO",Valores!$C$43,Valores!$C$43/2)</f>
        <v>3629.53</v>
      </c>
      <c r="S56" s="125">
        <f>Valores!$C$19</f>
        <v>10188.49</v>
      </c>
      <c r="T56" s="125">
        <f t="shared" si="7"/>
        <v>10188.49</v>
      </c>
      <c r="U56" s="125">
        <v>0</v>
      </c>
      <c r="V56" s="125">
        <v>0</v>
      </c>
      <c r="W56" s="193">
        <v>0</v>
      </c>
      <c r="X56" s="125">
        <f>ROUND(W56*Valores!$C$2,2)</f>
        <v>0</v>
      </c>
      <c r="Y56" s="125">
        <v>0</v>
      </c>
      <c r="Z56" s="125">
        <f>Valores!$C$91</f>
        <v>5879.31</v>
      </c>
      <c r="AA56" s="125">
        <f>Valores!$C$25</f>
        <v>447.83</v>
      </c>
      <c r="AB56" s="215">
        <v>0</v>
      </c>
      <c r="AC56" s="125">
        <f t="shared" si="2"/>
        <v>0</v>
      </c>
      <c r="AD56" s="125">
        <f>Valores!$C$26</f>
        <v>447.83</v>
      </c>
      <c r="AE56" s="193">
        <v>94</v>
      </c>
      <c r="AF56" s="125">
        <f>ROUND(AE56*Valores!$C$2,2)</f>
        <v>2013.37</v>
      </c>
      <c r="AG56" s="125">
        <f>ROUND(IF($F$4="NO",Valores!$C$59,Valores!$C$59/2),2)</f>
        <v>3171.17</v>
      </c>
      <c r="AH56" s="125">
        <f t="shared" si="5"/>
        <v>141102.05</v>
      </c>
      <c r="AI56" s="125">
        <f>Valores!$C$31</f>
        <v>4980.08</v>
      </c>
      <c r="AJ56" s="125">
        <f>Valores!$C$84</f>
        <v>2730</v>
      </c>
      <c r="AK56" s="125">
        <f>Valores!C$38*B56</f>
        <v>0</v>
      </c>
      <c r="AL56" s="125">
        <f>IF($F$3="NO",0,Valores!$C$52)</f>
        <v>0</v>
      </c>
      <c r="AM56" s="125">
        <f t="shared" si="3"/>
        <v>7710.08</v>
      </c>
      <c r="AN56" s="125">
        <f>AH56*Valores!$C$67</f>
        <v>-15521.225499999999</v>
      </c>
      <c r="AO56" s="125">
        <f>AH56*-Valores!$C$68</f>
        <v>0</v>
      </c>
      <c r="AP56" s="125">
        <f>AH56*Valores!$C$69</f>
        <v>-6349.59225</v>
      </c>
      <c r="AQ56" s="125">
        <f>Valores!$C$96</f>
        <v>-280.91</v>
      </c>
      <c r="AR56" s="125">
        <f>IF($F$5=0,Valores!$C$97,(Valores!$C$97+$F$5*(Valores!$C$97)))</f>
        <v>-658</v>
      </c>
      <c r="AS56" s="125">
        <f t="shared" si="6"/>
        <v>126002.40224999998</v>
      </c>
      <c r="AT56" s="125">
        <f t="shared" si="0"/>
        <v>-15521.225499999999</v>
      </c>
      <c r="AU56" s="125">
        <f>AH56*Valores!$C$70</f>
        <v>-3809.7553499999995</v>
      </c>
      <c r="AV56" s="125">
        <f>AH56*Valores!$C$71</f>
        <v>-423.30614999999995</v>
      </c>
      <c r="AW56" s="125">
        <f t="shared" si="4"/>
        <v>129057.84299999998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3">
        <v>93</v>
      </c>
      <c r="F57" s="125">
        <f>ROUND(E57*Valores!$C$2,2)</f>
        <v>1991.95</v>
      </c>
      <c r="G57" s="193">
        <v>2547</v>
      </c>
      <c r="H57" s="125">
        <f>ROUND(G57*Valores!$C$2,2)</f>
        <v>54553.68</v>
      </c>
      <c r="I57" s="193">
        <v>0</v>
      </c>
      <c r="J57" s="125">
        <f>ROUND(I57*Valores!$C$2,2)</f>
        <v>0</v>
      </c>
      <c r="K57" s="193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10554.55</v>
      </c>
      <c r="N57" s="125">
        <f t="shared" si="1"/>
        <v>0</v>
      </c>
      <c r="O57" s="125">
        <f>Valores!$C$9</f>
        <v>23959.59</v>
      </c>
      <c r="P57" s="125">
        <f>Valores!$D$5</f>
        <v>10949.29</v>
      </c>
      <c r="Q57" s="125">
        <f>Valores!$C$22</f>
        <v>9768.51</v>
      </c>
      <c r="R57" s="125">
        <f>IF($F$4="NO",Valores!$C$43,Valores!$C$43/2)</f>
        <v>3629.53</v>
      </c>
      <c r="S57" s="125">
        <f>Valores!$C$19</f>
        <v>10188.49</v>
      </c>
      <c r="T57" s="125">
        <f t="shared" si="7"/>
        <v>10188.49</v>
      </c>
      <c r="U57" s="125">
        <v>0</v>
      </c>
      <c r="V57" s="125">
        <v>0</v>
      </c>
      <c r="W57" s="193">
        <v>0</v>
      </c>
      <c r="X57" s="125">
        <f>ROUND(W57*Valores!$C$2,2)</f>
        <v>0</v>
      </c>
      <c r="Y57" s="125">
        <v>0</v>
      </c>
      <c r="Z57" s="125">
        <f>Valores!$C$91</f>
        <v>5879.31</v>
      </c>
      <c r="AA57" s="125">
        <f>Valores!$C$25</f>
        <v>447.83</v>
      </c>
      <c r="AB57" s="215">
        <v>0</v>
      </c>
      <c r="AC57" s="125">
        <f t="shared" si="2"/>
        <v>0</v>
      </c>
      <c r="AD57" s="125">
        <f>Valores!$C$26</f>
        <v>447.83</v>
      </c>
      <c r="AE57" s="193">
        <v>0</v>
      </c>
      <c r="AF57" s="125">
        <f>ROUND(AE57*Valores!$C$2,2)</f>
        <v>0</v>
      </c>
      <c r="AG57" s="125">
        <f>ROUND(IF($F$4="NO",Valores!$C$59,Valores!$C$59/2),2)</f>
        <v>3171.17</v>
      </c>
      <c r="AH57" s="125">
        <f t="shared" si="5"/>
        <v>135541.72999999998</v>
      </c>
      <c r="AI57" s="125">
        <f>Valores!$C$31</f>
        <v>4980.08</v>
      </c>
      <c r="AJ57" s="125">
        <f>Valores!$C$84</f>
        <v>2730</v>
      </c>
      <c r="AK57" s="125">
        <f>Valores!C$38*B57</f>
        <v>0</v>
      </c>
      <c r="AL57" s="125">
        <f>IF($F$3="NO",0,Valores!$C$52)</f>
        <v>0</v>
      </c>
      <c r="AM57" s="125">
        <f t="shared" si="3"/>
        <v>7710.08</v>
      </c>
      <c r="AN57" s="125">
        <f>AH57*Valores!$C$67</f>
        <v>-14909.590299999998</v>
      </c>
      <c r="AO57" s="125">
        <f>AH57*-Valores!$C$68</f>
        <v>0</v>
      </c>
      <c r="AP57" s="125">
        <f>AH57*Valores!$C$69</f>
        <v>-6099.377849999999</v>
      </c>
      <c r="AQ57" s="125">
        <f>Valores!$C$96</f>
        <v>-280.91</v>
      </c>
      <c r="AR57" s="125">
        <f>IF($F$5=0,Valores!$C$97,(Valores!$C$97+$F$5*(Valores!$C$97)))</f>
        <v>-658</v>
      </c>
      <c r="AS57" s="125">
        <f t="shared" si="6"/>
        <v>121303.93184999998</v>
      </c>
      <c r="AT57" s="125">
        <f t="shared" si="0"/>
        <v>-14909.590299999998</v>
      </c>
      <c r="AU57" s="125">
        <f>AH57*Valores!$C$70</f>
        <v>-3659.6267099999995</v>
      </c>
      <c r="AV57" s="125">
        <f>AH57*Valores!$C$71</f>
        <v>-406.62519</v>
      </c>
      <c r="AW57" s="125">
        <f t="shared" si="4"/>
        <v>124275.96779999997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3">
        <v>89</v>
      </c>
      <c r="F58" s="125">
        <f>ROUND(E58*Valores!$C$2,2)</f>
        <v>1906.27</v>
      </c>
      <c r="G58" s="193">
        <v>2551</v>
      </c>
      <c r="H58" s="125">
        <f>ROUND(G58*Valores!$C$2,2)</f>
        <v>54639.36</v>
      </c>
      <c r="I58" s="193">
        <v>0</v>
      </c>
      <c r="J58" s="125">
        <f>ROUND(I58*Valores!$C$2,2)</f>
        <v>0</v>
      </c>
      <c r="K58" s="193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10554.55</v>
      </c>
      <c r="N58" s="125">
        <f t="shared" si="1"/>
        <v>0</v>
      </c>
      <c r="O58" s="125">
        <f>Valores!$C$9</f>
        <v>23959.59</v>
      </c>
      <c r="P58" s="125">
        <f>Valores!$D$5</f>
        <v>10949.29</v>
      </c>
      <c r="Q58" s="125">
        <f>Valores!$C$22</f>
        <v>9768.51</v>
      </c>
      <c r="R58" s="125">
        <f>IF($F$4="NO",Valores!$C$43,Valores!$C$43/2)</f>
        <v>3629.53</v>
      </c>
      <c r="S58" s="125">
        <f>Valores!$C$19</f>
        <v>10188.49</v>
      </c>
      <c r="T58" s="125">
        <f t="shared" si="7"/>
        <v>10188.49</v>
      </c>
      <c r="U58" s="125">
        <v>0</v>
      </c>
      <c r="V58" s="125">
        <v>0</v>
      </c>
      <c r="W58" s="193">
        <v>0</v>
      </c>
      <c r="X58" s="125">
        <f>ROUND(W58*Valores!$C$2,2)</f>
        <v>0</v>
      </c>
      <c r="Y58" s="125">
        <v>0</v>
      </c>
      <c r="Z58" s="125">
        <f>Valores!$C$91</f>
        <v>5879.31</v>
      </c>
      <c r="AA58" s="125">
        <f>Valores!$C$25</f>
        <v>447.83</v>
      </c>
      <c r="AB58" s="215">
        <v>0</v>
      </c>
      <c r="AC58" s="125">
        <f t="shared" si="2"/>
        <v>0</v>
      </c>
      <c r="AD58" s="125">
        <f>Valores!$C$26</f>
        <v>447.83</v>
      </c>
      <c r="AE58" s="193">
        <v>94</v>
      </c>
      <c r="AF58" s="125">
        <f>ROUND(AE58*Valores!$C$2,2)</f>
        <v>2013.37</v>
      </c>
      <c r="AG58" s="125">
        <f>ROUND(IF($F$4="NO",Valores!$C$59,Valores!$C$59/2),2)</f>
        <v>3171.17</v>
      </c>
      <c r="AH58" s="125">
        <f t="shared" si="5"/>
        <v>137555.09999999998</v>
      </c>
      <c r="AI58" s="125">
        <f>Valores!$C$31</f>
        <v>4980.08</v>
      </c>
      <c r="AJ58" s="125">
        <f>Valores!$C$84</f>
        <v>2730</v>
      </c>
      <c r="AK58" s="125">
        <f>Valores!C$38*B58</f>
        <v>0</v>
      </c>
      <c r="AL58" s="125">
        <f>IF($F$3="NO",0,Valores!$C$52)</f>
        <v>0</v>
      </c>
      <c r="AM58" s="125">
        <f t="shared" si="3"/>
        <v>7710.08</v>
      </c>
      <c r="AN58" s="125">
        <f>AH58*Valores!$C$67</f>
        <v>-15131.060999999998</v>
      </c>
      <c r="AO58" s="125">
        <f>AH58*-Valores!$C$68</f>
        <v>0</v>
      </c>
      <c r="AP58" s="125">
        <f>AH58*Valores!$C$69</f>
        <v>-6189.979499999999</v>
      </c>
      <c r="AQ58" s="125">
        <f>Valores!$C$96</f>
        <v>-280.91</v>
      </c>
      <c r="AR58" s="125">
        <f>IF($F$5=0,Valores!$C$97,(Valores!$C$97+$F$5*(Valores!$C$97)))</f>
        <v>-658</v>
      </c>
      <c r="AS58" s="125">
        <f t="shared" si="6"/>
        <v>123005.22949999999</v>
      </c>
      <c r="AT58" s="125">
        <f t="shared" si="0"/>
        <v>-15131.060999999998</v>
      </c>
      <c r="AU58" s="125">
        <f>AH58*Valores!$C$70</f>
        <v>-3713.987699999999</v>
      </c>
      <c r="AV58" s="125">
        <f>AH58*Valores!$C$71</f>
        <v>-412.66529999999995</v>
      </c>
      <c r="AW58" s="125">
        <f t="shared" si="4"/>
        <v>126007.46599999997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3">
        <v>89</v>
      </c>
      <c r="F59" s="125">
        <f>ROUND(E59*Valores!$C$2,2)</f>
        <v>1906.27</v>
      </c>
      <c r="G59" s="193">
        <v>2251</v>
      </c>
      <c r="H59" s="125">
        <f>ROUND(G59*Valores!$C$2,2)</f>
        <v>48213.72</v>
      </c>
      <c r="I59" s="193">
        <v>0</v>
      </c>
      <c r="J59" s="125">
        <f>ROUND(I59*Valores!$C$2,2)</f>
        <v>0</v>
      </c>
      <c r="K59" s="193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9590.7</v>
      </c>
      <c r="N59" s="125">
        <f t="shared" si="1"/>
        <v>0</v>
      </c>
      <c r="O59" s="125">
        <f>Valores!$C$9</f>
        <v>23959.59</v>
      </c>
      <c r="P59" s="125">
        <f>Valores!$D$5</f>
        <v>10949.29</v>
      </c>
      <c r="Q59" s="125">
        <f>Valores!$C$22</f>
        <v>9768.51</v>
      </c>
      <c r="R59" s="125">
        <f>IF($F$4="NO",Valores!$C$43,Valores!$C$43/2)</f>
        <v>3629.53</v>
      </c>
      <c r="S59" s="125">
        <f>Valores!$C$19</f>
        <v>10188.49</v>
      </c>
      <c r="T59" s="125">
        <f t="shared" si="7"/>
        <v>10188.49</v>
      </c>
      <c r="U59" s="125">
        <v>0</v>
      </c>
      <c r="V59" s="125">
        <v>0</v>
      </c>
      <c r="W59" s="193">
        <v>0</v>
      </c>
      <c r="X59" s="125">
        <f>ROUND(W59*Valores!$C$2,2)</f>
        <v>0</v>
      </c>
      <c r="Y59" s="125">
        <v>0</v>
      </c>
      <c r="Z59" s="125">
        <f>Valores!$C$91</f>
        <v>5879.31</v>
      </c>
      <c r="AA59" s="125">
        <f>Valores!$C$25</f>
        <v>447.83</v>
      </c>
      <c r="AB59" s="215">
        <v>0</v>
      </c>
      <c r="AC59" s="125">
        <f t="shared" si="2"/>
        <v>0</v>
      </c>
      <c r="AD59" s="125">
        <f>Valores!$C$26</f>
        <v>447.83</v>
      </c>
      <c r="AE59" s="193">
        <v>0</v>
      </c>
      <c r="AF59" s="125">
        <f>ROUND(AE59*Valores!$C$2,2)</f>
        <v>0</v>
      </c>
      <c r="AG59" s="125">
        <f>ROUND(IF($F$4="NO",Valores!$C$59,Valores!$C$59/2),2)</f>
        <v>3171.17</v>
      </c>
      <c r="AH59" s="125">
        <f t="shared" si="5"/>
        <v>128152.24</v>
      </c>
      <c r="AI59" s="125">
        <f>Valores!$C$31</f>
        <v>4980.08</v>
      </c>
      <c r="AJ59" s="125">
        <f>Valores!$C$84</f>
        <v>2730</v>
      </c>
      <c r="AK59" s="125">
        <f>Valores!C$38*B59</f>
        <v>0</v>
      </c>
      <c r="AL59" s="125">
        <f>IF($F$3="NO",0,Valores!$C$52)</f>
        <v>0</v>
      </c>
      <c r="AM59" s="125">
        <f t="shared" si="3"/>
        <v>7710.08</v>
      </c>
      <c r="AN59" s="125">
        <f>AH59*Valores!$C$67</f>
        <v>-14096.7464</v>
      </c>
      <c r="AO59" s="125">
        <f>AH59*-Valores!$C$68</f>
        <v>0</v>
      </c>
      <c r="AP59" s="125">
        <f>AH59*Valores!$C$69</f>
        <v>-5766.8508</v>
      </c>
      <c r="AQ59" s="125">
        <f>Valores!$C$96</f>
        <v>-280.91</v>
      </c>
      <c r="AR59" s="125">
        <f>IF($F$5=0,Valores!$C$97,(Valores!$C$97+$F$5*(Valores!$C$97)))</f>
        <v>-658</v>
      </c>
      <c r="AS59" s="125">
        <f t="shared" si="6"/>
        <v>115059.8128</v>
      </c>
      <c r="AT59" s="125">
        <f t="shared" si="0"/>
        <v>-14096.7464</v>
      </c>
      <c r="AU59" s="125">
        <f>AH59*Valores!$C$70</f>
        <v>-3460.1104800000003</v>
      </c>
      <c r="AV59" s="125">
        <f>AH59*Valores!$C$71</f>
        <v>-384.45672</v>
      </c>
      <c r="AW59" s="125">
        <f t="shared" si="4"/>
        <v>117921.00640000001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3">
        <v>85</v>
      </c>
      <c r="F60" s="125">
        <f>ROUND(E60*Valores!$C$2,2)</f>
        <v>1820.6</v>
      </c>
      <c r="G60" s="193">
        <v>2255</v>
      </c>
      <c r="H60" s="125">
        <f>ROUND(G60*Valores!$C$2,2)</f>
        <v>48299.39</v>
      </c>
      <c r="I60" s="193">
        <v>0</v>
      </c>
      <c r="J60" s="125">
        <f>ROUND(I60*Valores!$C$2,2)</f>
        <v>0</v>
      </c>
      <c r="K60" s="193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9590.7</v>
      </c>
      <c r="N60" s="125">
        <f t="shared" si="1"/>
        <v>0</v>
      </c>
      <c r="O60" s="125">
        <f>Valores!$C$9</f>
        <v>23959.59</v>
      </c>
      <c r="P60" s="125">
        <f>Valores!$D$5</f>
        <v>10949.29</v>
      </c>
      <c r="Q60" s="125">
        <f>Valores!$C$22</f>
        <v>9768.51</v>
      </c>
      <c r="R60" s="125">
        <f>IF($F$4="NO",Valores!$C$43,Valores!$C$43/2)</f>
        <v>3629.53</v>
      </c>
      <c r="S60" s="125">
        <f>Valores!$C$19</f>
        <v>10188.49</v>
      </c>
      <c r="T60" s="125">
        <f t="shared" si="7"/>
        <v>10188.49</v>
      </c>
      <c r="U60" s="125">
        <v>0</v>
      </c>
      <c r="V60" s="125">
        <v>0</v>
      </c>
      <c r="W60" s="193">
        <v>0</v>
      </c>
      <c r="X60" s="125">
        <f>ROUND(W60*Valores!$C$2,2)</f>
        <v>0</v>
      </c>
      <c r="Y60" s="125">
        <v>0</v>
      </c>
      <c r="Z60" s="125">
        <f>Valores!$C$91</f>
        <v>5879.31</v>
      </c>
      <c r="AA60" s="125">
        <f>Valores!$C$25</f>
        <v>447.83</v>
      </c>
      <c r="AB60" s="215">
        <v>0</v>
      </c>
      <c r="AC60" s="125">
        <f t="shared" si="2"/>
        <v>0</v>
      </c>
      <c r="AD60" s="125">
        <f>Valores!$C$26</f>
        <v>447.83</v>
      </c>
      <c r="AE60" s="193">
        <v>94</v>
      </c>
      <c r="AF60" s="125">
        <f>ROUND(AE60*Valores!$C$2,2)</f>
        <v>2013.37</v>
      </c>
      <c r="AG60" s="125">
        <f>ROUND(IF($F$4="NO",Valores!$C$59,Valores!$C$59/2),2)</f>
        <v>3171.17</v>
      </c>
      <c r="AH60" s="125">
        <f t="shared" si="5"/>
        <v>130165.61</v>
      </c>
      <c r="AI60" s="125">
        <f>Valores!$C$31</f>
        <v>4980.08</v>
      </c>
      <c r="AJ60" s="125">
        <f>Valores!$C$84</f>
        <v>2730</v>
      </c>
      <c r="AK60" s="125">
        <f>Valores!C$38*B60</f>
        <v>0</v>
      </c>
      <c r="AL60" s="125">
        <f>IF($F$3="NO",0,Valores!$C$52)</f>
        <v>0</v>
      </c>
      <c r="AM60" s="125">
        <f t="shared" si="3"/>
        <v>7710.08</v>
      </c>
      <c r="AN60" s="125">
        <f>AH60*Valores!$C$67</f>
        <v>-14318.2171</v>
      </c>
      <c r="AO60" s="125">
        <f>AH60*-Valores!$C$68</f>
        <v>0</v>
      </c>
      <c r="AP60" s="125">
        <f>AH60*Valores!$C$69</f>
        <v>-5857.45245</v>
      </c>
      <c r="AQ60" s="125">
        <f>Valores!$C$96</f>
        <v>-280.91</v>
      </c>
      <c r="AR60" s="125">
        <f>IF($F$5=0,Valores!$C$97,(Valores!$C$97+$F$5*(Valores!$C$97)))</f>
        <v>-658</v>
      </c>
      <c r="AS60" s="125">
        <f t="shared" si="6"/>
        <v>116761.11045000001</v>
      </c>
      <c r="AT60" s="125">
        <f t="shared" si="0"/>
        <v>-14318.2171</v>
      </c>
      <c r="AU60" s="125">
        <f>AH60*Valores!$C$70</f>
        <v>-3514.47147</v>
      </c>
      <c r="AV60" s="125">
        <f>AH60*Valores!$C$71</f>
        <v>-390.49683</v>
      </c>
      <c r="AW60" s="125">
        <f t="shared" si="4"/>
        <v>119652.5046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3">
        <v>100</v>
      </c>
      <c r="F61" s="125">
        <f>ROUND(E61*Valores!$C$2,2)</f>
        <v>2141.88</v>
      </c>
      <c r="G61" s="193">
        <v>3180</v>
      </c>
      <c r="H61" s="125">
        <f>ROUND(G61*Valores!$C$2,2)</f>
        <v>68111.78</v>
      </c>
      <c r="I61" s="193">
        <v>0</v>
      </c>
      <c r="J61" s="125">
        <f>ROUND(I61*Valores!$C$2,2)</f>
        <v>0</v>
      </c>
      <c r="K61" s="193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12867.83</v>
      </c>
      <c r="N61" s="125">
        <f t="shared" si="1"/>
        <v>0</v>
      </c>
      <c r="O61" s="125">
        <f>Valores!$C$9</f>
        <v>23959.59</v>
      </c>
      <c r="P61" s="125">
        <f>Valores!$D$5</f>
        <v>10949.29</v>
      </c>
      <c r="Q61" s="125">
        <f>Valores!$C$22</f>
        <v>9768.51</v>
      </c>
      <c r="R61" s="125">
        <f>IF($F$4="NO",Valores!$C$44,Valores!$C$44/2)</f>
        <v>5343.37</v>
      </c>
      <c r="S61" s="125">
        <f>Valores!$C$19</f>
        <v>10188.49</v>
      </c>
      <c r="T61" s="125">
        <f t="shared" si="7"/>
        <v>10188.49</v>
      </c>
      <c r="U61" s="125">
        <v>0</v>
      </c>
      <c r="V61" s="125">
        <v>0</v>
      </c>
      <c r="W61" s="193">
        <v>0</v>
      </c>
      <c r="X61" s="125">
        <f>ROUND(W61*Valores!$C$2,2)</f>
        <v>0</v>
      </c>
      <c r="Y61" s="125">
        <v>0</v>
      </c>
      <c r="Z61" s="125">
        <f>Valores!$C$91</f>
        <v>5879.31</v>
      </c>
      <c r="AA61" s="125">
        <f>Valores!$C$25</f>
        <v>447.83</v>
      </c>
      <c r="AB61" s="215">
        <v>0</v>
      </c>
      <c r="AC61" s="125">
        <f t="shared" si="2"/>
        <v>0</v>
      </c>
      <c r="AD61" s="125">
        <f>Valores!$C$26</f>
        <v>447.83</v>
      </c>
      <c r="AE61" s="193">
        <v>0</v>
      </c>
      <c r="AF61" s="125">
        <f>ROUND(AE61*Valores!$C$2,2)</f>
        <v>0</v>
      </c>
      <c r="AG61" s="125">
        <f>ROUND(IF($F$4="NO",Valores!$C$59,Valores!$C$59/2),2)</f>
        <v>3171.17</v>
      </c>
      <c r="AH61" s="125">
        <f t="shared" si="5"/>
        <v>153276.87999999998</v>
      </c>
      <c r="AI61" s="125">
        <f>Valores!$C$31</f>
        <v>4980.08</v>
      </c>
      <c r="AJ61" s="125">
        <f>Valores!$C$84</f>
        <v>2730</v>
      </c>
      <c r="AK61" s="125">
        <f>Valores!C$38*B61</f>
        <v>0</v>
      </c>
      <c r="AL61" s="125">
        <f>IF($F$3="NO",0,Valores!$C$52)</f>
        <v>0</v>
      </c>
      <c r="AM61" s="125">
        <f t="shared" si="3"/>
        <v>7710.08</v>
      </c>
      <c r="AN61" s="125">
        <f>AH61*Valores!$C$67</f>
        <v>-16860.456799999996</v>
      </c>
      <c r="AO61" s="125">
        <f>AH61*-Valores!$C$68</f>
        <v>0</v>
      </c>
      <c r="AP61" s="125">
        <f>AH61*Valores!$C$69</f>
        <v>-6897.459599999998</v>
      </c>
      <c r="AQ61" s="125">
        <f>Valores!$C$96</f>
        <v>-280.91</v>
      </c>
      <c r="AR61" s="125">
        <f>IF($F$5=0,Valores!$C$97,(Valores!$C$97+$F$5*(Valores!$C$97)))</f>
        <v>-658</v>
      </c>
      <c r="AS61" s="125">
        <f t="shared" si="6"/>
        <v>136290.13359999997</v>
      </c>
      <c r="AT61" s="125">
        <f t="shared" si="0"/>
        <v>-16860.456799999996</v>
      </c>
      <c r="AU61" s="125">
        <f>AH61*Valores!$C$70</f>
        <v>-4138.475759999999</v>
      </c>
      <c r="AV61" s="125">
        <f>AH61*Valores!$C$71</f>
        <v>-459.83063999999996</v>
      </c>
      <c r="AW61" s="125">
        <f t="shared" si="4"/>
        <v>139528.19679999998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3">
        <v>83</v>
      </c>
      <c r="F62" s="125">
        <f>ROUND(E62*Valores!$C$2,2)</f>
        <v>1777.76</v>
      </c>
      <c r="G62" s="193">
        <v>2352</v>
      </c>
      <c r="H62" s="125">
        <f>ROUND(G62*Valores!$C$2,2)</f>
        <v>50377.02</v>
      </c>
      <c r="I62" s="193">
        <v>0</v>
      </c>
      <c r="J62" s="125">
        <f>ROUND(I62*Valores!$C$2,2)</f>
        <v>0</v>
      </c>
      <c r="K62" s="193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9895.92</v>
      </c>
      <c r="N62" s="125">
        <f t="shared" si="1"/>
        <v>0</v>
      </c>
      <c r="O62" s="125">
        <f>Valores!$C$9</f>
        <v>23959.59</v>
      </c>
      <c r="P62" s="125">
        <f>Valores!$D$5</f>
        <v>10949.29</v>
      </c>
      <c r="Q62" s="125">
        <f>Valores!$C$22</f>
        <v>9768.51</v>
      </c>
      <c r="R62" s="125">
        <f>IF($F$4="NO",Valores!$C$43,Valores!$C$43/2)</f>
        <v>3629.53</v>
      </c>
      <c r="S62" s="125">
        <f>Valores!$C$19</f>
        <v>10188.49</v>
      </c>
      <c r="T62" s="125">
        <f t="shared" si="7"/>
        <v>10188.49</v>
      </c>
      <c r="U62" s="125">
        <v>0</v>
      </c>
      <c r="V62" s="125">
        <v>0</v>
      </c>
      <c r="W62" s="193">
        <v>0</v>
      </c>
      <c r="X62" s="125">
        <f>ROUND(W62*Valores!$C$2,2)</f>
        <v>0</v>
      </c>
      <c r="Y62" s="125">
        <v>0</v>
      </c>
      <c r="Z62" s="125">
        <f>Valores!$C$91</f>
        <v>5879.31</v>
      </c>
      <c r="AA62" s="125">
        <f>Valores!$C$25</f>
        <v>447.83</v>
      </c>
      <c r="AB62" s="215">
        <v>0</v>
      </c>
      <c r="AC62" s="125">
        <f t="shared" si="2"/>
        <v>0</v>
      </c>
      <c r="AD62" s="125">
        <f>Valores!$C$26</f>
        <v>447.83</v>
      </c>
      <c r="AE62" s="193">
        <v>0</v>
      </c>
      <c r="AF62" s="125">
        <f>ROUND(AE62*Valores!$C$2,2)</f>
        <v>0</v>
      </c>
      <c r="AG62" s="125">
        <f>ROUND(IF($F$4="NO",Valores!$C$59,Valores!$C$59/2),2)</f>
        <v>3171.17</v>
      </c>
      <c r="AH62" s="125">
        <f t="shared" si="5"/>
        <v>130492.24999999999</v>
      </c>
      <c r="AI62" s="125">
        <f>Valores!$C$31</f>
        <v>4980.08</v>
      </c>
      <c r="AJ62" s="125">
        <f>Valores!$C$84</f>
        <v>2730</v>
      </c>
      <c r="AK62" s="125">
        <f>Valores!C$38*B62</f>
        <v>0</v>
      </c>
      <c r="AL62" s="125">
        <f>IF($F$3="NO",0,Valores!$C$52)</f>
        <v>0</v>
      </c>
      <c r="AM62" s="125">
        <f t="shared" si="3"/>
        <v>7710.08</v>
      </c>
      <c r="AN62" s="125">
        <f>AH62*Valores!$C$67</f>
        <v>-14354.1475</v>
      </c>
      <c r="AO62" s="125">
        <f>AH62*-Valores!$C$68</f>
        <v>0</v>
      </c>
      <c r="AP62" s="125">
        <f>AH62*Valores!$C$69</f>
        <v>-5872.151249999999</v>
      </c>
      <c r="AQ62" s="125">
        <f>Valores!$C$96</f>
        <v>-280.91</v>
      </c>
      <c r="AR62" s="125">
        <f>IF($F$5=0,Valores!$C$97,(Valores!$C$97+$F$5*(Valores!$C$97)))</f>
        <v>-658</v>
      </c>
      <c r="AS62" s="125">
        <f t="shared" si="6"/>
        <v>117037.12124999998</v>
      </c>
      <c r="AT62" s="125">
        <f t="shared" si="0"/>
        <v>-14354.1475</v>
      </c>
      <c r="AU62" s="125">
        <f>AH62*Valores!$C$70</f>
        <v>-3523.2907499999997</v>
      </c>
      <c r="AV62" s="125">
        <f>AH62*Valores!$C$71</f>
        <v>-391.47675</v>
      </c>
      <c r="AW62" s="125">
        <f t="shared" si="4"/>
        <v>119933.41499999998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3">
        <v>81</v>
      </c>
      <c r="F63" s="125">
        <f>ROUND(E63*Valores!$C$2,2)</f>
        <v>1734.92</v>
      </c>
      <c r="G63" s="193">
        <v>2354</v>
      </c>
      <c r="H63" s="125">
        <f>ROUND(G63*Valores!$C$2,2)</f>
        <v>50419.86</v>
      </c>
      <c r="I63" s="193">
        <v>0</v>
      </c>
      <c r="J63" s="125">
        <f>ROUND(I63*Valores!$C$2,2)</f>
        <v>0</v>
      </c>
      <c r="K63" s="193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9895.92</v>
      </c>
      <c r="N63" s="125">
        <f t="shared" si="1"/>
        <v>0</v>
      </c>
      <c r="O63" s="125">
        <f>Valores!$C$9</f>
        <v>23959.59</v>
      </c>
      <c r="P63" s="125">
        <f>Valores!$D$5</f>
        <v>10949.29</v>
      </c>
      <c r="Q63" s="125">
        <f>Valores!$C$22</f>
        <v>9768.51</v>
      </c>
      <c r="R63" s="125">
        <f>IF($F$4="NO",Valores!$C$43,Valores!$C$43/2)</f>
        <v>3629.53</v>
      </c>
      <c r="S63" s="125">
        <f>Valores!$C$19</f>
        <v>10188.49</v>
      </c>
      <c r="T63" s="125">
        <f t="shared" si="7"/>
        <v>10188.49</v>
      </c>
      <c r="U63" s="125">
        <v>0</v>
      </c>
      <c r="V63" s="125">
        <v>0</v>
      </c>
      <c r="W63" s="193">
        <v>0</v>
      </c>
      <c r="X63" s="125">
        <f>ROUND(W63*Valores!$C$2,2)</f>
        <v>0</v>
      </c>
      <c r="Y63" s="125">
        <v>0</v>
      </c>
      <c r="Z63" s="125">
        <f>Valores!$C$91</f>
        <v>5879.31</v>
      </c>
      <c r="AA63" s="125">
        <f>Valores!$C$25</f>
        <v>447.83</v>
      </c>
      <c r="AB63" s="215">
        <v>0</v>
      </c>
      <c r="AC63" s="125">
        <f t="shared" si="2"/>
        <v>0</v>
      </c>
      <c r="AD63" s="125">
        <f>Valores!$C$26</f>
        <v>447.83</v>
      </c>
      <c r="AE63" s="193">
        <v>94</v>
      </c>
      <c r="AF63" s="125">
        <f>ROUND(AE63*Valores!$C$2,2)</f>
        <v>2013.37</v>
      </c>
      <c r="AG63" s="125">
        <f>ROUND(IF($F$4="NO",Valores!$C$59,Valores!$C$59/2),2)</f>
        <v>3171.17</v>
      </c>
      <c r="AH63" s="125">
        <f t="shared" si="5"/>
        <v>132505.62</v>
      </c>
      <c r="AI63" s="125">
        <f>Valores!$C$31</f>
        <v>4980.08</v>
      </c>
      <c r="AJ63" s="125">
        <f>Valores!$C$84</f>
        <v>2730</v>
      </c>
      <c r="AK63" s="125">
        <f>Valores!C$38*B63</f>
        <v>0</v>
      </c>
      <c r="AL63" s="125">
        <f>IF($F$3="NO",0,Valores!$C$52)</f>
        <v>0</v>
      </c>
      <c r="AM63" s="125">
        <f t="shared" si="3"/>
        <v>7710.08</v>
      </c>
      <c r="AN63" s="125">
        <f>AH63*Valores!$C$67</f>
        <v>-14575.618199999999</v>
      </c>
      <c r="AO63" s="125">
        <f>AH63*-Valores!$C$68</f>
        <v>0</v>
      </c>
      <c r="AP63" s="125">
        <f>AH63*Valores!$C$69</f>
        <v>-5962.7528999999995</v>
      </c>
      <c r="AQ63" s="125">
        <f>Valores!$C$96</f>
        <v>-280.91</v>
      </c>
      <c r="AR63" s="125">
        <f>IF($F$5=0,Valores!$C$97,(Valores!$C$97+$F$5*(Valores!$C$97)))</f>
        <v>-658</v>
      </c>
      <c r="AS63" s="125">
        <f t="shared" si="6"/>
        <v>118738.41889999999</v>
      </c>
      <c r="AT63" s="125">
        <f t="shared" si="0"/>
        <v>-14575.618199999999</v>
      </c>
      <c r="AU63" s="125">
        <f>AH63*Valores!$C$70</f>
        <v>-3577.65174</v>
      </c>
      <c r="AV63" s="125">
        <f>AH63*Valores!$C$71</f>
        <v>-397.51686</v>
      </c>
      <c r="AW63" s="125">
        <f t="shared" si="4"/>
        <v>121664.91319999998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3">
        <v>81</v>
      </c>
      <c r="F64" s="125">
        <f>ROUND(E64*Valores!$C$2,2)</f>
        <v>1734.92</v>
      </c>
      <c r="G64" s="193">
        <v>2094</v>
      </c>
      <c r="H64" s="125">
        <f>ROUND(G64*Valores!$C$2,2)</f>
        <v>44850.97</v>
      </c>
      <c r="I64" s="193">
        <v>0</v>
      </c>
      <c r="J64" s="125">
        <f>ROUND(I64*Valores!$C$2,2)</f>
        <v>0</v>
      </c>
      <c r="K64" s="193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9060.59</v>
      </c>
      <c r="N64" s="125">
        <f t="shared" si="1"/>
        <v>0</v>
      </c>
      <c r="O64" s="125">
        <f>Valores!$C$9</f>
        <v>23959.59</v>
      </c>
      <c r="P64" s="125">
        <f>Valores!$D$5</f>
        <v>10949.29</v>
      </c>
      <c r="Q64" s="125">
        <f>Valores!$C$22</f>
        <v>9768.51</v>
      </c>
      <c r="R64" s="125">
        <f>IF($F$4="NO",Valores!$C$43,Valores!$C$43/2)</f>
        <v>3629.53</v>
      </c>
      <c r="S64" s="125">
        <f>Valores!$C$19</f>
        <v>10188.49</v>
      </c>
      <c r="T64" s="125">
        <f t="shared" si="7"/>
        <v>10188.49</v>
      </c>
      <c r="U64" s="125">
        <v>0</v>
      </c>
      <c r="V64" s="125">
        <v>0</v>
      </c>
      <c r="W64" s="193">
        <v>0</v>
      </c>
      <c r="X64" s="125">
        <f>ROUND(W64*Valores!$C$2,2)</f>
        <v>0</v>
      </c>
      <c r="Y64" s="125">
        <v>0</v>
      </c>
      <c r="Z64" s="125">
        <f>Valores!$C$91</f>
        <v>5879.31</v>
      </c>
      <c r="AA64" s="125">
        <f>Valores!$C$25</f>
        <v>447.83</v>
      </c>
      <c r="AB64" s="215">
        <v>0</v>
      </c>
      <c r="AC64" s="125">
        <f t="shared" si="2"/>
        <v>0</v>
      </c>
      <c r="AD64" s="125">
        <f>Valores!$C$26</f>
        <v>447.83</v>
      </c>
      <c r="AE64" s="193">
        <v>0</v>
      </c>
      <c r="AF64" s="125">
        <f>ROUND(AE64*Valores!$C$2,2)</f>
        <v>0</v>
      </c>
      <c r="AG64" s="125">
        <f>ROUND(IF($F$4="NO",Valores!$C$59,Valores!$C$59/2),2)</f>
        <v>3171.17</v>
      </c>
      <c r="AH64" s="125">
        <f t="shared" si="5"/>
        <v>124088.02999999998</v>
      </c>
      <c r="AI64" s="125">
        <f>Valores!$C$31</f>
        <v>4980.08</v>
      </c>
      <c r="AJ64" s="125">
        <f>Valores!$C$84</f>
        <v>2730</v>
      </c>
      <c r="AK64" s="125">
        <f>Valores!C$38*B64</f>
        <v>0</v>
      </c>
      <c r="AL64" s="125">
        <f>IF($F$3="NO",0,Valores!$C$52)</f>
        <v>0</v>
      </c>
      <c r="AM64" s="125">
        <f t="shared" si="3"/>
        <v>7710.08</v>
      </c>
      <c r="AN64" s="125">
        <f>AH64*Valores!$C$67</f>
        <v>-13649.683299999999</v>
      </c>
      <c r="AO64" s="125">
        <f>AH64*-Valores!$C$68</f>
        <v>0</v>
      </c>
      <c r="AP64" s="125">
        <f>AH64*Valores!$C$69</f>
        <v>-5583.961349999999</v>
      </c>
      <c r="AQ64" s="125">
        <f>Valores!$C$96</f>
        <v>-280.91</v>
      </c>
      <c r="AR64" s="125">
        <f>IF($F$5=0,Valores!$C$97,(Valores!$C$97+$F$5*(Valores!$C$97)))</f>
        <v>-658</v>
      </c>
      <c r="AS64" s="125">
        <f t="shared" si="6"/>
        <v>111625.55534999998</v>
      </c>
      <c r="AT64" s="125">
        <f t="shared" si="0"/>
        <v>-13649.683299999999</v>
      </c>
      <c r="AU64" s="125">
        <f>AH64*Valores!$C$70</f>
        <v>-3350.3768099999998</v>
      </c>
      <c r="AV64" s="125">
        <f>AH64*Valores!$C$71</f>
        <v>-372.26408999999995</v>
      </c>
      <c r="AW64" s="125">
        <f t="shared" si="4"/>
        <v>114425.78579999998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3">
        <v>80</v>
      </c>
      <c r="F65" s="125">
        <f>ROUND(E65*Valores!$C$2,2)</f>
        <v>1713.5</v>
      </c>
      <c r="G65" s="193">
        <v>2095</v>
      </c>
      <c r="H65" s="125">
        <f>ROUND(G65*Valores!$C$2,2)</f>
        <v>44872.39</v>
      </c>
      <c r="I65" s="193">
        <v>0</v>
      </c>
      <c r="J65" s="125">
        <f>ROUND(I65*Valores!$C$2,2)</f>
        <v>0</v>
      </c>
      <c r="K65" s="193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9060.59</v>
      </c>
      <c r="N65" s="125">
        <f t="shared" si="1"/>
        <v>0</v>
      </c>
      <c r="O65" s="125">
        <f>Valores!$C$9</f>
        <v>23959.59</v>
      </c>
      <c r="P65" s="125">
        <f>Valores!$D$5</f>
        <v>10949.29</v>
      </c>
      <c r="Q65" s="125">
        <f>Valores!$C$22</f>
        <v>9768.51</v>
      </c>
      <c r="R65" s="125">
        <f>IF($F$4="NO",Valores!$C$43,Valores!$C$43/2)</f>
        <v>3629.53</v>
      </c>
      <c r="S65" s="125">
        <f>Valores!$C$19</f>
        <v>10188.49</v>
      </c>
      <c r="T65" s="125">
        <f t="shared" si="7"/>
        <v>10188.49</v>
      </c>
      <c r="U65" s="125">
        <v>0</v>
      </c>
      <c r="V65" s="125">
        <v>0</v>
      </c>
      <c r="W65" s="193">
        <v>0</v>
      </c>
      <c r="X65" s="125">
        <f>ROUND(W65*Valores!$C$2,2)</f>
        <v>0</v>
      </c>
      <c r="Y65" s="125">
        <v>0</v>
      </c>
      <c r="Z65" s="125">
        <f>Valores!$C$91</f>
        <v>5879.31</v>
      </c>
      <c r="AA65" s="125">
        <f>Valores!$C$25</f>
        <v>447.83</v>
      </c>
      <c r="AB65" s="215">
        <v>0</v>
      </c>
      <c r="AC65" s="125">
        <f t="shared" si="2"/>
        <v>0</v>
      </c>
      <c r="AD65" s="125">
        <f>Valores!$C$26</f>
        <v>447.83</v>
      </c>
      <c r="AE65" s="193">
        <v>94</v>
      </c>
      <c r="AF65" s="125">
        <f>ROUND(AE65*Valores!$C$2,2)</f>
        <v>2013.37</v>
      </c>
      <c r="AG65" s="125">
        <f>ROUND(IF($F$4="NO",Valores!$C$59,Valores!$C$59/2),2)</f>
        <v>3171.17</v>
      </c>
      <c r="AH65" s="125">
        <f t="shared" si="5"/>
        <v>126101.39999999998</v>
      </c>
      <c r="AI65" s="125">
        <f>Valores!$C$31</f>
        <v>4980.08</v>
      </c>
      <c r="AJ65" s="125">
        <f>Valores!$C$84</f>
        <v>2730</v>
      </c>
      <c r="AK65" s="125">
        <f>Valores!C$38*B65</f>
        <v>0</v>
      </c>
      <c r="AL65" s="125">
        <f>IF($F$3="NO",0,Valores!$C$52)</f>
        <v>0</v>
      </c>
      <c r="AM65" s="125">
        <f t="shared" si="3"/>
        <v>7710.08</v>
      </c>
      <c r="AN65" s="125">
        <f>AH65*Valores!$C$67</f>
        <v>-13871.153999999999</v>
      </c>
      <c r="AO65" s="125">
        <f>AH65*-Valores!$C$68</f>
        <v>0</v>
      </c>
      <c r="AP65" s="125">
        <f>AH65*Valores!$C$69</f>
        <v>-5674.562999999999</v>
      </c>
      <c r="AQ65" s="125">
        <f>Valores!$C$96</f>
        <v>-280.91</v>
      </c>
      <c r="AR65" s="125">
        <f>IF($F$5=0,Valores!$C$97,(Valores!$C$97+$F$5*(Valores!$C$97)))</f>
        <v>-658</v>
      </c>
      <c r="AS65" s="125">
        <f t="shared" si="6"/>
        <v>113326.85299999997</v>
      </c>
      <c r="AT65" s="125">
        <f t="shared" si="0"/>
        <v>-13871.153999999999</v>
      </c>
      <c r="AU65" s="125">
        <f>AH65*Valores!$C$70</f>
        <v>-3404.7377999999994</v>
      </c>
      <c r="AV65" s="125">
        <f>AH65*Valores!$C$71</f>
        <v>-378.3041999999999</v>
      </c>
      <c r="AW65" s="125">
        <f t="shared" si="4"/>
        <v>116157.28399999999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3">
        <v>79</v>
      </c>
      <c r="F66" s="125">
        <f>ROUND(E66*Valores!$C$2,2)</f>
        <v>1692.09</v>
      </c>
      <c r="G66" s="193">
        <v>1944</v>
      </c>
      <c r="H66" s="125">
        <f>ROUND(G66*Valores!$C$2,2)</f>
        <v>41638.15</v>
      </c>
      <c r="I66" s="193">
        <v>0</v>
      </c>
      <c r="J66" s="125">
        <f>ROUND(I66*Valores!$C$2,2)</f>
        <v>0</v>
      </c>
      <c r="K66" s="193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8572.24</v>
      </c>
      <c r="N66" s="125">
        <f t="shared" si="1"/>
        <v>0</v>
      </c>
      <c r="O66" s="125">
        <f>Valores!$C$9</f>
        <v>23959.59</v>
      </c>
      <c r="P66" s="125">
        <f>Valores!$D$5</f>
        <v>10949.29</v>
      </c>
      <c r="Q66" s="125">
        <f>Valores!$C$22</f>
        <v>9768.51</v>
      </c>
      <c r="R66" s="125">
        <f>IF($F$4="NO",Valores!$C$43,Valores!$C$43/2)</f>
        <v>3629.53</v>
      </c>
      <c r="S66" s="125">
        <f>Valores!$C$19</f>
        <v>10188.49</v>
      </c>
      <c r="T66" s="125">
        <f t="shared" si="7"/>
        <v>10188.49</v>
      </c>
      <c r="U66" s="125">
        <v>0</v>
      </c>
      <c r="V66" s="125">
        <v>0</v>
      </c>
      <c r="W66" s="193">
        <v>0</v>
      </c>
      <c r="X66" s="125">
        <f>ROUND(W66*Valores!$C$2,2)</f>
        <v>0</v>
      </c>
      <c r="Y66" s="125">
        <v>0</v>
      </c>
      <c r="Z66" s="125">
        <f>Valores!$C$91</f>
        <v>5879.31</v>
      </c>
      <c r="AA66" s="125">
        <f>Valores!$C$25</f>
        <v>447.83</v>
      </c>
      <c r="AB66" s="215">
        <v>0</v>
      </c>
      <c r="AC66" s="125">
        <f t="shared" si="2"/>
        <v>0</v>
      </c>
      <c r="AD66" s="125">
        <f>Valores!$C$26</f>
        <v>447.83</v>
      </c>
      <c r="AE66" s="193">
        <v>0</v>
      </c>
      <c r="AF66" s="125">
        <f>ROUND(AE66*Valores!$C$2,2)</f>
        <v>0</v>
      </c>
      <c r="AG66" s="125">
        <f>ROUND(IF($F$4="NO",Valores!$C$59,Valores!$C$59/2),2)</f>
        <v>3171.17</v>
      </c>
      <c r="AH66" s="125">
        <f t="shared" si="5"/>
        <v>120344.02999999998</v>
      </c>
      <c r="AI66" s="125">
        <f>Valores!$C$31</f>
        <v>4980.08</v>
      </c>
      <c r="AJ66" s="125">
        <f>Valores!$C$84</f>
        <v>2730</v>
      </c>
      <c r="AK66" s="125">
        <f>Valores!C$38*B66</f>
        <v>0</v>
      </c>
      <c r="AL66" s="125">
        <f>IF($F$3="NO",0,Valores!$C$52)</f>
        <v>0</v>
      </c>
      <c r="AM66" s="125">
        <f t="shared" si="3"/>
        <v>7710.08</v>
      </c>
      <c r="AN66" s="125">
        <f>AH66*Valores!$C$67</f>
        <v>-13237.843299999999</v>
      </c>
      <c r="AO66" s="125">
        <f>AH66*-Valores!$C$68</f>
        <v>0</v>
      </c>
      <c r="AP66" s="125">
        <f>AH66*Valores!$C$69</f>
        <v>-5415.481349999999</v>
      </c>
      <c r="AQ66" s="125">
        <f>Valores!$C$96</f>
        <v>-280.91</v>
      </c>
      <c r="AR66" s="125">
        <f>IF($F$5=0,Valores!$C$97,(Valores!$C$97+$F$5*(Valores!$C$97)))</f>
        <v>-658</v>
      </c>
      <c r="AS66" s="125">
        <f t="shared" si="6"/>
        <v>108461.87534999999</v>
      </c>
      <c r="AT66" s="125">
        <f t="shared" si="0"/>
        <v>-13237.843299999999</v>
      </c>
      <c r="AU66" s="125">
        <f>AH66*Valores!$C$70</f>
        <v>-3249.2888099999996</v>
      </c>
      <c r="AV66" s="125">
        <f>AH66*Valores!$C$71</f>
        <v>-361.03209</v>
      </c>
      <c r="AW66" s="125">
        <f t="shared" si="4"/>
        <v>111205.94579999999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3">
        <v>79</v>
      </c>
      <c r="F67" s="125">
        <f>ROUND(E67*Valores!$C$2,2)</f>
        <v>1692.09</v>
      </c>
      <c r="G67" s="193">
        <v>1944</v>
      </c>
      <c r="H67" s="125">
        <f>ROUND(G67*Valores!$C$2,2)</f>
        <v>41638.15</v>
      </c>
      <c r="I67" s="193">
        <v>0</v>
      </c>
      <c r="J67" s="125">
        <f>ROUND(I67*Valores!$C$2,2)</f>
        <v>0</v>
      </c>
      <c r="K67" s="193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8572.24</v>
      </c>
      <c r="N67" s="125">
        <f t="shared" si="1"/>
        <v>0</v>
      </c>
      <c r="O67" s="125">
        <f>Valores!$C$9</f>
        <v>23959.59</v>
      </c>
      <c r="P67" s="125">
        <f>Valores!$D$5</f>
        <v>10949.29</v>
      </c>
      <c r="Q67" s="125">
        <f>Valores!$C$22</f>
        <v>9768.51</v>
      </c>
      <c r="R67" s="125">
        <f>IF($F$4="NO",Valores!$C$43,Valores!$C$43/2)</f>
        <v>3629.53</v>
      </c>
      <c r="S67" s="125">
        <f>Valores!$C$19</f>
        <v>10188.49</v>
      </c>
      <c r="T67" s="125">
        <f t="shared" si="7"/>
        <v>10188.49</v>
      </c>
      <c r="U67" s="125">
        <v>0</v>
      </c>
      <c r="V67" s="125">
        <v>0</v>
      </c>
      <c r="W67" s="193">
        <v>0</v>
      </c>
      <c r="X67" s="125">
        <f>ROUND(W67*Valores!$C$2,2)</f>
        <v>0</v>
      </c>
      <c r="Y67" s="125">
        <v>0</v>
      </c>
      <c r="Z67" s="125">
        <f>Valores!$C$91</f>
        <v>5879.31</v>
      </c>
      <c r="AA67" s="125">
        <f>Valores!$C$25</f>
        <v>447.83</v>
      </c>
      <c r="AB67" s="215">
        <v>0</v>
      </c>
      <c r="AC67" s="125">
        <f t="shared" si="2"/>
        <v>0</v>
      </c>
      <c r="AD67" s="125">
        <f>Valores!$C$26</f>
        <v>447.83</v>
      </c>
      <c r="AE67" s="193">
        <v>94</v>
      </c>
      <c r="AF67" s="125">
        <f>ROUND(AE67*Valores!$C$2,2)</f>
        <v>2013.37</v>
      </c>
      <c r="AG67" s="125">
        <f>ROUND(IF($F$4="NO",Valores!$C$59,Valores!$C$59/2),2)</f>
        <v>3171.17</v>
      </c>
      <c r="AH67" s="125">
        <f t="shared" si="5"/>
        <v>122357.39999999998</v>
      </c>
      <c r="AI67" s="125">
        <f>Valores!$C$31</f>
        <v>4980.08</v>
      </c>
      <c r="AJ67" s="125">
        <f>Valores!$C$84</f>
        <v>2730</v>
      </c>
      <c r="AK67" s="125">
        <f>Valores!C$38*B67</f>
        <v>0</v>
      </c>
      <c r="AL67" s="125">
        <f>IF($F$3="NO",0,Valores!$C$52)</f>
        <v>0</v>
      </c>
      <c r="AM67" s="125">
        <f t="shared" si="3"/>
        <v>7710.08</v>
      </c>
      <c r="AN67" s="125">
        <f>AH67*Valores!$C$67</f>
        <v>-13459.313999999998</v>
      </c>
      <c r="AO67" s="125">
        <f>AH67*-Valores!$C$68</f>
        <v>0</v>
      </c>
      <c r="AP67" s="125">
        <f>AH67*Valores!$C$69</f>
        <v>-5506.082999999999</v>
      </c>
      <c r="AQ67" s="125">
        <f>Valores!$C$96</f>
        <v>-280.91</v>
      </c>
      <c r="AR67" s="125">
        <f>IF($F$5=0,Valores!$C$97,(Valores!$C$97+$F$5*(Valores!$C$97)))</f>
        <v>-658</v>
      </c>
      <c r="AS67" s="125">
        <f t="shared" si="6"/>
        <v>110163.17299999998</v>
      </c>
      <c r="AT67" s="125">
        <f t="shared" si="0"/>
        <v>-13459.313999999998</v>
      </c>
      <c r="AU67" s="125">
        <f>AH67*Valores!$C$70</f>
        <v>-3303.6497999999992</v>
      </c>
      <c r="AV67" s="125">
        <f>AH67*Valores!$C$71</f>
        <v>-367.07219999999995</v>
      </c>
      <c r="AW67" s="125">
        <f t="shared" si="4"/>
        <v>112937.44399999999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3">
        <v>100</v>
      </c>
      <c r="F68" s="125">
        <f>ROUND(E68*Valores!$C$2,2)</f>
        <v>2141.88</v>
      </c>
      <c r="G68" s="193">
        <v>2864</v>
      </c>
      <c r="H68" s="125">
        <f>ROUND(G68*Valores!$C$2,2)</f>
        <v>61343.44</v>
      </c>
      <c r="I68" s="193">
        <v>0</v>
      </c>
      <c r="J68" s="125">
        <f>ROUND(I68*Valores!$C$2,2)</f>
        <v>0</v>
      </c>
      <c r="K68" s="193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11595.5</v>
      </c>
      <c r="N68" s="125">
        <f t="shared" si="1"/>
        <v>0</v>
      </c>
      <c r="O68" s="125">
        <f>Valores!$C$9</f>
        <v>23959.59</v>
      </c>
      <c r="P68" s="125">
        <f>Valores!$D$5</f>
        <v>10949.29</v>
      </c>
      <c r="Q68" s="125">
        <v>0</v>
      </c>
      <c r="R68" s="125">
        <f>IF($F$4="NO",Valores!$C$43,Valores!$C$43/2)</f>
        <v>3629.53</v>
      </c>
      <c r="S68" s="125">
        <f>Valores!$C$19</f>
        <v>10188.49</v>
      </c>
      <c r="T68" s="125">
        <f t="shared" si="7"/>
        <v>10188.49</v>
      </c>
      <c r="U68" s="125">
        <v>0</v>
      </c>
      <c r="V68" s="125">
        <v>0</v>
      </c>
      <c r="W68" s="193">
        <v>0</v>
      </c>
      <c r="X68" s="125">
        <f>ROUND(W68*Valores!$C$2,2)</f>
        <v>0</v>
      </c>
      <c r="Y68" s="125">
        <v>0</v>
      </c>
      <c r="Z68" s="125">
        <f>Valores!$C$90</f>
        <v>4899.43</v>
      </c>
      <c r="AA68" s="125">
        <f>Valores!$C$25</f>
        <v>447.83</v>
      </c>
      <c r="AB68" s="215">
        <v>0</v>
      </c>
      <c r="AC68" s="125">
        <f t="shared" si="2"/>
        <v>0</v>
      </c>
      <c r="AD68" s="125">
        <f>Valores!$C$26</f>
        <v>447.83</v>
      </c>
      <c r="AE68" s="193">
        <v>0</v>
      </c>
      <c r="AF68" s="125">
        <f>ROUND(AE68*Valores!$C$2,2)</f>
        <v>0</v>
      </c>
      <c r="AG68" s="125">
        <f>ROUND(IF($F$4="NO",Valores!$C$59,Valores!$C$59/2),2)</f>
        <v>3171.17</v>
      </c>
      <c r="AH68" s="125">
        <f t="shared" si="5"/>
        <v>132773.98000000004</v>
      </c>
      <c r="AI68" s="125">
        <f>Valores!$C$31</f>
        <v>4980.08</v>
      </c>
      <c r="AJ68" s="125">
        <f>Valores!$C$83</f>
        <v>2275</v>
      </c>
      <c r="AK68" s="125">
        <f>Valores!C$38*B68</f>
        <v>0</v>
      </c>
      <c r="AL68" s="125">
        <f>IF($F$3="NO",0,Valores!$C$51)</f>
        <v>0</v>
      </c>
      <c r="AM68" s="125">
        <f t="shared" si="3"/>
        <v>7255.08</v>
      </c>
      <c r="AN68" s="125">
        <f>AH68*Valores!$C$67</f>
        <v>-14605.137800000004</v>
      </c>
      <c r="AO68" s="125">
        <f>AH68*-Valores!$C$68</f>
        <v>0</v>
      </c>
      <c r="AP68" s="125">
        <f>AH68*Valores!$C$69</f>
        <v>-5974.829100000002</v>
      </c>
      <c r="AQ68" s="125">
        <f>Valores!$C$96</f>
        <v>-280.91</v>
      </c>
      <c r="AR68" s="125">
        <f>IF($F$5=0,Valores!$C$97,(Valores!$C$97+$F$5*(Valores!$C$97)))</f>
        <v>-658</v>
      </c>
      <c r="AS68" s="125">
        <f t="shared" si="6"/>
        <v>118510.18310000004</v>
      </c>
      <c r="AT68" s="125">
        <f t="shared" si="0"/>
        <v>-14605.137800000004</v>
      </c>
      <c r="AU68" s="125">
        <f>AH68*Valores!$C$70</f>
        <v>-3584.897460000001</v>
      </c>
      <c r="AV68" s="125">
        <f>AH68*Valores!$C$71</f>
        <v>-398.32194000000015</v>
      </c>
      <c r="AW68" s="125">
        <f t="shared" si="4"/>
        <v>121440.70280000003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3">
        <v>79</v>
      </c>
      <c r="F69" s="125">
        <f>ROUND(E69*Valores!$C$2,2)</f>
        <v>1692.09</v>
      </c>
      <c r="G69" s="193">
        <v>2161</v>
      </c>
      <c r="H69" s="125">
        <f>ROUND(G69*Valores!$C$2,2)</f>
        <v>46286.03</v>
      </c>
      <c r="I69" s="193">
        <v>0</v>
      </c>
      <c r="J69" s="125">
        <f>ROUND(I69*Valores!$C$2,2)</f>
        <v>0</v>
      </c>
      <c r="K69" s="193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9269.42</v>
      </c>
      <c r="N69" s="125">
        <f t="shared" si="1"/>
        <v>0</v>
      </c>
      <c r="O69" s="125">
        <f>Valores!$C$9</f>
        <v>23959.59</v>
      </c>
      <c r="P69" s="125">
        <f>Valores!$D$5</f>
        <v>10949.29</v>
      </c>
      <c r="Q69" s="125">
        <f>Valores!$C$22</f>
        <v>9768.51</v>
      </c>
      <c r="R69" s="125">
        <f>IF($F$4="NO",Valores!$C$43,Valores!$C$43/2)</f>
        <v>3629.53</v>
      </c>
      <c r="S69" s="125">
        <f>Valores!$C$19</f>
        <v>10188.49</v>
      </c>
      <c r="T69" s="125">
        <f t="shared" si="7"/>
        <v>10188.49</v>
      </c>
      <c r="U69" s="125">
        <v>0</v>
      </c>
      <c r="V69" s="125">
        <v>0</v>
      </c>
      <c r="W69" s="193">
        <v>0</v>
      </c>
      <c r="X69" s="125">
        <f>ROUND(W69*Valores!$C$2,2)</f>
        <v>0</v>
      </c>
      <c r="Y69" s="125">
        <v>0</v>
      </c>
      <c r="Z69" s="125">
        <f>Valores!$C$91</f>
        <v>5879.31</v>
      </c>
      <c r="AA69" s="125">
        <f>Valores!$C$25</f>
        <v>447.83</v>
      </c>
      <c r="AB69" s="215">
        <v>0</v>
      </c>
      <c r="AC69" s="125">
        <f t="shared" si="2"/>
        <v>0</v>
      </c>
      <c r="AD69" s="125">
        <f>Valores!$C$26</f>
        <v>447.83</v>
      </c>
      <c r="AE69" s="193">
        <v>0</v>
      </c>
      <c r="AF69" s="125">
        <f>ROUND(AE69*Valores!$C$2,2)</f>
        <v>0</v>
      </c>
      <c r="AG69" s="125">
        <f>ROUND(IF($F$4="NO",Valores!$C$59,Valores!$C$59/2),2)</f>
        <v>3171.17</v>
      </c>
      <c r="AH69" s="125">
        <f t="shared" si="5"/>
        <v>125689.08999999998</v>
      </c>
      <c r="AI69" s="125">
        <f>Valores!$C$31</f>
        <v>4980.08</v>
      </c>
      <c r="AJ69" s="125">
        <f>Valores!$C$84</f>
        <v>2730</v>
      </c>
      <c r="AK69" s="125">
        <f>Valores!C$38*B69</f>
        <v>0</v>
      </c>
      <c r="AL69" s="125">
        <f>IF($F$3="NO",0,Valores!$C$52)</f>
        <v>0</v>
      </c>
      <c r="AM69" s="125">
        <f t="shared" si="3"/>
        <v>7710.08</v>
      </c>
      <c r="AN69" s="125">
        <f>AH69*Valores!$C$67</f>
        <v>-13825.799899999998</v>
      </c>
      <c r="AO69" s="125">
        <f>AH69*-Valores!$C$68</f>
        <v>0</v>
      </c>
      <c r="AP69" s="125">
        <f>AH69*Valores!$C$69</f>
        <v>-5656.009049999999</v>
      </c>
      <c r="AQ69" s="125">
        <f>Valores!$C$96</f>
        <v>-280.91</v>
      </c>
      <c r="AR69" s="125">
        <f>IF($F$5=0,Valores!$C$97,(Valores!$C$97+$F$5*(Valores!$C$97)))</f>
        <v>-658</v>
      </c>
      <c r="AS69" s="125">
        <f t="shared" si="6"/>
        <v>112978.45104999999</v>
      </c>
      <c r="AT69" s="125">
        <f t="shared" si="0"/>
        <v>-13825.799899999998</v>
      </c>
      <c r="AU69" s="125">
        <f>AH69*Valores!$C$70</f>
        <v>-3393.6054299999996</v>
      </c>
      <c r="AV69" s="125">
        <f>AH69*Valores!$C$71</f>
        <v>-377.06726999999995</v>
      </c>
      <c r="AW69" s="125">
        <f t="shared" si="4"/>
        <v>115802.69739999999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3">
        <v>90</v>
      </c>
      <c r="F70" s="125">
        <f>ROUND(E70*Valores!$C$2,2)</f>
        <v>1927.69</v>
      </c>
      <c r="G70" s="193">
        <v>3010</v>
      </c>
      <c r="H70" s="125">
        <f>ROUND(G70*Valores!$C$2,2)</f>
        <v>64470.59</v>
      </c>
      <c r="I70" s="193">
        <v>0</v>
      </c>
      <c r="J70" s="125">
        <f>ROUND(I70*Valores!$C$2,2)</f>
        <v>0</v>
      </c>
      <c r="K70" s="193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12289.52</v>
      </c>
      <c r="N70" s="125">
        <f t="shared" si="1"/>
        <v>0</v>
      </c>
      <c r="O70" s="125">
        <f>Valores!$C$9</f>
        <v>23959.59</v>
      </c>
      <c r="P70" s="125">
        <f>Valores!$D$5</f>
        <v>10949.29</v>
      </c>
      <c r="Q70" s="125">
        <f>Valores!$C$22</f>
        <v>9768.51</v>
      </c>
      <c r="R70" s="125">
        <f>IF($F$4="NO",Valores!$C$44,Valores!$C$44/2)</f>
        <v>5343.37</v>
      </c>
      <c r="S70" s="125">
        <f>Valores!$C$19</f>
        <v>10188.49</v>
      </c>
      <c r="T70" s="125">
        <f t="shared" si="7"/>
        <v>10188.49</v>
      </c>
      <c r="U70" s="125">
        <v>0</v>
      </c>
      <c r="V70" s="125">
        <v>0</v>
      </c>
      <c r="W70" s="193">
        <v>0</v>
      </c>
      <c r="X70" s="125">
        <f>ROUND(W70*Valores!$C$2,2)</f>
        <v>0</v>
      </c>
      <c r="Y70" s="125">
        <v>0</v>
      </c>
      <c r="Z70" s="125">
        <f>Valores!$C$91</f>
        <v>5879.31</v>
      </c>
      <c r="AA70" s="125">
        <f>Valores!$C$25</f>
        <v>447.83</v>
      </c>
      <c r="AB70" s="215">
        <v>0</v>
      </c>
      <c r="AC70" s="125">
        <f t="shared" si="2"/>
        <v>0</v>
      </c>
      <c r="AD70" s="125">
        <f>Valores!$C$26</f>
        <v>447.83</v>
      </c>
      <c r="AE70" s="193">
        <v>0</v>
      </c>
      <c r="AF70" s="125">
        <f>ROUND(AE70*Valores!$C$2,2)</f>
        <v>0</v>
      </c>
      <c r="AG70" s="125">
        <f>ROUND(IF($F$4="NO",Valores!$C$59,Valores!$C$59/2),2)</f>
        <v>3171.17</v>
      </c>
      <c r="AH70" s="125">
        <f t="shared" si="5"/>
        <v>148843.18999999997</v>
      </c>
      <c r="AI70" s="125">
        <f>Valores!$C$31</f>
        <v>4980.08</v>
      </c>
      <c r="AJ70" s="125">
        <f>Valores!$C$84</f>
        <v>2730</v>
      </c>
      <c r="AK70" s="125">
        <f>Valores!C$38*B70</f>
        <v>0</v>
      </c>
      <c r="AL70" s="125">
        <f>IF($F$3="NO",0,Valores!$C$52)</f>
        <v>0</v>
      </c>
      <c r="AM70" s="125">
        <f t="shared" si="3"/>
        <v>7710.08</v>
      </c>
      <c r="AN70" s="125">
        <f>AH70*Valores!$C$67</f>
        <v>-16372.750899999997</v>
      </c>
      <c r="AO70" s="125">
        <f>AH70*-Valores!$C$68</f>
        <v>0</v>
      </c>
      <c r="AP70" s="125">
        <f>AH70*Valores!$C$69</f>
        <v>-6697.943549999998</v>
      </c>
      <c r="AQ70" s="125">
        <f>Valores!$C$96</f>
        <v>-280.91</v>
      </c>
      <c r="AR70" s="125">
        <f>IF($F$5=0,Valores!$C$97,(Valores!$C$97+$F$5*(Valores!$C$97)))</f>
        <v>-658</v>
      </c>
      <c r="AS70" s="125">
        <f t="shared" si="6"/>
        <v>132543.66554999998</v>
      </c>
      <c r="AT70" s="125">
        <f t="shared" si="0"/>
        <v>-16372.750899999997</v>
      </c>
      <c r="AU70" s="125">
        <f>AH70*Valores!$C$70</f>
        <v>-4018.766129999999</v>
      </c>
      <c r="AV70" s="125">
        <f>AH70*Valores!$C$71</f>
        <v>-446.5295699999999</v>
      </c>
      <c r="AW70" s="125">
        <f t="shared" si="4"/>
        <v>135715.22339999996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3">
        <v>78</v>
      </c>
      <c r="F71" s="125">
        <f>ROUND(E71*Valores!$C$2,2)</f>
        <v>1670.67</v>
      </c>
      <c r="G71" s="193">
        <v>2162</v>
      </c>
      <c r="H71" s="125">
        <f>ROUND(G71*Valores!$C$2,2)</f>
        <v>46307.45</v>
      </c>
      <c r="I71" s="193">
        <v>0</v>
      </c>
      <c r="J71" s="125">
        <f>ROUND(I71*Valores!$C$2,2)</f>
        <v>0</v>
      </c>
      <c r="K71" s="193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9269.42</v>
      </c>
      <c r="N71" s="125">
        <f t="shared" si="1"/>
        <v>0</v>
      </c>
      <c r="O71" s="125">
        <f>Valores!$C$9</f>
        <v>23959.59</v>
      </c>
      <c r="P71" s="125">
        <f>Valores!$D$5</f>
        <v>10949.29</v>
      </c>
      <c r="Q71" s="125">
        <f>Valores!$C$22</f>
        <v>9768.51</v>
      </c>
      <c r="R71" s="125">
        <f>IF($F$4="NO",Valores!$C$43,Valores!$C$43/2)</f>
        <v>3629.53</v>
      </c>
      <c r="S71" s="125">
        <f>Valores!$C$19</f>
        <v>10188.49</v>
      </c>
      <c r="T71" s="125">
        <f t="shared" si="7"/>
        <v>10188.49</v>
      </c>
      <c r="U71" s="125">
        <v>0</v>
      </c>
      <c r="V71" s="125">
        <v>0</v>
      </c>
      <c r="W71" s="193">
        <v>0</v>
      </c>
      <c r="X71" s="125">
        <f>ROUND(W71*Valores!$C$2,2)</f>
        <v>0</v>
      </c>
      <c r="Y71" s="125">
        <v>0</v>
      </c>
      <c r="Z71" s="125">
        <f>Valores!$C$91</f>
        <v>5879.31</v>
      </c>
      <c r="AA71" s="125">
        <f>Valores!$C$25</f>
        <v>447.83</v>
      </c>
      <c r="AB71" s="215">
        <v>0</v>
      </c>
      <c r="AC71" s="125">
        <f t="shared" si="2"/>
        <v>0</v>
      </c>
      <c r="AD71" s="125">
        <f>Valores!$C$26</f>
        <v>447.83</v>
      </c>
      <c r="AE71" s="193">
        <v>0</v>
      </c>
      <c r="AF71" s="125">
        <f>ROUND(AE71*Valores!$C$2,2)</f>
        <v>0</v>
      </c>
      <c r="AG71" s="125">
        <f>ROUND(IF($F$4="NO",Valores!$C$59,Valores!$C$59/2),2)</f>
        <v>3171.17</v>
      </c>
      <c r="AH71" s="125">
        <f t="shared" si="5"/>
        <v>125689.08999999998</v>
      </c>
      <c r="AI71" s="125">
        <f>Valores!$C$31</f>
        <v>4980.08</v>
      </c>
      <c r="AJ71" s="125">
        <f>Valores!$C$84</f>
        <v>2730</v>
      </c>
      <c r="AK71" s="125">
        <f>Valores!C$38*B71</f>
        <v>0</v>
      </c>
      <c r="AL71" s="125">
        <f>IF($F$3="NO",0,Valores!$C$52)</f>
        <v>0</v>
      </c>
      <c r="AM71" s="125">
        <f t="shared" si="3"/>
        <v>7710.08</v>
      </c>
      <c r="AN71" s="125">
        <f>AH71*Valores!$C$67</f>
        <v>-13825.799899999998</v>
      </c>
      <c r="AO71" s="125">
        <f>AH71*-Valores!$C$68</f>
        <v>0</v>
      </c>
      <c r="AP71" s="125">
        <f>AH71*Valores!$C$69</f>
        <v>-5656.009049999999</v>
      </c>
      <c r="AQ71" s="125">
        <f>Valores!$C$96</f>
        <v>-280.91</v>
      </c>
      <c r="AR71" s="125">
        <f>IF($F$5=0,Valores!$C$97,(Valores!$C$97+$F$5*(Valores!$C$97)))</f>
        <v>-658</v>
      </c>
      <c r="AS71" s="125">
        <f t="shared" si="6"/>
        <v>112978.45104999999</v>
      </c>
      <c r="AT71" s="125">
        <f aca="true" t="shared" si="10" ref="AT71:AT133">AN71</f>
        <v>-13825.799899999998</v>
      </c>
      <c r="AU71" s="125">
        <f>AH71*Valores!$C$70</f>
        <v>-3393.6054299999996</v>
      </c>
      <c r="AV71" s="125">
        <f>AH71*Valores!$C$71</f>
        <v>-377.06726999999995</v>
      </c>
      <c r="AW71" s="125">
        <f t="shared" si="4"/>
        <v>115802.69739999999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3">
        <v>90</v>
      </c>
      <c r="F72" s="125">
        <f>ROUND(E72*Valores!$C$2,2)</f>
        <v>1927.69</v>
      </c>
      <c r="G72" s="193">
        <v>2800</v>
      </c>
      <c r="H72" s="125">
        <f>ROUND(G72*Valores!$C$2,2)</f>
        <v>59972.64</v>
      </c>
      <c r="I72" s="193">
        <v>0</v>
      </c>
      <c r="J72" s="125">
        <f>ROUND(I72*Valores!$C$2,2)</f>
        <v>0</v>
      </c>
      <c r="K72" s="193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11614.83</v>
      </c>
      <c r="N72" s="125">
        <f aca="true" t="shared" si="11" ref="N72:N135">ROUND(SUM(F72,H72,J72,L72,X72,R72)*$H$2,2)</f>
        <v>0</v>
      </c>
      <c r="O72" s="125">
        <f>Valores!$C$9</f>
        <v>23959.59</v>
      </c>
      <c r="P72" s="125">
        <f>Valores!$D$5</f>
        <v>10949.29</v>
      </c>
      <c r="Q72" s="125">
        <v>0</v>
      </c>
      <c r="R72" s="125">
        <f>IF($F$4="NO",Valores!$C$44,Valores!$C$44/2)</f>
        <v>5343.37</v>
      </c>
      <c r="S72" s="125">
        <f>Valores!$C$19</f>
        <v>10188.49</v>
      </c>
      <c r="T72" s="125">
        <f t="shared" si="7"/>
        <v>10188.49</v>
      </c>
      <c r="U72" s="125">
        <v>0</v>
      </c>
      <c r="V72" s="125">
        <v>0</v>
      </c>
      <c r="W72" s="193">
        <v>0</v>
      </c>
      <c r="X72" s="125">
        <f>ROUND(W72*Valores!$C$2,2)</f>
        <v>0</v>
      </c>
      <c r="Y72" s="125">
        <v>0</v>
      </c>
      <c r="Z72" s="125">
        <f>Valores!$C$91</f>
        <v>5879.31</v>
      </c>
      <c r="AA72" s="125">
        <f>Valores!$C$25</f>
        <v>447.83</v>
      </c>
      <c r="AB72" s="215">
        <v>0</v>
      </c>
      <c r="AC72" s="125">
        <f aca="true" t="shared" si="12" ref="AC72:AC135">ROUND(SUM(F72,H72,J72,X72,R72)*AB72,2)</f>
        <v>0</v>
      </c>
      <c r="AD72" s="125">
        <f>Valores!$C$26</f>
        <v>447.83</v>
      </c>
      <c r="AE72" s="193">
        <v>0</v>
      </c>
      <c r="AF72" s="125">
        <f>ROUND(AE72*Valores!$C$2,2)</f>
        <v>0</v>
      </c>
      <c r="AG72" s="125">
        <f>ROUND(IF($F$4="NO",Valores!$C$59,Valores!$C$59/2),2)</f>
        <v>3171.17</v>
      </c>
      <c r="AH72" s="125">
        <f t="shared" si="5"/>
        <v>133902.04</v>
      </c>
      <c r="AI72" s="125">
        <f>Valores!$C$31</f>
        <v>4980.08</v>
      </c>
      <c r="AJ72" s="125">
        <f>Valores!$C$84</f>
        <v>2730</v>
      </c>
      <c r="AK72" s="125">
        <f>Valores!C$38*B72</f>
        <v>0</v>
      </c>
      <c r="AL72" s="125">
        <f>IF($F$3="NO",0,Valores!$C$52)</f>
        <v>0</v>
      </c>
      <c r="AM72" s="125">
        <f aca="true" t="shared" si="13" ref="AM72:AM135">SUM(AI72:AL72)</f>
        <v>7710.08</v>
      </c>
      <c r="AN72" s="125">
        <f>AH72*Valores!$C$67</f>
        <v>-14729.224400000001</v>
      </c>
      <c r="AO72" s="125">
        <f>AH72*-Valores!$C$68</f>
        <v>0</v>
      </c>
      <c r="AP72" s="125">
        <f>AH72*Valores!$C$69</f>
        <v>-6025.5918</v>
      </c>
      <c r="AQ72" s="125">
        <f>Valores!$C$96</f>
        <v>-280.91</v>
      </c>
      <c r="AR72" s="125">
        <f>IF($F$5=0,Valores!$C$97,(Valores!$C$97+$F$5*(Valores!$C$97)))</f>
        <v>-658</v>
      </c>
      <c r="AS72" s="125">
        <f t="shared" si="6"/>
        <v>119918.3938</v>
      </c>
      <c r="AT72" s="125">
        <f t="shared" si="10"/>
        <v>-14729.224400000001</v>
      </c>
      <c r="AU72" s="125">
        <f>AH72*Valores!$C$70</f>
        <v>-3615.3550800000003</v>
      </c>
      <c r="AV72" s="125">
        <f>AH72*Valores!$C$71</f>
        <v>-401.70612000000006</v>
      </c>
      <c r="AW72" s="125">
        <f aca="true" t="shared" si="14" ref="AW72:AW135">AH72+AM72+SUM(AT72:AV72)</f>
        <v>122865.83439999999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3">
        <v>79</v>
      </c>
      <c r="F73" s="125">
        <f>ROUND(E73*Valores!$C$2,2)</f>
        <v>1692.09</v>
      </c>
      <c r="G73" s="193">
        <v>2161</v>
      </c>
      <c r="H73" s="125">
        <f>ROUND(G73*Valores!$C$2,2)</f>
        <v>46286.03</v>
      </c>
      <c r="I73" s="193">
        <v>0</v>
      </c>
      <c r="J73" s="125">
        <f>ROUND(I73*Valores!$C$2,2)</f>
        <v>0</v>
      </c>
      <c r="K73" s="193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9269.42</v>
      </c>
      <c r="N73" s="125">
        <f t="shared" si="11"/>
        <v>0</v>
      </c>
      <c r="O73" s="125">
        <f>Valores!$C$9</f>
        <v>23959.59</v>
      </c>
      <c r="P73" s="125">
        <f>Valores!$D$5</f>
        <v>10949.29</v>
      </c>
      <c r="Q73" s="125">
        <f>Valores!$C$22</f>
        <v>9768.51</v>
      </c>
      <c r="R73" s="125">
        <f>IF($F$4="NO",Valores!$C$43,Valores!$C$43/2)</f>
        <v>3629.53</v>
      </c>
      <c r="S73" s="125">
        <f>Valores!$C$19</f>
        <v>10188.49</v>
      </c>
      <c r="T73" s="125">
        <f t="shared" si="7"/>
        <v>10188.49</v>
      </c>
      <c r="U73" s="125">
        <v>0</v>
      </c>
      <c r="V73" s="125">
        <v>0</v>
      </c>
      <c r="W73" s="193">
        <v>0</v>
      </c>
      <c r="X73" s="125">
        <f>ROUND(W73*Valores!$C$2,2)</f>
        <v>0</v>
      </c>
      <c r="Y73" s="125">
        <v>0</v>
      </c>
      <c r="Z73" s="125">
        <f>Valores!$C$91</f>
        <v>5879.31</v>
      </c>
      <c r="AA73" s="125">
        <f>Valores!$C$25</f>
        <v>447.83</v>
      </c>
      <c r="AB73" s="215">
        <v>0</v>
      </c>
      <c r="AC73" s="125">
        <f t="shared" si="12"/>
        <v>0</v>
      </c>
      <c r="AD73" s="125">
        <f>Valores!$C$26</f>
        <v>447.83</v>
      </c>
      <c r="AE73" s="193">
        <v>0</v>
      </c>
      <c r="AF73" s="125">
        <f>ROUND(AE73*Valores!$C$2,2)</f>
        <v>0</v>
      </c>
      <c r="AG73" s="125">
        <f>ROUND(IF($F$4="NO",Valores!$C$59,Valores!$C$59/2),2)</f>
        <v>3171.17</v>
      </c>
      <c r="AH73" s="125">
        <f aca="true" t="shared" si="15" ref="AH73:AH136">SUM(F73,H73,J73,L73,M73,N73,O73,P73,Q73,R73,T73,U73,V73,X73,Y73,Z73,AA73,AC73,AD73,AF73,AG73)</f>
        <v>125689.08999999998</v>
      </c>
      <c r="AI73" s="125">
        <f>Valores!$C$31</f>
        <v>4980.08</v>
      </c>
      <c r="AJ73" s="125">
        <f>Valores!$C$84</f>
        <v>2730</v>
      </c>
      <c r="AK73" s="125">
        <f>Valores!C$38*B73</f>
        <v>0</v>
      </c>
      <c r="AL73" s="125">
        <f>IF($F$3="NO",0,Valores!$C$52)</f>
        <v>0</v>
      </c>
      <c r="AM73" s="125">
        <f t="shared" si="13"/>
        <v>7710.08</v>
      </c>
      <c r="AN73" s="125">
        <f>AH73*Valores!$C$67</f>
        <v>-13825.799899999998</v>
      </c>
      <c r="AO73" s="125">
        <f>AH73*-Valores!$C$68</f>
        <v>0</v>
      </c>
      <c r="AP73" s="125">
        <f>AH73*Valores!$C$69</f>
        <v>-5656.009049999999</v>
      </c>
      <c r="AQ73" s="125">
        <f>Valores!$C$96</f>
        <v>-280.91</v>
      </c>
      <c r="AR73" s="125">
        <f>IF($F$5=0,Valores!$C$97,(Valores!$C$97+$F$5*(Valores!$C$97)))</f>
        <v>-658</v>
      </c>
      <c r="AS73" s="125">
        <f aca="true" t="shared" si="16" ref="AS73:AS136">AH73+SUM(AM73:AR73)</f>
        <v>112978.45104999999</v>
      </c>
      <c r="AT73" s="125">
        <f t="shared" si="10"/>
        <v>-13825.799899999998</v>
      </c>
      <c r="AU73" s="125">
        <f>AH73*Valores!$C$70</f>
        <v>-3393.6054299999996</v>
      </c>
      <c r="AV73" s="125">
        <f>AH73*Valores!$C$71</f>
        <v>-377.06726999999995</v>
      </c>
      <c r="AW73" s="125">
        <f t="shared" si="14"/>
        <v>115802.69739999999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3">
        <v>90</v>
      </c>
      <c r="F74" s="125">
        <f>ROUND(E74*Valores!$C$2,2)</f>
        <v>1927.69</v>
      </c>
      <c r="G74" s="193">
        <v>2720</v>
      </c>
      <c r="H74" s="125">
        <f>ROUND(G74*Valores!$C$2,2)</f>
        <v>58259.14</v>
      </c>
      <c r="I74" s="193">
        <v>0</v>
      </c>
      <c r="J74" s="125">
        <f>ROUND(I74*Valores!$C$2,2)</f>
        <v>0</v>
      </c>
      <c r="K74" s="193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11357.8</v>
      </c>
      <c r="N74" s="125">
        <f t="shared" si="11"/>
        <v>0</v>
      </c>
      <c r="O74" s="125">
        <f>Valores!$C$9</f>
        <v>23959.59</v>
      </c>
      <c r="P74" s="125">
        <f>Valores!$D$5</f>
        <v>10949.29</v>
      </c>
      <c r="Q74" s="125">
        <v>0</v>
      </c>
      <c r="R74" s="125">
        <f>IF($F$4="NO",Valores!$C$44,Valores!$C$44/2)</f>
        <v>5343.37</v>
      </c>
      <c r="S74" s="125">
        <f>Valores!$C$19</f>
        <v>10188.49</v>
      </c>
      <c r="T74" s="125">
        <f t="shared" si="7"/>
        <v>10188.49</v>
      </c>
      <c r="U74" s="125">
        <v>0</v>
      </c>
      <c r="V74" s="125">
        <v>0</v>
      </c>
      <c r="W74" s="193">
        <v>0</v>
      </c>
      <c r="X74" s="125">
        <f>ROUND(W74*Valores!$C$2,2)</f>
        <v>0</v>
      </c>
      <c r="Y74" s="125">
        <v>0</v>
      </c>
      <c r="Z74" s="125">
        <f>Valores!$C$91</f>
        <v>5879.31</v>
      </c>
      <c r="AA74" s="125">
        <f>Valores!$C$25</f>
        <v>447.83</v>
      </c>
      <c r="AB74" s="215">
        <v>0</v>
      </c>
      <c r="AC74" s="125">
        <f t="shared" si="12"/>
        <v>0</v>
      </c>
      <c r="AD74" s="125">
        <f>Valores!$C$26</f>
        <v>447.83</v>
      </c>
      <c r="AE74" s="193">
        <v>0</v>
      </c>
      <c r="AF74" s="125">
        <f>ROUND(AE74*Valores!$C$2,2)</f>
        <v>0</v>
      </c>
      <c r="AG74" s="125">
        <f>ROUND(IF($F$4="NO",Valores!$C$59,Valores!$C$59/2),2)</f>
        <v>3171.17</v>
      </c>
      <c r="AH74" s="125">
        <f t="shared" si="15"/>
        <v>131931.51</v>
      </c>
      <c r="AI74" s="125">
        <f>Valores!$C$31</f>
        <v>4980.08</v>
      </c>
      <c r="AJ74" s="125">
        <f>Valores!$C$84</f>
        <v>2730</v>
      </c>
      <c r="AK74" s="125">
        <f>Valores!C$38*B74</f>
        <v>0</v>
      </c>
      <c r="AL74" s="125">
        <f>IF($F$3="NO",0,Valores!$C$52)</f>
        <v>0</v>
      </c>
      <c r="AM74" s="125">
        <f t="shared" si="13"/>
        <v>7710.08</v>
      </c>
      <c r="AN74" s="125">
        <f>AH74*Valores!$C$67</f>
        <v>-14512.466100000001</v>
      </c>
      <c r="AO74" s="125">
        <f>AH74*-Valores!$C$68</f>
        <v>0</v>
      </c>
      <c r="AP74" s="125">
        <f>AH74*Valores!$C$69</f>
        <v>-5936.91795</v>
      </c>
      <c r="AQ74" s="125">
        <f>Valores!$C$96</f>
        <v>-280.91</v>
      </c>
      <c r="AR74" s="125">
        <f>IF($F$5=0,Valores!$C$97,(Valores!$C$97+$F$5*(Valores!$C$97)))</f>
        <v>-658</v>
      </c>
      <c r="AS74" s="125">
        <f t="shared" si="16"/>
        <v>118253.29595</v>
      </c>
      <c r="AT74" s="125">
        <f t="shared" si="10"/>
        <v>-14512.466100000001</v>
      </c>
      <c r="AU74" s="125">
        <f>AH74*Valores!$C$70</f>
        <v>-3562.15077</v>
      </c>
      <c r="AV74" s="125">
        <f>AH74*Valores!$C$71</f>
        <v>-395.79453</v>
      </c>
      <c r="AW74" s="125">
        <f t="shared" si="14"/>
        <v>121171.1786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3">
        <v>78</v>
      </c>
      <c r="F75" s="125">
        <f>ROUND(E75*Valores!$C$2,2)</f>
        <v>1670.67</v>
      </c>
      <c r="G75" s="193">
        <v>1284</v>
      </c>
      <c r="H75" s="125">
        <f>ROUND(G75*Valores!$C$2,2)</f>
        <v>27501.74</v>
      </c>
      <c r="I75" s="193">
        <v>0</v>
      </c>
      <c r="J75" s="125">
        <f>ROUND(I75*Valores!$C$2,2)</f>
        <v>0</v>
      </c>
      <c r="K75" s="193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6432.94</v>
      </c>
      <c r="N75" s="125">
        <f t="shared" si="11"/>
        <v>0</v>
      </c>
      <c r="O75" s="125">
        <f>Valores!$C$8</f>
        <v>23890.21</v>
      </c>
      <c r="P75" s="125">
        <f>Valores!$D$5</f>
        <v>10949.29</v>
      </c>
      <c r="Q75" s="125">
        <f>Valores!$C$22</f>
        <v>9768.51</v>
      </c>
      <c r="R75" s="125">
        <f>IF($F$4="NO",Valores!$C$43,Valores!$C$43/2)</f>
        <v>3629.53</v>
      </c>
      <c r="S75" s="125">
        <f>Valores!$C$20</f>
        <v>10084.32</v>
      </c>
      <c r="T75" s="125">
        <f aca="true" t="shared" si="17" ref="T75:T138">ROUND(S75*(1+$H$2),2)</f>
        <v>10084.32</v>
      </c>
      <c r="U75" s="125">
        <v>0</v>
      </c>
      <c r="V75" s="125">
        <v>0</v>
      </c>
      <c r="W75" s="193">
        <v>0</v>
      </c>
      <c r="X75" s="125">
        <f>ROUND(W75*Valores!$C$2,2)</f>
        <v>0</v>
      </c>
      <c r="Y75" s="125">
        <v>0</v>
      </c>
      <c r="Z75" s="125">
        <f>Valores!$C$90</f>
        <v>4899.43</v>
      </c>
      <c r="AA75" s="125">
        <f>Valores!$C$25</f>
        <v>447.83</v>
      </c>
      <c r="AB75" s="215">
        <v>0</v>
      </c>
      <c r="AC75" s="125">
        <f t="shared" si="12"/>
        <v>0</v>
      </c>
      <c r="AD75" s="125">
        <f>Valores!$C$26</f>
        <v>447.83</v>
      </c>
      <c r="AE75" s="193">
        <v>0</v>
      </c>
      <c r="AF75" s="125">
        <f>ROUND(AE75*Valores!$C$2,2)</f>
        <v>0</v>
      </c>
      <c r="AG75" s="125">
        <f>ROUND(IF($F$4="NO",Valores!$C$59,Valores!$C$59/2),2)</f>
        <v>3171.17</v>
      </c>
      <c r="AH75" s="125">
        <f t="shared" si="15"/>
        <v>102893.46999999999</v>
      </c>
      <c r="AI75" s="125">
        <f>Valores!$C$31</f>
        <v>4980.08</v>
      </c>
      <c r="AJ75" s="125">
        <f>Valores!$C$83</f>
        <v>2275</v>
      </c>
      <c r="AK75" s="125">
        <f>Valores!C$38*B75</f>
        <v>0</v>
      </c>
      <c r="AL75" s="125">
        <f>IF($F$3="NO",0,Valores!$C$52)</f>
        <v>0</v>
      </c>
      <c r="AM75" s="125">
        <f t="shared" si="13"/>
        <v>7255.08</v>
      </c>
      <c r="AN75" s="125">
        <f>AH75*Valores!$C$67</f>
        <v>-11318.281699999998</v>
      </c>
      <c r="AO75" s="125">
        <f>AH75*-Valores!$C$68</f>
        <v>0</v>
      </c>
      <c r="AP75" s="125">
        <f>AH75*Valores!$C$69</f>
        <v>-4630.206149999999</v>
      </c>
      <c r="AQ75" s="125">
        <f>Valores!$C$96</f>
        <v>-280.91</v>
      </c>
      <c r="AR75" s="125">
        <f>IF($F$5=0,Valores!$C$97,(Valores!$C$97+$F$5*(Valores!$C$97)))</f>
        <v>-658</v>
      </c>
      <c r="AS75" s="125">
        <f t="shared" si="16"/>
        <v>93261.15215</v>
      </c>
      <c r="AT75" s="125">
        <f t="shared" si="10"/>
        <v>-11318.281699999998</v>
      </c>
      <c r="AU75" s="125">
        <f>AH75*Valores!$C$70</f>
        <v>-2778.1236899999994</v>
      </c>
      <c r="AV75" s="125">
        <f>AH75*Valores!$C$71</f>
        <v>-308.68040999999994</v>
      </c>
      <c r="AW75" s="125">
        <f t="shared" si="14"/>
        <v>95743.46419999999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3">
        <v>78</v>
      </c>
      <c r="F76" s="125">
        <f>ROUND(E76*Valores!$C$2,2)</f>
        <v>1670.67</v>
      </c>
      <c r="G76" s="193">
        <v>1284</v>
      </c>
      <c r="H76" s="125">
        <f>ROUND(G76*Valores!$C$2,2)</f>
        <v>27501.74</v>
      </c>
      <c r="I76" s="193">
        <v>0</v>
      </c>
      <c r="J76" s="125">
        <f>ROUND(I76*Valores!$C$2,2)</f>
        <v>0</v>
      </c>
      <c r="K76" s="193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6432.94</v>
      </c>
      <c r="N76" s="125">
        <f t="shared" si="11"/>
        <v>0</v>
      </c>
      <c r="O76" s="125">
        <f>Valores!$C$8</f>
        <v>23890.21</v>
      </c>
      <c r="P76" s="125">
        <f>Valores!$D$5</f>
        <v>10949.29</v>
      </c>
      <c r="Q76" s="125">
        <f>Valores!$C$22</f>
        <v>9768.51</v>
      </c>
      <c r="R76" s="125">
        <f>IF($F$4="NO",Valores!$C$43,Valores!$C$43/2)</f>
        <v>3629.53</v>
      </c>
      <c r="S76" s="125">
        <f>Valores!$C$20</f>
        <v>10084.32</v>
      </c>
      <c r="T76" s="125">
        <f t="shared" si="17"/>
        <v>10084.32</v>
      </c>
      <c r="U76" s="125">
        <v>0</v>
      </c>
      <c r="V76" s="125">
        <v>0</v>
      </c>
      <c r="W76" s="193">
        <v>0</v>
      </c>
      <c r="X76" s="125">
        <f>ROUND(W76*Valores!$C$2,2)</f>
        <v>0</v>
      </c>
      <c r="Y76" s="125">
        <v>0</v>
      </c>
      <c r="Z76" s="125">
        <f>Valores!$C$90</f>
        <v>4899.43</v>
      </c>
      <c r="AA76" s="125">
        <f>Valores!$C$25</f>
        <v>447.83</v>
      </c>
      <c r="AB76" s="215">
        <v>0</v>
      </c>
      <c r="AC76" s="125">
        <f t="shared" si="12"/>
        <v>0</v>
      </c>
      <c r="AD76" s="125">
        <f>Valores!$C$26</f>
        <v>447.83</v>
      </c>
      <c r="AE76" s="193">
        <v>0</v>
      </c>
      <c r="AF76" s="125">
        <f>ROUND(AE76*Valores!$C$2,2)</f>
        <v>0</v>
      </c>
      <c r="AG76" s="125">
        <f>ROUND(IF($F$4="NO",Valores!$C$59,Valores!$C$59/2),2)</f>
        <v>3171.17</v>
      </c>
      <c r="AH76" s="125">
        <f t="shared" si="15"/>
        <v>102893.46999999999</v>
      </c>
      <c r="AI76" s="125">
        <f>Valores!$C$31</f>
        <v>4980.08</v>
      </c>
      <c r="AJ76" s="125">
        <f>Valores!$C$83</f>
        <v>2275</v>
      </c>
      <c r="AK76" s="125">
        <f>Valores!C$38*B76</f>
        <v>0</v>
      </c>
      <c r="AL76" s="125">
        <v>0</v>
      </c>
      <c r="AM76" s="125">
        <f t="shared" si="13"/>
        <v>7255.08</v>
      </c>
      <c r="AN76" s="125">
        <f>AH76*Valores!$C$67</f>
        <v>-11318.281699999998</v>
      </c>
      <c r="AO76" s="125">
        <f>AH76*-Valores!$C$68</f>
        <v>0</v>
      </c>
      <c r="AP76" s="125">
        <f>AH76*Valores!$C$69</f>
        <v>-4630.206149999999</v>
      </c>
      <c r="AQ76" s="125">
        <f>Valores!$C$96</f>
        <v>-280.91</v>
      </c>
      <c r="AR76" s="125">
        <f>IF($F$5=0,Valores!$C$97,(Valores!$C$97+$F$5*(Valores!$C$97)))</f>
        <v>-658</v>
      </c>
      <c r="AS76" s="125">
        <f t="shared" si="16"/>
        <v>93261.15215</v>
      </c>
      <c r="AT76" s="125">
        <f t="shared" si="10"/>
        <v>-11318.281699999998</v>
      </c>
      <c r="AU76" s="125">
        <f>AH76*Valores!$C$70</f>
        <v>-2778.1236899999994</v>
      </c>
      <c r="AV76" s="125">
        <f>AH76*Valores!$C$71</f>
        <v>-308.68040999999994</v>
      </c>
      <c r="AW76" s="125">
        <f t="shared" si="14"/>
        <v>95743.46419999999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3">
        <v>78</v>
      </c>
      <c r="F77" s="125">
        <f>ROUND(E77*Valores!$C$2,2)</f>
        <v>1670.67</v>
      </c>
      <c r="G77" s="193">
        <v>1284</v>
      </c>
      <c r="H77" s="125">
        <f>ROUND(G77*Valores!$C$2,2)</f>
        <v>27501.74</v>
      </c>
      <c r="I77" s="193">
        <v>0</v>
      </c>
      <c r="J77" s="125">
        <f>ROUND(I77*Valores!$C$2,2)</f>
        <v>0</v>
      </c>
      <c r="K77" s="193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4920.29</v>
      </c>
      <c r="N77" s="125">
        <f t="shared" si="11"/>
        <v>0</v>
      </c>
      <c r="O77" s="125">
        <f>Valores!$C$14</f>
        <v>20008.63</v>
      </c>
      <c r="P77" s="125">
        <f>Valores!$D$5</f>
        <v>10949.29</v>
      </c>
      <c r="Q77" s="125">
        <f>Valores!$C$22</f>
        <v>9768.51</v>
      </c>
      <c r="R77" s="125">
        <f>IF($F$4="NO",Valores!$C$43,Valores!$C$43/2)</f>
        <v>3629.53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3">
        <v>0</v>
      </c>
      <c r="X77" s="125">
        <f>ROUND(W77*Valores!$C$2,2)</f>
        <v>0</v>
      </c>
      <c r="Y77" s="125">
        <v>0</v>
      </c>
      <c r="Z77" s="125">
        <f>Valores!$C$90</f>
        <v>4899.43</v>
      </c>
      <c r="AA77" s="125">
        <f>Valores!$C$25</f>
        <v>447.83</v>
      </c>
      <c r="AB77" s="215">
        <v>0</v>
      </c>
      <c r="AC77" s="125">
        <f t="shared" si="12"/>
        <v>0</v>
      </c>
      <c r="AD77" s="125">
        <f>Valores!$C$26</f>
        <v>447.83</v>
      </c>
      <c r="AE77" s="193">
        <v>0</v>
      </c>
      <c r="AF77" s="125">
        <f>ROUND(AE77*Valores!$C$2,2)</f>
        <v>0</v>
      </c>
      <c r="AG77" s="125">
        <f>ROUND(IF($F$4="NO",Valores!$C$59,Valores!$C$59/2),2)</f>
        <v>3171.17</v>
      </c>
      <c r="AH77" s="125">
        <f t="shared" si="15"/>
        <v>87414.92</v>
      </c>
      <c r="AI77" s="125">
        <f>Valores!$C$31</f>
        <v>4980.08</v>
      </c>
      <c r="AJ77" s="125">
        <f>Valores!$C$83</f>
        <v>2275</v>
      </c>
      <c r="AK77" s="125">
        <f>Valores!C$38*B77</f>
        <v>0</v>
      </c>
      <c r="AL77" s="125">
        <v>0</v>
      </c>
      <c r="AM77" s="125">
        <f t="shared" si="13"/>
        <v>7255.08</v>
      </c>
      <c r="AN77" s="125">
        <f>AH77*Valores!$C$67</f>
        <v>-9615.6412</v>
      </c>
      <c r="AO77" s="125">
        <f>AH77*-Valores!$C$68</f>
        <v>0</v>
      </c>
      <c r="AP77" s="125">
        <f>AH77*Valores!$C$69</f>
        <v>-3933.6713999999997</v>
      </c>
      <c r="AQ77" s="125">
        <f>Valores!$C$96</f>
        <v>-280.91</v>
      </c>
      <c r="AR77" s="125">
        <f>IF($F$5=0,Valores!$C$97,(Valores!$C$97+$F$5*(Valores!$C$97)))</f>
        <v>-658</v>
      </c>
      <c r="AS77" s="125">
        <f t="shared" si="16"/>
        <v>80181.77739999999</v>
      </c>
      <c r="AT77" s="125">
        <f t="shared" si="10"/>
        <v>-9615.6412</v>
      </c>
      <c r="AU77" s="125">
        <f>AH77*Valores!$C$70</f>
        <v>-2360.20284</v>
      </c>
      <c r="AV77" s="125">
        <f>AH77*Valores!$C$71</f>
        <v>-262.24476</v>
      </c>
      <c r="AW77" s="125">
        <f t="shared" si="14"/>
        <v>82431.9112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3">
        <v>82</v>
      </c>
      <c r="F78" s="125">
        <f>ROUND(E78*Valores!$C$2,2)</f>
        <v>1756.34</v>
      </c>
      <c r="G78" s="193">
        <v>2038</v>
      </c>
      <c r="H78" s="125">
        <f>ROUND(G78*Valores!$C$2,2)</f>
        <v>43651.51</v>
      </c>
      <c r="I78" s="193">
        <v>0</v>
      </c>
      <c r="J78" s="125">
        <f>ROUND(I78*Valores!$C$2,2)</f>
        <v>0</v>
      </c>
      <c r="K78" s="193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8883.88</v>
      </c>
      <c r="N78" s="125">
        <f t="shared" si="11"/>
        <v>0</v>
      </c>
      <c r="O78" s="125">
        <f>Valores!$C$9</f>
        <v>23959.59</v>
      </c>
      <c r="P78" s="125">
        <f>Valores!$D$5</f>
        <v>10949.29</v>
      </c>
      <c r="Q78" s="125">
        <f>Valores!$C$22</f>
        <v>9768.51</v>
      </c>
      <c r="R78" s="125">
        <f>IF($F$4="NO",Valores!$C$43,Valores!$C$43/2)</f>
        <v>3629.53</v>
      </c>
      <c r="S78" s="125">
        <f>Valores!$C$19</f>
        <v>10188.49</v>
      </c>
      <c r="T78" s="125">
        <f t="shared" si="17"/>
        <v>10188.49</v>
      </c>
      <c r="U78" s="125">
        <v>0</v>
      </c>
      <c r="V78" s="125">
        <v>0</v>
      </c>
      <c r="W78" s="193">
        <v>0</v>
      </c>
      <c r="X78" s="125">
        <f>ROUND(W78*Valores!$C$2,2)</f>
        <v>0</v>
      </c>
      <c r="Y78" s="125">
        <v>0</v>
      </c>
      <c r="Z78" s="125">
        <f>Valores!$C$90</f>
        <v>4899.43</v>
      </c>
      <c r="AA78" s="125">
        <f>Valores!$C$25</f>
        <v>447.83</v>
      </c>
      <c r="AB78" s="215">
        <v>0</v>
      </c>
      <c r="AC78" s="125">
        <f t="shared" si="12"/>
        <v>0</v>
      </c>
      <c r="AD78" s="125">
        <f>Valores!$C$26</f>
        <v>447.83</v>
      </c>
      <c r="AE78" s="193">
        <v>0</v>
      </c>
      <c r="AF78" s="125">
        <f>ROUND(AE78*Valores!$C$2,2)</f>
        <v>0</v>
      </c>
      <c r="AG78" s="125">
        <f>ROUND(IF($F$4="NO",Valores!$C$59,Valores!$C$59/2),2)</f>
        <v>3171.17</v>
      </c>
      <c r="AH78" s="125">
        <f t="shared" si="15"/>
        <v>121753.39999999998</v>
      </c>
      <c r="AI78" s="125">
        <f>Valores!$C$31</f>
        <v>4980.08</v>
      </c>
      <c r="AJ78" s="125">
        <f>Valores!$C$83</f>
        <v>2275</v>
      </c>
      <c r="AK78" s="125">
        <f>Valores!C$38*B78</f>
        <v>0</v>
      </c>
      <c r="AL78" s="125">
        <f>IF($F$3="NO",0,Valores!$C$52)</f>
        <v>0</v>
      </c>
      <c r="AM78" s="125">
        <f t="shared" si="13"/>
        <v>7255.08</v>
      </c>
      <c r="AN78" s="125">
        <f>AH78*Valores!$C$67</f>
        <v>-13392.873999999998</v>
      </c>
      <c r="AO78" s="125">
        <f>AH78*-Valores!$C$68</f>
        <v>0</v>
      </c>
      <c r="AP78" s="125">
        <f>AH78*Valores!$C$69</f>
        <v>-5478.902999999998</v>
      </c>
      <c r="AQ78" s="125">
        <f>Valores!$C$96</f>
        <v>-280.91</v>
      </c>
      <c r="AR78" s="125">
        <f>IF($F$5=0,Valores!$C$97,(Valores!$C$97+$F$5*(Valores!$C$97)))</f>
        <v>-658</v>
      </c>
      <c r="AS78" s="125">
        <f t="shared" si="16"/>
        <v>109197.79299999998</v>
      </c>
      <c r="AT78" s="125">
        <f t="shared" si="10"/>
        <v>-13392.873999999998</v>
      </c>
      <c r="AU78" s="125">
        <f>AH78*Valores!$C$70</f>
        <v>-3287.3417999999992</v>
      </c>
      <c r="AV78" s="125">
        <f>AH78*Valores!$C$71</f>
        <v>-365.26019999999994</v>
      </c>
      <c r="AW78" s="125">
        <f t="shared" si="14"/>
        <v>111963.00399999999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3">
        <v>78</v>
      </c>
      <c r="F79" s="125">
        <f>ROUND(E79*Valores!$C$2,2)</f>
        <v>1670.67</v>
      </c>
      <c r="G79" s="193">
        <v>2072</v>
      </c>
      <c r="H79" s="125">
        <f>ROUND(G79*Valores!$C$2,2)</f>
        <v>44379.75</v>
      </c>
      <c r="I79" s="193">
        <v>0</v>
      </c>
      <c r="J79" s="125">
        <f>ROUND(I79*Valores!$C$2,2)</f>
        <v>0</v>
      </c>
      <c r="K79" s="193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8980.27</v>
      </c>
      <c r="N79" s="125">
        <f t="shared" si="11"/>
        <v>0</v>
      </c>
      <c r="O79" s="125">
        <f>Valores!$C$9</f>
        <v>23959.59</v>
      </c>
      <c r="P79" s="125">
        <f>Valores!$D$5</f>
        <v>10949.29</v>
      </c>
      <c r="Q79" s="125">
        <f>Valores!$C$22</f>
        <v>9768.51</v>
      </c>
      <c r="R79" s="125">
        <f>IF($F$4="NO",Valores!$C$43,Valores!$C$43/2)</f>
        <v>3629.53</v>
      </c>
      <c r="S79" s="125">
        <f>Valores!$C$19</f>
        <v>10188.49</v>
      </c>
      <c r="T79" s="125">
        <f t="shared" si="17"/>
        <v>10188.49</v>
      </c>
      <c r="U79" s="125">
        <v>0</v>
      </c>
      <c r="V79" s="125">
        <v>0</v>
      </c>
      <c r="W79" s="193">
        <v>0</v>
      </c>
      <c r="X79" s="125">
        <f>ROUND(W79*Valores!$C$2,2)</f>
        <v>0</v>
      </c>
      <c r="Y79" s="125">
        <v>0</v>
      </c>
      <c r="Z79" s="125">
        <f>Valores!$C$91</f>
        <v>5879.31</v>
      </c>
      <c r="AA79" s="125">
        <f>Valores!$C$25</f>
        <v>447.83</v>
      </c>
      <c r="AB79" s="215">
        <v>0</v>
      </c>
      <c r="AC79" s="125">
        <f t="shared" si="12"/>
        <v>0</v>
      </c>
      <c r="AD79" s="125">
        <f>Valores!$C$26</f>
        <v>447.83</v>
      </c>
      <c r="AE79" s="193">
        <v>0</v>
      </c>
      <c r="AF79" s="125">
        <f>ROUND(AE79*Valores!$C$2,2)</f>
        <v>0</v>
      </c>
      <c r="AG79" s="125">
        <f>ROUND(IF($F$4="NO",Valores!$C$59,Valores!$C$59/2),2)</f>
        <v>3171.17</v>
      </c>
      <c r="AH79" s="125">
        <f t="shared" si="15"/>
        <v>123472.24</v>
      </c>
      <c r="AI79" s="125">
        <f>Valores!$C$31</f>
        <v>4980.08</v>
      </c>
      <c r="AJ79" s="125">
        <f>Valores!$C$84</f>
        <v>2730</v>
      </c>
      <c r="AK79" s="125">
        <f>Valores!C$38*B79</f>
        <v>0</v>
      </c>
      <c r="AL79" s="125">
        <f>IF($F$3="NO",0,Valores!$C$52)</f>
        <v>0</v>
      </c>
      <c r="AM79" s="125">
        <f t="shared" si="13"/>
        <v>7710.08</v>
      </c>
      <c r="AN79" s="125">
        <f>AH79*Valores!$C$67</f>
        <v>-13581.9464</v>
      </c>
      <c r="AO79" s="125">
        <f>AH79*-Valores!$C$68</f>
        <v>0</v>
      </c>
      <c r="AP79" s="125">
        <f>AH79*Valores!$C$69</f>
        <v>-5556.2508</v>
      </c>
      <c r="AQ79" s="125">
        <f>Valores!$C$96</f>
        <v>-280.91</v>
      </c>
      <c r="AR79" s="125">
        <f>IF($F$5=0,Valores!$C$97,(Valores!$C$97+$F$5*(Valores!$C$97)))</f>
        <v>-658</v>
      </c>
      <c r="AS79" s="125">
        <f t="shared" si="16"/>
        <v>111105.21280000001</v>
      </c>
      <c r="AT79" s="125">
        <f t="shared" si="10"/>
        <v>-13581.9464</v>
      </c>
      <c r="AU79" s="125">
        <f>AH79*Valores!$C$70</f>
        <v>-3333.75048</v>
      </c>
      <c r="AV79" s="125">
        <f>AH79*Valores!$C$71</f>
        <v>-370.41672</v>
      </c>
      <c r="AW79" s="125">
        <f t="shared" si="14"/>
        <v>113896.20640000001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3">
        <v>78</v>
      </c>
      <c r="F80" s="125">
        <f>ROUND(E80*Valores!$C$2,2)</f>
        <v>1670.67</v>
      </c>
      <c r="G80" s="193">
        <v>1770</v>
      </c>
      <c r="H80" s="125">
        <f>ROUND(G80*Valores!$C$2,2)</f>
        <v>37911.28</v>
      </c>
      <c r="I80" s="193">
        <v>0</v>
      </c>
      <c r="J80" s="125">
        <f>ROUND(I80*Valores!$C$2,2)</f>
        <v>0</v>
      </c>
      <c r="K80" s="193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8010</v>
      </c>
      <c r="N80" s="125">
        <f t="shared" si="11"/>
        <v>0</v>
      </c>
      <c r="O80" s="125">
        <f>Valores!$C$9</f>
        <v>23959.59</v>
      </c>
      <c r="P80" s="125">
        <f>Valores!$D$5</f>
        <v>10949.29</v>
      </c>
      <c r="Q80" s="125">
        <f>Valores!$C$22</f>
        <v>9768.51</v>
      </c>
      <c r="R80" s="125">
        <f>IF($F$4="NO",Valores!$C$43,Valores!$C$43/2)</f>
        <v>3629.53</v>
      </c>
      <c r="S80" s="125">
        <f>Valores!$C$19</f>
        <v>10188.49</v>
      </c>
      <c r="T80" s="125">
        <f t="shared" si="17"/>
        <v>10188.49</v>
      </c>
      <c r="U80" s="125">
        <v>0</v>
      </c>
      <c r="V80" s="125">
        <v>0</v>
      </c>
      <c r="W80" s="193">
        <v>0</v>
      </c>
      <c r="X80" s="125">
        <f>ROUND(W80*Valores!$C$2,2)</f>
        <v>0</v>
      </c>
      <c r="Y80" s="125">
        <v>0</v>
      </c>
      <c r="Z80" s="125">
        <f>Valores!$C$91</f>
        <v>5879.31</v>
      </c>
      <c r="AA80" s="125">
        <f>Valores!$C$25</f>
        <v>447.83</v>
      </c>
      <c r="AB80" s="215">
        <v>0</v>
      </c>
      <c r="AC80" s="125">
        <f t="shared" si="12"/>
        <v>0</v>
      </c>
      <c r="AD80" s="125">
        <f>Valores!$C$26</f>
        <v>447.83</v>
      </c>
      <c r="AE80" s="193">
        <v>0</v>
      </c>
      <c r="AF80" s="125">
        <f>ROUND(AE80*Valores!$C$2,2)</f>
        <v>0</v>
      </c>
      <c r="AG80" s="125">
        <f>ROUND(IF($F$4="NO",Valores!$C$59,Valores!$C$59/2),2)</f>
        <v>3171.17</v>
      </c>
      <c r="AH80" s="125">
        <f t="shared" si="15"/>
        <v>116033.49999999999</v>
      </c>
      <c r="AI80" s="125">
        <f>Valores!$C$31</f>
        <v>4980.08</v>
      </c>
      <c r="AJ80" s="125">
        <f>Valores!$C$84</f>
        <v>2730</v>
      </c>
      <c r="AK80" s="125">
        <f>Valores!C$38*B80</f>
        <v>0</v>
      </c>
      <c r="AL80" s="125">
        <f>IF($F$3="NO",0,Valores!$C$52)</f>
        <v>0</v>
      </c>
      <c r="AM80" s="125">
        <f t="shared" si="13"/>
        <v>7710.08</v>
      </c>
      <c r="AN80" s="125">
        <f>AH80*Valores!$C$67</f>
        <v>-12763.684999999998</v>
      </c>
      <c r="AO80" s="125">
        <f>AH80*-Valores!$C$68</f>
        <v>0</v>
      </c>
      <c r="AP80" s="125">
        <f>AH80*Valores!$C$69</f>
        <v>-5221.507499999999</v>
      </c>
      <c r="AQ80" s="125">
        <f>Valores!$C$96</f>
        <v>-280.91</v>
      </c>
      <c r="AR80" s="125">
        <f>IF($F$5=0,Valores!$C$97,(Valores!$C$97+$F$5*(Valores!$C$97)))</f>
        <v>-658</v>
      </c>
      <c r="AS80" s="125">
        <f t="shared" si="16"/>
        <v>104819.4775</v>
      </c>
      <c r="AT80" s="125">
        <f t="shared" si="10"/>
        <v>-12763.684999999998</v>
      </c>
      <c r="AU80" s="125">
        <f>AH80*Valores!$C$70</f>
        <v>-3132.9044999999996</v>
      </c>
      <c r="AV80" s="125">
        <f>AH80*Valores!$C$71</f>
        <v>-348.10049999999995</v>
      </c>
      <c r="AW80" s="125">
        <f t="shared" si="14"/>
        <v>107498.88999999998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3">
        <v>77</v>
      </c>
      <c r="F81" s="125">
        <f>ROUND(E81*Valores!$C$2,2)</f>
        <v>1649.25</v>
      </c>
      <c r="G81" s="193">
        <v>2073</v>
      </c>
      <c r="H81" s="125">
        <f>ROUND(G81*Valores!$C$2,2)</f>
        <v>44401.17</v>
      </c>
      <c r="I81" s="193">
        <v>0</v>
      </c>
      <c r="J81" s="125">
        <f>ROUND(I81*Valores!$C$2,2)</f>
        <v>0</v>
      </c>
      <c r="K81" s="193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8980.27</v>
      </c>
      <c r="N81" s="125">
        <f t="shared" si="11"/>
        <v>0</v>
      </c>
      <c r="O81" s="125">
        <f>Valores!$C$9</f>
        <v>23959.59</v>
      </c>
      <c r="P81" s="125">
        <f>Valores!$D$5</f>
        <v>10949.29</v>
      </c>
      <c r="Q81" s="125">
        <f>Valores!$C$22</f>
        <v>9768.51</v>
      </c>
      <c r="R81" s="125">
        <f>IF($F$4="NO",Valores!$C$43,Valores!$C$43/2)</f>
        <v>3629.53</v>
      </c>
      <c r="S81" s="125">
        <f>Valores!$C$19</f>
        <v>10188.49</v>
      </c>
      <c r="T81" s="125">
        <f t="shared" si="17"/>
        <v>10188.49</v>
      </c>
      <c r="U81" s="125">
        <v>0</v>
      </c>
      <c r="V81" s="125">
        <v>0</v>
      </c>
      <c r="W81" s="193">
        <v>0</v>
      </c>
      <c r="X81" s="125">
        <f>ROUND(W81*Valores!$C$2,2)</f>
        <v>0</v>
      </c>
      <c r="Y81" s="125">
        <v>0</v>
      </c>
      <c r="Z81" s="125">
        <f>Valores!$C$91</f>
        <v>5879.31</v>
      </c>
      <c r="AA81" s="125">
        <f>Valores!$C$25</f>
        <v>447.83</v>
      </c>
      <c r="AB81" s="215">
        <v>0</v>
      </c>
      <c r="AC81" s="125">
        <f t="shared" si="12"/>
        <v>0</v>
      </c>
      <c r="AD81" s="125">
        <f>Valores!$C$26</f>
        <v>447.83</v>
      </c>
      <c r="AE81" s="193">
        <v>0</v>
      </c>
      <c r="AF81" s="125">
        <f>ROUND(AE81*Valores!$C$2,2)</f>
        <v>0</v>
      </c>
      <c r="AG81" s="125">
        <f>ROUND(IF($F$4="NO",Valores!$C$59,Valores!$C$59/2),2)</f>
        <v>3171.17</v>
      </c>
      <c r="AH81" s="125">
        <f t="shared" si="15"/>
        <v>123472.24</v>
      </c>
      <c r="AI81" s="125">
        <f>Valores!$C$31</f>
        <v>4980.08</v>
      </c>
      <c r="AJ81" s="125">
        <f>Valores!$C$84</f>
        <v>2730</v>
      </c>
      <c r="AK81" s="125">
        <f>Valores!C$38*B81</f>
        <v>0</v>
      </c>
      <c r="AL81" s="125">
        <f>IF($F$3="NO",0,Valores!$C$52)</f>
        <v>0</v>
      </c>
      <c r="AM81" s="125">
        <f t="shared" si="13"/>
        <v>7710.08</v>
      </c>
      <c r="AN81" s="125">
        <f>AH81*Valores!$C$67</f>
        <v>-13581.9464</v>
      </c>
      <c r="AO81" s="125">
        <f>AH81*-Valores!$C$68</f>
        <v>0</v>
      </c>
      <c r="AP81" s="125">
        <f>AH81*Valores!$C$69</f>
        <v>-5556.2508</v>
      </c>
      <c r="AQ81" s="125">
        <f>Valores!$C$96</f>
        <v>-280.91</v>
      </c>
      <c r="AR81" s="125">
        <f>IF($F$5=0,Valores!$C$97,(Valores!$C$97+$F$5*(Valores!$C$97)))</f>
        <v>-658</v>
      </c>
      <c r="AS81" s="125">
        <f t="shared" si="16"/>
        <v>111105.21280000001</v>
      </c>
      <c r="AT81" s="125">
        <f t="shared" si="10"/>
        <v>-13581.9464</v>
      </c>
      <c r="AU81" s="125">
        <f>AH81*Valores!$C$70</f>
        <v>-3333.75048</v>
      </c>
      <c r="AV81" s="125">
        <f>AH81*Valores!$C$71</f>
        <v>-370.41672</v>
      </c>
      <c r="AW81" s="125">
        <f t="shared" si="14"/>
        <v>113896.20640000001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3">
        <v>76</v>
      </c>
      <c r="F82" s="125">
        <f>ROUND(E82*Valores!$C$2,2)</f>
        <v>1627.83</v>
      </c>
      <c r="G82" s="193">
        <v>1872</v>
      </c>
      <c r="H82" s="125">
        <f>ROUND(G82*Valores!$C$2,2)</f>
        <v>40095.99</v>
      </c>
      <c r="I82" s="193">
        <v>0</v>
      </c>
      <c r="J82" s="125">
        <f>ROUND(I82*Valores!$C$2,2)</f>
        <v>0</v>
      </c>
      <c r="K82" s="193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8331.28</v>
      </c>
      <c r="N82" s="125">
        <f t="shared" si="11"/>
        <v>0</v>
      </c>
      <c r="O82" s="125">
        <f>Valores!$C$9</f>
        <v>23959.59</v>
      </c>
      <c r="P82" s="125">
        <f>Valores!$D$5</f>
        <v>10949.29</v>
      </c>
      <c r="Q82" s="125">
        <v>0</v>
      </c>
      <c r="R82" s="125">
        <f>IF($F$4="NO",Valores!$C$43,Valores!$C$43/2)</f>
        <v>3629.53</v>
      </c>
      <c r="S82" s="125">
        <f>Valores!$C$19</f>
        <v>10188.49</v>
      </c>
      <c r="T82" s="125">
        <f t="shared" si="17"/>
        <v>10188.49</v>
      </c>
      <c r="U82" s="125">
        <v>0</v>
      </c>
      <c r="V82" s="125">
        <v>0</v>
      </c>
      <c r="W82" s="193">
        <v>0</v>
      </c>
      <c r="X82" s="125">
        <f>ROUND(W82*Valores!$C$2,2)</f>
        <v>0</v>
      </c>
      <c r="Y82" s="125">
        <v>0</v>
      </c>
      <c r="Z82" s="125">
        <f>Valores!$C$91</f>
        <v>5879.31</v>
      </c>
      <c r="AA82" s="125">
        <f>Valores!$C$25</f>
        <v>447.83</v>
      </c>
      <c r="AB82" s="215">
        <v>0</v>
      </c>
      <c r="AC82" s="125">
        <f t="shared" si="12"/>
        <v>0</v>
      </c>
      <c r="AD82" s="125">
        <f>Valores!$C$26</f>
        <v>447.83</v>
      </c>
      <c r="AE82" s="193">
        <v>0</v>
      </c>
      <c r="AF82" s="125">
        <f>ROUND(AE82*Valores!$C$2,2)</f>
        <v>0</v>
      </c>
      <c r="AG82" s="125">
        <f>ROUND(IF($F$4="NO",Valores!$C$59,Valores!$C$59/2),2)</f>
        <v>3171.17</v>
      </c>
      <c r="AH82" s="125">
        <f t="shared" si="15"/>
        <v>108728.14000000001</v>
      </c>
      <c r="AI82" s="125">
        <f>Valores!$C$31</f>
        <v>4980.08</v>
      </c>
      <c r="AJ82" s="125">
        <f>Valores!$C$84</f>
        <v>2730</v>
      </c>
      <c r="AK82" s="125">
        <f>Valores!C$38*B82</f>
        <v>0</v>
      </c>
      <c r="AL82" s="125">
        <f>IF($F$3="NO",0,Valores!$C$52)</f>
        <v>0</v>
      </c>
      <c r="AM82" s="125">
        <f t="shared" si="13"/>
        <v>7710.08</v>
      </c>
      <c r="AN82" s="125">
        <f>AH82*Valores!$C$67</f>
        <v>-11960.095400000002</v>
      </c>
      <c r="AO82" s="125">
        <f>AH82*-Valores!$C$68</f>
        <v>0</v>
      </c>
      <c r="AP82" s="125">
        <f>AH82*Valores!$C$69</f>
        <v>-4892.7663</v>
      </c>
      <c r="AQ82" s="125">
        <f>Valores!$C$96</f>
        <v>-280.91</v>
      </c>
      <c r="AR82" s="125">
        <f>IF($F$5=0,Valores!$C$97,(Valores!$C$97+$F$5*(Valores!$C$97)))</f>
        <v>-658</v>
      </c>
      <c r="AS82" s="125">
        <f t="shared" si="16"/>
        <v>98646.44830000002</v>
      </c>
      <c r="AT82" s="125">
        <f t="shared" si="10"/>
        <v>-11960.095400000002</v>
      </c>
      <c r="AU82" s="125">
        <f>AH82*Valores!$C$70</f>
        <v>-2935.6597800000004</v>
      </c>
      <c r="AV82" s="125">
        <f>AH82*Valores!$C$71</f>
        <v>-326.18442000000005</v>
      </c>
      <c r="AW82" s="125">
        <f t="shared" si="14"/>
        <v>101216.28040000002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3">
        <v>75</v>
      </c>
      <c r="F83" s="125">
        <f>ROUND(E83*Valores!$C$2,2)</f>
        <v>1606.41</v>
      </c>
      <c r="G83" s="193">
        <v>1873</v>
      </c>
      <c r="H83" s="125">
        <f>ROUND(G83*Valores!$C$2,2)</f>
        <v>40117.41</v>
      </c>
      <c r="I83" s="193">
        <v>0</v>
      </c>
      <c r="J83" s="125">
        <f>ROUND(I83*Valores!$C$2,2)</f>
        <v>0</v>
      </c>
      <c r="K83" s="193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8331.28</v>
      </c>
      <c r="N83" s="125">
        <f t="shared" si="11"/>
        <v>0</v>
      </c>
      <c r="O83" s="125">
        <f>Valores!$C$9</f>
        <v>23959.59</v>
      </c>
      <c r="P83" s="125">
        <f>Valores!$D$5</f>
        <v>10949.29</v>
      </c>
      <c r="Q83" s="125">
        <f>Valores!$C$22</f>
        <v>9768.51</v>
      </c>
      <c r="R83" s="125">
        <f>IF($F$4="NO",Valores!$C$43,Valores!$C$43/2)</f>
        <v>3629.53</v>
      </c>
      <c r="S83" s="125">
        <f>Valores!$C$19</f>
        <v>10188.49</v>
      </c>
      <c r="T83" s="125">
        <f t="shared" si="17"/>
        <v>10188.49</v>
      </c>
      <c r="U83" s="125">
        <v>0</v>
      </c>
      <c r="V83" s="125">
        <v>0</v>
      </c>
      <c r="W83" s="193">
        <v>0</v>
      </c>
      <c r="X83" s="125">
        <f>ROUND(W83*Valores!$C$2,2)</f>
        <v>0</v>
      </c>
      <c r="Y83" s="125">
        <v>0</v>
      </c>
      <c r="Z83" s="125">
        <f>Valores!$C$91</f>
        <v>5879.31</v>
      </c>
      <c r="AA83" s="125">
        <f>Valores!$C$25</f>
        <v>447.83</v>
      </c>
      <c r="AB83" s="215">
        <v>0</v>
      </c>
      <c r="AC83" s="125">
        <f t="shared" si="12"/>
        <v>0</v>
      </c>
      <c r="AD83" s="125">
        <f>Valores!$C$26</f>
        <v>447.83</v>
      </c>
      <c r="AE83" s="193">
        <v>0</v>
      </c>
      <c r="AF83" s="125">
        <f>ROUND(AE83*Valores!$C$2,2)</f>
        <v>0</v>
      </c>
      <c r="AG83" s="125">
        <f>ROUND(IF($F$4="NO",Valores!$C$59,Valores!$C$59/2),2)</f>
        <v>3171.17</v>
      </c>
      <c r="AH83" s="125">
        <f t="shared" si="15"/>
        <v>118496.65000000001</v>
      </c>
      <c r="AI83" s="125">
        <f>Valores!$C$31</f>
        <v>4980.08</v>
      </c>
      <c r="AJ83" s="125">
        <f>Valores!$C$84</f>
        <v>2730</v>
      </c>
      <c r="AK83" s="125">
        <f>Valores!C$38*B83</f>
        <v>0</v>
      </c>
      <c r="AL83" s="125">
        <f>IF($F$3="NO",0,Valores!$C$52)</f>
        <v>0</v>
      </c>
      <c r="AM83" s="125">
        <f t="shared" si="13"/>
        <v>7710.08</v>
      </c>
      <c r="AN83" s="125">
        <f>AH83*Valores!$C$67</f>
        <v>-13034.631500000001</v>
      </c>
      <c r="AO83" s="125">
        <f>AH83*-Valores!$C$68</f>
        <v>0</v>
      </c>
      <c r="AP83" s="125">
        <f>AH83*Valores!$C$69</f>
        <v>-5332.34925</v>
      </c>
      <c r="AQ83" s="125">
        <f>Valores!$C$96</f>
        <v>-280.91</v>
      </c>
      <c r="AR83" s="125">
        <f>IF($F$5=0,Valores!$C$97,(Valores!$C$97+$F$5*(Valores!$C$97)))</f>
        <v>-658</v>
      </c>
      <c r="AS83" s="125">
        <f t="shared" si="16"/>
        <v>106900.83925</v>
      </c>
      <c r="AT83" s="125">
        <f t="shared" si="10"/>
        <v>-13034.631500000001</v>
      </c>
      <c r="AU83" s="125">
        <f>AH83*Valores!$C$70</f>
        <v>-3199.4095500000003</v>
      </c>
      <c r="AV83" s="125">
        <f>AH83*Valores!$C$71</f>
        <v>-355.48995</v>
      </c>
      <c r="AW83" s="125">
        <f t="shared" si="14"/>
        <v>109617.19900000001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3">
        <v>76</v>
      </c>
      <c r="F84" s="125">
        <f>ROUND(E84*Valores!$C$2,2)</f>
        <v>1627.83</v>
      </c>
      <c r="G84" s="193">
        <v>1752</v>
      </c>
      <c r="H84" s="125">
        <f>ROUND(G84*Valores!$C$2,2)</f>
        <v>37525.74</v>
      </c>
      <c r="I84" s="193">
        <v>0</v>
      </c>
      <c r="J84" s="125">
        <f>ROUND(I84*Valores!$C$2,2)</f>
        <v>0</v>
      </c>
      <c r="K84" s="193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7945.74</v>
      </c>
      <c r="N84" s="125">
        <f t="shared" si="11"/>
        <v>0</v>
      </c>
      <c r="O84" s="125">
        <f>Valores!$C$8</f>
        <v>23890.21</v>
      </c>
      <c r="P84" s="125">
        <f>Valores!$D$5</f>
        <v>10949.29</v>
      </c>
      <c r="Q84" s="125">
        <f>Valores!$C$22</f>
        <v>9768.51</v>
      </c>
      <c r="R84" s="125">
        <f>IF($F$4="NO",Valores!$C$43,Valores!$C$43/2)</f>
        <v>3629.53</v>
      </c>
      <c r="S84" s="125">
        <f>Valores!$C$19</f>
        <v>10188.49</v>
      </c>
      <c r="T84" s="125">
        <f t="shared" si="17"/>
        <v>10188.49</v>
      </c>
      <c r="U84" s="125">
        <v>0</v>
      </c>
      <c r="V84" s="125">
        <v>0</v>
      </c>
      <c r="W84" s="193">
        <v>0</v>
      </c>
      <c r="X84" s="125">
        <f>ROUND(W84*Valores!$C$2,2)</f>
        <v>0</v>
      </c>
      <c r="Y84" s="125">
        <v>0</v>
      </c>
      <c r="Z84" s="125">
        <f>Valores!$C$90</f>
        <v>4899.43</v>
      </c>
      <c r="AA84" s="125">
        <f>Valores!$C$25</f>
        <v>447.83</v>
      </c>
      <c r="AB84" s="215">
        <v>0</v>
      </c>
      <c r="AC84" s="125">
        <f t="shared" si="12"/>
        <v>0</v>
      </c>
      <c r="AD84" s="125">
        <f>Valores!$C$26</f>
        <v>447.83</v>
      </c>
      <c r="AE84" s="193">
        <v>0</v>
      </c>
      <c r="AF84" s="125">
        <f>ROUND(AE84*Valores!$C$2,2)</f>
        <v>0</v>
      </c>
      <c r="AG84" s="125">
        <f>ROUND(IF($F$4="NO",Valores!$C$59,Valores!$C$59/2),2)</f>
        <v>3171.17</v>
      </c>
      <c r="AH84" s="125">
        <f t="shared" si="15"/>
        <v>114491.59999999999</v>
      </c>
      <c r="AI84" s="125">
        <f>Valores!$C$31</f>
        <v>4980.08</v>
      </c>
      <c r="AJ84" s="125">
        <f>Valores!$C$83</f>
        <v>2275</v>
      </c>
      <c r="AK84" s="125">
        <f>Valores!C$38*B84</f>
        <v>0</v>
      </c>
      <c r="AL84" s="125">
        <f>IF($F$3="NO",0,Valores!$C$52)</f>
        <v>0</v>
      </c>
      <c r="AM84" s="125">
        <f t="shared" si="13"/>
        <v>7255.08</v>
      </c>
      <c r="AN84" s="125">
        <f>AH84*Valores!$C$67</f>
        <v>-12594.076</v>
      </c>
      <c r="AO84" s="125">
        <f>AH84*-Valores!$C$68</f>
        <v>0</v>
      </c>
      <c r="AP84" s="125">
        <f>AH84*Valores!$C$69</f>
        <v>-5152.121999999999</v>
      </c>
      <c r="AQ84" s="125">
        <f>Valores!$C$96</f>
        <v>-280.91</v>
      </c>
      <c r="AR84" s="125">
        <f>IF($F$5=0,Valores!$C$97,(Valores!$C$97+$F$5*(Valores!$C$97)))</f>
        <v>-658</v>
      </c>
      <c r="AS84" s="125">
        <f t="shared" si="16"/>
        <v>103061.57199999999</v>
      </c>
      <c r="AT84" s="125">
        <f t="shared" si="10"/>
        <v>-12594.076</v>
      </c>
      <c r="AU84" s="125">
        <f>AH84*Valores!$C$70</f>
        <v>-3091.2731999999996</v>
      </c>
      <c r="AV84" s="125">
        <f>AH84*Valores!$C$71</f>
        <v>-343.47479999999996</v>
      </c>
      <c r="AW84" s="125">
        <f t="shared" si="14"/>
        <v>105717.856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3">
        <v>78</v>
      </c>
      <c r="F85" s="125">
        <f>ROUND(E85*Valores!$C$2,2)</f>
        <v>1670.67</v>
      </c>
      <c r="G85" s="193">
        <v>1770</v>
      </c>
      <c r="H85" s="125">
        <f>ROUND(G85*Valores!$C$2,2)</f>
        <v>37911.28</v>
      </c>
      <c r="I85" s="193">
        <v>0</v>
      </c>
      <c r="J85" s="125">
        <f>ROUND(I85*Valores!$C$2,2)</f>
        <v>0</v>
      </c>
      <c r="K85" s="193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7945.71</v>
      </c>
      <c r="N85" s="125">
        <f t="shared" si="11"/>
        <v>0</v>
      </c>
      <c r="O85" s="125">
        <f>Valores!$C$10</f>
        <v>20598.54</v>
      </c>
      <c r="P85" s="125">
        <f>Valores!$D$5</f>
        <v>10949.29</v>
      </c>
      <c r="Q85" s="125">
        <f>Valores!$C$22</f>
        <v>9768.51</v>
      </c>
      <c r="R85" s="125">
        <f>IF($F$4="NO",Valores!$C$42,Valores!$C$42/2)</f>
        <v>3200.97</v>
      </c>
      <c r="S85" s="125">
        <f>Valores!$C$19</f>
        <v>10188.49</v>
      </c>
      <c r="T85" s="125">
        <f t="shared" si="17"/>
        <v>10188.49</v>
      </c>
      <c r="U85" s="125">
        <v>0</v>
      </c>
      <c r="V85" s="125">
        <v>0</v>
      </c>
      <c r="W85" s="193">
        <v>0</v>
      </c>
      <c r="X85" s="125">
        <f>ROUND(W85*Valores!$C$2,2)</f>
        <v>0</v>
      </c>
      <c r="Y85" s="125">
        <v>0</v>
      </c>
      <c r="Z85" s="125">
        <f>Valores!$C$90</f>
        <v>4899.43</v>
      </c>
      <c r="AA85" s="125">
        <f>Valores!$C$25</f>
        <v>447.83</v>
      </c>
      <c r="AB85" s="215">
        <v>0</v>
      </c>
      <c r="AC85" s="125">
        <f t="shared" si="12"/>
        <v>0</v>
      </c>
      <c r="AD85" s="125">
        <f>Valores!$C$26</f>
        <v>447.83</v>
      </c>
      <c r="AE85" s="193">
        <v>0</v>
      </c>
      <c r="AF85" s="125">
        <f>ROUND(AE85*Valores!$C$2,2)</f>
        <v>0</v>
      </c>
      <c r="AG85" s="125">
        <f>ROUND(IF($F$4="NO",Valores!$C$59,Valores!$C$59/2),2)</f>
        <v>3171.17</v>
      </c>
      <c r="AH85" s="125">
        <f t="shared" si="15"/>
        <v>111199.71999999999</v>
      </c>
      <c r="AI85" s="125">
        <f>Valores!$C$31</f>
        <v>4980.08</v>
      </c>
      <c r="AJ85" s="125">
        <f>Valores!$C$83</f>
        <v>2275</v>
      </c>
      <c r="AK85" s="125">
        <f>Valores!C$38*B85</f>
        <v>0</v>
      </c>
      <c r="AL85" s="125">
        <f>IF($F$3="NO",0,Valores!$C$52)</f>
        <v>0</v>
      </c>
      <c r="AM85" s="125">
        <f t="shared" si="13"/>
        <v>7255.08</v>
      </c>
      <c r="AN85" s="125">
        <f>AH85*Valores!$C$67</f>
        <v>-12231.969199999998</v>
      </c>
      <c r="AO85" s="125">
        <f>AH85*-Valores!$C$68</f>
        <v>0</v>
      </c>
      <c r="AP85" s="125">
        <f>AH85*Valores!$C$69</f>
        <v>-5003.987399999999</v>
      </c>
      <c r="AQ85" s="125">
        <f>Valores!$C$96</f>
        <v>-280.91</v>
      </c>
      <c r="AR85" s="125">
        <f>IF($F$5=0,Valores!$C$97,(Valores!$C$97+$F$5*(Valores!$C$97)))</f>
        <v>-658</v>
      </c>
      <c r="AS85" s="125">
        <f t="shared" si="16"/>
        <v>100279.9334</v>
      </c>
      <c r="AT85" s="125">
        <f t="shared" si="10"/>
        <v>-12231.969199999998</v>
      </c>
      <c r="AU85" s="125">
        <f>AH85*Valores!$C$70</f>
        <v>-3002.3924399999996</v>
      </c>
      <c r="AV85" s="125">
        <f>AH85*Valores!$C$71</f>
        <v>-333.59916</v>
      </c>
      <c r="AW85" s="125">
        <f t="shared" si="14"/>
        <v>102886.83919999999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3">
        <v>76</v>
      </c>
      <c r="F86" s="125">
        <f>ROUND(E86*Valores!$C$2,2)</f>
        <v>1627.83</v>
      </c>
      <c r="G86" s="193">
        <v>1872</v>
      </c>
      <c r="H86" s="125">
        <f>ROUND(G86*Valores!$C$2,2)</f>
        <v>40095.99</v>
      </c>
      <c r="I86" s="193">
        <v>0</v>
      </c>
      <c r="J86" s="125">
        <f>ROUND(I86*Valores!$C$2,2)</f>
        <v>0</v>
      </c>
      <c r="K86" s="193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8266.99</v>
      </c>
      <c r="N86" s="125">
        <f t="shared" si="11"/>
        <v>0</v>
      </c>
      <c r="O86" s="125">
        <f>Valores!$C$10</f>
        <v>20598.54</v>
      </c>
      <c r="P86" s="125">
        <f>Valores!$D$5</f>
        <v>10949.29</v>
      </c>
      <c r="Q86" s="125">
        <v>0</v>
      </c>
      <c r="R86" s="125">
        <f>IF($F$4="NO",Valores!$C$42,Valores!$C$42/2)</f>
        <v>3200.97</v>
      </c>
      <c r="S86" s="125">
        <f>Valores!$C$19</f>
        <v>10188.49</v>
      </c>
      <c r="T86" s="125">
        <f t="shared" si="17"/>
        <v>10188.49</v>
      </c>
      <c r="U86" s="125">
        <v>0</v>
      </c>
      <c r="V86" s="125">
        <v>0</v>
      </c>
      <c r="W86" s="193">
        <v>0</v>
      </c>
      <c r="X86" s="125">
        <f>ROUND(W86*Valores!$C$2,2)</f>
        <v>0</v>
      </c>
      <c r="Y86" s="125">
        <v>0</v>
      </c>
      <c r="Z86" s="125">
        <f>Valores!$C$90</f>
        <v>4899.43</v>
      </c>
      <c r="AA86" s="125">
        <f>Valores!$C$25</f>
        <v>447.83</v>
      </c>
      <c r="AB86" s="215">
        <v>0</v>
      </c>
      <c r="AC86" s="125">
        <f t="shared" si="12"/>
        <v>0</v>
      </c>
      <c r="AD86" s="125">
        <f>Valores!$C$26</f>
        <v>447.83</v>
      </c>
      <c r="AE86" s="193">
        <v>0</v>
      </c>
      <c r="AF86" s="125">
        <f>ROUND(AE86*Valores!$C$2,2)</f>
        <v>0</v>
      </c>
      <c r="AG86" s="125">
        <f>ROUND(IF($F$4="NO",Valores!$C$59,Valores!$C$59/2),2)</f>
        <v>3171.17</v>
      </c>
      <c r="AH86" s="125">
        <f t="shared" si="15"/>
        <v>103894.36000000003</v>
      </c>
      <c r="AI86" s="125">
        <f>Valores!$C$31</f>
        <v>4980.08</v>
      </c>
      <c r="AJ86" s="125">
        <f>Valores!$C$83</f>
        <v>2275</v>
      </c>
      <c r="AK86" s="125">
        <f>Valores!C$38*B86</f>
        <v>0</v>
      </c>
      <c r="AL86" s="125">
        <f>IF($F$3="NO",0,Valores!$C$52)</f>
        <v>0</v>
      </c>
      <c r="AM86" s="125">
        <f t="shared" si="13"/>
        <v>7255.08</v>
      </c>
      <c r="AN86" s="125">
        <f>AH86*Valores!$C$67</f>
        <v>-11428.379600000004</v>
      </c>
      <c r="AO86" s="125">
        <f>AH86*-Valores!$C$68</f>
        <v>0</v>
      </c>
      <c r="AP86" s="125">
        <f>AH86*Valores!$C$69</f>
        <v>-4675.246200000001</v>
      </c>
      <c r="AQ86" s="125">
        <f>Valores!$C$96</f>
        <v>-280.91</v>
      </c>
      <c r="AR86" s="125">
        <f>IF($F$5=0,Valores!$C$97,(Valores!$C$97+$F$5*(Valores!$C$97)))</f>
        <v>-658</v>
      </c>
      <c r="AS86" s="125">
        <f t="shared" si="16"/>
        <v>94106.90420000002</v>
      </c>
      <c r="AT86" s="125">
        <f t="shared" si="10"/>
        <v>-11428.379600000004</v>
      </c>
      <c r="AU86" s="125">
        <f>AH86*Valores!$C$70</f>
        <v>-2805.147720000001</v>
      </c>
      <c r="AV86" s="125">
        <f>AH86*Valores!$C$71</f>
        <v>-311.6830800000001</v>
      </c>
      <c r="AW86" s="125">
        <f t="shared" si="14"/>
        <v>96604.22960000002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3">
        <v>169</v>
      </c>
      <c r="F87" s="125">
        <f>ROUND(E87*Valores!$C$2,2)</f>
        <v>3619.78</v>
      </c>
      <c r="G87" s="193">
        <f>1997</f>
        <v>1997</v>
      </c>
      <c r="H87" s="125">
        <f>ROUND(G87*Valores!$C$2,2)</f>
        <v>42773.34</v>
      </c>
      <c r="I87" s="193">
        <v>0</v>
      </c>
      <c r="J87" s="125">
        <f>ROUND(I87*Valores!$C$2,2)</f>
        <v>0</v>
      </c>
      <c r="K87" s="193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9031.67</v>
      </c>
      <c r="N87" s="125">
        <f t="shared" si="11"/>
        <v>0</v>
      </c>
      <c r="O87" s="125">
        <f>Valores!$C$9</f>
        <v>23959.59</v>
      </c>
      <c r="P87" s="125">
        <f>Valores!$D$5</f>
        <v>10949.29</v>
      </c>
      <c r="Q87" s="125">
        <f>Valores!$C$22</f>
        <v>9768.51</v>
      </c>
      <c r="R87" s="125">
        <f>IF($F$4="NO",Valores!$C$43,Valores!$C$43/2)</f>
        <v>3629.53</v>
      </c>
      <c r="S87" s="125">
        <f>Valores!$C$19</f>
        <v>10188.49</v>
      </c>
      <c r="T87" s="125">
        <f t="shared" si="17"/>
        <v>10188.49</v>
      </c>
      <c r="U87" s="125">
        <v>0</v>
      </c>
      <c r="V87" s="125">
        <v>0</v>
      </c>
      <c r="W87" s="193">
        <v>0</v>
      </c>
      <c r="X87" s="125">
        <f>ROUND(W87*Valores!$C$2,2)</f>
        <v>0</v>
      </c>
      <c r="Y87" s="125">
        <v>0</v>
      </c>
      <c r="Z87" s="125">
        <f>Valores!$C$90</f>
        <v>4899.43</v>
      </c>
      <c r="AA87" s="125">
        <f>Valores!$C$25</f>
        <v>447.83</v>
      </c>
      <c r="AB87" s="215">
        <v>0</v>
      </c>
      <c r="AC87" s="125">
        <f t="shared" si="12"/>
        <v>0</v>
      </c>
      <c r="AD87" s="125">
        <f>Valores!$C$26</f>
        <v>447.83</v>
      </c>
      <c r="AE87" s="193">
        <v>0</v>
      </c>
      <c r="AF87" s="125">
        <f>ROUND(AE87*Valores!$C$2,2)</f>
        <v>0</v>
      </c>
      <c r="AG87" s="125">
        <f>ROUND(IF($F$4="NO",Valores!$C$59,Valores!$C$59/2),2)</f>
        <v>3171.17</v>
      </c>
      <c r="AH87" s="125">
        <f t="shared" si="15"/>
        <v>122886.45999999998</v>
      </c>
      <c r="AI87" s="125">
        <f>Valores!$C$31</f>
        <v>4980.08</v>
      </c>
      <c r="AJ87" s="125">
        <f>Valores!$C$83</f>
        <v>2275</v>
      </c>
      <c r="AK87" s="125">
        <f>Valores!C$38*B87</f>
        <v>0</v>
      </c>
      <c r="AL87" s="125">
        <f>IF($F$3="NO",0,Valores!$C$52)</f>
        <v>0</v>
      </c>
      <c r="AM87" s="125">
        <f t="shared" si="13"/>
        <v>7255.08</v>
      </c>
      <c r="AN87" s="125">
        <f>AH87*Valores!$C$67</f>
        <v>-13517.510599999998</v>
      </c>
      <c r="AO87" s="125">
        <f>AH87*-Valores!$C$68</f>
        <v>0</v>
      </c>
      <c r="AP87" s="125">
        <f>AH87*Valores!$C$69</f>
        <v>-5529.890699999999</v>
      </c>
      <c r="AQ87" s="125">
        <f>Valores!$C$96</f>
        <v>-280.91</v>
      </c>
      <c r="AR87" s="125">
        <f>IF($F$5=0,Valores!$C$97,(Valores!$C$97+$F$5*(Valores!$C$97)))</f>
        <v>-658</v>
      </c>
      <c r="AS87" s="125">
        <f t="shared" si="16"/>
        <v>110155.22869999998</v>
      </c>
      <c r="AT87" s="125">
        <f t="shared" si="10"/>
        <v>-13517.510599999998</v>
      </c>
      <c r="AU87" s="125">
        <f>AH87*Valores!$C$70</f>
        <v>-3317.934419999999</v>
      </c>
      <c r="AV87" s="125">
        <f>AH87*Valores!$C$71</f>
        <v>-368.65937999999994</v>
      </c>
      <c r="AW87" s="125">
        <f t="shared" si="14"/>
        <v>112937.43559999998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3">
        <v>218</v>
      </c>
      <c r="F88" s="125">
        <f>ROUND(E88*Valores!$C$2,2)</f>
        <v>4669.3</v>
      </c>
      <c r="G88" s="193">
        <f>1997</f>
        <v>1997</v>
      </c>
      <c r="H88" s="125">
        <f>ROUND(G88*Valores!$C$2,2)</f>
        <v>42773.34</v>
      </c>
      <c r="I88" s="193">
        <v>0</v>
      </c>
      <c r="J88" s="125">
        <f>ROUND(I88*Valores!$C$2,2)</f>
        <v>0</v>
      </c>
      <c r="K88" s="193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9189.1</v>
      </c>
      <c r="N88" s="125">
        <f t="shared" si="11"/>
        <v>0</v>
      </c>
      <c r="O88" s="125">
        <f>Valores!$C$15</f>
        <v>27992.85</v>
      </c>
      <c r="P88" s="125">
        <f>Valores!$D$5</f>
        <v>10949.29</v>
      </c>
      <c r="Q88" s="125">
        <f>Valores!$C$22</f>
        <v>9768.51</v>
      </c>
      <c r="R88" s="125">
        <f>IF($F$4="NO",Valores!$C$43,Valores!$C$43/2)</f>
        <v>3629.53</v>
      </c>
      <c r="S88" s="125">
        <f>Valores!$C$19</f>
        <v>10188.49</v>
      </c>
      <c r="T88" s="125">
        <f t="shared" si="17"/>
        <v>10188.49</v>
      </c>
      <c r="U88" s="125">
        <v>0</v>
      </c>
      <c r="V88" s="125">
        <v>0</v>
      </c>
      <c r="W88" s="193">
        <v>0</v>
      </c>
      <c r="X88" s="125">
        <f>ROUND(W88*Valores!$C$2,2)</f>
        <v>0</v>
      </c>
      <c r="Y88" s="125">
        <v>0</v>
      </c>
      <c r="Z88" s="125">
        <f>Valores!$C$90</f>
        <v>4899.43</v>
      </c>
      <c r="AA88" s="125">
        <f>Valores!$C$25</f>
        <v>447.83</v>
      </c>
      <c r="AB88" s="215">
        <v>0</v>
      </c>
      <c r="AC88" s="125">
        <f t="shared" si="12"/>
        <v>0</v>
      </c>
      <c r="AD88" s="125">
        <f>Valores!$C$26</f>
        <v>447.83</v>
      </c>
      <c r="AE88" s="193">
        <v>0</v>
      </c>
      <c r="AF88" s="125">
        <f>ROUND(AE88*Valores!$C$2,2)</f>
        <v>0</v>
      </c>
      <c r="AG88" s="125">
        <f>ROUND(IF($F$4="NO",Valores!$C$59,Valores!$C$59/2),2)</f>
        <v>3171.17</v>
      </c>
      <c r="AH88" s="125">
        <f t="shared" si="15"/>
        <v>128126.67</v>
      </c>
      <c r="AI88" s="125">
        <f>Valores!$C$31</f>
        <v>4980.08</v>
      </c>
      <c r="AJ88" s="125">
        <f>Valores!$C$83</f>
        <v>2275</v>
      </c>
      <c r="AK88" s="125">
        <f>Valores!C$38*B88</f>
        <v>0</v>
      </c>
      <c r="AL88" s="125">
        <f>IF($F$3="NO",0,Valores!$C$52)</f>
        <v>0</v>
      </c>
      <c r="AM88" s="125">
        <f t="shared" si="13"/>
        <v>7255.08</v>
      </c>
      <c r="AN88" s="125">
        <f>AH88*Valores!$C$67</f>
        <v>-14093.9337</v>
      </c>
      <c r="AO88" s="125">
        <f>AH88*-Valores!$C$68</f>
        <v>0</v>
      </c>
      <c r="AP88" s="125">
        <f>AH88*Valores!$C$69</f>
        <v>-5765.70015</v>
      </c>
      <c r="AQ88" s="125">
        <f>Valores!$C$96</f>
        <v>-280.91</v>
      </c>
      <c r="AR88" s="125">
        <f>IF($F$5=0,Valores!$C$97,(Valores!$C$97+$F$5*(Valores!$C$97)))</f>
        <v>-658</v>
      </c>
      <c r="AS88" s="125">
        <f t="shared" si="16"/>
        <v>114583.20615</v>
      </c>
      <c r="AT88" s="125">
        <f t="shared" si="10"/>
        <v>-14093.9337</v>
      </c>
      <c r="AU88" s="125">
        <f>AH88*Valores!$C$70</f>
        <v>-3459.42009</v>
      </c>
      <c r="AV88" s="125">
        <f>AH88*Valores!$C$71</f>
        <v>-384.38001</v>
      </c>
      <c r="AW88" s="125">
        <f t="shared" si="14"/>
        <v>117444.0162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3">
        <v>218</v>
      </c>
      <c r="F89" s="125">
        <f>ROUND(E89*Valores!$C$2,2)</f>
        <v>4669.3</v>
      </c>
      <c r="G89" s="193">
        <f>1997</f>
        <v>1997</v>
      </c>
      <c r="H89" s="125">
        <f>ROUND(G89*Valores!$C$2,2)</f>
        <v>42773.34</v>
      </c>
      <c r="I89" s="193">
        <v>0</v>
      </c>
      <c r="J89" s="125">
        <f>ROUND(I89*Valores!$C$2,2)</f>
        <v>0</v>
      </c>
      <c r="K89" s="193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9189.1</v>
      </c>
      <c r="N89" s="125">
        <f t="shared" si="11"/>
        <v>0</v>
      </c>
      <c r="O89" s="125">
        <f>Valores!$C$15</f>
        <v>27992.85</v>
      </c>
      <c r="P89" s="125">
        <f>Valores!$D$5</f>
        <v>10949.29</v>
      </c>
      <c r="Q89" s="125">
        <f>Valores!$C$22</f>
        <v>9768.51</v>
      </c>
      <c r="R89" s="125">
        <f>IF($F$4="NO",Valores!$C$43,Valores!$C$43/2)</f>
        <v>3629.53</v>
      </c>
      <c r="S89" s="125">
        <f>Valores!$C$19</f>
        <v>10188.49</v>
      </c>
      <c r="T89" s="125">
        <f t="shared" si="17"/>
        <v>10188.49</v>
      </c>
      <c r="U89" s="125">
        <v>0</v>
      </c>
      <c r="V89" s="125">
        <v>0</v>
      </c>
      <c r="W89" s="193">
        <v>0</v>
      </c>
      <c r="X89" s="125">
        <f>ROUND(W89*Valores!$C$2,2)</f>
        <v>0</v>
      </c>
      <c r="Y89" s="125">
        <v>0</v>
      </c>
      <c r="Z89" s="125">
        <f>Valores!$C$90</f>
        <v>4899.43</v>
      </c>
      <c r="AA89" s="125">
        <f>Valores!$C$25</f>
        <v>447.83</v>
      </c>
      <c r="AB89" s="215">
        <v>0</v>
      </c>
      <c r="AC89" s="125">
        <f t="shared" si="12"/>
        <v>0</v>
      </c>
      <c r="AD89" s="125">
        <f>Valores!$C$26</f>
        <v>447.83</v>
      </c>
      <c r="AE89" s="193">
        <v>19</v>
      </c>
      <c r="AF89" s="125">
        <f>ROUND(AE89*Valores!$C$2,2)</f>
        <v>406.96</v>
      </c>
      <c r="AG89" s="125">
        <f>ROUND(IF($F$4="NO",Valores!$C$59,Valores!$C$59/2),2)</f>
        <v>3171.17</v>
      </c>
      <c r="AH89" s="125">
        <f t="shared" si="15"/>
        <v>128533.63</v>
      </c>
      <c r="AI89" s="125">
        <f>Valores!$C$31</f>
        <v>4980.08</v>
      </c>
      <c r="AJ89" s="125">
        <f>Valores!$C$83</f>
        <v>2275</v>
      </c>
      <c r="AK89" s="125">
        <f>Valores!C$38*B89</f>
        <v>0</v>
      </c>
      <c r="AL89" s="125">
        <f>IF($F$3="NO",0,Valores!$C$52)</f>
        <v>0</v>
      </c>
      <c r="AM89" s="125">
        <f t="shared" si="13"/>
        <v>7255.08</v>
      </c>
      <c r="AN89" s="125">
        <f>AH89*Valores!$C$67</f>
        <v>-14138.6993</v>
      </c>
      <c r="AO89" s="125">
        <f>AH89*-Valores!$C$68</f>
        <v>0</v>
      </c>
      <c r="AP89" s="125">
        <f>AH89*Valores!$C$69</f>
        <v>-5784.01335</v>
      </c>
      <c r="AQ89" s="125">
        <f>Valores!$C$96</f>
        <v>-280.91</v>
      </c>
      <c r="AR89" s="125">
        <f>IF($F$5=0,Valores!$C$97,(Valores!$C$97+$F$5*(Valores!$C$97)))</f>
        <v>-658</v>
      </c>
      <c r="AS89" s="125">
        <f t="shared" si="16"/>
        <v>114927.08735</v>
      </c>
      <c r="AT89" s="125">
        <f t="shared" si="10"/>
        <v>-14138.6993</v>
      </c>
      <c r="AU89" s="125">
        <f>AH89*Valores!$C$70</f>
        <v>-3470.40801</v>
      </c>
      <c r="AV89" s="125">
        <f>AH89*Valores!$C$71</f>
        <v>-385.60089000000005</v>
      </c>
      <c r="AW89" s="125">
        <f t="shared" si="14"/>
        <v>117794.0018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3">
        <v>187</v>
      </c>
      <c r="F90" s="125">
        <f>ROUND(E90*Valores!$C$2,2)</f>
        <v>4005.32</v>
      </c>
      <c r="G90" s="193">
        <v>1704</v>
      </c>
      <c r="H90" s="125">
        <f>ROUND(G90*Valores!$C$2,2)</f>
        <v>36497.64</v>
      </c>
      <c r="I90" s="193">
        <v>0</v>
      </c>
      <c r="J90" s="125">
        <f>ROUND(I90*Valores!$C$2,2)</f>
        <v>0</v>
      </c>
      <c r="K90" s="193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8148.15</v>
      </c>
      <c r="N90" s="125">
        <f t="shared" si="11"/>
        <v>0</v>
      </c>
      <c r="O90" s="125">
        <f>Valores!$C$9</f>
        <v>23959.59</v>
      </c>
      <c r="P90" s="125">
        <f>Valores!$D$5</f>
        <v>10949.29</v>
      </c>
      <c r="Q90" s="125">
        <f>Valores!$C$22</f>
        <v>9768.51</v>
      </c>
      <c r="R90" s="125">
        <f>IF($F$4="NO",Valores!$C$43,Valores!$C$43/2)</f>
        <v>3629.53</v>
      </c>
      <c r="S90" s="125">
        <f>Valores!$C$19</f>
        <v>10188.49</v>
      </c>
      <c r="T90" s="125">
        <f t="shared" si="17"/>
        <v>10188.49</v>
      </c>
      <c r="U90" s="125">
        <v>0</v>
      </c>
      <c r="V90" s="125">
        <v>0</v>
      </c>
      <c r="W90" s="193">
        <v>0</v>
      </c>
      <c r="X90" s="125">
        <f>ROUND(W90*Valores!$C$2,2)</f>
        <v>0</v>
      </c>
      <c r="Y90" s="125">
        <v>0</v>
      </c>
      <c r="Z90" s="125">
        <f>Valores!$C$90</f>
        <v>4899.43</v>
      </c>
      <c r="AA90" s="125">
        <f>Valores!$C$25</f>
        <v>447.83</v>
      </c>
      <c r="AB90" s="215">
        <v>0</v>
      </c>
      <c r="AC90" s="125">
        <f t="shared" si="12"/>
        <v>0</v>
      </c>
      <c r="AD90" s="125">
        <f>Valores!$C$26</f>
        <v>447.83</v>
      </c>
      <c r="AE90" s="193">
        <v>0</v>
      </c>
      <c r="AF90" s="125">
        <f>ROUND(AE90*Valores!$C$2,2)</f>
        <v>0</v>
      </c>
      <c r="AG90" s="125">
        <f>ROUND(IF($F$4="NO",Valores!$C$59,Valores!$C$59/2),2)</f>
        <v>3171.17</v>
      </c>
      <c r="AH90" s="125">
        <f t="shared" si="15"/>
        <v>116112.77999999998</v>
      </c>
      <c r="AI90" s="125">
        <f>Valores!$C$31</f>
        <v>4980.08</v>
      </c>
      <c r="AJ90" s="125">
        <f>Valores!$C$83</f>
        <v>2275</v>
      </c>
      <c r="AK90" s="125">
        <f>Valores!C$38*B90</f>
        <v>0</v>
      </c>
      <c r="AL90" s="125">
        <f>IF($F$3="NO",0,Valores!$C$52)</f>
        <v>0</v>
      </c>
      <c r="AM90" s="125">
        <f t="shared" si="13"/>
        <v>7255.08</v>
      </c>
      <c r="AN90" s="125">
        <f>AH90*Valores!$C$67</f>
        <v>-12772.405799999999</v>
      </c>
      <c r="AO90" s="125">
        <f>AH90*-Valores!$C$68</f>
        <v>0</v>
      </c>
      <c r="AP90" s="125">
        <f>AH90*Valores!$C$69</f>
        <v>-5225.075099999999</v>
      </c>
      <c r="AQ90" s="125">
        <f>Valores!$C$96</f>
        <v>-280.91</v>
      </c>
      <c r="AR90" s="125">
        <f>IF($F$5=0,Valores!$C$97,(Valores!$C$97+$F$5*(Valores!$C$97)))</f>
        <v>-658</v>
      </c>
      <c r="AS90" s="125">
        <f t="shared" si="16"/>
        <v>104431.46909999999</v>
      </c>
      <c r="AT90" s="125">
        <f t="shared" si="10"/>
        <v>-12772.405799999999</v>
      </c>
      <c r="AU90" s="125">
        <f>AH90*Valores!$C$70</f>
        <v>-3135.0450599999995</v>
      </c>
      <c r="AV90" s="125">
        <f>AH90*Valores!$C$71</f>
        <v>-348.33833999999996</v>
      </c>
      <c r="AW90" s="125">
        <f t="shared" si="14"/>
        <v>107112.07079999999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3">
        <v>187</v>
      </c>
      <c r="F91" s="125">
        <f>ROUND(E91*Valores!$C$2,2)</f>
        <v>4005.32</v>
      </c>
      <c r="G91" s="193">
        <v>1704</v>
      </c>
      <c r="H91" s="125">
        <f>ROUND(G91*Valores!$C$2,2)</f>
        <v>36497.64</v>
      </c>
      <c r="I91" s="193">
        <v>0</v>
      </c>
      <c r="J91" s="125">
        <f>ROUND(I91*Valores!$C$2,2)</f>
        <v>0</v>
      </c>
      <c r="K91" s="193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8148.15</v>
      </c>
      <c r="N91" s="125">
        <f t="shared" si="11"/>
        <v>0</v>
      </c>
      <c r="O91" s="125">
        <f>Valores!$C$9</f>
        <v>23959.59</v>
      </c>
      <c r="P91" s="125">
        <f>Valores!$D$5</f>
        <v>10949.29</v>
      </c>
      <c r="Q91" s="125">
        <f>Valores!$C$22</f>
        <v>9768.51</v>
      </c>
      <c r="R91" s="125">
        <f>IF($F$4="NO",Valores!$C$43,Valores!$C$43/2)</f>
        <v>3629.53</v>
      </c>
      <c r="S91" s="125">
        <f>Valores!$C$19</f>
        <v>10188.49</v>
      </c>
      <c r="T91" s="125">
        <f t="shared" si="17"/>
        <v>10188.49</v>
      </c>
      <c r="U91" s="125">
        <v>0</v>
      </c>
      <c r="V91" s="125">
        <v>0</v>
      </c>
      <c r="W91" s="193">
        <v>0</v>
      </c>
      <c r="X91" s="125">
        <f>ROUND(W91*Valores!$C$2,2)</f>
        <v>0</v>
      </c>
      <c r="Y91" s="125">
        <v>0</v>
      </c>
      <c r="Z91" s="125">
        <f>Valores!$C$90</f>
        <v>4899.43</v>
      </c>
      <c r="AA91" s="125">
        <f>Valores!$C$25</f>
        <v>447.83</v>
      </c>
      <c r="AB91" s="215">
        <v>0</v>
      </c>
      <c r="AC91" s="125">
        <f t="shared" si="12"/>
        <v>0</v>
      </c>
      <c r="AD91" s="125">
        <f>Valores!$C$26</f>
        <v>447.83</v>
      </c>
      <c r="AE91" s="193">
        <v>19</v>
      </c>
      <c r="AF91" s="125">
        <f>ROUND(AE91*Valores!$C$2,2)</f>
        <v>406.96</v>
      </c>
      <c r="AG91" s="125">
        <f>ROUND(IF($F$4="NO",Valores!$C$59,Valores!$C$59/2),2)</f>
        <v>3171.17</v>
      </c>
      <c r="AH91" s="125">
        <f t="shared" si="15"/>
        <v>116519.73999999999</v>
      </c>
      <c r="AI91" s="125">
        <f>Valores!$C$31</f>
        <v>4980.08</v>
      </c>
      <c r="AJ91" s="125">
        <f>Valores!$C$83</f>
        <v>2275</v>
      </c>
      <c r="AK91" s="125">
        <f>Valores!C$38*B91</f>
        <v>0</v>
      </c>
      <c r="AL91" s="125">
        <f>IF($F$3="NO",0,Valores!$C$52)</f>
        <v>0</v>
      </c>
      <c r="AM91" s="125">
        <f t="shared" si="13"/>
        <v>7255.08</v>
      </c>
      <c r="AN91" s="125">
        <f>AH91*Valores!$C$67</f>
        <v>-12817.1714</v>
      </c>
      <c r="AO91" s="125">
        <f>AH91*-Valores!$C$68</f>
        <v>0</v>
      </c>
      <c r="AP91" s="125">
        <f>AH91*Valores!$C$69</f>
        <v>-5243.3883</v>
      </c>
      <c r="AQ91" s="125">
        <f>Valores!$C$96</f>
        <v>-280.91</v>
      </c>
      <c r="AR91" s="125">
        <f>IF($F$5=0,Valores!$C$97,(Valores!$C$97+$F$5*(Valores!$C$97)))</f>
        <v>-658</v>
      </c>
      <c r="AS91" s="125">
        <f t="shared" si="16"/>
        <v>104775.35029999999</v>
      </c>
      <c r="AT91" s="125">
        <f t="shared" si="10"/>
        <v>-12817.1714</v>
      </c>
      <c r="AU91" s="125">
        <f>AH91*Valores!$C$70</f>
        <v>-3146.0329799999995</v>
      </c>
      <c r="AV91" s="125">
        <f>AH91*Valores!$C$71</f>
        <v>-349.55922</v>
      </c>
      <c r="AW91" s="125">
        <f t="shared" si="14"/>
        <v>107462.0564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3">
        <v>161</v>
      </c>
      <c r="F92" s="125">
        <f>ROUND(E92*Valores!$C$2,2)</f>
        <v>3448.43</v>
      </c>
      <c r="G92" s="193">
        <f>1480</f>
        <v>1480</v>
      </c>
      <c r="H92" s="125">
        <f>ROUND(G92*Valores!$C$2,2)</f>
        <v>31699.82</v>
      </c>
      <c r="I92" s="193">
        <v>0</v>
      </c>
      <c r="J92" s="125">
        <f>ROUND(I92*Valores!$C$2,2)</f>
        <v>0</v>
      </c>
      <c r="K92" s="193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7344.94</v>
      </c>
      <c r="N92" s="125">
        <f t="shared" si="11"/>
        <v>0</v>
      </c>
      <c r="O92" s="125">
        <f>Valores!$C$9</f>
        <v>23959.59</v>
      </c>
      <c r="P92" s="125">
        <f>Valores!$D$5</f>
        <v>10949.29</v>
      </c>
      <c r="Q92" s="125">
        <f>Valores!$C$22</f>
        <v>9768.51</v>
      </c>
      <c r="R92" s="125">
        <f>IF($F$4="NO",Valores!$C$43,Valores!$C$43/2)</f>
        <v>3629.53</v>
      </c>
      <c r="S92" s="125">
        <f>Valores!$C$19</f>
        <v>10188.49</v>
      </c>
      <c r="T92" s="125">
        <f t="shared" si="17"/>
        <v>10188.49</v>
      </c>
      <c r="U92" s="125">
        <v>0</v>
      </c>
      <c r="V92" s="125">
        <v>0</v>
      </c>
      <c r="W92" s="193">
        <v>0</v>
      </c>
      <c r="X92" s="125">
        <f>ROUND(W92*Valores!$C$2,2)</f>
        <v>0</v>
      </c>
      <c r="Y92" s="125">
        <v>0</v>
      </c>
      <c r="Z92" s="125">
        <f>Valores!$C$90</f>
        <v>4899.43</v>
      </c>
      <c r="AA92" s="125">
        <f>Valores!$C$25</f>
        <v>447.83</v>
      </c>
      <c r="AB92" s="215">
        <v>0</v>
      </c>
      <c r="AC92" s="125">
        <f t="shared" si="12"/>
        <v>0</v>
      </c>
      <c r="AD92" s="125">
        <f>Valores!$C$26</f>
        <v>447.83</v>
      </c>
      <c r="AE92" s="193">
        <v>0</v>
      </c>
      <c r="AF92" s="125">
        <f>ROUND(AE92*Valores!$C$2,2)</f>
        <v>0</v>
      </c>
      <c r="AG92" s="125">
        <f>ROUND(IF($F$4="NO",Valores!$C$59,Valores!$C$59/2),2)</f>
        <v>3171.17</v>
      </c>
      <c r="AH92" s="125">
        <f t="shared" si="15"/>
        <v>109954.86</v>
      </c>
      <c r="AI92" s="125">
        <f>Valores!$C$31</f>
        <v>4980.08</v>
      </c>
      <c r="AJ92" s="125">
        <f>Valores!$C$83</f>
        <v>2275</v>
      </c>
      <c r="AK92" s="125">
        <f>Valores!C$38*B92</f>
        <v>0</v>
      </c>
      <c r="AL92" s="125">
        <f>IF($F$3="NO",0,Valores!$C$52)</f>
        <v>0</v>
      </c>
      <c r="AM92" s="125">
        <f t="shared" si="13"/>
        <v>7255.08</v>
      </c>
      <c r="AN92" s="125">
        <f>AH92*Valores!$C$67</f>
        <v>-12095.0346</v>
      </c>
      <c r="AO92" s="125">
        <f>AH92*-Valores!$C$68</f>
        <v>0</v>
      </c>
      <c r="AP92" s="125">
        <f>AH92*Valores!$C$69</f>
        <v>-4947.968699999999</v>
      </c>
      <c r="AQ92" s="125">
        <f>Valores!$C$96</f>
        <v>-280.91</v>
      </c>
      <c r="AR92" s="125">
        <f>IF($F$5=0,Valores!$C$97,(Valores!$C$97+$F$5*(Valores!$C$97)))</f>
        <v>-658</v>
      </c>
      <c r="AS92" s="125">
        <f t="shared" si="16"/>
        <v>99228.0267</v>
      </c>
      <c r="AT92" s="125">
        <f t="shared" si="10"/>
        <v>-12095.0346</v>
      </c>
      <c r="AU92" s="125">
        <f>AH92*Valores!$C$70</f>
        <v>-2968.78122</v>
      </c>
      <c r="AV92" s="125">
        <f>AH92*Valores!$C$71</f>
        <v>-329.86458</v>
      </c>
      <c r="AW92" s="125">
        <f t="shared" si="14"/>
        <v>101816.2596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3">
        <v>161</v>
      </c>
      <c r="F93" s="125">
        <f>ROUND(E93*Valores!$C$2,2)</f>
        <v>3448.43</v>
      </c>
      <c r="G93" s="193">
        <f>1480</f>
        <v>1480</v>
      </c>
      <c r="H93" s="125">
        <f>ROUND(G93*Valores!$C$2,2)</f>
        <v>31699.82</v>
      </c>
      <c r="I93" s="193">
        <v>0</v>
      </c>
      <c r="J93" s="125">
        <f>ROUND(I93*Valores!$C$2,2)</f>
        <v>0</v>
      </c>
      <c r="K93" s="193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7344.94</v>
      </c>
      <c r="N93" s="125">
        <f t="shared" si="11"/>
        <v>0</v>
      </c>
      <c r="O93" s="125">
        <f>Valores!$C$9</f>
        <v>23959.59</v>
      </c>
      <c r="P93" s="125">
        <f>Valores!$D$5</f>
        <v>10949.29</v>
      </c>
      <c r="Q93" s="125">
        <f>Valores!$C$22</f>
        <v>9768.51</v>
      </c>
      <c r="R93" s="125">
        <f>IF($F$4="NO",Valores!$C$43,Valores!$C$43/2)</f>
        <v>3629.53</v>
      </c>
      <c r="S93" s="125">
        <f>Valores!$C$19</f>
        <v>10188.49</v>
      </c>
      <c r="T93" s="125">
        <f t="shared" si="17"/>
        <v>10188.49</v>
      </c>
      <c r="U93" s="125">
        <v>0</v>
      </c>
      <c r="V93" s="125">
        <v>0</v>
      </c>
      <c r="W93" s="193">
        <v>0</v>
      </c>
      <c r="X93" s="125">
        <f>ROUND(W93*Valores!$C$2,2)</f>
        <v>0</v>
      </c>
      <c r="Y93" s="125">
        <v>0</v>
      </c>
      <c r="Z93" s="125">
        <f>Valores!$C$90</f>
        <v>4899.43</v>
      </c>
      <c r="AA93" s="125">
        <f>Valores!$C$25</f>
        <v>447.83</v>
      </c>
      <c r="AB93" s="215">
        <v>0</v>
      </c>
      <c r="AC93" s="125">
        <f t="shared" si="12"/>
        <v>0</v>
      </c>
      <c r="AD93" s="125">
        <f>Valores!$C$26</f>
        <v>447.83</v>
      </c>
      <c r="AE93" s="193">
        <v>19</v>
      </c>
      <c r="AF93" s="125">
        <f>ROUND(AE93*Valores!$C$2,2)</f>
        <v>406.96</v>
      </c>
      <c r="AG93" s="125">
        <f>ROUND(IF($F$4="NO",Valores!$C$59,Valores!$C$59/2),2)</f>
        <v>3171.17</v>
      </c>
      <c r="AH93" s="125">
        <f t="shared" si="15"/>
        <v>110361.82</v>
      </c>
      <c r="AI93" s="125">
        <f>Valores!$C$31</f>
        <v>4980.08</v>
      </c>
      <c r="AJ93" s="125">
        <f>Valores!$C$83</f>
        <v>2275</v>
      </c>
      <c r="AK93" s="125">
        <f>Valores!C$38*B93</f>
        <v>0</v>
      </c>
      <c r="AL93" s="125">
        <f>IF($F$3="NO",0,Valores!$C$52)</f>
        <v>0</v>
      </c>
      <c r="AM93" s="125">
        <f t="shared" si="13"/>
        <v>7255.08</v>
      </c>
      <c r="AN93" s="125">
        <f>AH93*Valores!$C$67</f>
        <v>-12139.800200000001</v>
      </c>
      <c r="AO93" s="125">
        <f>AH93*-Valores!$C$68</f>
        <v>0</v>
      </c>
      <c r="AP93" s="125">
        <f>AH93*Valores!$C$69</f>
        <v>-4966.2819</v>
      </c>
      <c r="AQ93" s="125">
        <f>Valores!$C$96</f>
        <v>-280.91</v>
      </c>
      <c r="AR93" s="125">
        <f>IF($F$5=0,Valores!$C$97,(Valores!$C$97+$F$5*(Valores!$C$97)))</f>
        <v>-658</v>
      </c>
      <c r="AS93" s="125">
        <f t="shared" si="16"/>
        <v>99571.9079</v>
      </c>
      <c r="AT93" s="125">
        <f t="shared" si="10"/>
        <v>-12139.800200000001</v>
      </c>
      <c r="AU93" s="125">
        <f>AH93*Valores!$C$70</f>
        <v>-2979.7691400000003</v>
      </c>
      <c r="AV93" s="125">
        <f>AH93*Valores!$C$71</f>
        <v>-331.08546</v>
      </c>
      <c r="AW93" s="125">
        <f t="shared" si="14"/>
        <v>102166.2452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3">
        <v>179</v>
      </c>
      <c r="F94" s="125">
        <f>ROUND(E94*Valores!$C$2,2)</f>
        <v>3833.97</v>
      </c>
      <c r="G94" s="193">
        <v>1712</v>
      </c>
      <c r="H94" s="125">
        <f>ROUND(G94*Valores!$C$2,2)</f>
        <v>36668.99</v>
      </c>
      <c r="I94" s="193">
        <v>0</v>
      </c>
      <c r="J94" s="125">
        <f>ROUND(I94*Valores!$C$2,2)</f>
        <v>0</v>
      </c>
      <c r="K94" s="193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8148.15</v>
      </c>
      <c r="N94" s="125">
        <f t="shared" si="11"/>
        <v>0</v>
      </c>
      <c r="O94" s="125">
        <f>Valores!$C$9</f>
        <v>23959.59</v>
      </c>
      <c r="P94" s="125">
        <f>Valores!$D$5</f>
        <v>10949.29</v>
      </c>
      <c r="Q94" s="125">
        <f>Valores!$C$22</f>
        <v>9768.51</v>
      </c>
      <c r="R94" s="125">
        <f>IF($F$4="NO",Valores!$C$43,Valores!$C$43/2)</f>
        <v>3629.53</v>
      </c>
      <c r="S94" s="125">
        <f>Valores!$C$19</f>
        <v>10188.49</v>
      </c>
      <c r="T94" s="125">
        <f t="shared" si="17"/>
        <v>10188.49</v>
      </c>
      <c r="U94" s="125">
        <v>0</v>
      </c>
      <c r="V94" s="125">
        <v>0</v>
      </c>
      <c r="W94" s="193">
        <v>0</v>
      </c>
      <c r="X94" s="125">
        <f>ROUND(W94*Valores!$C$2,2)</f>
        <v>0</v>
      </c>
      <c r="Y94" s="125">
        <v>0</v>
      </c>
      <c r="Z94" s="125">
        <f>Valores!$C$90</f>
        <v>4899.43</v>
      </c>
      <c r="AA94" s="125">
        <f>Valores!$C$25</f>
        <v>447.83</v>
      </c>
      <c r="AB94" s="215">
        <v>0</v>
      </c>
      <c r="AC94" s="125">
        <f t="shared" si="12"/>
        <v>0</v>
      </c>
      <c r="AD94" s="125">
        <f>Valores!$C$26</f>
        <v>447.83</v>
      </c>
      <c r="AE94" s="193">
        <v>0</v>
      </c>
      <c r="AF94" s="125">
        <f>ROUND(AE94*Valores!$C$2,2)</f>
        <v>0</v>
      </c>
      <c r="AG94" s="125">
        <f>ROUND(IF($F$4="NO",Valores!$C$59,Valores!$C$59/2),2)</f>
        <v>3171.17</v>
      </c>
      <c r="AH94" s="125">
        <f t="shared" si="15"/>
        <v>116112.77999999998</v>
      </c>
      <c r="AI94" s="125">
        <f>Valores!$C$31</f>
        <v>4980.08</v>
      </c>
      <c r="AJ94" s="125">
        <f>Valores!$C$83</f>
        <v>2275</v>
      </c>
      <c r="AK94" s="125">
        <f>Valores!C$38*B94</f>
        <v>0</v>
      </c>
      <c r="AL94" s="125">
        <f>IF($F$3="NO",0,Valores!$C$52)</f>
        <v>0</v>
      </c>
      <c r="AM94" s="125">
        <f t="shared" si="13"/>
        <v>7255.08</v>
      </c>
      <c r="AN94" s="125">
        <f>AH94*Valores!$C$67</f>
        <v>-12772.405799999999</v>
      </c>
      <c r="AO94" s="125">
        <f>AH94*-Valores!$C$68</f>
        <v>0</v>
      </c>
      <c r="AP94" s="125">
        <f>AH94*Valores!$C$69</f>
        <v>-5225.075099999999</v>
      </c>
      <c r="AQ94" s="125">
        <f>Valores!$C$96</f>
        <v>-280.91</v>
      </c>
      <c r="AR94" s="125">
        <f>IF($F$5=0,Valores!$C$97,(Valores!$C$97+$F$5*(Valores!$C$97)))</f>
        <v>-658</v>
      </c>
      <c r="AS94" s="125">
        <f t="shared" si="16"/>
        <v>104431.46909999999</v>
      </c>
      <c r="AT94" s="125">
        <f t="shared" si="10"/>
        <v>-12772.405799999999</v>
      </c>
      <c r="AU94" s="125">
        <f>AH94*Valores!$C$70</f>
        <v>-3135.0450599999995</v>
      </c>
      <c r="AV94" s="125">
        <f>AH94*Valores!$C$71</f>
        <v>-348.33833999999996</v>
      </c>
      <c r="AW94" s="125">
        <f t="shared" si="14"/>
        <v>107112.07079999999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3">
        <v>64</v>
      </c>
      <c r="F95" s="125">
        <f>ROUND(E95*Valores!$C$2,2)</f>
        <v>1370.8</v>
      </c>
      <c r="G95" s="193">
        <v>2086</v>
      </c>
      <c r="H95" s="125">
        <f>ROUND(G95*Valores!$C$2,2)</f>
        <v>44679.62</v>
      </c>
      <c r="I95" s="193">
        <v>0</v>
      </c>
      <c r="J95" s="125">
        <f>ROUND(I95*Valores!$C$2,2)</f>
        <v>0</v>
      </c>
      <c r="K95" s="193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8980.27</v>
      </c>
      <c r="N95" s="125">
        <f t="shared" si="11"/>
        <v>0</v>
      </c>
      <c r="O95" s="125">
        <f>Valores!$C$9</f>
        <v>23959.59</v>
      </c>
      <c r="P95" s="125">
        <f>Valores!$D$5</f>
        <v>10949.29</v>
      </c>
      <c r="Q95" s="125">
        <f>Valores!$C$22</f>
        <v>9768.51</v>
      </c>
      <c r="R95" s="125">
        <f>IF($F$4="NO",Valores!$C$43,Valores!$C$43/2)</f>
        <v>3629.53</v>
      </c>
      <c r="S95" s="125">
        <f>Valores!$C$19</f>
        <v>10188.49</v>
      </c>
      <c r="T95" s="125">
        <f t="shared" si="17"/>
        <v>10188.49</v>
      </c>
      <c r="U95" s="125">
        <v>0</v>
      </c>
      <c r="V95" s="125">
        <v>0</v>
      </c>
      <c r="W95" s="193">
        <v>0</v>
      </c>
      <c r="X95" s="125">
        <f>ROUND(W95*Valores!$C$2,2)</f>
        <v>0</v>
      </c>
      <c r="Y95" s="125">
        <v>0</v>
      </c>
      <c r="Z95" s="125">
        <f>Valores!$C$91</f>
        <v>5879.31</v>
      </c>
      <c r="AA95" s="125">
        <f>Valores!$C$25</f>
        <v>447.83</v>
      </c>
      <c r="AB95" s="215">
        <v>0</v>
      </c>
      <c r="AC95" s="125">
        <f t="shared" si="12"/>
        <v>0</v>
      </c>
      <c r="AD95" s="125">
        <f>Valores!$C$26</f>
        <v>447.83</v>
      </c>
      <c r="AE95" s="193">
        <v>0</v>
      </c>
      <c r="AF95" s="125">
        <f>ROUND(AE95*Valores!$C$2,2)</f>
        <v>0</v>
      </c>
      <c r="AG95" s="125">
        <f>ROUND(IF($F$4="NO",Valores!$C$59,Valores!$C$59/2),2)</f>
        <v>3171.17</v>
      </c>
      <c r="AH95" s="125">
        <f t="shared" si="15"/>
        <v>123472.24</v>
      </c>
      <c r="AI95" s="125">
        <f>Valores!$C$31</f>
        <v>4980.08</v>
      </c>
      <c r="AJ95" s="125">
        <f>Valores!$C$84</f>
        <v>2730</v>
      </c>
      <c r="AK95" s="125">
        <f>Valores!C$38*B95</f>
        <v>0</v>
      </c>
      <c r="AL95" s="125">
        <f>IF($F$3="NO",0,Valores!$C$52)</f>
        <v>0</v>
      </c>
      <c r="AM95" s="125">
        <f t="shared" si="13"/>
        <v>7710.08</v>
      </c>
      <c r="AN95" s="125">
        <f>AH95*Valores!$C$67</f>
        <v>-13581.9464</v>
      </c>
      <c r="AO95" s="125">
        <f>AH95*-Valores!$C$68</f>
        <v>0</v>
      </c>
      <c r="AP95" s="125">
        <f>AH95*Valores!$C$69</f>
        <v>-5556.2508</v>
      </c>
      <c r="AQ95" s="125">
        <f>Valores!$C$96</f>
        <v>-280.91</v>
      </c>
      <c r="AR95" s="125">
        <f>IF($F$5=0,Valores!$C$97,(Valores!$C$97+$F$5*(Valores!$C$97)))</f>
        <v>-658</v>
      </c>
      <c r="AS95" s="125">
        <f t="shared" si="16"/>
        <v>111105.21280000001</v>
      </c>
      <c r="AT95" s="125">
        <f t="shared" si="10"/>
        <v>-13581.9464</v>
      </c>
      <c r="AU95" s="125">
        <f>AH95*Valores!$C$70</f>
        <v>-3333.75048</v>
      </c>
      <c r="AV95" s="125">
        <f>AH95*Valores!$C$71</f>
        <v>-370.41672</v>
      </c>
      <c r="AW95" s="125">
        <f t="shared" si="14"/>
        <v>113896.20640000001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3">
        <v>89</v>
      </c>
      <c r="F96" s="125">
        <f>ROUND(E96*Valores!$C$2,2)</f>
        <v>1906.27</v>
      </c>
      <c r="G96" s="193">
        <v>2481</v>
      </c>
      <c r="H96" s="125">
        <f>ROUND(G96*Valores!$C$2,2)</f>
        <v>53140.04</v>
      </c>
      <c r="I96" s="193">
        <v>0</v>
      </c>
      <c r="J96" s="125">
        <f>ROUND(I96*Valores!$C$2,2)</f>
        <v>0</v>
      </c>
      <c r="K96" s="193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10329.65</v>
      </c>
      <c r="N96" s="125">
        <f t="shared" si="11"/>
        <v>0</v>
      </c>
      <c r="O96" s="125">
        <f>Valores!$C$8</f>
        <v>23890.21</v>
      </c>
      <c r="P96" s="125">
        <f>Valores!$D$5</f>
        <v>10949.29</v>
      </c>
      <c r="Q96" s="125">
        <v>0</v>
      </c>
      <c r="R96" s="125">
        <f>IF($F$4="NO",Valores!$C$43,Valores!$C$43/2)</f>
        <v>3629.53</v>
      </c>
      <c r="S96" s="125">
        <f>Valores!$C$19</f>
        <v>10188.49</v>
      </c>
      <c r="T96" s="125">
        <f t="shared" si="17"/>
        <v>10188.49</v>
      </c>
      <c r="U96" s="125">
        <v>0</v>
      </c>
      <c r="V96" s="125">
        <v>0</v>
      </c>
      <c r="W96" s="193">
        <v>0</v>
      </c>
      <c r="X96" s="125">
        <f>ROUND(W96*Valores!$C$2,2)</f>
        <v>0</v>
      </c>
      <c r="Y96" s="125">
        <v>0</v>
      </c>
      <c r="Z96" s="125">
        <f>Valores!$C$90</f>
        <v>4899.43</v>
      </c>
      <c r="AA96" s="125">
        <f>Valores!$C$25</f>
        <v>447.83</v>
      </c>
      <c r="AB96" s="215">
        <v>0</v>
      </c>
      <c r="AC96" s="125">
        <f t="shared" si="12"/>
        <v>0</v>
      </c>
      <c r="AD96" s="125">
        <f>Valores!$C$26</f>
        <v>447.83</v>
      </c>
      <c r="AE96" s="193">
        <v>0</v>
      </c>
      <c r="AF96" s="125">
        <f>ROUND(AE96*Valores!$C$2,2)</f>
        <v>0</v>
      </c>
      <c r="AG96" s="125">
        <f>ROUND(IF($F$4="NO",Valores!$C$59,Valores!$C$59/2),2)</f>
        <v>3171.17</v>
      </c>
      <c r="AH96" s="125">
        <f t="shared" si="15"/>
        <v>122999.74</v>
      </c>
      <c r="AI96" s="125">
        <f>Valores!$C$31</f>
        <v>4980.08</v>
      </c>
      <c r="AJ96" s="125">
        <f>Valores!$C$83</f>
        <v>2275</v>
      </c>
      <c r="AK96" s="125">
        <f>Valores!C$38*B96</f>
        <v>0</v>
      </c>
      <c r="AL96" s="125">
        <f>IF($F$3="NO",0,Valores!$C$52)</f>
        <v>0</v>
      </c>
      <c r="AM96" s="125">
        <f t="shared" si="13"/>
        <v>7255.08</v>
      </c>
      <c r="AN96" s="125">
        <f>AH96*Valores!$C$67</f>
        <v>-13529.9714</v>
      </c>
      <c r="AO96" s="125">
        <f>AH96*-Valores!$C$68</f>
        <v>0</v>
      </c>
      <c r="AP96" s="125">
        <f>AH96*Valores!$C$69</f>
        <v>-5534.9883</v>
      </c>
      <c r="AQ96" s="125">
        <f>Valores!$C$96</f>
        <v>-280.91</v>
      </c>
      <c r="AR96" s="125">
        <f>IF($F$5=0,Valores!$C$97,(Valores!$C$97+$F$5*(Valores!$C$97)))</f>
        <v>-658</v>
      </c>
      <c r="AS96" s="125">
        <f t="shared" si="16"/>
        <v>110250.9503</v>
      </c>
      <c r="AT96" s="125">
        <f t="shared" si="10"/>
        <v>-13529.9714</v>
      </c>
      <c r="AU96" s="125">
        <f>AH96*Valores!$C$70</f>
        <v>-3320.99298</v>
      </c>
      <c r="AV96" s="125">
        <f>AH96*Valores!$C$71</f>
        <v>-368.99922000000004</v>
      </c>
      <c r="AW96" s="125">
        <f t="shared" si="14"/>
        <v>113034.8564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3">
        <v>89</v>
      </c>
      <c r="F97" s="125">
        <f>ROUND(E97*Valores!$C$2,2)</f>
        <v>1906.27</v>
      </c>
      <c r="G97" s="193">
        <v>2381</v>
      </c>
      <c r="H97" s="125">
        <f>ROUND(G97*Valores!$C$2,2)</f>
        <v>50998.16</v>
      </c>
      <c r="I97" s="193">
        <v>0</v>
      </c>
      <c r="J97" s="125">
        <f>ROUND(I97*Valores!$C$2,2)</f>
        <v>0</v>
      </c>
      <c r="K97" s="193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10008.37</v>
      </c>
      <c r="N97" s="125">
        <f t="shared" si="11"/>
        <v>0</v>
      </c>
      <c r="O97" s="125">
        <f>Valores!$C$16</f>
        <v>18508.63</v>
      </c>
      <c r="P97" s="125">
        <f>Valores!$D$5</f>
        <v>10949.29</v>
      </c>
      <c r="Q97" s="125">
        <f>Valores!$C$22</f>
        <v>9768.51</v>
      </c>
      <c r="R97" s="125">
        <f>IF($F$4="NO",Valores!$C$43,Valores!$C$43/2)</f>
        <v>3629.53</v>
      </c>
      <c r="S97" s="125">
        <f>Valores!$C$19</f>
        <v>10188.49</v>
      </c>
      <c r="T97" s="125">
        <f t="shared" si="17"/>
        <v>10188.49</v>
      </c>
      <c r="U97" s="125">
        <v>0</v>
      </c>
      <c r="V97" s="125">
        <v>0</v>
      </c>
      <c r="W97" s="193">
        <v>0</v>
      </c>
      <c r="X97" s="125">
        <f>ROUND(W97*Valores!$C$2,2)</f>
        <v>0</v>
      </c>
      <c r="Y97" s="125">
        <v>0</v>
      </c>
      <c r="Z97" s="125">
        <f>Valores!$C$90</f>
        <v>4899.43</v>
      </c>
      <c r="AA97" s="125">
        <f>Valores!$C$25</f>
        <v>447.83</v>
      </c>
      <c r="AB97" s="215">
        <v>0</v>
      </c>
      <c r="AC97" s="125">
        <f t="shared" si="12"/>
        <v>0</v>
      </c>
      <c r="AD97" s="125">
        <f>Valores!$C$26</f>
        <v>447.83</v>
      </c>
      <c r="AE97" s="193">
        <v>0</v>
      </c>
      <c r="AF97" s="125">
        <f>ROUND(AE97*Valores!$C$2,2)</f>
        <v>0</v>
      </c>
      <c r="AG97" s="125">
        <f>ROUND(IF($F$4="NO",Valores!$C$59,Valores!$C$59/2),2)</f>
        <v>3171.17</v>
      </c>
      <c r="AH97" s="125">
        <f t="shared" si="15"/>
        <v>124923.51</v>
      </c>
      <c r="AI97" s="125">
        <f>Valores!$C$31</f>
        <v>4980.08</v>
      </c>
      <c r="AJ97" s="125">
        <f>Valores!$C$83</f>
        <v>2275</v>
      </c>
      <c r="AK97" s="125">
        <f>Valores!C$38*B97</f>
        <v>0</v>
      </c>
      <c r="AL97" s="125">
        <f>IF($F$3="NO",0,Valores!$C$52)</f>
        <v>0</v>
      </c>
      <c r="AM97" s="125">
        <f t="shared" si="13"/>
        <v>7255.08</v>
      </c>
      <c r="AN97" s="125">
        <f>AH97*Valores!$C$67</f>
        <v>-13741.586099999999</v>
      </c>
      <c r="AO97" s="125">
        <f>AH97*-Valores!$C$68</f>
        <v>0</v>
      </c>
      <c r="AP97" s="125">
        <f>AH97*Valores!$C$69</f>
        <v>-5621.557949999999</v>
      </c>
      <c r="AQ97" s="125">
        <f>Valores!$C$96</f>
        <v>-280.91</v>
      </c>
      <c r="AR97" s="125">
        <f>IF($F$5=0,Valores!$C$97,(Valores!$C$97+$F$5*(Valores!$C$97)))</f>
        <v>-658</v>
      </c>
      <c r="AS97" s="125">
        <f t="shared" si="16"/>
        <v>111876.53594999999</v>
      </c>
      <c r="AT97" s="125">
        <f t="shared" si="10"/>
        <v>-13741.586099999999</v>
      </c>
      <c r="AU97" s="125">
        <f>AH97*Valores!$C$70</f>
        <v>-3372.93477</v>
      </c>
      <c r="AV97" s="125">
        <f>AH97*Valores!$C$71</f>
        <v>-374.77053</v>
      </c>
      <c r="AW97" s="125">
        <f t="shared" si="14"/>
        <v>114689.2986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3">
        <v>89</v>
      </c>
      <c r="F98" s="125">
        <f>ROUND(E98*Valores!$C$2,2)</f>
        <v>1906.27</v>
      </c>
      <c r="G98" s="193">
        <v>1768</v>
      </c>
      <c r="H98" s="125">
        <f>ROUND(G98*Valores!$C$2,2)</f>
        <v>37868.44</v>
      </c>
      <c r="I98" s="193">
        <v>0</v>
      </c>
      <c r="J98" s="125">
        <f>ROUND(I98*Valores!$C$2,2)</f>
        <v>0</v>
      </c>
      <c r="K98" s="193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8038.91</v>
      </c>
      <c r="N98" s="125">
        <f t="shared" si="11"/>
        <v>0</v>
      </c>
      <c r="O98" s="125">
        <f>Valores!$C$16</f>
        <v>18508.63</v>
      </c>
      <c r="P98" s="125">
        <f>Valores!$D$5</f>
        <v>10949.29</v>
      </c>
      <c r="Q98" s="125">
        <f>Valores!$C$22</f>
        <v>9768.51</v>
      </c>
      <c r="R98" s="125">
        <f>IF($F$4="NO",Valores!$C$43,Valores!$C$43/2)</f>
        <v>3629.53</v>
      </c>
      <c r="S98" s="125">
        <f>Valores!$C$19</f>
        <v>10188.49</v>
      </c>
      <c r="T98" s="125">
        <f t="shared" si="17"/>
        <v>10188.49</v>
      </c>
      <c r="U98" s="125">
        <v>0</v>
      </c>
      <c r="V98" s="125">
        <v>0</v>
      </c>
      <c r="W98" s="193">
        <v>0</v>
      </c>
      <c r="X98" s="125">
        <f>ROUND(W98*Valores!$C$2,2)</f>
        <v>0</v>
      </c>
      <c r="Y98" s="125">
        <v>0</v>
      </c>
      <c r="Z98" s="125">
        <f>Valores!$C$90</f>
        <v>4899.43</v>
      </c>
      <c r="AA98" s="125">
        <f>Valores!$C$25</f>
        <v>447.83</v>
      </c>
      <c r="AB98" s="215">
        <v>0</v>
      </c>
      <c r="AC98" s="125">
        <f t="shared" si="12"/>
        <v>0</v>
      </c>
      <c r="AD98" s="125">
        <f>Valores!$C$26</f>
        <v>447.83</v>
      </c>
      <c r="AE98" s="193">
        <v>0</v>
      </c>
      <c r="AF98" s="125">
        <f>ROUND(AE98*Valores!$C$2,2)</f>
        <v>0</v>
      </c>
      <c r="AG98" s="125">
        <f>ROUND(IF($F$4="NO",Valores!$C$59,Valores!$C$59/2),2)</f>
        <v>3171.17</v>
      </c>
      <c r="AH98" s="125">
        <f t="shared" si="15"/>
        <v>109824.33</v>
      </c>
      <c r="AI98" s="125">
        <f>Valores!$C$31</f>
        <v>4980.08</v>
      </c>
      <c r="AJ98" s="125">
        <f>Valores!$C$83</f>
        <v>2275</v>
      </c>
      <c r="AK98" s="125">
        <f>Valores!C$38*B98</f>
        <v>0</v>
      </c>
      <c r="AL98" s="125">
        <f>IF($F$3="NO",0,Valores!$C$52)</f>
        <v>0</v>
      </c>
      <c r="AM98" s="125">
        <f t="shared" si="13"/>
        <v>7255.08</v>
      </c>
      <c r="AN98" s="125">
        <f>AH98*Valores!$C$67</f>
        <v>-12080.676300000001</v>
      </c>
      <c r="AO98" s="125">
        <f>AH98*-Valores!$C$68</f>
        <v>0</v>
      </c>
      <c r="AP98" s="125">
        <f>AH98*Valores!$C$69</f>
        <v>-4942.0948499999995</v>
      </c>
      <c r="AQ98" s="125">
        <f>Valores!$C$96</f>
        <v>-280.91</v>
      </c>
      <c r="AR98" s="125">
        <f>IF($F$5=0,Valores!$C$97,(Valores!$C$97+$F$5*(Valores!$C$97)))</f>
        <v>-658</v>
      </c>
      <c r="AS98" s="125">
        <f t="shared" si="16"/>
        <v>99117.72885</v>
      </c>
      <c r="AT98" s="125">
        <f t="shared" si="10"/>
        <v>-12080.676300000001</v>
      </c>
      <c r="AU98" s="125">
        <f>AH98*Valores!$C$70</f>
        <v>-2965.25691</v>
      </c>
      <c r="AV98" s="125">
        <f>AH98*Valores!$C$71</f>
        <v>-329.47299000000004</v>
      </c>
      <c r="AW98" s="125">
        <f t="shared" si="14"/>
        <v>101704.0038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3">
        <v>89</v>
      </c>
      <c r="F99" s="125">
        <f>ROUND(E99*Valores!$C$2,2)</f>
        <v>1906.27</v>
      </c>
      <c r="G99" s="193">
        <v>1768</v>
      </c>
      <c r="H99" s="125">
        <f>ROUND(G99*Valores!$C$2,2)</f>
        <v>37868.44</v>
      </c>
      <c r="I99" s="193">
        <v>0</v>
      </c>
      <c r="J99" s="125">
        <f>ROUND(I99*Valores!$C$2,2)</f>
        <v>0</v>
      </c>
      <c r="K99" s="193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8038.91</v>
      </c>
      <c r="N99" s="125">
        <f t="shared" si="11"/>
        <v>0</v>
      </c>
      <c r="O99" s="125">
        <f>Valores!$C$8</f>
        <v>23890.21</v>
      </c>
      <c r="P99" s="125">
        <f>Valores!$D$5</f>
        <v>10949.29</v>
      </c>
      <c r="Q99" s="125">
        <f>Valores!$C$22</f>
        <v>9768.51</v>
      </c>
      <c r="R99" s="125">
        <f>IF($F$4="NO",Valores!$C$43,Valores!$C$43/2)</f>
        <v>3629.53</v>
      </c>
      <c r="S99" s="125">
        <f>Valores!$C$19</f>
        <v>10188.49</v>
      </c>
      <c r="T99" s="125">
        <f t="shared" si="17"/>
        <v>10188.49</v>
      </c>
      <c r="U99" s="125">
        <v>0</v>
      </c>
      <c r="V99" s="125">
        <v>0</v>
      </c>
      <c r="W99" s="193">
        <v>0</v>
      </c>
      <c r="X99" s="125">
        <f>ROUND(W99*Valores!$C$2,2)</f>
        <v>0</v>
      </c>
      <c r="Y99" s="125">
        <v>0</v>
      </c>
      <c r="Z99" s="125">
        <f>Valores!$C$90</f>
        <v>4899.43</v>
      </c>
      <c r="AA99" s="125">
        <f>Valores!$C$25</f>
        <v>447.83</v>
      </c>
      <c r="AB99" s="215">
        <v>0</v>
      </c>
      <c r="AC99" s="125">
        <f t="shared" si="12"/>
        <v>0</v>
      </c>
      <c r="AD99" s="125">
        <f>Valores!$C$26</f>
        <v>447.83</v>
      </c>
      <c r="AE99" s="193">
        <v>0</v>
      </c>
      <c r="AF99" s="125">
        <f>ROUND(AE99*Valores!$C$2,2)</f>
        <v>0</v>
      </c>
      <c r="AG99" s="125">
        <f>ROUND(IF($F$4="NO",Valores!$C$59,Valores!$C$59/2),2)</f>
        <v>3171.17</v>
      </c>
      <c r="AH99" s="125">
        <f t="shared" si="15"/>
        <v>115205.90999999999</v>
      </c>
      <c r="AI99" s="125">
        <f>Valores!$C$31</f>
        <v>4980.08</v>
      </c>
      <c r="AJ99" s="125">
        <f>Valores!$C$83</f>
        <v>2275</v>
      </c>
      <c r="AK99" s="125">
        <f>Valores!C$38*B99</f>
        <v>0</v>
      </c>
      <c r="AL99" s="125">
        <f>IF($F$3="NO",0,Valores!$C$52)</f>
        <v>0</v>
      </c>
      <c r="AM99" s="125">
        <f t="shared" si="13"/>
        <v>7255.08</v>
      </c>
      <c r="AN99" s="125">
        <f>AH99*Valores!$C$67</f>
        <v>-12672.650099999999</v>
      </c>
      <c r="AO99" s="125">
        <f>AH99*-Valores!$C$68</f>
        <v>0</v>
      </c>
      <c r="AP99" s="125">
        <f>AH99*Valores!$C$69</f>
        <v>-5184.265949999999</v>
      </c>
      <c r="AQ99" s="125">
        <f>Valores!$C$96</f>
        <v>-280.91</v>
      </c>
      <c r="AR99" s="125">
        <f>IF($F$5=0,Valores!$C$97,(Valores!$C$97+$F$5*(Valores!$C$97)))</f>
        <v>-658</v>
      </c>
      <c r="AS99" s="125">
        <f t="shared" si="16"/>
        <v>103665.16394999999</v>
      </c>
      <c r="AT99" s="125">
        <f t="shared" si="10"/>
        <v>-12672.650099999999</v>
      </c>
      <c r="AU99" s="125">
        <f>AH99*Valores!$C$70</f>
        <v>-3110.5595699999994</v>
      </c>
      <c r="AV99" s="125">
        <f>AH99*Valores!$C$71</f>
        <v>-345.61773</v>
      </c>
      <c r="AW99" s="125">
        <f t="shared" si="14"/>
        <v>106332.1626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3">
        <v>89</v>
      </c>
      <c r="F100" s="125">
        <f>ROUND(E100*Valores!$C$2,2)</f>
        <v>1906.27</v>
      </c>
      <c r="G100" s="193">
        <v>2211</v>
      </c>
      <c r="H100" s="125">
        <f>ROUND(G100*Valores!$C$2,2)</f>
        <v>47356.97</v>
      </c>
      <c r="I100" s="193">
        <v>0</v>
      </c>
      <c r="J100" s="125">
        <f>ROUND(I100*Valores!$C$2,2)</f>
        <v>0</v>
      </c>
      <c r="K100" s="193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9462.19</v>
      </c>
      <c r="N100" s="125">
        <f t="shared" si="11"/>
        <v>0</v>
      </c>
      <c r="O100" s="125">
        <f>Valores!$C$8</f>
        <v>23890.21</v>
      </c>
      <c r="P100" s="125">
        <f>Valores!$D$5</f>
        <v>10949.29</v>
      </c>
      <c r="Q100" s="125">
        <f>Valores!$C$22</f>
        <v>9768.51</v>
      </c>
      <c r="R100" s="125">
        <f>IF($F$4="NO",Valores!$C$43,Valores!$C$43/2)</f>
        <v>3629.53</v>
      </c>
      <c r="S100" s="125">
        <f>Valores!$C$19</f>
        <v>10188.49</v>
      </c>
      <c r="T100" s="125">
        <f t="shared" si="17"/>
        <v>10188.49</v>
      </c>
      <c r="U100" s="125">
        <v>0</v>
      </c>
      <c r="V100" s="125">
        <v>0</v>
      </c>
      <c r="W100" s="193">
        <v>0</v>
      </c>
      <c r="X100" s="125">
        <f>ROUND(W100*Valores!$C$2,2)</f>
        <v>0</v>
      </c>
      <c r="Y100" s="125">
        <v>0</v>
      </c>
      <c r="Z100" s="125">
        <f>Valores!$C$90</f>
        <v>4899.43</v>
      </c>
      <c r="AA100" s="125">
        <f>Valores!$C$25</f>
        <v>447.83</v>
      </c>
      <c r="AB100" s="215">
        <v>0</v>
      </c>
      <c r="AC100" s="125">
        <f t="shared" si="12"/>
        <v>0</v>
      </c>
      <c r="AD100" s="125">
        <f>Valores!$C$26</f>
        <v>447.83</v>
      </c>
      <c r="AE100" s="193">
        <v>0</v>
      </c>
      <c r="AF100" s="125">
        <f>ROUND(AE100*Valores!$C$2,2)</f>
        <v>0</v>
      </c>
      <c r="AG100" s="125">
        <f>ROUND(IF($F$4="NO",Valores!$C$59,Valores!$C$59/2),2)</f>
        <v>3171.17</v>
      </c>
      <c r="AH100" s="125">
        <f t="shared" si="15"/>
        <v>126117.71999999999</v>
      </c>
      <c r="AI100" s="125">
        <f>Valores!$C$31</f>
        <v>4980.08</v>
      </c>
      <c r="AJ100" s="125">
        <f>Valores!$C$83</f>
        <v>2275</v>
      </c>
      <c r="AK100" s="125">
        <f>Valores!C$38*B100</f>
        <v>0</v>
      </c>
      <c r="AL100" s="125">
        <f>IF($F$3="NO",0,Valores!$C$52)</f>
        <v>0</v>
      </c>
      <c r="AM100" s="125">
        <f t="shared" si="13"/>
        <v>7255.08</v>
      </c>
      <c r="AN100" s="125">
        <f>AH100*Valores!$C$67</f>
        <v>-13872.9492</v>
      </c>
      <c r="AO100" s="125">
        <f>AH100*-Valores!$C$68</f>
        <v>0</v>
      </c>
      <c r="AP100" s="125">
        <f>AH100*Valores!$C$69</f>
        <v>-5675.2973999999995</v>
      </c>
      <c r="AQ100" s="125">
        <f>Valores!$C$96</f>
        <v>-280.91</v>
      </c>
      <c r="AR100" s="125">
        <f>IF($F$5=0,Valores!$C$97,(Valores!$C$97+$F$5*(Valores!$C$97)))</f>
        <v>-658</v>
      </c>
      <c r="AS100" s="125">
        <f t="shared" si="16"/>
        <v>112885.64339999999</v>
      </c>
      <c r="AT100" s="125">
        <f t="shared" si="10"/>
        <v>-13872.9492</v>
      </c>
      <c r="AU100" s="125">
        <f>AH100*Valores!$C$70</f>
        <v>-3405.1784399999997</v>
      </c>
      <c r="AV100" s="125">
        <f>AH100*Valores!$C$71</f>
        <v>-378.35315999999995</v>
      </c>
      <c r="AW100" s="125">
        <f t="shared" si="14"/>
        <v>115716.3192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3">
        <v>89</v>
      </c>
      <c r="F101" s="125">
        <f>ROUND(E101*Valores!$C$2,2)</f>
        <v>1906.27</v>
      </c>
      <c r="G101" s="193">
        <v>1956</v>
      </c>
      <c r="H101" s="125">
        <f>ROUND(G101*Valores!$C$2,2)</f>
        <v>41895.17</v>
      </c>
      <c r="I101" s="193">
        <v>0</v>
      </c>
      <c r="J101" s="125">
        <f>ROUND(I101*Valores!$C$2,2)</f>
        <v>0</v>
      </c>
      <c r="K101" s="193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8642.92</v>
      </c>
      <c r="N101" s="125">
        <f t="shared" si="11"/>
        <v>0</v>
      </c>
      <c r="O101" s="125">
        <f>Valores!$C$16</f>
        <v>18508.63</v>
      </c>
      <c r="P101" s="125">
        <f>Valores!$D$5</f>
        <v>10949.29</v>
      </c>
      <c r="Q101" s="125">
        <v>0</v>
      </c>
      <c r="R101" s="125">
        <f>IF($F$4="NO",Valores!$C$43,Valores!$C$43/2)</f>
        <v>3629.53</v>
      </c>
      <c r="S101" s="125">
        <f>Valores!$C$19</f>
        <v>10188.49</v>
      </c>
      <c r="T101" s="125">
        <f t="shared" si="17"/>
        <v>10188.49</v>
      </c>
      <c r="U101" s="125">
        <v>0</v>
      </c>
      <c r="V101" s="125">
        <v>0</v>
      </c>
      <c r="W101" s="193">
        <v>0</v>
      </c>
      <c r="X101" s="125">
        <f>ROUND(W101*Valores!$C$2,2)</f>
        <v>0</v>
      </c>
      <c r="Y101" s="125">
        <v>0</v>
      </c>
      <c r="Z101" s="125">
        <f>Valores!$C$90</f>
        <v>4899.43</v>
      </c>
      <c r="AA101" s="125">
        <f>Valores!$C$25</f>
        <v>447.83</v>
      </c>
      <c r="AB101" s="215">
        <v>0</v>
      </c>
      <c r="AC101" s="125">
        <f t="shared" si="12"/>
        <v>0</v>
      </c>
      <c r="AD101" s="125">
        <f>Valores!$C$26</f>
        <v>447.83</v>
      </c>
      <c r="AE101" s="193">
        <v>0</v>
      </c>
      <c r="AF101" s="125">
        <f>ROUND(AE101*Valores!$C$2,2)</f>
        <v>0</v>
      </c>
      <c r="AG101" s="125">
        <f>ROUND(IF($F$4="NO",Valores!$C$59,Valores!$C$59/2),2)</f>
        <v>3171.17</v>
      </c>
      <c r="AH101" s="125">
        <f t="shared" si="15"/>
        <v>104686.56000000001</v>
      </c>
      <c r="AI101" s="125">
        <f>Valores!$C$31</f>
        <v>4980.08</v>
      </c>
      <c r="AJ101" s="125">
        <f>Valores!$C$83</f>
        <v>2275</v>
      </c>
      <c r="AK101" s="125">
        <f>Valores!C$38*B101</f>
        <v>0</v>
      </c>
      <c r="AL101" s="125">
        <f>IF($F$3="NO",0,Valores!$C$52)</f>
        <v>0</v>
      </c>
      <c r="AM101" s="125">
        <f t="shared" si="13"/>
        <v>7255.08</v>
      </c>
      <c r="AN101" s="125">
        <f>AH101*Valores!$C$67</f>
        <v>-11515.521600000002</v>
      </c>
      <c r="AO101" s="125">
        <f>AH101*-Valores!$C$68</f>
        <v>0</v>
      </c>
      <c r="AP101" s="125">
        <f>AH101*Valores!$C$69</f>
        <v>-4710.8952</v>
      </c>
      <c r="AQ101" s="125">
        <f>Valores!$C$96</f>
        <v>-280.91</v>
      </c>
      <c r="AR101" s="125">
        <f>IF($F$5=0,Valores!$C$97,(Valores!$C$97+$F$5*(Valores!$C$97)))</f>
        <v>-658</v>
      </c>
      <c r="AS101" s="125">
        <f t="shared" si="16"/>
        <v>94776.3132</v>
      </c>
      <c r="AT101" s="125">
        <f t="shared" si="10"/>
        <v>-11515.521600000002</v>
      </c>
      <c r="AU101" s="125">
        <f>AH101*Valores!$C$70</f>
        <v>-2826.5371200000004</v>
      </c>
      <c r="AV101" s="125">
        <f>AH101*Valores!$C$71</f>
        <v>-314.05968000000007</v>
      </c>
      <c r="AW101" s="125">
        <f t="shared" si="14"/>
        <v>97285.52160000001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3">
        <v>89</v>
      </c>
      <c r="F102" s="125">
        <f>ROUND(E102*Valores!$C$2,2)</f>
        <v>1906.27</v>
      </c>
      <c r="G102" s="193">
        <v>1267</v>
      </c>
      <c r="H102" s="125">
        <f>ROUND(G102*Valores!$C$2,2)</f>
        <v>27137.62</v>
      </c>
      <c r="I102" s="193">
        <v>0</v>
      </c>
      <c r="J102" s="125">
        <f>ROUND(I102*Valores!$C$2,2)</f>
        <v>0</v>
      </c>
      <c r="K102" s="193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6429.29</v>
      </c>
      <c r="N102" s="125">
        <f t="shared" si="11"/>
        <v>0</v>
      </c>
      <c r="O102" s="125">
        <f>Valores!$C$16</f>
        <v>18508.63</v>
      </c>
      <c r="P102" s="125">
        <f>Valores!$D$5</f>
        <v>10949.29</v>
      </c>
      <c r="Q102" s="125">
        <v>0</v>
      </c>
      <c r="R102" s="125">
        <f>IF($F$4="NO",Valores!$C$43,Valores!$C$43/2)</f>
        <v>3629.53</v>
      </c>
      <c r="S102" s="125">
        <f>Valores!$C$19</f>
        <v>10188.49</v>
      </c>
      <c r="T102" s="125">
        <f t="shared" si="17"/>
        <v>10188.49</v>
      </c>
      <c r="U102" s="125">
        <v>0</v>
      </c>
      <c r="V102" s="125">
        <v>0</v>
      </c>
      <c r="W102" s="193">
        <v>0</v>
      </c>
      <c r="X102" s="125">
        <f>ROUND(W102*Valores!$C$2,2)</f>
        <v>0</v>
      </c>
      <c r="Y102" s="125">
        <v>0</v>
      </c>
      <c r="Z102" s="125">
        <f>Valores!$C$90</f>
        <v>4899.43</v>
      </c>
      <c r="AA102" s="125">
        <f>Valores!$C$25</f>
        <v>447.83</v>
      </c>
      <c r="AB102" s="215">
        <v>0</v>
      </c>
      <c r="AC102" s="125">
        <f t="shared" si="12"/>
        <v>0</v>
      </c>
      <c r="AD102" s="125">
        <f>Valores!$C$26</f>
        <v>447.83</v>
      </c>
      <c r="AE102" s="193">
        <v>0</v>
      </c>
      <c r="AF102" s="125">
        <f>ROUND(AE102*Valores!$C$2,2)</f>
        <v>0</v>
      </c>
      <c r="AG102" s="125">
        <f>ROUND(IF($F$4="NO",Valores!$C$59,Valores!$C$59/2),2)</f>
        <v>3171.17</v>
      </c>
      <c r="AH102" s="125">
        <f t="shared" si="15"/>
        <v>87715.38000000002</v>
      </c>
      <c r="AI102" s="125">
        <f>Valores!$C$31</f>
        <v>4980.08</v>
      </c>
      <c r="AJ102" s="125">
        <f>Valores!$C$83</f>
        <v>2275</v>
      </c>
      <c r="AK102" s="125">
        <f>Valores!C$38*B102</f>
        <v>0</v>
      </c>
      <c r="AL102" s="125">
        <f>IF($F$3="NO",0,Valores!$C$52)</f>
        <v>0</v>
      </c>
      <c r="AM102" s="125">
        <f t="shared" si="13"/>
        <v>7255.08</v>
      </c>
      <c r="AN102" s="125">
        <f>AH102*Valores!$C$67</f>
        <v>-9648.691800000002</v>
      </c>
      <c r="AO102" s="125">
        <f>AH102*-Valores!$C$68</f>
        <v>0</v>
      </c>
      <c r="AP102" s="125">
        <f>AH102*Valores!$C$69</f>
        <v>-3947.1921000000007</v>
      </c>
      <c r="AQ102" s="125">
        <f>Valores!$C$96</f>
        <v>-280.91</v>
      </c>
      <c r="AR102" s="125">
        <f>IF($F$5=0,Valores!$C$97,(Valores!$C$97+$F$5*(Valores!$C$97)))</f>
        <v>-658</v>
      </c>
      <c r="AS102" s="125">
        <f t="shared" si="16"/>
        <v>80435.66610000002</v>
      </c>
      <c r="AT102" s="125">
        <f t="shared" si="10"/>
        <v>-9648.691800000002</v>
      </c>
      <c r="AU102" s="125">
        <f>AH102*Valores!$C$70</f>
        <v>-2368.3152600000003</v>
      </c>
      <c r="AV102" s="125">
        <f>AH102*Valores!$C$71</f>
        <v>-263.14614000000006</v>
      </c>
      <c r="AW102" s="125">
        <f t="shared" si="14"/>
        <v>82690.30680000002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3">
        <v>67</v>
      </c>
      <c r="F103" s="125">
        <f>ROUND(E103*Valores!$C$2,2)</f>
        <v>1435.06</v>
      </c>
      <c r="G103" s="193">
        <v>2108</v>
      </c>
      <c r="H103" s="125">
        <f>ROUND(G103*Valores!$C$2,2)</f>
        <v>45150.83</v>
      </c>
      <c r="I103" s="193">
        <v>0</v>
      </c>
      <c r="J103" s="125">
        <f>ROUND(I103*Valores!$C$2,2)</f>
        <v>0</v>
      </c>
      <c r="K103" s="193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8916.41</v>
      </c>
      <c r="N103" s="125">
        <f t="shared" si="11"/>
        <v>0</v>
      </c>
      <c r="O103" s="125">
        <f>Valores!$C$14</f>
        <v>20008.63</v>
      </c>
      <c r="P103" s="125">
        <f>Valores!$D$5</f>
        <v>10949.29</v>
      </c>
      <c r="Q103" s="125">
        <v>0</v>
      </c>
      <c r="R103" s="125">
        <f>IF($F$4="NO",Valores!$C$41,Valores!$C$41/2)</f>
        <v>2772.49</v>
      </c>
      <c r="S103" s="125">
        <f>Valores!$C$20</f>
        <v>10084.32</v>
      </c>
      <c r="T103" s="125">
        <f t="shared" si="17"/>
        <v>10084.32</v>
      </c>
      <c r="U103" s="125">
        <v>0</v>
      </c>
      <c r="V103" s="125">
        <v>0</v>
      </c>
      <c r="W103" s="193">
        <v>0</v>
      </c>
      <c r="X103" s="125">
        <f>ROUND(W103*Valores!$C$2,2)</f>
        <v>0</v>
      </c>
      <c r="Y103" s="125">
        <v>0</v>
      </c>
      <c r="Z103" s="125">
        <f>Valores!$C$90</f>
        <v>4899.43</v>
      </c>
      <c r="AA103" s="125">
        <f>Valores!$C$25</f>
        <v>447.83</v>
      </c>
      <c r="AB103" s="215">
        <v>0</v>
      </c>
      <c r="AC103" s="125">
        <f t="shared" si="12"/>
        <v>0</v>
      </c>
      <c r="AD103" s="125">
        <f>Valores!$C$26</f>
        <v>447.83</v>
      </c>
      <c r="AE103" s="193">
        <v>0</v>
      </c>
      <c r="AF103" s="125">
        <f>ROUND(AE103*Valores!$C$2,2)</f>
        <v>0</v>
      </c>
      <c r="AG103" s="125">
        <f>ROUND(IF($F$4="NO",Valores!$C$59,Valores!$C$59/2),2)</f>
        <v>3171.17</v>
      </c>
      <c r="AH103" s="125">
        <f t="shared" si="15"/>
        <v>108283.29</v>
      </c>
      <c r="AI103" s="125">
        <f>Valores!$C$31</f>
        <v>4980.08</v>
      </c>
      <c r="AJ103" s="125">
        <f>Valores!$C$83</f>
        <v>2275</v>
      </c>
      <c r="AK103" s="125">
        <f>Valores!C$38*B103</f>
        <v>0</v>
      </c>
      <c r="AL103" s="125">
        <f>IF($F$3="NO",0,Valores!$C$52)</f>
        <v>0</v>
      </c>
      <c r="AM103" s="125">
        <f t="shared" si="13"/>
        <v>7255.08</v>
      </c>
      <c r="AN103" s="125">
        <f>AH103*Valores!$C$67</f>
        <v>-11911.1619</v>
      </c>
      <c r="AO103" s="125">
        <f>AH103*-Valores!$C$68</f>
        <v>0</v>
      </c>
      <c r="AP103" s="125">
        <f>AH103*Valores!$C$69</f>
        <v>-4872.748049999999</v>
      </c>
      <c r="AQ103" s="125">
        <f>Valores!$C$96</f>
        <v>-280.91</v>
      </c>
      <c r="AR103" s="125">
        <f>IF($F$5=0,Valores!$C$97,(Valores!$C$97+$F$5*(Valores!$C$97)))</f>
        <v>-658</v>
      </c>
      <c r="AS103" s="125">
        <f t="shared" si="16"/>
        <v>97815.55004999999</v>
      </c>
      <c r="AT103" s="125">
        <f t="shared" si="10"/>
        <v>-11911.1619</v>
      </c>
      <c r="AU103" s="125">
        <f>AH103*Valores!$C$70</f>
        <v>-2923.6488299999996</v>
      </c>
      <c r="AV103" s="125">
        <f>AH103*Valores!$C$71</f>
        <v>-324.84987</v>
      </c>
      <c r="AW103" s="125">
        <f t="shared" si="14"/>
        <v>100378.70939999999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3">
        <v>45</v>
      </c>
      <c r="F104" s="125">
        <f>ROUND(E104*Valores!$C$2,2)</f>
        <v>963.85</v>
      </c>
      <c r="G104" s="193">
        <v>1502</v>
      </c>
      <c r="H104" s="125">
        <f>ROUND(G104*Valores!$C$2,2)</f>
        <v>32171.04</v>
      </c>
      <c r="I104" s="193">
        <v>0</v>
      </c>
      <c r="J104" s="125">
        <f>ROUND(I104*Valores!$C$2,2)</f>
        <v>0</v>
      </c>
      <c r="K104" s="193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6898.76</v>
      </c>
      <c r="N104" s="125">
        <f t="shared" si="11"/>
        <v>0</v>
      </c>
      <c r="O104" s="125">
        <f>Valores!$C$14</f>
        <v>20008.63</v>
      </c>
      <c r="P104" s="125">
        <f>Valores!$D$5</f>
        <v>10949.29</v>
      </c>
      <c r="Q104" s="125">
        <v>0</v>
      </c>
      <c r="R104" s="125">
        <f>IF($F$4="NO",Valores!$C$41,Valores!$C$41/2)</f>
        <v>2772.49</v>
      </c>
      <c r="S104" s="125">
        <f>Valores!$C$20</f>
        <v>10084.32</v>
      </c>
      <c r="T104" s="125">
        <f t="shared" si="17"/>
        <v>10084.32</v>
      </c>
      <c r="U104" s="125">
        <v>0</v>
      </c>
      <c r="V104" s="125">
        <v>0</v>
      </c>
      <c r="W104" s="193">
        <v>0</v>
      </c>
      <c r="X104" s="125">
        <f>ROUND(W104*Valores!$C$2,2)</f>
        <v>0</v>
      </c>
      <c r="Y104" s="125">
        <v>0</v>
      </c>
      <c r="Z104" s="125">
        <f>Valores!$C$90</f>
        <v>4899.43</v>
      </c>
      <c r="AA104" s="125">
        <f>Valores!$C$25</f>
        <v>447.83</v>
      </c>
      <c r="AB104" s="215">
        <v>0</v>
      </c>
      <c r="AC104" s="125">
        <f t="shared" si="12"/>
        <v>0</v>
      </c>
      <c r="AD104" s="125">
        <f>Valores!$C$26</f>
        <v>447.83</v>
      </c>
      <c r="AE104" s="193">
        <v>0</v>
      </c>
      <c r="AF104" s="125">
        <f>ROUND(AE104*Valores!$C$2,2)</f>
        <v>0</v>
      </c>
      <c r="AG104" s="125">
        <f>ROUND(IF($F$4="NO",Valores!$C$59,Valores!$C$59/2),2)</f>
        <v>3171.17</v>
      </c>
      <c r="AH104" s="125">
        <f t="shared" si="15"/>
        <v>92814.64</v>
      </c>
      <c r="AI104" s="125">
        <f>Valores!$C$31</f>
        <v>4980.08</v>
      </c>
      <c r="AJ104" s="125">
        <f>Valores!$C$83</f>
        <v>2275</v>
      </c>
      <c r="AK104" s="125">
        <f>Valores!C$38*B104</f>
        <v>0</v>
      </c>
      <c r="AL104" s="125">
        <f>IF($F$3="NO",0,Valores!$C$52)</f>
        <v>0</v>
      </c>
      <c r="AM104" s="125">
        <f t="shared" si="13"/>
        <v>7255.08</v>
      </c>
      <c r="AN104" s="125">
        <f>AH104*Valores!$C$67</f>
        <v>-10209.6104</v>
      </c>
      <c r="AO104" s="125">
        <f>AH104*-Valores!$C$68</f>
        <v>0</v>
      </c>
      <c r="AP104" s="125">
        <f>AH104*Valores!$C$69</f>
        <v>-4176.6588</v>
      </c>
      <c r="AQ104" s="125">
        <f>Valores!$C$96</f>
        <v>-280.91</v>
      </c>
      <c r="AR104" s="125">
        <f>IF($F$5=0,Valores!$C$97,(Valores!$C$97+$F$5*(Valores!$C$97)))</f>
        <v>-658</v>
      </c>
      <c r="AS104" s="125">
        <f t="shared" si="16"/>
        <v>84744.5408</v>
      </c>
      <c r="AT104" s="125">
        <f t="shared" si="10"/>
        <v>-10209.6104</v>
      </c>
      <c r="AU104" s="125">
        <f>AH104*Valores!$C$70</f>
        <v>-2505.99528</v>
      </c>
      <c r="AV104" s="125">
        <f>AH104*Valores!$C$71</f>
        <v>-278.44392</v>
      </c>
      <c r="AW104" s="125">
        <f t="shared" si="14"/>
        <v>87075.6704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3">
        <v>61</v>
      </c>
      <c r="F105" s="125">
        <f>ROUND(E105*Valores!$C$2,2)</f>
        <v>1306.55</v>
      </c>
      <c r="G105" s="193">
        <v>2114</v>
      </c>
      <c r="H105" s="125">
        <f>ROUND(G105*Valores!$C$2,2)</f>
        <v>45279.34</v>
      </c>
      <c r="I105" s="193">
        <v>0</v>
      </c>
      <c r="J105" s="125">
        <f>ROUND(I105*Valores!$C$2,2)</f>
        <v>0</v>
      </c>
      <c r="K105" s="193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8916.41</v>
      </c>
      <c r="N105" s="125">
        <f t="shared" si="11"/>
        <v>0</v>
      </c>
      <c r="O105" s="125">
        <f>Valores!$C$14</f>
        <v>20008.63</v>
      </c>
      <c r="P105" s="125">
        <f>Valores!$D$5</f>
        <v>10949.29</v>
      </c>
      <c r="Q105" s="125">
        <v>0</v>
      </c>
      <c r="R105" s="125">
        <f>IF($F$4="NO",Valores!$C$41,Valores!$C$41/2)</f>
        <v>2772.49</v>
      </c>
      <c r="S105" s="125">
        <f>Valores!$C$20</f>
        <v>10084.32</v>
      </c>
      <c r="T105" s="125">
        <f t="shared" si="17"/>
        <v>10084.32</v>
      </c>
      <c r="U105" s="125">
        <v>0</v>
      </c>
      <c r="V105" s="125">
        <v>0</v>
      </c>
      <c r="W105" s="193">
        <v>0</v>
      </c>
      <c r="X105" s="125">
        <f>ROUND(W105*Valores!$C$2,2)</f>
        <v>0</v>
      </c>
      <c r="Y105" s="125">
        <v>0</v>
      </c>
      <c r="Z105" s="125">
        <f>Valores!$C$90</f>
        <v>4899.43</v>
      </c>
      <c r="AA105" s="125">
        <f>Valores!$C$25</f>
        <v>447.83</v>
      </c>
      <c r="AB105" s="215">
        <v>0</v>
      </c>
      <c r="AC105" s="125">
        <f t="shared" si="12"/>
        <v>0</v>
      </c>
      <c r="AD105" s="125">
        <f>Valores!$C$26</f>
        <v>447.83</v>
      </c>
      <c r="AE105" s="193">
        <v>0</v>
      </c>
      <c r="AF105" s="125">
        <f>ROUND(AE105*Valores!$C$2,2)</f>
        <v>0</v>
      </c>
      <c r="AG105" s="125">
        <f>ROUND(IF($F$4="NO",Valores!$C$59,Valores!$C$59/2),2)</f>
        <v>3171.17</v>
      </c>
      <c r="AH105" s="125">
        <f t="shared" si="15"/>
        <v>108283.29</v>
      </c>
      <c r="AI105" s="125">
        <f>Valores!$C$31</f>
        <v>4980.08</v>
      </c>
      <c r="AJ105" s="125">
        <f>Valores!$C$83</f>
        <v>2275</v>
      </c>
      <c r="AK105" s="125">
        <f>Valores!C$38*B105</f>
        <v>0</v>
      </c>
      <c r="AL105" s="125">
        <f>IF($F$3="NO",0,Valores!$C$52)</f>
        <v>0</v>
      </c>
      <c r="AM105" s="125">
        <f t="shared" si="13"/>
        <v>7255.08</v>
      </c>
      <c r="AN105" s="125">
        <f>AH105*Valores!$C$67</f>
        <v>-11911.1619</v>
      </c>
      <c r="AO105" s="125">
        <f>AH105*-Valores!$C$68</f>
        <v>0</v>
      </c>
      <c r="AP105" s="125">
        <f>AH105*Valores!$C$69</f>
        <v>-4872.748049999999</v>
      </c>
      <c r="AQ105" s="125">
        <f>Valores!$C$96</f>
        <v>-280.91</v>
      </c>
      <c r="AR105" s="125">
        <f>IF($F$5=0,Valores!$C$97,(Valores!$C$97+$F$5*(Valores!$C$97)))</f>
        <v>-658</v>
      </c>
      <c r="AS105" s="125">
        <f t="shared" si="16"/>
        <v>97815.55004999999</v>
      </c>
      <c r="AT105" s="125">
        <f t="shared" si="10"/>
        <v>-11911.1619</v>
      </c>
      <c r="AU105" s="125">
        <f>AH105*Valores!$C$70</f>
        <v>-2923.6488299999996</v>
      </c>
      <c r="AV105" s="125">
        <f>AH105*Valores!$C$71</f>
        <v>-324.84987</v>
      </c>
      <c r="AW105" s="125">
        <f t="shared" si="14"/>
        <v>100378.70939999999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3">
        <v>59</v>
      </c>
      <c r="F106" s="125">
        <f>ROUND(E106*Valores!$C$2,2)</f>
        <v>1263.71</v>
      </c>
      <c r="G106" s="193">
        <v>2013</v>
      </c>
      <c r="H106" s="125">
        <f>ROUND(G106*Valores!$C$2,2)</f>
        <v>43116.04</v>
      </c>
      <c r="I106" s="193">
        <v>0</v>
      </c>
      <c r="J106" s="125">
        <f>ROUND(I106*Valores!$C$2,2)</f>
        <v>0</v>
      </c>
      <c r="K106" s="193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8585.48</v>
      </c>
      <c r="N106" s="125">
        <f t="shared" si="11"/>
        <v>0</v>
      </c>
      <c r="O106" s="125">
        <f>Valores!$C$14</f>
        <v>20008.63</v>
      </c>
      <c r="P106" s="125">
        <f>Valores!$D$5</f>
        <v>10949.29</v>
      </c>
      <c r="Q106" s="125">
        <v>0</v>
      </c>
      <c r="R106" s="125">
        <f>IF($F$4="NO",Valores!$C$41,Valores!$C$41/2)</f>
        <v>2772.49</v>
      </c>
      <c r="S106" s="125">
        <f>Valores!$C$20</f>
        <v>10084.32</v>
      </c>
      <c r="T106" s="125">
        <f t="shared" si="17"/>
        <v>10084.32</v>
      </c>
      <c r="U106" s="125">
        <v>0</v>
      </c>
      <c r="V106" s="125">
        <v>0</v>
      </c>
      <c r="W106" s="193">
        <v>0</v>
      </c>
      <c r="X106" s="125">
        <f>ROUND(W106*Valores!$C$2,2)</f>
        <v>0</v>
      </c>
      <c r="Y106" s="125">
        <v>0</v>
      </c>
      <c r="Z106" s="125">
        <f>Valores!$C$90</f>
        <v>4899.43</v>
      </c>
      <c r="AA106" s="125">
        <f>Valores!$C$25</f>
        <v>447.83</v>
      </c>
      <c r="AB106" s="215">
        <v>0</v>
      </c>
      <c r="AC106" s="125">
        <f t="shared" si="12"/>
        <v>0</v>
      </c>
      <c r="AD106" s="125">
        <f>Valores!$C$26</f>
        <v>447.83</v>
      </c>
      <c r="AE106" s="193">
        <v>0</v>
      </c>
      <c r="AF106" s="125">
        <f>ROUND(AE106*Valores!$C$2,2)</f>
        <v>0</v>
      </c>
      <c r="AG106" s="125">
        <f>ROUND(IF($F$4="NO",Valores!$C$59,Valores!$C$59/2),2)</f>
        <v>3171.17</v>
      </c>
      <c r="AH106" s="125">
        <f t="shared" si="15"/>
        <v>105746.21999999999</v>
      </c>
      <c r="AI106" s="125">
        <f>Valores!$C$31</f>
        <v>4980.08</v>
      </c>
      <c r="AJ106" s="125">
        <f>Valores!$C$83</f>
        <v>2275</v>
      </c>
      <c r="AK106" s="125">
        <f>Valores!C$38*B106</f>
        <v>0</v>
      </c>
      <c r="AL106" s="125">
        <f>IF($F$3="NO",0,Valores!$C$52)</f>
        <v>0</v>
      </c>
      <c r="AM106" s="125">
        <f t="shared" si="13"/>
        <v>7255.08</v>
      </c>
      <c r="AN106" s="125">
        <f>AH106*Valores!$C$67</f>
        <v>-11632.0842</v>
      </c>
      <c r="AO106" s="125">
        <f>AH106*-Valores!$C$68</f>
        <v>0</v>
      </c>
      <c r="AP106" s="125">
        <f>AH106*Valores!$C$69</f>
        <v>-4758.579899999999</v>
      </c>
      <c r="AQ106" s="125">
        <f>Valores!$C$96</f>
        <v>-280.91</v>
      </c>
      <c r="AR106" s="125">
        <f>IF($F$5=0,Valores!$C$97,(Valores!$C$97+$F$5*(Valores!$C$97)))</f>
        <v>-658</v>
      </c>
      <c r="AS106" s="125">
        <f t="shared" si="16"/>
        <v>95671.72589999999</v>
      </c>
      <c r="AT106" s="125">
        <f t="shared" si="10"/>
        <v>-11632.0842</v>
      </c>
      <c r="AU106" s="125">
        <f>AH106*Valores!$C$70</f>
        <v>-2855.1479399999994</v>
      </c>
      <c r="AV106" s="125">
        <f>AH106*Valores!$C$71</f>
        <v>-317.23866</v>
      </c>
      <c r="AW106" s="125">
        <f t="shared" si="14"/>
        <v>98196.8292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3">
        <v>56</v>
      </c>
      <c r="F107" s="125">
        <f>ROUND(E107*Valores!$C$2,2)</f>
        <v>1199.45</v>
      </c>
      <c r="G107" s="193">
        <v>1720</v>
      </c>
      <c r="H107" s="125">
        <f>ROUND(G107*Valores!$C$2,2)</f>
        <v>36840.34</v>
      </c>
      <c r="I107" s="193">
        <v>0</v>
      </c>
      <c r="J107" s="125">
        <f>ROUND(I107*Valores!$C$2,2)</f>
        <v>0</v>
      </c>
      <c r="K107" s="193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7634.49</v>
      </c>
      <c r="N107" s="125">
        <f t="shared" si="11"/>
        <v>0</v>
      </c>
      <c r="O107" s="125">
        <f>Valores!$C$14</f>
        <v>20008.63</v>
      </c>
      <c r="P107" s="125">
        <f>Valores!$D$5</f>
        <v>10949.29</v>
      </c>
      <c r="Q107" s="125">
        <v>0</v>
      </c>
      <c r="R107" s="125">
        <f>IF($F$4="NO",Valores!$C$41,Valores!$C$41/2)</f>
        <v>2772.49</v>
      </c>
      <c r="S107" s="125">
        <f>Valores!$C$20</f>
        <v>10084.32</v>
      </c>
      <c r="T107" s="125">
        <f t="shared" si="17"/>
        <v>10084.32</v>
      </c>
      <c r="U107" s="125">
        <v>0</v>
      </c>
      <c r="V107" s="125">
        <v>0</v>
      </c>
      <c r="W107" s="193">
        <v>0</v>
      </c>
      <c r="X107" s="125">
        <f>ROUND(W107*Valores!$C$2,2)</f>
        <v>0</v>
      </c>
      <c r="Y107" s="125">
        <v>0</v>
      </c>
      <c r="Z107" s="125">
        <f>Valores!$C$90</f>
        <v>4899.43</v>
      </c>
      <c r="AA107" s="125">
        <f>Valores!$C$25</f>
        <v>447.83</v>
      </c>
      <c r="AB107" s="215">
        <v>0</v>
      </c>
      <c r="AC107" s="125">
        <f t="shared" si="12"/>
        <v>0</v>
      </c>
      <c r="AD107" s="125">
        <f>Valores!$C$26</f>
        <v>447.83</v>
      </c>
      <c r="AE107" s="193">
        <v>0</v>
      </c>
      <c r="AF107" s="125">
        <f>ROUND(AE107*Valores!$C$2,2)</f>
        <v>0</v>
      </c>
      <c r="AG107" s="125">
        <f>ROUND(IF($F$4="NO",Valores!$C$59,Valores!$C$59/2),2)</f>
        <v>3171.17</v>
      </c>
      <c r="AH107" s="125">
        <f t="shared" si="15"/>
        <v>98455.26999999997</v>
      </c>
      <c r="AI107" s="125">
        <f>Valores!$C$31</f>
        <v>4980.08</v>
      </c>
      <c r="AJ107" s="125">
        <f>Valores!$C$83</f>
        <v>2275</v>
      </c>
      <c r="AK107" s="125">
        <f>Valores!C$38*B107</f>
        <v>0</v>
      </c>
      <c r="AL107" s="125">
        <f>IF($F$3="NO",0,Valores!$C$52)</f>
        <v>0</v>
      </c>
      <c r="AM107" s="125">
        <f t="shared" si="13"/>
        <v>7255.08</v>
      </c>
      <c r="AN107" s="125">
        <f>AH107*Valores!$C$67</f>
        <v>-10830.079699999997</v>
      </c>
      <c r="AO107" s="125">
        <f>AH107*-Valores!$C$68</f>
        <v>0</v>
      </c>
      <c r="AP107" s="125">
        <f>AH107*Valores!$C$69</f>
        <v>-4430.487149999999</v>
      </c>
      <c r="AQ107" s="125">
        <f>Valores!$C$96</f>
        <v>-280.91</v>
      </c>
      <c r="AR107" s="125">
        <f>IF($F$5=0,Valores!$C$97,(Valores!$C$97+$F$5*(Valores!$C$97)))</f>
        <v>-658</v>
      </c>
      <c r="AS107" s="125">
        <f t="shared" si="16"/>
        <v>89510.87314999998</v>
      </c>
      <c r="AT107" s="125">
        <f t="shared" si="10"/>
        <v>-10830.079699999997</v>
      </c>
      <c r="AU107" s="125">
        <f>AH107*Valores!$C$70</f>
        <v>-2658.2922899999994</v>
      </c>
      <c r="AV107" s="125">
        <f>AH107*Valores!$C$71</f>
        <v>-295.36580999999995</v>
      </c>
      <c r="AW107" s="125">
        <f t="shared" si="14"/>
        <v>91926.61219999997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3">
        <v>45</v>
      </c>
      <c r="F108" s="125">
        <f>ROUND(E108*Valores!$C$2,2)</f>
        <v>963.85</v>
      </c>
      <c r="G108" s="193">
        <v>1502</v>
      </c>
      <c r="H108" s="125">
        <f>ROUND(G108*Valores!$C$2,2)</f>
        <v>32171.04</v>
      </c>
      <c r="I108" s="193">
        <v>0</v>
      </c>
      <c r="J108" s="125">
        <f>ROUND(I108*Valores!$C$2,2)</f>
        <v>0</v>
      </c>
      <c r="K108" s="193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6898.76</v>
      </c>
      <c r="N108" s="125">
        <f t="shared" si="11"/>
        <v>0</v>
      </c>
      <c r="O108" s="125">
        <f>Valores!$C$14</f>
        <v>20008.63</v>
      </c>
      <c r="P108" s="125">
        <f>Valores!$D$5</f>
        <v>10949.29</v>
      </c>
      <c r="Q108" s="125">
        <v>0</v>
      </c>
      <c r="R108" s="125">
        <f>IF($F$4="NO",Valores!$C$41,Valores!$C$41/2)</f>
        <v>2772.49</v>
      </c>
      <c r="S108" s="125">
        <f>Valores!$C$20</f>
        <v>10084.32</v>
      </c>
      <c r="T108" s="125">
        <f t="shared" si="17"/>
        <v>10084.32</v>
      </c>
      <c r="U108" s="125">
        <v>0</v>
      </c>
      <c r="V108" s="125">
        <v>0</v>
      </c>
      <c r="W108" s="193">
        <v>0</v>
      </c>
      <c r="X108" s="125">
        <f>ROUND(W108*Valores!$C$2,2)</f>
        <v>0</v>
      </c>
      <c r="Y108" s="125">
        <v>0</v>
      </c>
      <c r="Z108" s="125">
        <f>Valores!$C$90</f>
        <v>4899.43</v>
      </c>
      <c r="AA108" s="125">
        <f>Valores!$C$25</f>
        <v>447.83</v>
      </c>
      <c r="AB108" s="215">
        <v>0</v>
      </c>
      <c r="AC108" s="125">
        <f t="shared" si="12"/>
        <v>0</v>
      </c>
      <c r="AD108" s="125">
        <f>Valores!$C$26</f>
        <v>447.83</v>
      </c>
      <c r="AE108" s="193">
        <v>0</v>
      </c>
      <c r="AF108" s="125">
        <f>ROUND(AE108*Valores!$C$2,2)</f>
        <v>0</v>
      </c>
      <c r="AG108" s="125">
        <f>ROUND(IF($F$4="NO",Valores!$C$59,Valores!$C$59/2),2)</f>
        <v>3171.17</v>
      </c>
      <c r="AH108" s="125">
        <f t="shared" si="15"/>
        <v>92814.64</v>
      </c>
      <c r="AI108" s="125">
        <f>Valores!$C$31</f>
        <v>4980.08</v>
      </c>
      <c r="AJ108" s="125">
        <f>Valores!$C$83</f>
        <v>2275</v>
      </c>
      <c r="AK108" s="125">
        <f>Valores!C$38*B108</f>
        <v>0</v>
      </c>
      <c r="AL108" s="125">
        <f>IF($F$3="NO",0,Valores!$C$52)</f>
        <v>0</v>
      </c>
      <c r="AM108" s="125">
        <f t="shared" si="13"/>
        <v>7255.08</v>
      </c>
      <c r="AN108" s="125">
        <f>AH108*Valores!$C$67</f>
        <v>-10209.6104</v>
      </c>
      <c r="AO108" s="125">
        <f>AH108*-Valores!$C$68</f>
        <v>0</v>
      </c>
      <c r="AP108" s="125">
        <f>AH108*Valores!$C$69</f>
        <v>-4176.6588</v>
      </c>
      <c r="AQ108" s="125">
        <f>Valores!$C$96</f>
        <v>-280.91</v>
      </c>
      <c r="AR108" s="125">
        <f>IF($F$5=0,Valores!$C$97,(Valores!$C$97+$F$5*(Valores!$C$97)))</f>
        <v>-658</v>
      </c>
      <c r="AS108" s="125">
        <f t="shared" si="16"/>
        <v>84744.5408</v>
      </c>
      <c r="AT108" s="125">
        <f t="shared" si="10"/>
        <v>-10209.6104</v>
      </c>
      <c r="AU108" s="125">
        <f>AH108*Valores!$C$70</f>
        <v>-2505.99528</v>
      </c>
      <c r="AV108" s="125">
        <f>AH108*Valores!$C$71</f>
        <v>-278.44392</v>
      </c>
      <c r="AW108" s="125">
        <f t="shared" si="14"/>
        <v>87075.6704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3">
        <v>45</v>
      </c>
      <c r="F109" s="125">
        <f>ROUND(E109*Valores!$C$2,2)</f>
        <v>963.85</v>
      </c>
      <c r="G109" s="193">
        <v>1139</v>
      </c>
      <c r="H109" s="125">
        <f>ROUND(G109*Valores!$C$2,2)</f>
        <v>24396.01</v>
      </c>
      <c r="I109" s="193">
        <v>0</v>
      </c>
      <c r="J109" s="125">
        <f>ROUND(I109*Valores!$C$2,2)</f>
        <v>0</v>
      </c>
      <c r="K109" s="193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5732.5</v>
      </c>
      <c r="N109" s="125">
        <f t="shared" si="11"/>
        <v>0</v>
      </c>
      <c r="O109" s="125">
        <f>Valores!$C$14</f>
        <v>20008.63</v>
      </c>
      <c r="P109" s="125">
        <f>Valores!$D$5</f>
        <v>10949.29</v>
      </c>
      <c r="Q109" s="125">
        <v>0</v>
      </c>
      <c r="R109" s="125">
        <f>IF($F$4="NO",Valores!$C$41,Valores!$C$41/2)</f>
        <v>2772.49</v>
      </c>
      <c r="S109" s="125">
        <f>Valores!$C$20</f>
        <v>10084.32</v>
      </c>
      <c r="T109" s="125">
        <f t="shared" si="17"/>
        <v>10084.32</v>
      </c>
      <c r="U109" s="125">
        <v>0</v>
      </c>
      <c r="V109" s="125">
        <v>0</v>
      </c>
      <c r="W109" s="193">
        <v>0</v>
      </c>
      <c r="X109" s="125">
        <f>ROUND(W109*Valores!$C$2,2)</f>
        <v>0</v>
      </c>
      <c r="Y109" s="125">
        <v>0</v>
      </c>
      <c r="Z109" s="125">
        <f>Valores!$C$90</f>
        <v>4899.43</v>
      </c>
      <c r="AA109" s="125">
        <f>Valores!$C$25</f>
        <v>447.83</v>
      </c>
      <c r="AB109" s="215">
        <v>0</v>
      </c>
      <c r="AC109" s="125">
        <f t="shared" si="12"/>
        <v>0</v>
      </c>
      <c r="AD109" s="125">
        <f>Valores!$C$26</f>
        <v>447.83</v>
      </c>
      <c r="AE109" s="193">
        <v>0</v>
      </c>
      <c r="AF109" s="125">
        <f>ROUND(AE109*Valores!$C$2,2)</f>
        <v>0</v>
      </c>
      <c r="AG109" s="125">
        <f>ROUND(IF($F$4="NO",Valores!$C$59,Valores!$C$59/2),2)</f>
        <v>3171.17</v>
      </c>
      <c r="AH109" s="125">
        <f t="shared" si="15"/>
        <v>83873.34999999999</v>
      </c>
      <c r="AI109" s="125">
        <f>Valores!$C$31</f>
        <v>4980.08</v>
      </c>
      <c r="AJ109" s="125">
        <f>Valores!$C$83</f>
        <v>2275</v>
      </c>
      <c r="AK109" s="125">
        <f>Valores!C$38*B109</f>
        <v>0</v>
      </c>
      <c r="AL109" s="125">
        <f>IF($F$3="NO",0,Valores!$C$52)</f>
        <v>0</v>
      </c>
      <c r="AM109" s="125">
        <f t="shared" si="13"/>
        <v>7255.08</v>
      </c>
      <c r="AN109" s="125">
        <f>AH109*Valores!$C$67</f>
        <v>-9226.0685</v>
      </c>
      <c r="AO109" s="125">
        <f>AH109*-Valores!$C$68</f>
        <v>0</v>
      </c>
      <c r="AP109" s="125">
        <f>AH109*Valores!$C$69</f>
        <v>-3774.3007499999994</v>
      </c>
      <c r="AQ109" s="125">
        <f>Valores!$C$96</f>
        <v>-280.91</v>
      </c>
      <c r="AR109" s="125">
        <f>IF($F$5=0,Valores!$C$97,(Valores!$C$97+$F$5*(Valores!$C$97)))</f>
        <v>-658</v>
      </c>
      <c r="AS109" s="125">
        <f t="shared" si="16"/>
        <v>77189.15074999999</v>
      </c>
      <c r="AT109" s="125">
        <f t="shared" si="10"/>
        <v>-9226.0685</v>
      </c>
      <c r="AU109" s="125">
        <f>AH109*Valores!$C$70</f>
        <v>-2264.58045</v>
      </c>
      <c r="AV109" s="125">
        <f>AH109*Valores!$C$71</f>
        <v>-251.62005</v>
      </c>
      <c r="AW109" s="125">
        <f t="shared" si="14"/>
        <v>79386.161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3">
        <v>46</v>
      </c>
      <c r="F110" s="125">
        <f>ROUND(E110*Valores!$C$2,2)</f>
        <v>985.26</v>
      </c>
      <c r="G110" s="193">
        <v>1102</v>
      </c>
      <c r="H110" s="125">
        <f>ROUND(G110*Valores!$C$2,2)</f>
        <v>23603.52</v>
      </c>
      <c r="I110" s="193">
        <v>0</v>
      </c>
      <c r="J110" s="125">
        <f>ROUND(I110*Valores!$C$2,2)</f>
        <v>0</v>
      </c>
      <c r="K110" s="193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5616.84</v>
      </c>
      <c r="N110" s="125">
        <f t="shared" si="11"/>
        <v>0</v>
      </c>
      <c r="O110" s="125">
        <f>Valores!$C$14</f>
        <v>20008.63</v>
      </c>
      <c r="P110" s="125">
        <f>Valores!$D$5</f>
        <v>10949.29</v>
      </c>
      <c r="Q110" s="125">
        <v>0</v>
      </c>
      <c r="R110" s="125">
        <f>IF($F$4="NO",Valores!$C$41,Valores!$C$41/2)</f>
        <v>2772.49</v>
      </c>
      <c r="S110" s="125">
        <f>Valores!$C$20</f>
        <v>10084.32</v>
      </c>
      <c r="T110" s="125">
        <f t="shared" si="17"/>
        <v>10084.32</v>
      </c>
      <c r="U110" s="125">
        <v>0</v>
      </c>
      <c r="V110" s="125">
        <v>0</v>
      </c>
      <c r="W110" s="193">
        <v>0</v>
      </c>
      <c r="X110" s="125">
        <f>ROUND(W110*Valores!$C$2,2)</f>
        <v>0</v>
      </c>
      <c r="Y110" s="125">
        <v>0</v>
      </c>
      <c r="Z110" s="125">
        <f>Valores!$C$90</f>
        <v>4899.43</v>
      </c>
      <c r="AA110" s="125">
        <f>Valores!$C$25</f>
        <v>447.83</v>
      </c>
      <c r="AB110" s="215">
        <v>0</v>
      </c>
      <c r="AC110" s="125">
        <f t="shared" si="12"/>
        <v>0</v>
      </c>
      <c r="AD110" s="125">
        <f>Valores!$C$26</f>
        <v>447.83</v>
      </c>
      <c r="AE110" s="193">
        <v>0</v>
      </c>
      <c r="AF110" s="125">
        <f>ROUND(AE110*Valores!$C$2,2)</f>
        <v>0</v>
      </c>
      <c r="AG110" s="125">
        <f>ROUND(IF($F$4="NO",Valores!$C$59,Valores!$C$59/2),2)</f>
        <v>3171.17</v>
      </c>
      <c r="AH110" s="125">
        <f t="shared" si="15"/>
        <v>82986.61</v>
      </c>
      <c r="AI110" s="125">
        <f>Valores!$C$31</f>
        <v>4980.08</v>
      </c>
      <c r="AJ110" s="125">
        <f>Valores!$C$83</f>
        <v>2275</v>
      </c>
      <c r="AK110" s="125">
        <f>Valores!C$38*B110</f>
        <v>0</v>
      </c>
      <c r="AL110" s="125">
        <f>IF($F$3="NO",0,Valores!$C$52)</f>
        <v>0</v>
      </c>
      <c r="AM110" s="125">
        <f t="shared" si="13"/>
        <v>7255.08</v>
      </c>
      <c r="AN110" s="125">
        <f>AH110*Valores!$C$67</f>
        <v>-9128.5271</v>
      </c>
      <c r="AO110" s="125">
        <f>AH110*-Valores!$C$68</f>
        <v>0</v>
      </c>
      <c r="AP110" s="125">
        <f>AH110*Valores!$C$69</f>
        <v>-3734.39745</v>
      </c>
      <c r="AQ110" s="125">
        <f>Valores!$C$96</f>
        <v>-280.91</v>
      </c>
      <c r="AR110" s="125">
        <f>IF($F$5=0,Valores!$C$97,(Valores!$C$97+$F$5*(Valores!$C$97)))</f>
        <v>-658</v>
      </c>
      <c r="AS110" s="125">
        <f t="shared" si="16"/>
        <v>76439.85545</v>
      </c>
      <c r="AT110" s="125">
        <f t="shared" si="10"/>
        <v>-9128.5271</v>
      </c>
      <c r="AU110" s="125">
        <f>AH110*Valores!$C$70</f>
        <v>-2240.63847</v>
      </c>
      <c r="AV110" s="125">
        <f>AH110*Valores!$C$71</f>
        <v>-248.95983</v>
      </c>
      <c r="AW110" s="125">
        <f t="shared" si="14"/>
        <v>78623.5646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3">
        <v>66</v>
      </c>
      <c r="F111" s="125">
        <f>ROUND(E111*Valores!$C$2,2)</f>
        <v>1413.64</v>
      </c>
      <c r="G111" s="193">
        <v>1911</v>
      </c>
      <c r="H111" s="125">
        <f>ROUND(G111*Valores!$C$2,2)</f>
        <v>40931.33</v>
      </c>
      <c r="I111" s="193">
        <v>0</v>
      </c>
      <c r="J111" s="125">
        <f>ROUND(I111*Valores!$C$2,2)</f>
        <v>0</v>
      </c>
      <c r="K111" s="193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8280.27</v>
      </c>
      <c r="N111" s="125">
        <f t="shared" si="11"/>
        <v>0</v>
      </c>
      <c r="O111" s="125">
        <f>Valores!$C$14</f>
        <v>20008.63</v>
      </c>
      <c r="P111" s="125">
        <f>Valores!$D$5</f>
        <v>10949.29</v>
      </c>
      <c r="Q111" s="125">
        <f>Valores!$C$22</f>
        <v>9768.51</v>
      </c>
      <c r="R111" s="125">
        <f>IF($F$4="NO",Valores!$C$41,Valores!$C$41/2)</f>
        <v>2772.49</v>
      </c>
      <c r="S111" s="125">
        <f>Valores!$C$20</f>
        <v>10084.32</v>
      </c>
      <c r="T111" s="125">
        <f t="shared" si="17"/>
        <v>10084.32</v>
      </c>
      <c r="U111" s="125">
        <v>0</v>
      </c>
      <c r="V111" s="125">
        <v>0</v>
      </c>
      <c r="W111" s="193">
        <v>0</v>
      </c>
      <c r="X111" s="125">
        <f>ROUND(W111*Valores!$C$2,2)</f>
        <v>0</v>
      </c>
      <c r="Y111" s="125">
        <v>0</v>
      </c>
      <c r="Z111" s="125">
        <f>Valores!$C$90</f>
        <v>4899.43</v>
      </c>
      <c r="AA111" s="125">
        <f>Valores!$C$25</f>
        <v>447.83</v>
      </c>
      <c r="AB111" s="215">
        <v>0</v>
      </c>
      <c r="AC111" s="125">
        <f t="shared" si="12"/>
        <v>0</v>
      </c>
      <c r="AD111" s="125">
        <f>Valores!$C$26</f>
        <v>447.83</v>
      </c>
      <c r="AE111" s="193">
        <v>94</v>
      </c>
      <c r="AF111" s="125">
        <f>ROUND(AE111*Valores!$C$2,2)</f>
        <v>2013.37</v>
      </c>
      <c r="AG111" s="125">
        <f>ROUND(IF($F$4="NO",Valores!$C$59,Valores!$C$59/2),2)</f>
        <v>3171.17</v>
      </c>
      <c r="AH111" s="125">
        <f t="shared" si="15"/>
        <v>115188.11</v>
      </c>
      <c r="AI111" s="125">
        <f>Valores!$C$31</f>
        <v>4980.08</v>
      </c>
      <c r="AJ111" s="125">
        <f>Valores!$C$83</f>
        <v>2275</v>
      </c>
      <c r="AK111" s="125">
        <f>Valores!C$38*B111</f>
        <v>0</v>
      </c>
      <c r="AL111" s="125">
        <f>IF($F$3="NO",0,Valores!$C$52)</f>
        <v>0</v>
      </c>
      <c r="AM111" s="125">
        <f t="shared" si="13"/>
        <v>7255.08</v>
      </c>
      <c r="AN111" s="125">
        <f>AH111*Valores!$C$67</f>
        <v>-12670.6921</v>
      </c>
      <c r="AO111" s="125">
        <f>AH111*-Valores!$C$68</f>
        <v>0</v>
      </c>
      <c r="AP111" s="125">
        <f>AH111*Valores!$C$69</f>
        <v>-5183.46495</v>
      </c>
      <c r="AQ111" s="125">
        <f>Valores!$C$96</f>
        <v>-280.91</v>
      </c>
      <c r="AR111" s="125">
        <f>IF($F$5=0,Valores!$C$97,(Valores!$C$97+$F$5*(Valores!$C$97)))</f>
        <v>-658</v>
      </c>
      <c r="AS111" s="125">
        <f t="shared" si="16"/>
        <v>103650.12295</v>
      </c>
      <c r="AT111" s="125">
        <f t="shared" si="10"/>
        <v>-12670.6921</v>
      </c>
      <c r="AU111" s="125">
        <f>AH111*Valores!$C$70</f>
        <v>-3110.07897</v>
      </c>
      <c r="AV111" s="125">
        <f>AH111*Valores!$C$71</f>
        <v>-345.56433</v>
      </c>
      <c r="AW111" s="125">
        <f t="shared" si="14"/>
        <v>106316.8546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3">
        <v>61</v>
      </c>
      <c r="F112" s="125">
        <f>ROUND(E112*Valores!$C$2,2)</f>
        <v>1306.55</v>
      </c>
      <c r="G112" s="193">
        <v>1545</v>
      </c>
      <c r="H112" s="125">
        <f>ROUND(G112*Valores!$C$2,2)</f>
        <v>33092.05</v>
      </c>
      <c r="I112" s="193">
        <v>0</v>
      </c>
      <c r="J112" s="125">
        <f>ROUND(I112*Valores!$C$2,2)</f>
        <v>0</v>
      </c>
      <c r="K112" s="193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7088.31</v>
      </c>
      <c r="N112" s="125">
        <f t="shared" si="11"/>
        <v>0</v>
      </c>
      <c r="O112" s="125">
        <f>Valores!$C$14</f>
        <v>20008.63</v>
      </c>
      <c r="P112" s="125">
        <f>Valores!$D$5</f>
        <v>10949.29</v>
      </c>
      <c r="Q112" s="125">
        <f>Valores!$C$22</f>
        <v>9768.51</v>
      </c>
      <c r="R112" s="125">
        <f>IF($F$4="NO",Valores!$C$41,Valores!$C$41/2)</f>
        <v>2772.49</v>
      </c>
      <c r="S112" s="125">
        <f>Valores!$C$20</f>
        <v>10084.32</v>
      </c>
      <c r="T112" s="125">
        <f t="shared" si="17"/>
        <v>10084.32</v>
      </c>
      <c r="U112" s="125">
        <v>0</v>
      </c>
      <c r="V112" s="125">
        <v>0</v>
      </c>
      <c r="W112" s="193">
        <v>0</v>
      </c>
      <c r="X112" s="125">
        <f>ROUND(W112*Valores!$C$2,2)</f>
        <v>0</v>
      </c>
      <c r="Y112" s="125">
        <v>0</v>
      </c>
      <c r="Z112" s="125">
        <f>Valores!$C$90</f>
        <v>4899.43</v>
      </c>
      <c r="AA112" s="125">
        <f>Valores!$C$25</f>
        <v>447.83</v>
      </c>
      <c r="AB112" s="215">
        <v>0</v>
      </c>
      <c r="AC112" s="125">
        <f t="shared" si="12"/>
        <v>0</v>
      </c>
      <c r="AD112" s="125">
        <f>Valores!$C$26</f>
        <v>447.83</v>
      </c>
      <c r="AE112" s="193">
        <v>94</v>
      </c>
      <c r="AF112" s="125">
        <f>ROUND(AE112*Valores!$C$2,2)</f>
        <v>2013.37</v>
      </c>
      <c r="AG112" s="125">
        <f>ROUND(IF($F$4="NO",Valores!$C$59,Valores!$C$59/2),2)</f>
        <v>3171.17</v>
      </c>
      <c r="AH112" s="125">
        <f t="shared" si="15"/>
        <v>106049.78000000001</v>
      </c>
      <c r="AI112" s="125">
        <f>Valores!$C$31</f>
        <v>4980.08</v>
      </c>
      <c r="AJ112" s="125">
        <f>Valores!$C$83</f>
        <v>2275</v>
      </c>
      <c r="AK112" s="125">
        <f>Valores!C$38*B112</f>
        <v>0</v>
      </c>
      <c r="AL112" s="125">
        <f>IF($F$3="NO",0,Valores!$C$52)</f>
        <v>0</v>
      </c>
      <c r="AM112" s="125">
        <f t="shared" si="13"/>
        <v>7255.08</v>
      </c>
      <c r="AN112" s="125">
        <f>AH112*Valores!$C$67</f>
        <v>-11665.475800000002</v>
      </c>
      <c r="AO112" s="125">
        <f>AH112*-Valores!$C$68</f>
        <v>0</v>
      </c>
      <c r="AP112" s="125">
        <f>AH112*Valores!$C$69</f>
        <v>-4772.2401</v>
      </c>
      <c r="AQ112" s="125">
        <f>Valores!$C$96</f>
        <v>-280.91</v>
      </c>
      <c r="AR112" s="125">
        <f>IF($F$5=0,Valores!$C$97,(Valores!$C$97+$F$5*(Valores!$C$97)))</f>
        <v>-658</v>
      </c>
      <c r="AS112" s="125">
        <f t="shared" si="16"/>
        <v>95928.23410000002</v>
      </c>
      <c r="AT112" s="125">
        <f t="shared" si="10"/>
        <v>-11665.475800000002</v>
      </c>
      <c r="AU112" s="125">
        <f>AH112*Valores!$C$70</f>
        <v>-2863.3440600000004</v>
      </c>
      <c r="AV112" s="125">
        <f>AH112*Valores!$C$71</f>
        <v>-318.14934000000005</v>
      </c>
      <c r="AW112" s="125">
        <f t="shared" si="14"/>
        <v>98457.89080000001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3">
        <f>75+143</f>
        <v>218</v>
      </c>
      <c r="F113" s="125">
        <f>ROUND(E113*Valores!$C$2,2)</f>
        <v>4669.3</v>
      </c>
      <c r="G113" s="193">
        <v>2100</v>
      </c>
      <c r="H113" s="125">
        <f>ROUND(G113*Valores!$C$2,2)</f>
        <v>44979.48</v>
      </c>
      <c r="I113" s="193">
        <v>0</v>
      </c>
      <c r="J113" s="125">
        <f>ROUND(I113*Valores!$C$2,2)</f>
        <v>0</v>
      </c>
      <c r="K113" s="193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9375.84</v>
      </c>
      <c r="N113" s="125">
        <f t="shared" si="11"/>
        <v>0</v>
      </c>
      <c r="O113" s="125">
        <f>Valores!$C$14</f>
        <v>20008.63</v>
      </c>
      <c r="P113" s="125">
        <f>Valores!$D$5</f>
        <v>10949.29</v>
      </c>
      <c r="Q113" s="125">
        <f>Valores!$C$22</f>
        <v>9768.51</v>
      </c>
      <c r="R113" s="125">
        <f>IF($F$4="NO",Valores!$C$41,Valores!$C$41/2)</f>
        <v>2772.49</v>
      </c>
      <c r="S113" s="125">
        <f>Valores!$C$20</f>
        <v>10084.32</v>
      </c>
      <c r="T113" s="125">
        <f t="shared" si="17"/>
        <v>10084.32</v>
      </c>
      <c r="U113" s="125">
        <v>0</v>
      </c>
      <c r="V113" s="125">
        <v>0</v>
      </c>
      <c r="W113" s="193">
        <v>0</v>
      </c>
      <c r="X113" s="125">
        <f>ROUND(W113*Valores!$C$2,2)</f>
        <v>0</v>
      </c>
      <c r="Y113" s="125">
        <v>0</v>
      </c>
      <c r="Z113" s="125">
        <f>Valores!$C$90</f>
        <v>4899.43</v>
      </c>
      <c r="AA113" s="125">
        <f>Valores!$C$25</f>
        <v>447.83</v>
      </c>
      <c r="AB113" s="215">
        <v>0</v>
      </c>
      <c r="AC113" s="125">
        <f t="shared" si="12"/>
        <v>0</v>
      </c>
      <c r="AD113" s="125">
        <f>Valores!$C$26</f>
        <v>447.83</v>
      </c>
      <c r="AE113" s="193">
        <v>0</v>
      </c>
      <c r="AF113" s="125">
        <f>ROUND(AE113*Valores!$C$2,2)</f>
        <v>0</v>
      </c>
      <c r="AG113" s="125">
        <f>ROUND(IF($F$4="NO",Valores!$C$59,Valores!$C$59/2),2)</f>
        <v>3171.17</v>
      </c>
      <c r="AH113" s="125">
        <f t="shared" si="15"/>
        <v>121574.12000000001</v>
      </c>
      <c r="AI113" s="125">
        <f>Valores!$C$31</f>
        <v>4980.08</v>
      </c>
      <c r="AJ113" s="125">
        <f>Valores!$C$83</f>
        <v>2275</v>
      </c>
      <c r="AK113" s="125">
        <f>Valores!C$38*B113</f>
        <v>0</v>
      </c>
      <c r="AL113" s="125">
        <f>IF($F$3="NO",0,Valores!$C$52)</f>
        <v>0</v>
      </c>
      <c r="AM113" s="125">
        <f t="shared" si="13"/>
        <v>7255.08</v>
      </c>
      <c r="AN113" s="125">
        <f>AH113*Valores!$C$67</f>
        <v>-13373.1532</v>
      </c>
      <c r="AO113" s="125">
        <f>AH113*-Valores!$C$68</f>
        <v>0</v>
      </c>
      <c r="AP113" s="125">
        <f>AH113*Valores!$C$69</f>
        <v>-5470.8354</v>
      </c>
      <c r="AQ113" s="125">
        <f>Valores!$C$96</f>
        <v>-280.91</v>
      </c>
      <c r="AR113" s="125">
        <f>IF($F$5=0,Valores!$C$97,(Valores!$C$97+$F$5*(Valores!$C$97)))</f>
        <v>-658</v>
      </c>
      <c r="AS113" s="125">
        <f t="shared" si="16"/>
        <v>109046.30140000001</v>
      </c>
      <c r="AT113" s="125">
        <f t="shared" si="10"/>
        <v>-13373.1532</v>
      </c>
      <c r="AU113" s="125">
        <f>AH113*Valores!$C$70</f>
        <v>-3282.50124</v>
      </c>
      <c r="AV113" s="125">
        <f>AH113*Valores!$C$71</f>
        <v>-364.72236000000004</v>
      </c>
      <c r="AW113" s="125">
        <f t="shared" si="14"/>
        <v>111808.82320000001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3">
        <f>77+143</f>
        <v>220</v>
      </c>
      <c r="F114" s="125">
        <f>ROUND(E114*Valores!$C$2,2)</f>
        <v>4712.14</v>
      </c>
      <c r="G114" s="193">
        <v>1995</v>
      </c>
      <c r="H114" s="125">
        <f>ROUND(G114*Valores!$C$2,2)</f>
        <v>42730.51</v>
      </c>
      <c r="I114" s="193">
        <v>0</v>
      </c>
      <c r="J114" s="125">
        <f>ROUND(I114*Valores!$C$2,2)</f>
        <v>0</v>
      </c>
      <c r="K114" s="193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9044.92</v>
      </c>
      <c r="N114" s="125">
        <f t="shared" si="11"/>
        <v>0</v>
      </c>
      <c r="O114" s="125">
        <f>Valores!$C$14</f>
        <v>20008.63</v>
      </c>
      <c r="P114" s="125">
        <f>Valores!$D$5</f>
        <v>10949.29</v>
      </c>
      <c r="Q114" s="125">
        <f>Valores!$C$22</f>
        <v>9768.51</v>
      </c>
      <c r="R114" s="125">
        <f>IF($F$4="NO",Valores!$C$41,Valores!$C$41/2)</f>
        <v>2772.49</v>
      </c>
      <c r="S114" s="125">
        <f>Valores!$C$20</f>
        <v>10084.32</v>
      </c>
      <c r="T114" s="125">
        <f t="shared" si="17"/>
        <v>10084.32</v>
      </c>
      <c r="U114" s="125">
        <v>0</v>
      </c>
      <c r="V114" s="125">
        <v>0</v>
      </c>
      <c r="W114" s="193">
        <v>0</v>
      </c>
      <c r="X114" s="125">
        <f>ROUND(W114*Valores!$C$2,2)</f>
        <v>0</v>
      </c>
      <c r="Y114" s="125">
        <v>0</v>
      </c>
      <c r="Z114" s="125">
        <f>Valores!$C$90</f>
        <v>4899.43</v>
      </c>
      <c r="AA114" s="125">
        <f>Valores!$C$25</f>
        <v>447.83</v>
      </c>
      <c r="AB114" s="215">
        <v>0</v>
      </c>
      <c r="AC114" s="125">
        <f t="shared" si="12"/>
        <v>0</v>
      </c>
      <c r="AD114" s="125">
        <f>Valores!$C$26</f>
        <v>447.83</v>
      </c>
      <c r="AE114" s="193">
        <v>0</v>
      </c>
      <c r="AF114" s="125">
        <f>ROUND(AE114*Valores!$C$2,2)</f>
        <v>0</v>
      </c>
      <c r="AG114" s="125">
        <f>ROUND(IF($F$4="NO",Valores!$C$59,Valores!$C$59/2),2)</f>
        <v>3171.17</v>
      </c>
      <c r="AH114" s="125">
        <f t="shared" si="15"/>
        <v>119037.06999999999</v>
      </c>
      <c r="AI114" s="125">
        <f>Valores!$C$31</f>
        <v>4980.08</v>
      </c>
      <c r="AJ114" s="125">
        <f>Valores!$C$83</f>
        <v>2275</v>
      </c>
      <c r="AK114" s="125">
        <f>Valores!C$38*B114</f>
        <v>0</v>
      </c>
      <c r="AL114" s="125">
        <f>IF($F$3="NO",0,Valores!$C$52)</f>
        <v>0</v>
      </c>
      <c r="AM114" s="125">
        <f t="shared" si="13"/>
        <v>7255.08</v>
      </c>
      <c r="AN114" s="125">
        <f>AH114*Valores!$C$67</f>
        <v>-13094.0777</v>
      </c>
      <c r="AO114" s="125">
        <f>AH114*-Valores!$C$68</f>
        <v>0</v>
      </c>
      <c r="AP114" s="125">
        <f>AH114*Valores!$C$69</f>
        <v>-5356.6681499999995</v>
      </c>
      <c r="AQ114" s="125">
        <f>Valores!$C$96</f>
        <v>-280.91</v>
      </c>
      <c r="AR114" s="125">
        <f>IF($F$5=0,Valores!$C$97,(Valores!$C$97+$F$5*(Valores!$C$97)))</f>
        <v>-658</v>
      </c>
      <c r="AS114" s="125">
        <f t="shared" si="16"/>
        <v>106902.49415</v>
      </c>
      <c r="AT114" s="125">
        <f t="shared" si="10"/>
        <v>-13094.0777</v>
      </c>
      <c r="AU114" s="125">
        <f>AH114*Valores!$C$70</f>
        <v>-3214.00089</v>
      </c>
      <c r="AV114" s="125">
        <f>AH114*Valores!$C$71</f>
        <v>-357.11120999999997</v>
      </c>
      <c r="AW114" s="125">
        <f t="shared" si="14"/>
        <v>109626.9602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3">
        <f>72+115</f>
        <v>187</v>
      </c>
      <c r="F115" s="125">
        <f>ROUND(E115*Valores!$C$2,2)</f>
        <v>4005.32</v>
      </c>
      <c r="G115" s="193">
        <v>1704</v>
      </c>
      <c r="H115" s="125">
        <f>ROUND(G115*Valores!$C$2,2)</f>
        <v>36497.64</v>
      </c>
      <c r="I115" s="193">
        <v>0</v>
      </c>
      <c r="J115" s="125">
        <f>ROUND(I115*Valores!$C$2,2)</f>
        <v>0</v>
      </c>
      <c r="K115" s="193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8003.97</v>
      </c>
      <c r="N115" s="125">
        <f t="shared" si="11"/>
        <v>0</v>
      </c>
      <c r="O115" s="125">
        <f>Valores!$C$14</f>
        <v>20008.63</v>
      </c>
      <c r="P115" s="125">
        <f>Valores!$D$5</f>
        <v>10949.29</v>
      </c>
      <c r="Q115" s="125">
        <f>Valores!$C$22</f>
        <v>9768.51</v>
      </c>
      <c r="R115" s="125">
        <f>IF($F$4="NO",Valores!$C$41,Valores!$C$41/2)</f>
        <v>2772.49</v>
      </c>
      <c r="S115" s="125">
        <f>Valores!$C$20</f>
        <v>10084.32</v>
      </c>
      <c r="T115" s="125">
        <f t="shared" si="17"/>
        <v>10084.32</v>
      </c>
      <c r="U115" s="125">
        <v>0</v>
      </c>
      <c r="V115" s="125">
        <v>0</v>
      </c>
      <c r="W115" s="193">
        <v>0</v>
      </c>
      <c r="X115" s="125">
        <f>ROUND(W115*Valores!$C$2,2)</f>
        <v>0</v>
      </c>
      <c r="Y115" s="125">
        <v>0</v>
      </c>
      <c r="Z115" s="125">
        <f>Valores!$C$90</f>
        <v>4899.43</v>
      </c>
      <c r="AA115" s="125">
        <f>Valores!$C$25</f>
        <v>447.83</v>
      </c>
      <c r="AB115" s="215">
        <v>0</v>
      </c>
      <c r="AC115" s="125">
        <f t="shared" si="12"/>
        <v>0</v>
      </c>
      <c r="AD115" s="125">
        <f>Valores!$C$26</f>
        <v>447.83</v>
      </c>
      <c r="AE115" s="193">
        <v>0</v>
      </c>
      <c r="AF115" s="125">
        <f>ROUND(AE115*Valores!$C$2,2)</f>
        <v>0</v>
      </c>
      <c r="AG115" s="125">
        <f>ROUND(IF($F$4="NO",Valores!$C$59,Valores!$C$59/2),2)</f>
        <v>3171.17</v>
      </c>
      <c r="AH115" s="125">
        <f t="shared" si="15"/>
        <v>111056.43000000001</v>
      </c>
      <c r="AI115" s="125">
        <f>Valores!$C$31</f>
        <v>4980.08</v>
      </c>
      <c r="AJ115" s="125">
        <f>Valores!$C$83</f>
        <v>2275</v>
      </c>
      <c r="AK115" s="125">
        <f>Valores!C$38*B115</f>
        <v>0</v>
      </c>
      <c r="AL115" s="125">
        <f>IF($F$3="NO",0,Valores!$C$52)</f>
        <v>0</v>
      </c>
      <c r="AM115" s="125">
        <f t="shared" si="13"/>
        <v>7255.08</v>
      </c>
      <c r="AN115" s="125">
        <f>AH115*Valores!$C$67</f>
        <v>-12216.2073</v>
      </c>
      <c r="AO115" s="125">
        <f>AH115*-Valores!$C$68</f>
        <v>0</v>
      </c>
      <c r="AP115" s="125">
        <f>AH115*Valores!$C$69</f>
        <v>-4997.53935</v>
      </c>
      <c r="AQ115" s="125">
        <f>Valores!$C$96</f>
        <v>-280.91</v>
      </c>
      <c r="AR115" s="125">
        <f>IF($F$5=0,Valores!$C$97,(Valores!$C$97+$F$5*(Valores!$C$97)))</f>
        <v>-658</v>
      </c>
      <c r="AS115" s="125">
        <f t="shared" si="16"/>
        <v>100158.85335</v>
      </c>
      <c r="AT115" s="125">
        <f t="shared" si="10"/>
        <v>-12216.2073</v>
      </c>
      <c r="AU115" s="125">
        <f>AH115*Valores!$C$70</f>
        <v>-2998.52361</v>
      </c>
      <c r="AV115" s="125">
        <f>AH115*Valores!$C$71</f>
        <v>-333.16929000000005</v>
      </c>
      <c r="AW115" s="125">
        <f t="shared" si="14"/>
        <v>102763.6098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3">
        <f>67+94</f>
        <v>161</v>
      </c>
      <c r="F116" s="125">
        <f>ROUND(E116*Valores!$C$2,2)</f>
        <v>3448.43</v>
      </c>
      <c r="G116" s="193">
        <v>1480</v>
      </c>
      <c r="H116" s="125">
        <f>ROUND(G116*Valores!$C$2,2)</f>
        <v>31699.82</v>
      </c>
      <c r="I116" s="193">
        <v>0</v>
      </c>
      <c r="J116" s="125">
        <f>ROUND(I116*Valores!$C$2,2)</f>
        <v>0</v>
      </c>
      <c r="K116" s="193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7200.76</v>
      </c>
      <c r="N116" s="125">
        <f t="shared" si="11"/>
        <v>0</v>
      </c>
      <c r="O116" s="125">
        <f>Valores!$C$14</f>
        <v>20008.63</v>
      </c>
      <c r="P116" s="125">
        <f>Valores!$D$5</f>
        <v>10949.29</v>
      </c>
      <c r="Q116" s="125">
        <f>Valores!$C$22</f>
        <v>9768.51</v>
      </c>
      <c r="R116" s="125">
        <f>IF($F$4="NO",Valores!$C$41,Valores!$C$41/2)</f>
        <v>2772.49</v>
      </c>
      <c r="S116" s="125">
        <f>Valores!$C$20</f>
        <v>10084.32</v>
      </c>
      <c r="T116" s="125">
        <f t="shared" si="17"/>
        <v>10084.32</v>
      </c>
      <c r="U116" s="125">
        <v>0</v>
      </c>
      <c r="V116" s="125">
        <v>0</v>
      </c>
      <c r="W116" s="193">
        <v>0</v>
      </c>
      <c r="X116" s="125">
        <f>ROUND(W116*Valores!$C$2,2)</f>
        <v>0</v>
      </c>
      <c r="Y116" s="125">
        <v>0</v>
      </c>
      <c r="Z116" s="125">
        <f>Valores!$C$90</f>
        <v>4899.43</v>
      </c>
      <c r="AA116" s="125">
        <f>Valores!$C$25</f>
        <v>447.83</v>
      </c>
      <c r="AB116" s="215">
        <v>0</v>
      </c>
      <c r="AC116" s="125">
        <f t="shared" si="12"/>
        <v>0</v>
      </c>
      <c r="AD116" s="125">
        <f>Valores!$C$26</f>
        <v>447.83</v>
      </c>
      <c r="AE116" s="193">
        <v>0</v>
      </c>
      <c r="AF116" s="125">
        <f>ROUND(AE116*Valores!$C$2,2)</f>
        <v>0</v>
      </c>
      <c r="AG116" s="125">
        <f>ROUND(IF($F$4="NO",Valores!$C$59,Valores!$C$59/2),2)</f>
        <v>3171.17</v>
      </c>
      <c r="AH116" s="125">
        <f t="shared" si="15"/>
        <v>104898.51</v>
      </c>
      <c r="AI116" s="125">
        <f>Valores!$C$31</f>
        <v>4980.08</v>
      </c>
      <c r="AJ116" s="125">
        <f>Valores!$C$83</f>
        <v>2275</v>
      </c>
      <c r="AK116" s="125">
        <f>Valores!C$38*B116</f>
        <v>0</v>
      </c>
      <c r="AL116" s="125">
        <f>IF($F$3="NO",0,Valores!$C$52)</f>
        <v>0</v>
      </c>
      <c r="AM116" s="125">
        <f t="shared" si="13"/>
        <v>7255.08</v>
      </c>
      <c r="AN116" s="125">
        <f>AH116*Valores!$C$67</f>
        <v>-11538.836099999999</v>
      </c>
      <c r="AO116" s="125">
        <f>AH116*-Valores!$C$68</f>
        <v>0</v>
      </c>
      <c r="AP116" s="125">
        <f>AH116*Valores!$C$69</f>
        <v>-4720.432949999999</v>
      </c>
      <c r="AQ116" s="125">
        <f>Valores!$C$96</f>
        <v>-280.91</v>
      </c>
      <c r="AR116" s="125">
        <f>IF($F$5=0,Valores!$C$97,(Valores!$C$97+$F$5*(Valores!$C$97)))</f>
        <v>-658</v>
      </c>
      <c r="AS116" s="125">
        <f t="shared" si="16"/>
        <v>94955.41094999999</v>
      </c>
      <c r="AT116" s="125">
        <f t="shared" si="10"/>
        <v>-11538.836099999999</v>
      </c>
      <c r="AU116" s="125">
        <f>AH116*Valores!$C$70</f>
        <v>-2832.2597699999997</v>
      </c>
      <c r="AV116" s="125">
        <f>AH116*Valores!$C$71</f>
        <v>-314.69552999999996</v>
      </c>
      <c r="AW116" s="125">
        <f t="shared" si="14"/>
        <v>97467.7986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3">
        <f>1184+94</f>
        <v>1278</v>
      </c>
      <c r="F117" s="125">
        <f>ROUND(E117*Valores!$C$2,2)</f>
        <v>27373.23</v>
      </c>
      <c r="G117" s="193">
        <v>0</v>
      </c>
      <c r="H117" s="125">
        <f>ROUND(G117*Valores!$C$2,2)</f>
        <v>0</v>
      </c>
      <c r="I117" s="193">
        <v>0</v>
      </c>
      <c r="J117" s="125">
        <f>ROUND(I117*Valores!$C$2,2)</f>
        <v>0</v>
      </c>
      <c r="K117" s="193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6034.51</v>
      </c>
      <c r="N117" s="125">
        <f t="shared" si="11"/>
        <v>0</v>
      </c>
      <c r="O117" s="125">
        <f>Valores!$C$14</f>
        <v>20008.63</v>
      </c>
      <c r="P117" s="125">
        <f>Valores!$D$5</f>
        <v>10949.29</v>
      </c>
      <c r="Q117" s="125">
        <f>Valores!$C$22</f>
        <v>9768.51</v>
      </c>
      <c r="R117" s="125">
        <f>IF($F$4="NO",Valores!$C$41,Valores!$C$41/2)</f>
        <v>2772.49</v>
      </c>
      <c r="S117" s="125">
        <f>Valores!$C$20</f>
        <v>10084.32</v>
      </c>
      <c r="T117" s="125">
        <f t="shared" si="17"/>
        <v>10084.32</v>
      </c>
      <c r="U117" s="125">
        <v>0</v>
      </c>
      <c r="V117" s="125">
        <v>0</v>
      </c>
      <c r="W117" s="193">
        <v>0</v>
      </c>
      <c r="X117" s="125">
        <f>ROUND(W117*Valores!$C$2,2)</f>
        <v>0</v>
      </c>
      <c r="Y117" s="125">
        <v>0</v>
      </c>
      <c r="Z117" s="125">
        <f>Valores!$C$90</f>
        <v>4899.43</v>
      </c>
      <c r="AA117" s="125">
        <f>Valores!$C$25</f>
        <v>447.83</v>
      </c>
      <c r="AB117" s="215">
        <v>0</v>
      </c>
      <c r="AC117" s="125">
        <f t="shared" si="12"/>
        <v>0</v>
      </c>
      <c r="AD117" s="125">
        <f>Valores!$C$26</f>
        <v>447.83</v>
      </c>
      <c r="AE117" s="193">
        <v>0</v>
      </c>
      <c r="AF117" s="125">
        <f>ROUND(AE117*Valores!$C$2,2)</f>
        <v>0</v>
      </c>
      <c r="AG117" s="125">
        <f>ROUND(IF($F$4="NO",Valores!$C$59,Valores!$C$59/2),2)</f>
        <v>3171.17</v>
      </c>
      <c r="AH117" s="125">
        <f t="shared" si="15"/>
        <v>95957.24</v>
      </c>
      <c r="AI117" s="125">
        <f>Valores!$C$31</f>
        <v>4980.08</v>
      </c>
      <c r="AJ117" s="125">
        <f>Valores!$C$83</f>
        <v>2275</v>
      </c>
      <c r="AK117" s="125">
        <f>Valores!C$38*B117</f>
        <v>0</v>
      </c>
      <c r="AL117" s="125">
        <f>IF($F$3="NO",0,Valores!$C$52)</f>
        <v>0</v>
      </c>
      <c r="AM117" s="125">
        <f t="shared" si="13"/>
        <v>7255.08</v>
      </c>
      <c r="AN117" s="125">
        <f>AH117*Valores!$C$67</f>
        <v>-10555.296400000001</v>
      </c>
      <c r="AO117" s="125">
        <f>AH117*-Valores!$C$68</f>
        <v>0</v>
      </c>
      <c r="AP117" s="125">
        <f>AH117*Valores!$C$69</f>
        <v>-4318.0758000000005</v>
      </c>
      <c r="AQ117" s="125">
        <f>Valores!$C$96</f>
        <v>-280.91</v>
      </c>
      <c r="AR117" s="125">
        <f>IF($F$5=0,Valores!$C$97,(Valores!$C$97+$F$5*(Valores!$C$97)))</f>
        <v>-658</v>
      </c>
      <c r="AS117" s="125">
        <f t="shared" si="16"/>
        <v>87400.0378</v>
      </c>
      <c r="AT117" s="125">
        <f t="shared" si="10"/>
        <v>-10555.296400000001</v>
      </c>
      <c r="AU117" s="125">
        <f>AH117*Valores!$C$70</f>
        <v>-2590.84548</v>
      </c>
      <c r="AV117" s="125">
        <f>AH117*Valores!$C$71</f>
        <v>-287.87172000000004</v>
      </c>
      <c r="AW117" s="125">
        <f t="shared" si="14"/>
        <v>89778.3064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3">
        <v>77</v>
      </c>
      <c r="F118" s="125">
        <f>ROUND(E118*Valores!$C$2,2)</f>
        <v>1649.25</v>
      </c>
      <c r="G118" s="193">
        <v>2073</v>
      </c>
      <c r="H118" s="125">
        <f>ROUND(G118*Valores!$C$2,2)</f>
        <v>44401.17</v>
      </c>
      <c r="I118" s="193">
        <v>0</v>
      </c>
      <c r="J118" s="125">
        <f>ROUND(I118*Valores!$C$2,2)</f>
        <v>0</v>
      </c>
      <c r="K118" s="193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8980.27</v>
      </c>
      <c r="N118" s="125">
        <f t="shared" si="11"/>
        <v>0</v>
      </c>
      <c r="O118" s="125">
        <f>Valores!$C$8</f>
        <v>23890.21</v>
      </c>
      <c r="P118" s="125">
        <f>Valores!$D$5</f>
        <v>10949.29</v>
      </c>
      <c r="Q118" s="125">
        <f>Valores!$C$22</f>
        <v>9768.51</v>
      </c>
      <c r="R118" s="125">
        <f>IF($F$4="NO",Valores!$C$43,Valores!$C$43/2)</f>
        <v>3629.53</v>
      </c>
      <c r="S118" s="125">
        <f>Valores!$C$19</f>
        <v>10188.49</v>
      </c>
      <c r="T118" s="125">
        <f t="shared" si="17"/>
        <v>10188.49</v>
      </c>
      <c r="U118" s="125">
        <v>0</v>
      </c>
      <c r="V118" s="125">
        <v>0</v>
      </c>
      <c r="W118" s="193">
        <v>0</v>
      </c>
      <c r="X118" s="125">
        <f>ROUND(W118*Valores!$C$2,2)</f>
        <v>0</v>
      </c>
      <c r="Y118" s="125">
        <v>0</v>
      </c>
      <c r="Z118" s="125">
        <f>Valores!$C$90</f>
        <v>4899.43</v>
      </c>
      <c r="AA118" s="125">
        <f>Valores!$C$25</f>
        <v>447.83</v>
      </c>
      <c r="AB118" s="215">
        <v>0</v>
      </c>
      <c r="AC118" s="125">
        <f t="shared" si="12"/>
        <v>0</v>
      </c>
      <c r="AD118" s="125">
        <f>Valores!$C$26</f>
        <v>447.83</v>
      </c>
      <c r="AE118" s="193">
        <v>0</v>
      </c>
      <c r="AF118" s="125">
        <f>ROUND(AE118*Valores!$C$2,2)</f>
        <v>0</v>
      </c>
      <c r="AG118" s="125">
        <f>ROUND(IF($F$4="NO",Valores!$C$59,Valores!$C$59/2),2)</f>
        <v>3171.17</v>
      </c>
      <c r="AH118" s="125">
        <f t="shared" si="15"/>
        <v>122422.98</v>
      </c>
      <c r="AI118" s="125">
        <f>Valores!$C$31</f>
        <v>4980.08</v>
      </c>
      <c r="AJ118" s="125">
        <f>Valores!$C$83</f>
        <v>2275</v>
      </c>
      <c r="AK118" s="125">
        <f>Valores!C$38*B118</f>
        <v>0</v>
      </c>
      <c r="AL118" s="125">
        <f>IF($F$3="NO",0,Valores!$C$52)</f>
        <v>0</v>
      </c>
      <c r="AM118" s="125">
        <f t="shared" si="13"/>
        <v>7255.08</v>
      </c>
      <c r="AN118" s="125">
        <f>AH118*Valores!$C$67</f>
        <v>-13466.5278</v>
      </c>
      <c r="AO118" s="125">
        <f>AH118*-Valores!$C$68</f>
        <v>0</v>
      </c>
      <c r="AP118" s="125">
        <f>AH118*Valores!$C$69</f>
        <v>-5509.0341</v>
      </c>
      <c r="AQ118" s="125">
        <f>Valores!$C$96</f>
        <v>-280.91</v>
      </c>
      <c r="AR118" s="125">
        <f>IF($F$5=0,Valores!$C$97,(Valores!$C$97+$F$5*(Valores!$C$97)))</f>
        <v>-658</v>
      </c>
      <c r="AS118" s="125">
        <f t="shared" si="16"/>
        <v>109763.5881</v>
      </c>
      <c r="AT118" s="125">
        <f t="shared" si="10"/>
        <v>-13466.5278</v>
      </c>
      <c r="AU118" s="125">
        <f>AH118*Valores!$C$70</f>
        <v>-3305.42046</v>
      </c>
      <c r="AV118" s="125">
        <f>AH118*Valores!$C$71</f>
        <v>-367.26894</v>
      </c>
      <c r="AW118" s="125">
        <f t="shared" si="14"/>
        <v>112538.8428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3">
        <v>77</v>
      </c>
      <c r="F119" s="125">
        <f>ROUND(E119*Valores!$C$2,2)</f>
        <v>1649.25</v>
      </c>
      <c r="G119" s="193">
        <v>2043</v>
      </c>
      <c r="H119" s="125">
        <f>ROUND(G119*Valores!$C$2,2)</f>
        <v>43758.61</v>
      </c>
      <c r="I119" s="193">
        <v>0</v>
      </c>
      <c r="J119" s="125">
        <f>ROUND(I119*Valores!$C$2,2)</f>
        <v>0</v>
      </c>
      <c r="K119" s="193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8883.88</v>
      </c>
      <c r="N119" s="125">
        <f t="shared" si="11"/>
        <v>0</v>
      </c>
      <c r="O119" s="125">
        <f>Valores!$C$9</f>
        <v>23959.59</v>
      </c>
      <c r="P119" s="125">
        <f>Valores!$D$5</f>
        <v>10949.29</v>
      </c>
      <c r="Q119" s="125">
        <f>Valores!$C$22</f>
        <v>9768.51</v>
      </c>
      <c r="R119" s="125">
        <f>IF($F$4="NO",Valores!$C$43,Valores!$C$43/2)</f>
        <v>3629.53</v>
      </c>
      <c r="S119" s="125">
        <f>Valores!$C$19</f>
        <v>10188.49</v>
      </c>
      <c r="T119" s="125">
        <f t="shared" si="17"/>
        <v>10188.49</v>
      </c>
      <c r="U119" s="125">
        <v>0</v>
      </c>
      <c r="V119" s="125">
        <v>0</v>
      </c>
      <c r="W119" s="193">
        <v>0</v>
      </c>
      <c r="X119" s="125">
        <f>ROUND(W119*Valores!$C$2,2)</f>
        <v>0</v>
      </c>
      <c r="Y119" s="125">
        <v>0</v>
      </c>
      <c r="Z119" s="125">
        <f>Valores!$C$90</f>
        <v>4899.43</v>
      </c>
      <c r="AA119" s="125">
        <f>Valores!$C$25</f>
        <v>447.83</v>
      </c>
      <c r="AB119" s="215">
        <v>0</v>
      </c>
      <c r="AC119" s="125">
        <f t="shared" si="12"/>
        <v>0</v>
      </c>
      <c r="AD119" s="125">
        <f>Valores!$C$26</f>
        <v>447.83</v>
      </c>
      <c r="AE119" s="193">
        <v>0</v>
      </c>
      <c r="AF119" s="125">
        <f>ROUND(AE119*Valores!$C$2,2)</f>
        <v>0</v>
      </c>
      <c r="AG119" s="125">
        <f>ROUND(IF($F$4="NO",Valores!$C$59,Valores!$C$59/2),2)</f>
        <v>3171.17</v>
      </c>
      <c r="AH119" s="125">
        <f t="shared" si="15"/>
        <v>121753.40999999999</v>
      </c>
      <c r="AI119" s="125">
        <f>Valores!$C$31</f>
        <v>4980.08</v>
      </c>
      <c r="AJ119" s="125">
        <f>Valores!$C$83</f>
        <v>2275</v>
      </c>
      <c r="AK119" s="125">
        <f>Valores!C$38*B119</f>
        <v>0</v>
      </c>
      <c r="AL119" s="125">
        <f>IF($F$3="NO",0,Valores!$C$52)</f>
        <v>0</v>
      </c>
      <c r="AM119" s="125">
        <f t="shared" si="13"/>
        <v>7255.08</v>
      </c>
      <c r="AN119" s="125">
        <f>AH119*Valores!$C$67</f>
        <v>-13392.8751</v>
      </c>
      <c r="AO119" s="125">
        <f>AH119*-Valores!$C$68</f>
        <v>0</v>
      </c>
      <c r="AP119" s="125">
        <f>AH119*Valores!$C$69</f>
        <v>-5478.903449999999</v>
      </c>
      <c r="AQ119" s="125">
        <f>Valores!$C$96</f>
        <v>-280.91</v>
      </c>
      <c r="AR119" s="125">
        <f>IF($F$5=0,Valores!$C$97,(Valores!$C$97+$F$5*(Valores!$C$97)))</f>
        <v>-658</v>
      </c>
      <c r="AS119" s="125">
        <f t="shared" si="16"/>
        <v>109197.80145</v>
      </c>
      <c r="AT119" s="125">
        <f t="shared" si="10"/>
        <v>-13392.8751</v>
      </c>
      <c r="AU119" s="125">
        <f>AH119*Valores!$C$70</f>
        <v>-3287.3420699999997</v>
      </c>
      <c r="AV119" s="125">
        <f>AH119*Valores!$C$71</f>
        <v>-365.26023</v>
      </c>
      <c r="AW119" s="125">
        <f t="shared" si="14"/>
        <v>111963.01259999999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3">
        <v>76</v>
      </c>
      <c r="F120" s="125">
        <f>ROUND(E120*Valores!$C$2,2)</f>
        <v>1627.83</v>
      </c>
      <c r="G120" s="193">
        <v>1954</v>
      </c>
      <c r="H120" s="125">
        <f>ROUND(G120*Valores!$C$2,2)</f>
        <v>41852.34</v>
      </c>
      <c r="I120" s="193">
        <v>0</v>
      </c>
      <c r="J120" s="125">
        <f>ROUND(I120*Valores!$C$2,2)</f>
        <v>0</v>
      </c>
      <c r="K120" s="193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8594.73</v>
      </c>
      <c r="N120" s="125">
        <f t="shared" si="11"/>
        <v>0</v>
      </c>
      <c r="O120" s="125">
        <f>Valores!$C$9</f>
        <v>23959.59</v>
      </c>
      <c r="P120" s="125">
        <f>Valores!$D$5</f>
        <v>10949.29</v>
      </c>
      <c r="Q120" s="125">
        <f>Valores!$C$22</f>
        <v>9768.51</v>
      </c>
      <c r="R120" s="125">
        <f>IF($F$4="NO",Valores!$C$43,Valores!$C$43/2)</f>
        <v>3629.53</v>
      </c>
      <c r="S120" s="125">
        <f>Valores!$C$19</f>
        <v>10188.49</v>
      </c>
      <c r="T120" s="125">
        <f t="shared" si="17"/>
        <v>10188.49</v>
      </c>
      <c r="U120" s="125">
        <v>0</v>
      </c>
      <c r="V120" s="125">
        <v>0</v>
      </c>
      <c r="W120" s="193">
        <v>0</v>
      </c>
      <c r="X120" s="125">
        <f>ROUND(W120*Valores!$C$2,2)</f>
        <v>0</v>
      </c>
      <c r="Y120" s="125">
        <v>0</v>
      </c>
      <c r="Z120" s="125">
        <f>Valores!$C$90</f>
        <v>4899.43</v>
      </c>
      <c r="AA120" s="125">
        <f>Valores!$C$25</f>
        <v>447.83</v>
      </c>
      <c r="AB120" s="215">
        <v>0</v>
      </c>
      <c r="AC120" s="125">
        <f t="shared" si="12"/>
        <v>0</v>
      </c>
      <c r="AD120" s="125">
        <f>Valores!$C$26</f>
        <v>447.83</v>
      </c>
      <c r="AE120" s="193">
        <v>0</v>
      </c>
      <c r="AF120" s="125">
        <f>ROUND(AE120*Valores!$C$2,2)</f>
        <v>0</v>
      </c>
      <c r="AG120" s="125">
        <f>ROUND(IF($F$4="NO",Valores!$C$59,Valores!$C$59/2),2)</f>
        <v>3171.17</v>
      </c>
      <c r="AH120" s="125">
        <f t="shared" si="15"/>
        <v>119536.56999999999</v>
      </c>
      <c r="AI120" s="125">
        <f>Valores!$C$31</f>
        <v>4980.08</v>
      </c>
      <c r="AJ120" s="125">
        <f>Valores!$C$83</f>
        <v>2275</v>
      </c>
      <c r="AK120" s="125">
        <f>Valores!C$38*B120</f>
        <v>0</v>
      </c>
      <c r="AL120" s="125">
        <f>IF($F$3="NO",0,Valores!$C$52)</f>
        <v>0</v>
      </c>
      <c r="AM120" s="125">
        <f t="shared" si="13"/>
        <v>7255.08</v>
      </c>
      <c r="AN120" s="125">
        <f>AH120*Valores!$C$67</f>
        <v>-13149.0227</v>
      </c>
      <c r="AO120" s="125">
        <f>AH120*-Valores!$C$68</f>
        <v>0</v>
      </c>
      <c r="AP120" s="125">
        <f>AH120*Valores!$C$69</f>
        <v>-5379.1456499999995</v>
      </c>
      <c r="AQ120" s="125">
        <f>Valores!$C$96</f>
        <v>-280.91</v>
      </c>
      <c r="AR120" s="125">
        <f>IF($F$5=0,Valores!$C$97,(Valores!$C$97+$F$5*(Valores!$C$97)))</f>
        <v>-658</v>
      </c>
      <c r="AS120" s="125">
        <f t="shared" si="16"/>
        <v>107324.57165</v>
      </c>
      <c r="AT120" s="125">
        <f t="shared" si="10"/>
        <v>-13149.0227</v>
      </c>
      <c r="AU120" s="125">
        <f>AH120*Valores!$C$70</f>
        <v>-3227.48739</v>
      </c>
      <c r="AV120" s="125">
        <f>AH120*Valores!$C$71</f>
        <v>-358.60971</v>
      </c>
      <c r="AW120" s="125">
        <f t="shared" si="14"/>
        <v>110056.5302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3">
        <v>274</v>
      </c>
      <c r="F121" s="125">
        <f>ROUND(E121*Valores!$C$2,2)</f>
        <v>5868.75</v>
      </c>
      <c r="G121" s="193">
        <v>1163</v>
      </c>
      <c r="H121" s="125">
        <f>ROUND(G121*Valores!$C$2,2)</f>
        <v>24910.06</v>
      </c>
      <c r="I121" s="193">
        <v>0</v>
      </c>
      <c r="J121" s="125">
        <f>ROUND(I121*Valores!$C$2,2)</f>
        <v>0</v>
      </c>
      <c r="K121" s="193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6689.52</v>
      </c>
      <c r="N121" s="125">
        <f t="shared" si="11"/>
        <v>0</v>
      </c>
      <c r="O121" s="125">
        <f>Valores!$C$9</f>
        <v>23959.59</v>
      </c>
      <c r="P121" s="125">
        <f>Valores!$D$5</f>
        <v>10949.29</v>
      </c>
      <c r="Q121" s="125">
        <f>Valores!$C$22</f>
        <v>9768.51</v>
      </c>
      <c r="R121" s="125">
        <f>IF($F$4="NO",Valores!$C$43,Valores!$C$43/2)</f>
        <v>3629.53</v>
      </c>
      <c r="S121" s="125">
        <f>Valores!$C$19</f>
        <v>10188.49</v>
      </c>
      <c r="T121" s="125">
        <f t="shared" si="17"/>
        <v>10188.49</v>
      </c>
      <c r="U121" s="125">
        <v>0</v>
      </c>
      <c r="V121" s="125">
        <v>0</v>
      </c>
      <c r="W121" s="193">
        <v>0</v>
      </c>
      <c r="X121" s="125">
        <f>ROUND(W121*Valores!$C$2,2)</f>
        <v>0</v>
      </c>
      <c r="Y121" s="125">
        <v>0</v>
      </c>
      <c r="Z121" s="125">
        <f>Valores!$C$90</f>
        <v>4899.43</v>
      </c>
      <c r="AA121" s="125">
        <f>Valores!$C$25</f>
        <v>447.83</v>
      </c>
      <c r="AB121" s="215">
        <v>0</v>
      </c>
      <c r="AC121" s="125">
        <f t="shared" si="12"/>
        <v>0</v>
      </c>
      <c r="AD121" s="125">
        <f>Valores!$C$26</f>
        <v>447.83</v>
      </c>
      <c r="AE121" s="193">
        <v>0</v>
      </c>
      <c r="AF121" s="125">
        <f>ROUND(AE121*Valores!$C$2,2)</f>
        <v>0</v>
      </c>
      <c r="AG121" s="125">
        <f>ROUND(IF($F$4="NO",Valores!$C$59,Valores!$C$59/2),2)</f>
        <v>3171.17</v>
      </c>
      <c r="AH121" s="125">
        <f t="shared" si="15"/>
        <v>104929.99999999999</v>
      </c>
      <c r="AI121" s="125">
        <f>Valores!$C$31</f>
        <v>4980.08</v>
      </c>
      <c r="AJ121" s="125">
        <f>Valores!$C$83</f>
        <v>2275</v>
      </c>
      <c r="AK121" s="125">
        <f>Valores!C$38*B121</f>
        <v>0</v>
      </c>
      <c r="AL121" s="125">
        <f>IF($F$3="NO",0,Valores!$C$52)</f>
        <v>0</v>
      </c>
      <c r="AM121" s="125">
        <f t="shared" si="13"/>
        <v>7255.08</v>
      </c>
      <c r="AN121" s="125">
        <f>AH121*Valores!$C$67</f>
        <v>-11542.3</v>
      </c>
      <c r="AO121" s="125">
        <f>AH121*-Valores!$C$68</f>
        <v>0</v>
      </c>
      <c r="AP121" s="125">
        <f>AH121*Valores!$C$69</f>
        <v>-4721.849999999999</v>
      </c>
      <c r="AQ121" s="125">
        <f>Valores!$C$96</f>
        <v>-280.91</v>
      </c>
      <c r="AR121" s="125">
        <f>IF($F$5=0,Valores!$C$97,(Valores!$C$97+$F$5*(Valores!$C$97)))</f>
        <v>-658</v>
      </c>
      <c r="AS121" s="125">
        <f t="shared" si="16"/>
        <v>94982.01999999999</v>
      </c>
      <c r="AT121" s="125">
        <f t="shared" si="10"/>
        <v>-11542.3</v>
      </c>
      <c r="AU121" s="125">
        <f>AH121*Valores!$C$70</f>
        <v>-2833.1099999999997</v>
      </c>
      <c r="AV121" s="125">
        <f>AH121*Valores!$C$71</f>
        <v>-314.78999999999996</v>
      </c>
      <c r="AW121" s="125">
        <f t="shared" si="14"/>
        <v>97494.87999999999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3">
        <v>2800</v>
      </c>
      <c r="F122" s="125">
        <f>ROUND(E122*Valores!$C$2,2)</f>
        <v>59972.64</v>
      </c>
      <c r="G122" s="193">
        <v>0</v>
      </c>
      <c r="H122" s="125">
        <f>ROUND(G122*Valores!$C$2,2)</f>
        <v>0</v>
      </c>
      <c r="I122" s="193">
        <v>0</v>
      </c>
      <c r="J122" s="125">
        <f>ROUND(I122*Valores!$C$2,2)</f>
        <v>0</v>
      </c>
      <c r="K122" s="193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11310.05</v>
      </c>
      <c r="N122" s="125">
        <f t="shared" si="11"/>
        <v>0</v>
      </c>
      <c r="O122" s="125">
        <f>Valores!$C$16</f>
        <v>18508.63</v>
      </c>
      <c r="P122" s="125">
        <f>Valores!$D$5</f>
        <v>10949.29</v>
      </c>
      <c r="Q122" s="125">
        <f>Valores!$C$22</f>
        <v>9768.51</v>
      </c>
      <c r="R122" s="125">
        <f>IF($F$4="NO",Valores!$C$44,Valores!$C$44/2)</f>
        <v>5343.37</v>
      </c>
      <c r="S122" s="125">
        <f>Valores!$C$20</f>
        <v>10084.32</v>
      </c>
      <c r="T122" s="125">
        <f t="shared" si="17"/>
        <v>10084.32</v>
      </c>
      <c r="U122" s="125">
        <v>0</v>
      </c>
      <c r="V122" s="125">
        <v>0</v>
      </c>
      <c r="W122" s="193">
        <v>0</v>
      </c>
      <c r="X122" s="125">
        <f>ROUND(W122*Valores!$C$2,2)</f>
        <v>0</v>
      </c>
      <c r="Y122" s="125">
        <v>0</v>
      </c>
      <c r="Z122" s="125">
        <f>Valores!$C$90</f>
        <v>4899.43</v>
      </c>
      <c r="AA122" s="125">
        <f>Valores!$C$25</f>
        <v>447.83</v>
      </c>
      <c r="AB122" s="215">
        <v>0</v>
      </c>
      <c r="AC122" s="125">
        <f t="shared" si="12"/>
        <v>0</v>
      </c>
      <c r="AD122" s="125">
        <f>Valores!$C$26</f>
        <v>447.83</v>
      </c>
      <c r="AE122" s="193">
        <v>0</v>
      </c>
      <c r="AF122" s="125">
        <f>ROUND(AE122*Valores!$C$2,2)</f>
        <v>0</v>
      </c>
      <c r="AG122" s="125">
        <f>ROUND(IF($F$4="NO",Valores!$C$59,Valores!$C$59/2),2)</f>
        <v>3171.17</v>
      </c>
      <c r="AH122" s="125">
        <f t="shared" si="15"/>
        <v>134903.06999999998</v>
      </c>
      <c r="AI122" s="125">
        <f>Valores!$C$31</f>
        <v>4980.08</v>
      </c>
      <c r="AJ122" s="125">
        <f>Valores!$C$83</f>
        <v>2275</v>
      </c>
      <c r="AK122" s="125">
        <f>Valores!C$38*B122</f>
        <v>0</v>
      </c>
      <c r="AL122" s="125">
        <f>IF($F$3="NO",0,Valores!$C$51)</f>
        <v>0</v>
      </c>
      <c r="AM122" s="125">
        <f t="shared" si="13"/>
        <v>7255.08</v>
      </c>
      <c r="AN122" s="125">
        <f>AH122*Valores!$C$67</f>
        <v>-14839.337699999998</v>
      </c>
      <c r="AO122" s="125">
        <f>AH122*-Valores!$C$68</f>
        <v>0</v>
      </c>
      <c r="AP122" s="125">
        <f>AH122*Valores!$C$69</f>
        <v>-6070.638149999999</v>
      </c>
      <c r="AQ122" s="125">
        <f>Valores!$C$96</f>
        <v>-280.91</v>
      </c>
      <c r="AR122" s="125">
        <f>IF($F$5=0,Valores!$C$97,(Valores!$C$97+$F$5*(Valores!$C$97)))</f>
        <v>-658</v>
      </c>
      <c r="AS122" s="125">
        <f t="shared" si="16"/>
        <v>120309.26414999997</v>
      </c>
      <c r="AT122" s="125">
        <f t="shared" si="10"/>
        <v>-14839.337699999998</v>
      </c>
      <c r="AU122" s="125">
        <f>AH122*Valores!$C$70</f>
        <v>-3642.3828899999994</v>
      </c>
      <c r="AV122" s="125">
        <f>AH122*Valores!$C$71</f>
        <v>-404.7092099999999</v>
      </c>
      <c r="AW122" s="125">
        <f t="shared" si="14"/>
        <v>123271.72019999997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3">
        <v>2850</v>
      </c>
      <c r="F123" s="125">
        <f>ROUND(E123*Valores!$C$2,2)</f>
        <v>61043.58</v>
      </c>
      <c r="G123" s="193">
        <v>0</v>
      </c>
      <c r="H123" s="125">
        <f>ROUND(G123*Valores!$C$2,2)</f>
        <v>0</v>
      </c>
      <c r="I123" s="193">
        <v>0</v>
      </c>
      <c r="J123" s="125">
        <f>ROUND(I123*Valores!$C$2,2)</f>
        <v>0</v>
      </c>
      <c r="K123" s="193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11470.69</v>
      </c>
      <c r="N123" s="125">
        <f t="shared" si="11"/>
        <v>0</v>
      </c>
      <c r="O123" s="125">
        <f>Valores!$C$9</f>
        <v>23959.59</v>
      </c>
      <c r="P123" s="125">
        <f>Valores!$D$5</f>
        <v>10949.29</v>
      </c>
      <c r="Q123" s="125">
        <f>Valores!$C$22</f>
        <v>9768.51</v>
      </c>
      <c r="R123" s="125">
        <f>IF($F$4="NO",Valores!$C$44,Valores!$C$44/2)</f>
        <v>5343.37</v>
      </c>
      <c r="S123" s="125">
        <f>Valores!$C$20</f>
        <v>10084.32</v>
      </c>
      <c r="T123" s="125">
        <f t="shared" si="17"/>
        <v>10084.32</v>
      </c>
      <c r="U123" s="125">
        <v>0</v>
      </c>
      <c r="V123" s="125">
        <v>0</v>
      </c>
      <c r="W123" s="193">
        <v>0</v>
      </c>
      <c r="X123" s="125">
        <f>ROUND(W123*Valores!$C$2,2)</f>
        <v>0</v>
      </c>
      <c r="Y123" s="125">
        <v>0</v>
      </c>
      <c r="Z123" s="125">
        <f>Valores!$C$92</f>
        <v>9798.86</v>
      </c>
      <c r="AA123" s="125">
        <f>Valores!$C$25</f>
        <v>447.83</v>
      </c>
      <c r="AB123" s="215">
        <v>0</v>
      </c>
      <c r="AC123" s="125">
        <f t="shared" si="12"/>
        <v>0</v>
      </c>
      <c r="AD123" s="125">
        <f>Valores!$C$26</f>
        <v>447.83</v>
      </c>
      <c r="AE123" s="193">
        <v>0</v>
      </c>
      <c r="AF123" s="125">
        <f>ROUND(AE123*Valores!$C$2,2)</f>
        <v>0</v>
      </c>
      <c r="AG123" s="125">
        <f>ROUND(IF($F$4="NO",Valores!$C$59,Valores!$C$59/2),2)</f>
        <v>3171.17</v>
      </c>
      <c r="AH123" s="125">
        <f t="shared" si="15"/>
        <v>146485.03999999995</v>
      </c>
      <c r="AI123" s="125">
        <f>Valores!$C$31</f>
        <v>4980.08</v>
      </c>
      <c r="AJ123" s="125">
        <f>Valores!$C$85</f>
        <v>4550</v>
      </c>
      <c r="AK123" s="125">
        <f>Valores!C$38*B123</f>
        <v>0</v>
      </c>
      <c r="AL123" s="125">
        <f>IF($F$3="NO",0,Valores!$C$51)</f>
        <v>0</v>
      </c>
      <c r="AM123" s="125">
        <f t="shared" si="13"/>
        <v>9530.08</v>
      </c>
      <c r="AN123" s="125">
        <f>AH123*Valores!$C$67</f>
        <v>-16113.354399999995</v>
      </c>
      <c r="AO123" s="125">
        <f>AH123*-Valores!$C$68</f>
        <v>0</v>
      </c>
      <c r="AP123" s="125">
        <f>AH123*Valores!$C$69</f>
        <v>-6591.826799999997</v>
      </c>
      <c r="AQ123" s="125">
        <f>Valores!$C$96</f>
        <v>-280.91</v>
      </c>
      <c r="AR123" s="125">
        <f>IF($F$5=0,Valores!$C$97,(Valores!$C$97+$F$5*(Valores!$C$97)))</f>
        <v>-658</v>
      </c>
      <c r="AS123" s="125">
        <f t="shared" si="16"/>
        <v>132371.02879999997</v>
      </c>
      <c r="AT123" s="125">
        <f t="shared" si="10"/>
        <v>-16113.354399999995</v>
      </c>
      <c r="AU123" s="125">
        <f>AH123*Valores!$C$70</f>
        <v>-3955.0960799999984</v>
      </c>
      <c r="AV123" s="125">
        <f>AH123*Valores!$C$71</f>
        <v>-439.45511999999985</v>
      </c>
      <c r="AW123" s="125">
        <f t="shared" si="14"/>
        <v>135507.21439999994</v>
      </c>
      <c r="AX123" s="126"/>
      <c r="AY123" s="126"/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3">
        <v>1735</v>
      </c>
      <c r="F124" s="125">
        <f>ROUND(E124*Valores!$C$2,2)</f>
        <v>37161.62</v>
      </c>
      <c r="G124" s="193">
        <v>0</v>
      </c>
      <c r="H124" s="125">
        <f>ROUND(G124*Valores!$C$2,2)</f>
        <v>0</v>
      </c>
      <c r="I124" s="193">
        <v>0</v>
      </c>
      <c r="J124" s="125">
        <f>ROUND(I124*Valores!$C$2,2)</f>
        <v>0</v>
      </c>
      <c r="K124" s="193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7567.04</v>
      </c>
      <c r="N124" s="125">
        <f t="shared" si="11"/>
        <v>0</v>
      </c>
      <c r="O124" s="125">
        <f>Valores!$C$16</f>
        <v>18508.63</v>
      </c>
      <c r="P124" s="125">
        <f>Valores!$D$5</f>
        <v>10949.29</v>
      </c>
      <c r="Q124" s="125">
        <v>0</v>
      </c>
      <c r="R124" s="125">
        <f>IF($F$4="NO",Valores!$C$42,Valores!$C$42/2)</f>
        <v>3200.97</v>
      </c>
      <c r="S124" s="125">
        <f>Valores!$C$20</f>
        <v>10084.32</v>
      </c>
      <c r="T124" s="125">
        <f t="shared" si="17"/>
        <v>10084.32</v>
      </c>
      <c r="U124" s="125">
        <v>0</v>
      </c>
      <c r="V124" s="125">
        <v>0</v>
      </c>
      <c r="W124" s="193">
        <v>0</v>
      </c>
      <c r="X124" s="125">
        <f>ROUND(W124*Valores!$C$2,2)</f>
        <v>0</v>
      </c>
      <c r="Y124" s="125">
        <v>0</v>
      </c>
      <c r="Z124" s="125">
        <f>Valores!$C$90</f>
        <v>4899.43</v>
      </c>
      <c r="AA124" s="125">
        <f>Valores!$C$25</f>
        <v>447.83</v>
      </c>
      <c r="AB124" s="215">
        <v>0</v>
      </c>
      <c r="AC124" s="125">
        <f t="shared" si="12"/>
        <v>0</v>
      </c>
      <c r="AD124" s="125">
        <f>Valores!$C$26</f>
        <v>447.83</v>
      </c>
      <c r="AE124" s="193">
        <v>0</v>
      </c>
      <c r="AF124" s="125">
        <f>ROUND(AE124*Valores!$C$2,2)</f>
        <v>0</v>
      </c>
      <c r="AG124" s="125">
        <f>ROUND(IF($F$4="NO",Valores!$C$59,Valores!$C$59/2),2)</f>
        <v>3171.17</v>
      </c>
      <c r="AH124" s="125">
        <f t="shared" si="15"/>
        <v>96438.13000000002</v>
      </c>
      <c r="AI124" s="125">
        <f>Valores!$C$31</f>
        <v>4980.08</v>
      </c>
      <c r="AJ124" s="125">
        <f>Valores!$C$83</f>
        <v>2275</v>
      </c>
      <c r="AK124" s="125">
        <f>Valores!C$38*B124</f>
        <v>0</v>
      </c>
      <c r="AL124" s="125">
        <f>IF($F$3="NO",0,Valores!$C$52)</f>
        <v>0</v>
      </c>
      <c r="AM124" s="125">
        <f t="shared" si="13"/>
        <v>7255.08</v>
      </c>
      <c r="AN124" s="125">
        <f>AH124*Valores!$C$67</f>
        <v>-10608.194300000003</v>
      </c>
      <c r="AO124" s="125">
        <f>AH124*-Valores!$C$68</f>
        <v>0</v>
      </c>
      <c r="AP124" s="125">
        <f>AH124*Valores!$C$69</f>
        <v>-4339.7158500000005</v>
      </c>
      <c r="AQ124" s="125">
        <f>Valores!$C$96</f>
        <v>-280.91</v>
      </c>
      <c r="AR124" s="125">
        <f>IF($F$5=0,Valores!$C$97,(Valores!$C$97+$F$5*(Valores!$C$97)))</f>
        <v>-658</v>
      </c>
      <c r="AS124" s="125">
        <f t="shared" si="16"/>
        <v>87806.38985000002</v>
      </c>
      <c r="AT124" s="125">
        <f t="shared" si="10"/>
        <v>-10608.194300000003</v>
      </c>
      <c r="AU124" s="125">
        <f>AH124*Valores!$C$70</f>
        <v>-2603.8295100000005</v>
      </c>
      <c r="AV124" s="125">
        <f>AH124*Valores!$C$71</f>
        <v>-289.31439000000006</v>
      </c>
      <c r="AW124" s="125">
        <f t="shared" si="14"/>
        <v>90191.87180000002</v>
      </c>
      <c r="AX124" s="126"/>
      <c r="AY124" s="126"/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3">
        <v>72</v>
      </c>
      <c r="F125" s="125">
        <f>ROUND(E125*Valores!$C$2,2)</f>
        <v>1542.15</v>
      </c>
      <c r="G125" s="193">
        <v>1590</v>
      </c>
      <c r="H125" s="125">
        <f>ROUND(G125*Valores!$C$2,2)</f>
        <v>34055.89</v>
      </c>
      <c r="I125" s="193">
        <v>0</v>
      </c>
      <c r="J125" s="125">
        <f>ROUND(I125*Valores!$C$2,2)</f>
        <v>0</v>
      </c>
      <c r="K125" s="193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7332.5</v>
      </c>
      <c r="N125" s="125">
        <f t="shared" si="11"/>
        <v>0</v>
      </c>
      <c r="O125" s="125">
        <f>Valores!$C$16</f>
        <v>18508.63</v>
      </c>
      <c r="P125" s="125">
        <f>Valores!$D$5</f>
        <v>10949.29</v>
      </c>
      <c r="Q125" s="125">
        <f>Valores!$C$22</f>
        <v>9768.51</v>
      </c>
      <c r="R125" s="125">
        <f>IF($F$4="NO",Valores!$C$42,Valores!$C$42/2)</f>
        <v>3200.97</v>
      </c>
      <c r="S125" s="125">
        <f>Valores!$C$20</f>
        <v>10084.32</v>
      </c>
      <c r="T125" s="125">
        <f t="shared" si="17"/>
        <v>10084.32</v>
      </c>
      <c r="U125" s="125">
        <v>0</v>
      </c>
      <c r="V125" s="125">
        <v>0</v>
      </c>
      <c r="W125" s="193">
        <v>0</v>
      </c>
      <c r="X125" s="125">
        <f>ROUND(W125*Valores!$C$2,2)</f>
        <v>0</v>
      </c>
      <c r="Y125" s="125">
        <v>0</v>
      </c>
      <c r="Z125" s="125">
        <f>Valores!$C$90</f>
        <v>4899.43</v>
      </c>
      <c r="AA125" s="125">
        <f>Valores!$C$25</f>
        <v>447.83</v>
      </c>
      <c r="AB125" s="215">
        <v>0</v>
      </c>
      <c r="AC125" s="125">
        <f t="shared" si="12"/>
        <v>0</v>
      </c>
      <c r="AD125" s="125">
        <f>Valores!$C$26</f>
        <v>447.83</v>
      </c>
      <c r="AE125" s="193">
        <v>0</v>
      </c>
      <c r="AF125" s="125">
        <f>ROUND(AE125*Valores!$C$2,2)</f>
        <v>0</v>
      </c>
      <c r="AG125" s="125">
        <f>ROUND(IF($F$4="NO",Valores!$C$59,Valores!$C$59/2),2)</f>
        <v>3171.17</v>
      </c>
      <c r="AH125" s="125">
        <f t="shared" si="15"/>
        <v>104408.51999999997</v>
      </c>
      <c r="AI125" s="125">
        <f>Valores!$C$31</f>
        <v>4980.08</v>
      </c>
      <c r="AJ125" s="125">
        <f>Valores!$C$83</f>
        <v>2275</v>
      </c>
      <c r="AK125" s="125">
        <f>Valores!C$38*B125</f>
        <v>0</v>
      </c>
      <c r="AL125" s="125">
        <f>IF($F$3="NO",0,Valores!$C$52)</f>
        <v>0</v>
      </c>
      <c r="AM125" s="125">
        <f t="shared" si="13"/>
        <v>7255.08</v>
      </c>
      <c r="AN125" s="125">
        <f>AH125*Valores!$C$67</f>
        <v>-11484.937199999997</v>
      </c>
      <c r="AO125" s="125">
        <f>AH125*-Valores!$C$68</f>
        <v>0</v>
      </c>
      <c r="AP125" s="125">
        <f>AH125*Valores!$C$69</f>
        <v>-4698.383399999999</v>
      </c>
      <c r="AQ125" s="125">
        <f>Valores!$C$96</f>
        <v>-280.91</v>
      </c>
      <c r="AR125" s="125">
        <f>IF($F$5=0,Valores!$C$97,(Valores!$C$97+$F$5*(Valores!$C$97)))</f>
        <v>-658</v>
      </c>
      <c r="AS125" s="125">
        <f t="shared" si="16"/>
        <v>94541.36939999998</v>
      </c>
      <c r="AT125" s="125">
        <f t="shared" si="10"/>
        <v>-11484.937199999997</v>
      </c>
      <c r="AU125" s="125">
        <f>AH125*Valores!$C$70</f>
        <v>-2819.030039999999</v>
      </c>
      <c r="AV125" s="125">
        <f>AH125*Valores!$C$71</f>
        <v>-313.2255599999999</v>
      </c>
      <c r="AW125" s="125">
        <f t="shared" si="14"/>
        <v>97046.40719999999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3">
        <v>72</v>
      </c>
      <c r="F126" s="125">
        <f>ROUND(E126*Valores!$C$2,2)</f>
        <v>1542.15</v>
      </c>
      <c r="G126" s="193">
        <v>1590</v>
      </c>
      <c r="H126" s="125">
        <f>ROUND(G126*Valores!$C$2,2)</f>
        <v>34055.89</v>
      </c>
      <c r="I126" s="193">
        <v>0</v>
      </c>
      <c r="J126" s="125">
        <f>ROUND(I126*Valores!$C$2,2)</f>
        <v>0</v>
      </c>
      <c r="K126" s="193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7332.5</v>
      </c>
      <c r="N126" s="125">
        <f t="shared" si="11"/>
        <v>0</v>
      </c>
      <c r="O126" s="125">
        <f>Valores!$C$16</f>
        <v>18508.63</v>
      </c>
      <c r="P126" s="125">
        <f>Valores!$D$5</f>
        <v>10949.29</v>
      </c>
      <c r="Q126" s="125">
        <f>Valores!$C$22</f>
        <v>9768.51</v>
      </c>
      <c r="R126" s="125">
        <f>IF($F$4="NO",Valores!$C$42,Valores!$C$42/2)</f>
        <v>3200.97</v>
      </c>
      <c r="S126" s="125">
        <f>Valores!$C$20</f>
        <v>10084.32</v>
      </c>
      <c r="T126" s="125">
        <f t="shared" si="17"/>
        <v>10084.32</v>
      </c>
      <c r="U126" s="125">
        <v>0</v>
      </c>
      <c r="V126" s="125">
        <v>0</v>
      </c>
      <c r="W126" s="193">
        <v>0</v>
      </c>
      <c r="X126" s="125">
        <f>ROUND(W126*Valores!$C$2,2)</f>
        <v>0</v>
      </c>
      <c r="Y126" s="125">
        <v>0</v>
      </c>
      <c r="Z126" s="125">
        <f>Valores!$C$90</f>
        <v>4899.43</v>
      </c>
      <c r="AA126" s="125">
        <f>Valores!$C$25</f>
        <v>447.83</v>
      </c>
      <c r="AB126" s="215">
        <v>0</v>
      </c>
      <c r="AC126" s="125">
        <f t="shared" si="12"/>
        <v>0</v>
      </c>
      <c r="AD126" s="125">
        <f>Valores!$C$26</f>
        <v>447.83</v>
      </c>
      <c r="AE126" s="193">
        <v>94</v>
      </c>
      <c r="AF126" s="125">
        <f>ROUND(AE126*Valores!$C$2,2)</f>
        <v>2013.37</v>
      </c>
      <c r="AG126" s="125">
        <f>ROUND(IF($F$4="NO",Valores!$C$59,Valores!$C$59/2),2)</f>
        <v>3171.17</v>
      </c>
      <c r="AH126" s="125">
        <f t="shared" si="15"/>
        <v>106421.88999999997</v>
      </c>
      <c r="AI126" s="125">
        <f>Valores!$C$31</f>
        <v>4980.08</v>
      </c>
      <c r="AJ126" s="125">
        <f>Valores!$C$83</f>
        <v>2275</v>
      </c>
      <c r="AK126" s="125">
        <f>Valores!C$38*B126</f>
        <v>0</v>
      </c>
      <c r="AL126" s="125">
        <f>IF($F$3="NO",0,Valores!$C$52)</f>
        <v>0</v>
      </c>
      <c r="AM126" s="125">
        <f t="shared" si="13"/>
        <v>7255.08</v>
      </c>
      <c r="AN126" s="125">
        <f>AH126*Valores!$C$67</f>
        <v>-11706.407899999997</v>
      </c>
      <c r="AO126" s="125">
        <f>AH126*-Valores!$C$68</f>
        <v>0</v>
      </c>
      <c r="AP126" s="125">
        <f>AH126*Valores!$C$69</f>
        <v>-4788.985049999998</v>
      </c>
      <c r="AQ126" s="125">
        <f>Valores!$C$96</f>
        <v>-280.91</v>
      </c>
      <c r="AR126" s="125">
        <f>IF($F$5=0,Valores!$C$97,(Valores!$C$97+$F$5*(Valores!$C$97)))</f>
        <v>-658</v>
      </c>
      <c r="AS126" s="125">
        <f t="shared" si="16"/>
        <v>96242.66704999997</v>
      </c>
      <c r="AT126" s="125">
        <f t="shared" si="10"/>
        <v>-11706.407899999997</v>
      </c>
      <c r="AU126" s="125">
        <f>AH126*Valores!$C$70</f>
        <v>-2873.3910299999993</v>
      </c>
      <c r="AV126" s="125">
        <f>AH126*Valores!$C$71</f>
        <v>-319.26566999999994</v>
      </c>
      <c r="AW126" s="125">
        <f t="shared" si="14"/>
        <v>98777.90539999997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3">
        <v>77</v>
      </c>
      <c r="F127" s="125">
        <f>ROUND(E127*Valores!$C$2,2)</f>
        <v>1649.25</v>
      </c>
      <c r="G127" s="193">
        <v>2043</v>
      </c>
      <c r="H127" s="125">
        <f>ROUND(G127*Valores!$C$2,2)</f>
        <v>43758.61</v>
      </c>
      <c r="I127" s="193">
        <v>0</v>
      </c>
      <c r="J127" s="125">
        <f>ROUND(I127*Valores!$C$2,2)</f>
        <v>0</v>
      </c>
      <c r="K127" s="193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8883.88</v>
      </c>
      <c r="N127" s="125">
        <f t="shared" si="11"/>
        <v>0</v>
      </c>
      <c r="O127" s="125">
        <f>Valores!$C$11</f>
        <v>19098.54</v>
      </c>
      <c r="P127" s="125">
        <f>Valores!$D$5</f>
        <v>10949.29</v>
      </c>
      <c r="Q127" s="125">
        <f>Valores!$C$22</f>
        <v>9768.51</v>
      </c>
      <c r="R127" s="125">
        <f>IF($F$4="NO",Valores!$C$43,Valores!$C$43/2)</f>
        <v>3629.53</v>
      </c>
      <c r="S127" s="125">
        <f>Valores!$C$19</f>
        <v>10188.49</v>
      </c>
      <c r="T127" s="125">
        <f t="shared" si="17"/>
        <v>10188.49</v>
      </c>
      <c r="U127" s="125">
        <v>0</v>
      </c>
      <c r="V127" s="125">
        <v>0</v>
      </c>
      <c r="W127" s="193">
        <v>0</v>
      </c>
      <c r="X127" s="125">
        <f>ROUND(W127*Valores!$C$2,2)</f>
        <v>0</v>
      </c>
      <c r="Y127" s="125">
        <v>0</v>
      </c>
      <c r="Z127" s="125">
        <f>Valores!$C$90</f>
        <v>4899.43</v>
      </c>
      <c r="AA127" s="125">
        <f>Valores!$C$25</f>
        <v>447.83</v>
      </c>
      <c r="AB127" s="215">
        <v>0</v>
      </c>
      <c r="AC127" s="125">
        <f t="shared" si="12"/>
        <v>0</v>
      </c>
      <c r="AD127" s="125">
        <f>Valores!$C$26</f>
        <v>447.83</v>
      </c>
      <c r="AE127" s="193">
        <v>0</v>
      </c>
      <c r="AF127" s="125">
        <f>ROUND(AE127*Valores!$C$2,2)</f>
        <v>0</v>
      </c>
      <c r="AG127" s="125">
        <f>ROUND(IF($F$4="NO",Valores!$C$59,Valores!$C$59/2),2)</f>
        <v>3171.17</v>
      </c>
      <c r="AH127" s="125">
        <f t="shared" si="15"/>
        <v>116892.36</v>
      </c>
      <c r="AI127" s="125">
        <f>Valores!$C$31</f>
        <v>4980.08</v>
      </c>
      <c r="AJ127" s="125">
        <f>Valores!$C$83</f>
        <v>2275</v>
      </c>
      <c r="AK127" s="125">
        <f>Valores!C$38*B127</f>
        <v>0</v>
      </c>
      <c r="AL127" s="125">
        <f>IF($F$3="NO",0,Valores!$C$52)</f>
        <v>0</v>
      </c>
      <c r="AM127" s="125">
        <f t="shared" si="13"/>
        <v>7255.08</v>
      </c>
      <c r="AN127" s="125">
        <f>AH127*Valores!$C$67</f>
        <v>-12858.1596</v>
      </c>
      <c r="AO127" s="125">
        <f>AH127*-Valores!$C$68</f>
        <v>0</v>
      </c>
      <c r="AP127" s="125">
        <f>AH127*Valores!$C$69</f>
        <v>-5260.156199999999</v>
      </c>
      <c r="AQ127" s="125">
        <f>Valores!$C$96</f>
        <v>-280.91</v>
      </c>
      <c r="AR127" s="125">
        <f>IF($F$5=0,Valores!$C$97,(Valores!$C$97+$F$5*(Valores!$C$97)))</f>
        <v>-658</v>
      </c>
      <c r="AS127" s="125">
        <f t="shared" si="16"/>
        <v>105090.2142</v>
      </c>
      <c r="AT127" s="125">
        <f t="shared" si="10"/>
        <v>-12858.1596</v>
      </c>
      <c r="AU127" s="125">
        <f>AH127*Valores!$C$70</f>
        <v>-3156.09372</v>
      </c>
      <c r="AV127" s="125">
        <f>AH127*Valores!$C$71</f>
        <v>-350.67708</v>
      </c>
      <c r="AW127" s="125">
        <f t="shared" si="14"/>
        <v>107782.5096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3">
        <v>61</v>
      </c>
      <c r="F128" s="125">
        <f>ROUND(E128*Valores!$C$2,2)</f>
        <v>1306.55</v>
      </c>
      <c r="G128" s="193">
        <v>1217</v>
      </c>
      <c r="H128" s="125">
        <f>ROUND(G128*Valores!$C$2,2)</f>
        <v>26066.68</v>
      </c>
      <c r="I128" s="193">
        <v>0</v>
      </c>
      <c r="J128" s="125">
        <f>ROUND(I128*Valores!$C$2,2)</f>
        <v>0</v>
      </c>
      <c r="K128" s="193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6114.4</v>
      </c>
      <c r="N128" s="125">
        <f t="shared" si="11"/>
        <v>0</v>
      </c>
      <c r="O128" s="125">
        <f>Valores!$C$16</f>
        <v>18508.63</v>
      </c>
      <c r="P128" s="125">
        <f>Valores!$D$5</f>
        <v>10949.29</v>
      </c>
      <c r="Q128" s="125">
        <f>Valores!$C$22</f>
        <v>9768.51</v>
      </c>
      <c r="R128" s="125">
        <f>IF($F$4="NO",Valores!$C$42,Valores!$C$42/2)</f>
        <v>3200.97</v>
      </c>
      <c r="S128" s="125">
        <f>Valores!$C$19</f>
        <v>10188.49</v>
      </c>
      <c r="T128" s="125">
        <f t="shared" si="17"/>
        <v>10188.49</v>
      </c>
      <c r="U128" s="125">
        <v>0</v>
      </c>
      <c r="V128" s="125">
        <v>0</v>
      </c>
      <c r="W128" s="193">
        <v>0</v>
      </c>
      <c r="X128" s="125">
        <f>ROUND(W128*Valores!$C$2,2)</f>
        <v>0</v>
      </c>
      <c r="Y128" s="125">
        <v>0</v>
      </c>
      <c r="Z128" s="125">
        <f>Valores!$C$90</f>
        <v>4899.43</v>
      </c>
      <c r="AA128" s="125">
        <f>Valores!$C$25</f>
        <v>447.83</v>
      </c>
      <c r="AB128" s="215">
        <v>0</v>
      </c>
      <c r="AC128" s="125">
        <f t="shared" si="12"/>
        <v>0</v>
      </c>
      <c r="AD128" s="125">
        <f>Valores!$C$26</f>
        <v>447.83</v>
      </c>
      <c r="AE128" s="193">
        <v>0</v>
      </c>
      <c r="AF128" s="125">
        <f>ROUND(AE128*Valores!$C$2,2)</f>
        <v>0</v>
      </c>
      <c r="AG128" s="125">
        <f>ROUND(IF($F$4="NO",Valores!$C$59,Valores!$C$59/2),2)</f>
        <v>3171.17</v>
      </c>
      <c r="AH128" s="125">
        <f t="shared" si="15"/>
        <v>95069.78000000001</v>
      </c>
      <c r="AI128" s="125">
        <f>Valores!$C$31</f>
        <v>4980.08</v>
      </c>
      <c r="AJ128" s="125">
        <f>Valores!$C$83</f>
        <v>2275</v>
      </c>
      <c r="AK128" s="125">
        <f>Valores!C$38*B128</f>
        <v>0</v>
      </c>
      <c r="AL128" s="125">
        <f>IF($F$3="NO",0,Valores!$C$52)</f>
        <v>0</v>
      </c>
      <c r="AM128" s="125">
        <f t="shared" si="13"/>
        <v>7255.08</v>
      </c>
      <c r="AN128" s="125">
        <f>AH128*Valores!$C$67</f>
        <v>-10457.6758</v>
      </c>
      <c r="AO128" s="125">
        <f>AH128*-Valores!$C$68</f>
        <v>0</v>
      </c>
      <c r="AP128" s="125">
        <f>AH128*Valores!$C$69</f>
        <v>-4278.1401000000005</v>
      </c>
      <c r="AQ128" s="125">
        <f>Valores!$C$96</f>
        <v>-280.91</v>
      </c>
      <c r="AR128" s="125">
        <f>IF($F$5=0,Valores!$C$97,(Valores!$C$97+$F$5*(Valores!$C$97)))</f>
        <v>-658</v>
      </c>
      <c r="AS128" s="125">
        <f t="shared" si="16"/>
        <v>86650.13410000001</v>
      </c>
      <c r="AT128" s="125">
        <f t="shared" si="10"/>
        <v>-10457.6758</v>
      </c>
      <c r="AU128" s="125">
        <f>AH128*Valores!$C$70</f>
        <v>-2566.8840600000003</v>
      </c>
      <c r="AV128" s="125">
        <f>AH128*Valores!$C$71</f>
        <v>-285.20934000000005</v>
      </c>
      <c r="AW128" s="125">
        <f t="shared" si="14"/>
        <v>89015.09080000002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3">
        <v>72</v>
      </c>
      <c r="F129" s="125">
        <f>ROUND(E129*Valores!$C$2,2)</f>
        <v>1542.15</v>
      </c>
      <c r="G129" s="193">
        <v>1206</v>
      </c>
      <c r="H129" s="125">
        <f>ROUND(G129*Valores!$C$2,2)</f>
        <v>25831.07</v>
      </c>
      <c r="I129" s="193">
        <v>0</v>
      </c>
      <c r="J129" s="125">
        <f>ROUND(I129*Valores!$C$2,2)</f>
        <v>0</v>
      </c>
      <c r="K129" s="193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6114.4</v>
      </c>
      <c r="N129" s="125">
        <f t="shared" si="11"/>
        <v>0</v>
      </c>
      <c r="O129" s="125">
        <f>Valores!$C$16</f>
        <v>18508.63</v>
      </c>
      <c r="P129" s="125">
        <f>Valores!$D$5</f>
        <v>10949.29</v>
      </c>
      <c r="Q129" s="125">
        <f>Valores!$C$22</f>
        <v>9768.51</v>
      </c>
      <c r="R129" s="125">
        <f>IF($F$4="NO",Valores!$C$42,Valores!$C$42/2)</f>
        <v>3200.97</v>
      </c>
      <c r="S129" s="125">
        <f>Valores!$C$19</f>
        <v>10188.49</v>
      </c>
      <c r="T129" s="125">
        <f t="shared" si="17"/>
        <v>10188.49</v>
      </c>
      <c r="U129" s="125">
        <v>0</v>
      </c>
      <c r="V129" s="125">
        <v>0</v>
      </c>
      <c r="W129" s="193">
        <v>0</v>
      </c>
      <c r="X129" s="125">
        <f>ROUND(W129*Valores!$C$2,2)</f>
        <v>0</v>
      </c>
      <c r="Y129" s="125">
        <v>0</v>
      </c>
      <c r="Z129" s="125">
        <f>Valores!$C$90</f>
        <v>4899.43</v>
      </c>
      <c r="AA129" s="125">
        <f>Valores!$C$25</f>
        <v>447.83</v>
      </c>
      <c r="AB129" s="215">
        <v>0</v>
      </c>
      <c r="AC129" s="125">
        <f t="shared" si="12"/>
        <v>0</v>
      </c>
      <c r="AD129" s="125">
        <f>Valores!$C$26</f>
        <v>447.83</v>
      </c>
      <c r="AE129" s="193">
        <v>94</v>
      </c>
      <c r="AF129" s="125">
        <f>ROUND(AE129*Valores!$C$2,2)</f>
        <v>2013.37</v>
      </c>
      <c r="AG129" s="125">
        <f>ROUND(IF($F$4="NO",Valores!$C$59,Valores!$C$59/2),2)</f>
        <v>3171.17</v>
      </c>
      <c r="AH129" s="125">
        <f t="shared" si="15"/>
        <v>97083.14</v>
      </c>
      <c r="AI129" s="125">
        <f>Valores!$C$31</f>
        <v>4980.08</v>
      </c>
      <c r="AJ129" s="125">
        <f>Valores!$C$83</f>
        <v>2275</v>
      </c>
      <c r="AK129" s="125">
        <f>Valores!C$38*B129</f>
        <v>0</v>
      </c>
      <c r="AL129" s="125">
        <f>IF($F$3="NO",0,Valores!$C$52)</f>
        <v>0</v>
      </c>
      <c r="AM129" s="125">
        <f t="shared" si="13"/>
        <v>7255.08</v>
      </c>
      <c r="AN129" s="125">
        <f>AH129*Valores!$C$67</f>
        <v>-10679.1454</v>
      </c>
      <c r="AO129" s="125">
        <f>AH129*-Valores!$C$68</f>
        <v>0</v>
      </c>
      <c r="AP129" s="125">
        <f>AH129*Valores!$C$69</f>
        <v>-4368.7413</v>
      </c>
      <c r="AQ129" s="125">
        <f>Valores!$C$96</f>
        <v>-280.91</v>
      </c>
      <c r="AR129" s="125">
        <f>IF($F$5=0,Valores!$C$97,(Valores!$C$97+$F$5*(Valores!$C$97)))</f>
        <v>-658</v>
      </c>
      <c r="AS129" s="125">
        <f t="shared" si="16"/>
        <v>88351.4233</v>
      </c>
      <c r="AT129" s="125">
        <f t="shared" si="10"/>
        <v>-10679.1454</v>
      </c>
      <c r="AU129" s="125">
        <f>AH129*Valores!$C$70</f>
        <v>-2621.24478</v>
      </c>
      <c r="AV129" s="125">
        <f>AH129*Valores!$C$71</f>
        <v>-291.24942</v>
      </c>
      <c r="AW129" s="125">
        <f t="shared" si="14"/>
        <v>90746.5804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3">
        <v>61</v>
      </c>
      <c r="F130" s="125">
        <f>ROUND(E130*Valores!$C$2,2)</f>
        <v>1306.55</v>
      </c>
      <c r="G130" s="193">
        <v>1217</v>
      </c>
      <c r="H130" s="125">
        <f>ROUND(G130*Valores!$C$2,2)</f>
        <v>26066.68</v>
      </c>
      <c r="I130" s="193">
        <v>0</v>
      </c>
      <c r="J130" s="125">
        <f>ROUND(I130*Valores!$C$2,2)</f>
        <v>0</v>
      </c>
      <c r="K130" s="193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6098.78</v>
      </c>
      <c r="N130" s="125">
        <f t="shared" si="11"/>
        <v>0</v>
      </c>
      <c r="O130" s="125">
        <f>Valores!$C$16</f>
        <v>18508.63</v>
      </c>
      <c r="P130" s="125">
        <f>Valores!$D$5</f>
        <v>10949.29</v>
      </c>
      <c r="Q130" s="125">
        <v>0</v>
      </c>
      <c r="R130" s="125">
        <f>IF($F$4="NO",Valores!$C$42,Valores!$C$42/2)</f>
        <v>3200.97</v>
      </c>
      <c r="S130" s="125">
        <f>Valores!$C$20</f>
        <v>10084.32</v>
      </c>
      <c r="T130" s="125">
        <f t="shared" si="17"/>
        <v>10084.32</v>
      </c>
      <c r="U130" s="125">
        <v>0</v>
      </c>
      <c r="V130" s="125">
        <v>0</v>
      </c>
      <c r="W130" s="193">
        <v>0</v>
      </c>
      <c r="X130" s="125">
        <f>ROUND(W130*Valores!$C$2,2)</f>
        <v>0</v>
      </c>
      <c r="Y130" s="125">
        <v>0</v>
      </c>
      <c r="Z130" s="125">
        <f>Valores!$C$90</f>
        <v>4899.43</v>
      </c>
      <c r="AA130" s="125">
        <f>Valores!$C$25</f>
        <v>447.83</v>
      </c>
      <c r="AB130" s="215">
        <v>0</v>
      </c>
      <c r="AC130" s="125">
        <f t="shared" si="12"/>
        <v>0</v>
      </c>
      <c r="AD130" s="125">
        <f>Valores!$C$26</f>
        <v>447.83</v>
      </c>
      <c r="AE130" s="193">
        <v>0</v>
      </c>
      <c r="AF130" s="125">
        <f>ROUND(AE130*Valores!$C$2,2)</f>
        <v>0</v>
      </c>
      <c r="AG130" s="125">
        <f>ROUND(IF($F$4="NO",Valores!$C$59,Valores!$C$59/2),2)</f>
        <v>3171.17</v>
      </c>
      <c r="AH130" s="125">
        <f t="shared" si="15"/>
        <v>85181.48</v>
      </c>
      <c r="AI130" s="125">
        <f>Valores!$C$31</f>
        <v>4980.08</v>
      </c>
      <c r="AJ130" s="125">
        <f>Valores!$C$83</f>
        <v>2275</v>
      </c>
      <c r="AK130" s="125">
        <f>Valores!C$38*B130</f>
        <v>0</v>
      </c>
      <c r="AL130" s="125">
        <f>IF($F$3="NO",0,Valores!$C$52)</f>
        <v>0</v>
      </c>
      <c r="AM130" s="125">
        <f t="shared" si="13"/>
        <v>7255.08</v>
      </c>
      <c r="AN130" s="125">
        <f>AH130*Valores!$C$67</f>
        <v>-9369.9628</v>
      </c>
      <c r="AO130" s="125">
        <f>AH130*-Valores!$C$68</f>
        <v>0</v>
      </c>
      <c r="AP130" s="125">
        <f>AH130*Valores!$C$69</f>
        <v>-3833.1665999999996</v>
      </c>
      <c r="AQ130" s="125">
        <f>Valores!$C$96</f>
        <v>-280.91</v>
      </c>
      <c r="AR130" s="125">
        <f>IF($F$5=0,Valores!$C$97,(Valores!$C$97+$F$5*(Valores!$C$97)))</f>
        <v>-658</v>
      </c>
      <c r="AS130" s="125">
        <f t="shared" si="16"/>
        <v>78294.5206</v>
      </c>
      <c r="AT130" s="125">
        <f t="shared" si="10"/>
        <v>-9369.9628</v>
      </c>
      <c r="AU130" s="125">
        <f>AH130*Valores!$C$70</f>
        <v>-2299.8999599999997</v>
      </c>
      <c r="AV130" s="125">
        <f>AH130*Valores!$C$71</f>
        <v>-255.54443999999998</v>
      </c>
      <c r="AW130" s="125">
        <f t="shared" si="14"/>
        <v>80511.1528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3">
        <v>1278</v>
      </c>
      <c r="F131" s="125">
        <f>ROUND(E131*Valores!$C$2,2)</f>
        <v>27373.23</v>
      </c>
      <c r="G131" s="193">
        <v>0</v>
      </c>
      <c r="H131" s="125">
        <f>ROUND(G131*Valores!$C$2,2)</f>
        <v>0</v>
      </c>
      <c r="I131" s="193">
        <v>0</v>
      </c>
      <c r="J131" s="125">
        <f>ROUND(I131*Valores!$C$2,2)</f>
        <v>0</v>
      </c>
      <c r="K131" s="193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6163.06</v>
      </c>
      <c r="N131" s="125">
        <f t="shared" si="11"/>
        <v>0</v>
      </c>
      <c r="O131" s="125">
        <f>Valores!$C$16</f>
        <v>18508.63</v>
      </c>
      <c r="P131" s="125">
        <f>Valores!$D$5</f>
        <v>10949.29</v>
      </c>
      <c r="Q131" s="125">
        <f>Valores!$C$22</f>
        <v>9768.51</v>
      </c>
      <c r="R131" s="125">
        <f>IF($F$4="NO",Valores!$C$43,Valores!$C$43/2)</f>
        <v>3629.53</v>
      </c>
      <c r="S131" s="125">
        <f>Valores!$C$20</f>
        <v>10084.32</v>
      </c>
      <c r="T131" s="125">
        <f t="shared" si="17"/>
        <v>10084.32</v>
      </c>
      <c r="U131" s="125">
        <v>0</v>
      </c>
      <c r="V131" s="125">
        <v>0</v>
      </c>
      <c r="W131" s="193">
        <v>0</v>
      </c>
      <c r="X131" s="125">
        <f>ROUND(W131*Valores!$C$2,2)</f>
        <v>0</v>
      </c>
      <c r="Y131" s="125">
        <v>0</v>
      </c>
      <c r="Z131" s="125">
        <f>Valores!$C$90</f>
        <v>4899.43</v>
      </c>
      <c r="AA131" s="125">
        <f>Valores!$C$25</f>
        <v>447.83</v>
      </c>
      <c r="AB131" s="215">
        <v>0</v>
      </c>
      <c r="AC131" s="125">
        <f t="shared" si="12"/>
        <v>0</v>
      </c>
      <c r="AD131" s="125">
        <f>Valores!$C$26</f>
        <v>447.83</v>
      </c>
      <c r="AE131" s="193">
        <v>0</v>
      </c>
      <c r="AF131" s="125">
        <f>ROUND(AE131*Valores!$C$2,2)</f>
        <v>0</v>
      </c>
      <c r="AG131" s="125">
        <f>ROUND(IF($F$4="NO",Valores!$C$59,Valores!$C$59/2),2)</f>
        <v>3171.17</v>
      </c>
      <c r="AH131" s="125">
        <f t="shared" si="15"/>
        <v>95442.83</v>
      </c>
      <c r="AI131" s="125">
        <f>Valores!$C$31</f>
        <v>4980.08</v>
      </c>
      <c r="AJ131" s="125">
        <f>Valores!$C$83</f>
        <v>2275</v>
      </c>
      <c r="AK131" s="125">
        <f>Valores!C$38*B131</f>
        <v>0</v>
      </c>
      <c r="AL131" s="125">
        <f>IF($F$3="NO",0,Valores!$C$52)</f>
        <v>0</v>
      </c>
      <c r="AM131" s="125">
        <f t="shared" si="13"/>
        <v>7255.08</v>
      </c>
      <c r="AN131" s="125">
        <f>AH131*Valores!$C$67</f>
        <v>-10498.7113</v>
      </c>
      <c r="AO131" s="125">
        <f>AH131*-Valores!$C$68</f>
        <v>0</v>
      </c>
      <c r="AP131" s="125">
        <f>AH131*Valores!$C$69</f>
        <v>-4294.92735</v>
      </c>
      <c r="AQ131" s="125">
        <f>Valores!$C$96</f>
        <v>-280.91</v>
      </c>
      <c r="AR131" s="125">
        <f>IF($F$5=0,Valores!$C$97,(Valores!$C$97+$F$5*(Valores!$C$97)))</f>
        <v>-658</v>
      </c>
      <c r="AS131" s="125">
        <f t="shared" si="16"/>
        <v>86965.36135</v>
      </c>
      <c r="AT131" s="125">
        <f t="shared" si="10"/>
        <v>-10498.7113</v>
      </c>
      <c r="AU131" s="125">
        <f>AH131*Valores!$C$70</f>
        <v>-2576.9564100000002</v>
      </c>
      <c r="AV131" s="125">
        <f>AH131*Valores!$C$71</f>
        <v>-286.32849</v>
      </c>
      <c r="AW131" s="125">
        <f t="shared" si="14"/>
        <v>89335.91380000001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3">
        <v>1278</v>
      </c>
      <c r="F132" s="125">
        <f>ROUND(E132*Valores!$C$2,2)</f>
        <v>27373.23</v>
      </c>
      <c r="G132" s="193">
        <v>0</v>
      </c>
      <c r="H132" s="125">
        <f>ROUND(G132*Valores!$C$2,2)</f>
        <v>0</v>
      </c>
      <c r="I132" s="193">
        <v>0</v>
      </c>
      <c r="J132" s="125">
        <f>ROUND(I132*Valores!$C$2,2)</f>
        <v>0</v>
      </c>
      <c r="K132" s="193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6178.69</v>
      </c>
      <c r="N132" s="125">
        <f t="shared" si="11"/>
        <v>0</v>
      </c>
      <c r="O132" s="125">
        <f>Valores!$C$16</f>
        <v>18508.63</v>
      </c>
      <c r="P132" s="125">
        <f>Valores!$D$5</f>
        <v>10949.29</v>
      </c>
      <c r="Q132" s="125">
        <f>Valores!$C$22</f>
        <v>9768.51</v>
      </c>
      <c r="R132" s="125">
        <f>IF($F$4="NO",Valores!$C$43,Valores!$C$43/2)</f>
        <v>3629.53</v>
      </c>
      <c r="S132" s="125">
        <f>Valores!$C$19</f>
        <v>10188.49</v>
      </c>
      <c r="T132" s="125">
        <f t="shared" si="17"/>
        <v>10188.49</v>
      </c>
      <c r="U132" s="125">
        <v>0</v>
      </c>
      <c r="V132" s="125">
        <v>0</v>
      </c>
      <c r="W132" s="193">
        <v>0</v>
      </c>
      <c r="X132" s="125">
        <f>ROUND(W132*Valores!$C$2,2)</f>
        <v>0</v>
      </c>
      <c r="Y132" s="125">
        <v>0</v>
      </c>
      <c r="Z132" s="125">
        <f>Valores!$C$90</f>
        <v>4899.43</v>
      </c>
      <c r="AA132" s="125">
        <f>Valores!$C$25</f>
        <v>447.83</v>
      </c>
      <c r="AB132" s="215">
        <v>0</v>
      </c>
      <c r="AC132" s="125">
        <f t="shared" si="12"/>
        <v>0</v>
      </c>
      <c r="AD132" s="125">
        <f>Valores!$C$26</f>
        <v>447.83</v>
      </c>
      <c r="AE132" s="193">
        <v>94</v>
      </c>
      <c r="AF132" s="125">
        <f>ROUND(AE132*Valores!$C$2,2)</f>
        <v>2013.37</v>
      </c>
      <c r="AG132" s="125">
        <f>ROUND(IF($F$4="NO",Valores!$C$59,Valores!$C$59/2),2)</f>
        <v>3171.17</v>
      </c>
      <c r="AH132" s="125">
        <f t="shared" si="15"/>
        <v>97576.00000000001</v>
      </c>
      <c r="AI132" s="125">
        <f>Valores!$C$31</f>
        <v>4980.08</v>
      </c>
      <c r="AJ132" s="125">
        <f>Valores!$C$83</f>
        <v>2275</v>
      </c>
      <c r="AK132" s="125">
        <f>Valores!C$38*B132</f>
        <v>0</v>
      </c>
      <c r="AL132" s="125">
        <f>IF($F$3="NO",0,Valores!$C$52)</f>
        <v>0</v>
      </c>
      <c r="AM132" s="125">
        <f t="shared" si="13"/>
        <v>7255.08</v>
      </c>
      <c r="AN132" s="125">
        <f>AH132*Valores!$C$67</f>
        <v>-10733.360000000002</v>
      </c>
      <c r="AO132" s="125">
        <f>AH132*-Valores!$C$68</f>
        <v>0</v>
      </c>
      <c r="AP132" s="125">
        <f>AH132*Valores!$C$69</f>
        <v>-4390.92</v>
      </c>
      <c r="AQ132" s="125">
        <f>Valores!$C$96</f>
        <v>-280.91</v>
      </c>
      <c r="AR132" s="125">
        <f>IF($F$5=0,Valores!$C$97,(Valores!$C$97+$F$5*(Valores!$C$97)))</f>
        <v>-658</v>
      </c>
      <c r="AS132" s="125">
        <f t="shared" si="16"/>
        <v>88767.89000000001</v>
      </c>
      <c r="AT132" s="125">
        <f t="shared" si="10"/>
        <v>-10733.360000000002</v>
      </c>
      <c r="AU132" s="125">
        <f>AH132*Valores!$C$70</f>
        <v>-2634.5520000000006</v>
      </c>
      <c r="AV132" s="125">
        <f>AH132*Valores!$C$71</f>
        <v>-292.72800000000007</v>
      </c>
      <c r="AW132" s="125">
        <f t="shared" si="14"/>
        <v>91170.44000000002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3">
        <v>936</v>
      </c>
      <c r="F133" s="125">
        <f>ROUND(E133*Valores!$C$2,2)</f>
        <v>20048</v>
      </c>
      <c r="G133" s="193">
        <v>0</v>
      </c>
      <c r="H133" s="125">
        <f>ROUND(G133*Valores!$C$2,2)</f>
        <v>0</v>
      </c>
      <c r="I133" s="193">
        <v>0</v>
      </c>
      <c r="J133" s="125">
        <f>ROUND(I133*Valores!$C$2,2)</f>
        <v>0</v>
      </c>
      <c r="K133" s="193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4999.99</v>
      </c>
      <c r="N133" s="125">
        <f t="shared" si="11"/>
        <v>0</v>
      </c>
      <c r="O133" s="125">
        <f>Valores!$C$16</f>
        <v>18508.63</v>
      </c>
      <c r="P133" s="125">
        <f>Valores!$D$5</f>
        <v>10949.29</v>
      </c>
      <c r="Q133" s="125">
        <f>Valores!$C$23</f>
        <v>9091.88</v>
      </c>
      <c r="R133" s="125">
        <f>IF($F$4="NO",Valores!$C$42,Valores!$C$42/2)</f>
        <v>3200.97</v>
      </c>
      <c r="S133" s="125">
        <f>Valores!$C$20</f>
        <v>10084.32</v>
      </c>
      <c r="T133" s="125">
        <f t="shared" si="17"/>
        <v>10084.32</v>
      </c>
      <c r="U133" s="125">
        <v>0</v>
      </c>
      <c r="V133" s="125">
        <v>0</v>
      </c>
      <c r="W133" s="193">
        <v>0</v>
      </c>
      <c r="X133" s="125">
        <f>ROUND(W133*Valores!$C$2,2)</f>
        <v>0</v>
      </c>
      <c r="Y133" s="125">
        <v>0</v>
      </c>
      <c r="Z133" s="125">
        <f>Valores!$C$90</f>
        <v>4899.43</v>
      </c>
      <c r="AA133" s="125">
        <f>Valores!$C$25</f>
        <v>447.83</v>
      </c>
      <c r="AB133" s="215">
        <v>0</v>
      </c>
      <c r="AC133" s="125">
        <f t="shared" si="12"/>
        <v>0</v>
      </c>
      <c r="AD133" s="125">
        <f>Valores!$C$26</f>
        <v>447.83</v>
      </c>
      <c r="AE133" s="193">
        <v>94</v>
      </c>
      <c r="AF133" s="125">
        <f>ROUND(AE133*Valores!$C$2,2)</f>
        <v>2013.37</v>
      </c>
      <c r="AG133" s="125">
        <f>ROUND(IF($F$4="NO",Valores!$C$59,Valores!$C$59/2),2)</f>
        <v>3171.17</v>
      </c>
      <c r="AH133" s="125">
        <f t="shared" si="15"/>
        <v>87862.70999999998</v>
      </c>
      <c r="AI133" s="125">
        <f>Valores!$C$31</f>
        <v>4980.08</v>
      </c>
      <c r="AJ133" s="125">
        <f>Valores!$C$83</f>
        <v>2275</v>
      </c>
      <c r="AK133" s="125">
        <f>Valores!C$38*B133</f>
        <v>0</v>
      </c>
      <c r="AL133" s="125">
        <f>IF($F$3="NO",0,Valores!$C$52)</f>
        <v>0</v>
      </c>
      <c r="AM133" s="125">
        <f t="shared" si="13"/>
        <v>7255.08</v>
      </c>
      <c r="AN133" s="125">
        <f>AH133*Valores!$C$67</f>
        <v>-9664.898099999997</v>
      </c>
      <c r="AO133" s="125">
        <f>AH133*-Valores!$C$68</f>
        <v>0</v>
      </c>
      <c r="AP133" s="125">
        <f>AH133*Valores!$C$69</f>
        <v>-3953.8219499999987</v>
      </c>
      <c r="AQ133" s="125">
        <f>Valores!$C$96</f>
        <v>-280.91</v>
      </c>
      <c r="AR133" s="125">
        <f>IF($F$5=0,Valores!$C$97,(Valores!$C$97+$F$5*(Valores!$C$97)))</f>
        <v>-658</v>
      </c>
      <c r="AS133" s="125">
        <f t="shared" si="16"/>
        <v>80560.15994999999</v>
      </c>
      <c r="AT133" s="125">
        <f t="shared" si="10"/>
        <v>-9664.898099999997</v>
      </c>
      <c r="AU133" s="125">
        <f>AH133*Valores!$C$70</f>
        <v>-2372.2931699999995</v>
      </c>
      <c r="AV133" s="125">
        <f>AH133*Valores!$C$71</f>
        <v>-263.5881299999999</v>
      </c>
      <c r="AW133" s="125">
        <f t="shared" si="14"/>
        <v>82817.01059999998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3">
        <v>1278</v>
      </c>
      <c r="F134" s="125">
        <f>ROUND(E134*Valores!$C$2,2)</f>
        <v>27373.23</v>
      </c>
      <c r="G134" s="193">
        <v>0</v>
      </c>
      <c r="H134" s="125">
        <f>ROUND(G134*Valores!$C$2,2)</f>
        <v>0</v>
      </c>
      <c r="I134" s="193">
        <v>0</v>
      </c>
      <c r="J134" s="125">
        <f>ROUND(I134*Valores!$C$2,2)</f>
        <v>0</v>
      </c>
      <c r="K134" s="193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6098.78</v>
      </c>
      <c r="N134" s="125">
        <f t="shared" si="11"/>
        <v>0</v>
      </c>
      <c r="O134" s="125">
        <f>Valores!$C$8</f>
        <v>23890.21</v>
      </c>
      <c r="P134" s="125">
        <f>Valores!$D$5</f>
        <v>10949.29</v>
      </c>
      <c r="Q134" s="125">
        <v>0</v>
      </c>
      <c r="R134" s="125">
        <f>IF($F$4="NO",Valores!$C$42,Valores!$C$42/2)</f>
        <v>3200.97</v>
      </c>
      <c r="S134" s="125">
        <f>Valores!$C$20</f>
        <v>10084.32</v>
      </c>
      <c r="T134" s="125">
        <f t="shared" si="17"/>
        <v>10084.32</v>
      </c>
      <c r="U134" s="125">
        <v>0</v>
      </c>
      <c r="V134" s="125">
        <v>0</v>
      </c>
      <c r="W134" s="193">
        <v>0</v>
      </c>
      <c r="X134" s="125">
        <f>ROUND(W134*Valores!$C$2,2)</f>
        <v>0</v>
      </c>
      <c r="Y134" s="125">
        <v>0</v>
      </c>
      <c r="Z134" s="125">
        <f>Valores!$C$90</f>
        <v>4899.43</v>
      </c>
      <c r="AA134" s="125">
        <f>Valores!$C$25</f>
        <v>447.83</v>
      </c>
      <c r="AB134" s="215">
        <v>0</v>
      </c>
      <c r="AC134" s="125">
        <f t="shared" si="12"/>
        <v>0</v>
      </c>
      <c r="AD134" s="125">
        <f>Valores!$C$26</f>
        <v>447.83</v>
      </c>
      <c r="AE134" s="193">
        <v>94</v>
      </c>
      <c r="AF134" s="125">
        <f>ROUND(AE134*Valores!$C$2,2)</f>
        <v>2013.37</v>
      </c>
      <c r="AG134" s="125">
        <f>ROUND(IF($F$4="NO",Valores!$C$59,Valores!$C$59/2),2)</f>
        <v>3171.17</v>
      </c>
      <c r="AH134" s="125">
        <f t="shared" si="15"/>
        <v>92576.43000000001</v>
      </c>
      <c r="AI134" s="125">
        <f>Valores!$C$31</f>
        <v>4980.08</v>
      </c>
      <c r="AJ134" s="125">
        <f>Valores!$C$83</f>
        <v>2275</v>
      </c>
      <c r="AK134" s="125">
        <f>Valores!C$38*B134</f>
        <v>0</v>
      </c>
      <c r="AL134" s="125">
        <f>IF($F$3="NO",0,Valores!$C$52)</f>
        <v>0</v>
      </c>
      <c r="AM134" s="125">
        <f t="shared" si="13"/>
        <v>7255.08</v>
      </c>
      <c r="AN134" s="125">
        <f>AH134*Valores!$C$67</f>
        <v>-10183.4073</v>
      </c>
      <c r="AO134" s="125">
        <f>AH134*-Valores!$C$68</f>
        <v>0</v>
      </c>
      <c r="AP134" s="125">
        <f>AH134*Valores!$C$69</f>
        <v>-4165.939350000001</v>
      </c>
      <c r="AQ134" s="125">
        <f>Valores!$C$96</f>
        <v>-280.91</v>
      </c>
      <c r="AR134" s="125">
        <f>IF($F$5=0,Valores!$C$97,(Valores!$C$97+$F$5*(Valores!$C$97)))</f>
        <v>-658</v>
      </c>
      <c r="AS134" s="125">
        <f t="shared" si="16"/>
        <v>84543.25335000001</v>
      </c>
      <c r="AT134" s="125">
        <f aca="true" t="shared" si="18" ref="AT134:AT196">AN134</f>
        <v>-10183.4073</v>
      </c>
      <c r="AU134" s="125">
        <f>AH134*Valores!$C$70</f>
        <v>-2499.56361</v>
      </c>
      <c r="AV134" s="125">
        <f>AH134*Valores!$C$71</f>
        <v>-277.72929000000005</v>
      </c>
      <c r="AW134" s="125">
        <f t="shared" si="14"/>
        <v>86870.80980000002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3">
        <v>1278</v>
      </c>
      <c r="F135" s="125">
        <f>ROUND(E135*Valores!$C$2,2)</f>
        <v>27373.23</v>
      </c>
      <c r="G135" s="193">
        <v>0</v>
      </c>
      <c r="H135" s="125">
        <f>ROUND(G135*Valores!$C$2,2)</f>
        <v>0</v>
      </c>
      <c r="I135" s="193">
        <v>0</v>
      </c>
      <c r="J135" s="125">
        <f>ROUND(I135*Valores!$C$2,2)</f>
        <v>0</v>
      </c>
      <c r="K135" s="193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6178.69</v>
      </c>
      <c r="N135" s="125">
        <f t="shared" si="11"/>
        <v>0</v>
      </c>
      <c r="O135" s="125">
        <f>Valores!$C$8</f>
        <v>23890.21</v>
      </c>
      <c r="P135" s="125">
        <f>Valores!$D$5</f>
        <v>10949.29</v>
      </c>
      <c r="Q135" s="125">
        <f>Valores!$C$22</f>
        <v>9768.51</v>
      </c>
      <c r="R135" s="125">
        <f>IF($F$4="NO",Valores!$C$43,Valores!$C$43/2)</f>
        <v>3629.53</v>
      </c>
      <c r="S135" s="125">
        <f>Valores!$C$19</f>
        <v>10188.49</v>
      </c>
      <c r="T135" s="125">
        <f t="shared" si="17"/>
        <v>10188.49</v>
      </c>
      <c r="U135" s="125">
        <v>0</v>
      </c>
      <c r="V135" s="125">
        <v>0</v>
      </c>
      <c r="W135" s="193">
        <v>0</v>
      </c>
      <c r="X135" s="125">
        <f>ROUND(W135*Valores!$C$2,2)</f>
        <v>0</v>
      </c>
      <c r="Y135" s="125">
        <v>0</v>
      </c>
      <c r="Z135" s="125">
        <f>Valores!$C$90</f>
        <v>4899.43</v>
      </c>
      <c r="AA135" s="125">
        <f>Valores!$C$25</f>
        <v>447.83</v>
      </c>
      <c r="AB135" s="215">
        <v>0</v>
      </c>
      <c r="AC135" s="125">
        <f t="shared" si="12"/>
        <v>0</v>
      </c>
      <c r="AD135" s="125">
        <f>Valores!$C$26</f>
        <v>447.83</v>
      </c>
      <c r="AE135" s="193">
        <v>0</v>
      </c>
      <c r="AF135" s="125">
        <f>ROUND(AE135*Valores!$C$2,2)</f>
        <v>0</v>
      </c>
      <c r="AG135" s="125">
        <f>ROUND(IF($F$4="NO",Valores!$C$59,Valores!$C$59/2),2)</f>
        <v>3171.17</v>
      </c>
      <c r="AH135" s="125">
        <f t="shared" si="15"/>
        <v>100944.21</v>
      </c>
      <c r="AI135" s="125">
        <f>Valores!$C$31</f>
        <v>4980.08</v>
      </c>
      <c r="AJ135" s="125">
        <f>Valores!$C$83</f>
        <v>2275</v>
      </c>
      <c r="AK135" s="125">
        <f>Valores!C$38*B135</f>
        <v>0</v>
      </c>
      <c r="AL135" s="125">
        <f>IF($F$3="NO",0,Valores!$C$52)</f>
        <v>0</v>
      </c>
      <c r="AM135" s="125">
        <f t="shared" si="13"/>
        <v>7255.08</v>
      </c>
      <c r="AN135" s="125">
        <f>AH135*Valores!$C$67</f>
        <v>-11103.8631</v>
      </c>
      <c r="AO135" s="125">
        <f>AH135*-Valores!$C$68</f>
        <v>0</v>
      </c>
      <c r="AP135" s="125">
        <f>AH135*Valores!$C$69</f>
        <v>-4542.48945</v>
      </c>
      <c r="AQ135" s="125">
        <f>Valores!$C$96</f>
        <v>-280.91</v>
      </c>
      <c r="AR135" s="125">
        <f>IF($F$5=0,Valores!$C$97,(Valores!$C$97+$F$5*(Valores!$C$97)))</f>
        <v>-658</v>
      </c>
      <c r="AS135" s="125">
        <f t="shared" si="16"/>
        <v>91614.02745000001</v>
      </c>
      <c r="AT135" s="125">
        <f t="shared" si="18"/>
        <v>-11103.8631</v>
      </c>
      <c r="AU135" s="125">
        <f>AH135*Valores!$C$70</f>
        <v>-2725.4936700000003</v>
      </c>
      <c r="AV135" s="125">
        <f>AH135*Valores!$C$71</f>
        <v>-302.83263000000005</v>
      </c>
      <c r="AW135" s="125">
        <f t="shared" si="14"/>
        <v>94067.1006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3">
        <v>1278</v>
      </c>
      <c r="F136" s="125">
        <f>ROUND(E136*Valores!$C$2,2)</f>
        <v>27373.23</v>
      </c>
      <c r="G136" s="193">
        <v>0</v>
      </c>
      <c r="H136" s="125">
        <f>ROUND(G136*Valores!$C$2,2)</f>
        <v>0</v>
      </c>
      <c r="I136" s="193">
        <v>0</v>
      </c>
      <c r="J136" s="125">
        <f>ROUND(I136*Valores!$C$2,2)</f>
        <v>0</v>
      </c>
      <c r="K136" s="193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6178.69</v>
      </c>
      <c r="N136" s="125">
        <f aca="true" t="shared" si="19" ref="N136:N199">ROUND(SUM(F136,H136,J136,L136,X136,R136)*$H$2,2)</f>
        <v>0</v>
      </c>
      <c r="O136" s="125">
        <f>Valores!$C$8</f>
        <v>23890.21</v>
      </c>
      <c r="P136" s="125">
        <f>Valores!$D$5</f>
        <v>10949.29</v>
      </c>
      <c r="Q136" s="125">
        <f>Valores!$C$22</f>
        <v>9768.51</v>
      </c>
      <c r="R136" s="125">
        <f>IF($F$4="NO",Valores!$C$43,Valores!$C$43/2)</f>
        <v>3629.53</v>
      </c>
      <c r="S136" s="125">
        <f>Valores!$C$19</f>
        <v>10188.49</v>
      </c>
      <c r="T136" s="125">
        <f t="shared" si="17"/>
        <v>10188.49</v>
      </c>
      <c r="U136" s="125">
        <v>0</v>
      </c>
      <c r="V136" s="125">
        <v>0</v>
      </c>
      <c r="W136" s="193">
        <v>0</v>
      </c>
      <c r="X136" s="125">
        <f>ROUND(W136*Valores!$C$2,2)</f>
        <v>0</v>
      </c>
      <c r="Y136" s="125">
        <v>0</v>
      </c>
      <c r="Z136" s="125">
        <f>Valores!$C$90</f>
        <v>4899.43</v>
      </c>
      <c r="AA136" s="125">
        <f>Valores!$C$25</f>
        <v>447.83</v>
      </c>
      <c r="AB136" s="215">
        <v>0</v>
      </c>
      <c r="AC136" s="125">
        <f aca="true" t="shared" si="20" ref="AC136:AC199">ROUND(SUM(F136,H136,J136,X136,R136)*AB136,2)</f>
        <v>0</v>
      </c>
      <c r="AD136" s="125">
        <f>Valores!$C$26</f>
        <v>447.83</v>
      </c>
      <c r="AE136" s="193">
        <v>0</v>
      </c>
      <c r="AF136" s="125">
        <f>ROUND(AE136*Valores!$C$2,2)</f>
        <v>0</v>
      </c>
      <c r="AG136" s="125">
        <f>ROUND(IF($F$4="NO",Valores!$C$59,Valores!$C$59/2),2)</f>
        <v>3171.17</v>
      </c>
      <c r="AH136" s="125">
        <f t="shared" si="15"/>
        <v>100944.21</v>
      </c>
      <c r="AI136" s="125">
        <f>Valores!$C$31</f>
        <v>4980.08</v>
      </c>
      <c r="AJ136" s="125">
        <f>Valores!$C$83</f>
        <v>2275</v>
      </c>
      <c r="AK136" s="125">
        <f>Valores!C$38*B136</f>
        <v>0</v>
      </c>
      <c r="AL136" s="125">
        <f>IF($F$3="NO",0,Valores!$C$52)</f>
        <v>0</v>
      </c>
      <c r="AM136" s="125">
        <f aca="true" t="shared" si="21" ref="AM136:AM199">SUM(AI136:AL136)</f>
        <v>7255.08</v>
      </c>
      <c r="AN136" s="125">
        <f>AH136*Valores!$C$67</f>
        <v>-11103.8631</v>
      </c>
      <c r="AO136" s="125">
        <f>AH136*-Valores!$C$68</f>
        <v>0</v>
      </c>
      <c r="AP136" s="125">
        <f>AH136*Valores!$C$69</f>
        <v>-4542.48945</v>
      </c>
      <c r="AQ136" s="125">
        <f>Valores!$C$96</f>
        <v>-280.91</v>
      </c>
      <c r="AR136" s="125">
        <f>IF($F$5=0,Valores!$C$97,(Valores!$C$97+$F$5*(Valores!$C$97)))</f>
        <v>-658</v>
      </c>
      <c r="AS136" s="125">
        <f t="shared" si="16"/>
        <v>91614.02745000001</v>
      </c>
      <c r="AT136" s="125">
        <f t="shared" si="18"/>
        <v>-11103.8631</v>
      </c>
      <c r="AU136" s="125">
        <f>AH136*Valores!$C$70</f>
        <v>-2725.4936700000003</v>
      </c>
      <c r="AV136" s="125">
        <f>AH136*Valores!$C$71</f>
        <v>-302.83263000000005</v>
      </c>
      <c r="AW136" s="125">
        <f aca="true" t="shared" si="22" ref="AW136:AW199">AH136+AM136+SUM(AT136:AV136)</f>
        <v>94067.1006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3">
        <v>1278</v>
      </c>
      <c r="F137" s="125">
        <f>ROUND(E137*Valores!$C$2,2)</f>
        <v>27373.23</v>
      </c>
      <c r="G137" s="193">
        <v>0</v>
      </c>
      <c r="H137" s="125">
        <f>ROUND(G137*Valores!$C$2,2)</f>
        <v>0</v>
      </c>
      <c r="I137" s="193">
        <v>0</v>
      </c>
      <c r="J137" s="125">
        <f>ROUND(I137*Valores!$C$2,2)</f>
        <v>0</v>
      </c>
      <c r="K137" s="193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6178.69</v>
      </c>
      <c r="N137" s="125">
        <f t="shared" si="19"/>
        <v>0</v>
      </c>
      <c r="O137" s="125">
        <f>Valores!$C$16</f>
        <v>18508.63</v>
      </c>
      <c r="P137" s="125">
        <f>Valores!$D$5</f>
        <v>10949.29</v>
      </c>
      <c r="Q137" s="125">
        <v>0</v>
      </c>
      <c r="R137" s="125">
        <f>IF($F$4="NO",Valores!$C$43,Valores!$C$43/2)</f>
        <v>3629.53</v>
      </c>
      <c r="S137" s="125">
        <f>Valores!$C$19</f>
        <v>10188.49</v>
      </c>
      <c r="T137" s="125">
        <f t="shared" si="17"/>
        <v>10188.49</v>
      </c>
      <c r="U137" s="125">
        <v>0</v>
      </c>
      <c r="V137" s="125">
        <v>0</v>
      </c>
      <c r="W137" s="193">
        <v>0</v>
      </c>
      <c r="X137" s="125">
        <f>ROUND(W137*Valores!$C$2,2)</f>
        <v>0</v>
      </c>
      <c r="Y137" s="125">
        <v>0</v>
      </c>
      <c r="Z137" s="125">
        <f>Valores!$C$90</f>
        <v>4899.43</v>
      </c>
      <c r="AA137" s="125">
        <f>Valores!$C$25</f>
        <v>447.83</v>
      </c>
      <c r="AB137" s="215">
        <v>0</v>
      </c>
      <c r="AC137" s="125">
        <f t="shared" si="20"/>
        <v>0</v>
      </c>
      <c r="AD137" s="125">
        <f>Valores!$C$26</f>
        <v>447.83</v>
      </c>
      <c r="AE137" s="193">
        <v>0</v>
      </c>
      <c r="AF137" s="125">
        <f>ROUND(AE137*Valores!$C$2,2)</f>
        <v>0</v>
      </c>
      <c r="AG137" s="125">
        <f>ROUND(IF($F$4="NO",Valores!$C$59,Valores!$C$59/2),2)</f>
        <v>3171.17</v>
      </c>
      <c r="AH137" s="125">
        <f aca="true" t="shared" si="23" ref="AH137:AH200">SUM(F137,H137,J137,L137,M137,N137,O137,P137,Q137,R137,T137,U137,V137,X137,Y137,Z137,AA137,AC137,AD137,AF137,AG137)</f>
        <v>85794.12000000001</v>
      </c>
      <c r="AI137" s="125">
        <f>Valores!$C$31</f>
        <v>4980.08</v>
      </c>
      <c r="AJ137" s="125">
        <f>Valores!$C$83</f>
        <v>2275</v>
      </c>
      <c r="AK137" s="125">
        <f>Valores!C$38*B137</f>
        <v>0</v>
      </c>
      <c r="AL137" s="125">
        <f>IF($F$3="NO",0,Valores!$C$52)</f>
        <v>0</v>
      </c>
      <c r="AM137" s="125">
        <f t="shared" si="21"/>
        <v>7255.08</v>
      </c>
      <c r="AN137" s="125">
        <f>AH137*Valores!$C$67</f>
        <v>-9437.353200000001</v>
      </c>
      <c r="AO137" s="125">
        <f>AH137*-Valores!$C$68</f>
        <v>0</v>
      </c>
      <c r="AP137" s="125">
        <f>AH137*Valores!$C$69</f>
        <v>-3860.7354000000005</v>
      </c>
      <c r="AQ137" s="125">
        <f>Valores!$C$96</f>
        <v>-280.91</v>
      </c>
      <c r="AR137" s="125">
        <f>IF($F$5=0,Valores!$C$97,(Valores!$C$97+$F$5*(Valores!$C$97)))</f>
        <v>-658</v>
      </c>
      <c r="AS137" s="125">
        <f aca="true" t="shared" si="24" ref="AS137:AS200">AH137+SUM(AM137:AR137)</f>
        <v>78812.2014</v>
      </c>
      <c r="AT137" s="125">
        <f t="shared" si="18"/>
        <v>-9437.353200000001</v>
      </c>
      <c r="AU137" s="125">
        <f>AH137*Valores!$C$70</f>
        <v>-2316.44124</v>
      </c>
      <c r="AV137" s="125">
        <f>AH137*Valores!$C$71</f>
        <v>-257.38236000000006</v>
      </c>
      <c r="AW137" s="125">
        <f t="shared" si="22"/>
        <v>81038.02320000001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3">
        <v>616</v>
      </c>
      <c r="F138" s="125">
        <f>ROUND(E138*Valores!$C$2,2)</f>
        <v>13193.98</v>
      </c>
      <c r="G138" s="193">
        <v>0</v>
      </c>
      <c r="H138" s="125">
        <f>ROUND(G138*Valores!$C$2,2)</f>
        <v>0</v>
      </c>
      <c r="I138" s="193">
        <v>0</v>
      </c>
      <c r="J138" s="125">
        <f>ROUND(I138*Valores!$C$2,2)</f>
        <v>0</v>
      </c>
      <c r="K138" s="193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4051.8</v>
      </c>
      <c r="N138" s="125">
        <f t="shared" si="19"/>
        <v>0</v>
      </c>
      <c r="O138" s="125">
        <f>Valores!$C$8</f>
        <v>23890.21</v>
      </c>
      <c r="P138" s="125">
        <f>Valores!$D$5</f>
        <v>10949.29</v>
      </c>
      <c r="Q138" s="125">
        <f>Valores!$C$22</f>
        <v>9768.51</v>
      </c>
      <c r="R138" s="125">
        <f>IF($F$4="NO",Valores!$C$43,Valores!$C$43/2)</f>
        <v>3629.53</v>
      </c>
      <c r="S138" s="125">
        <f>Valores!$C$19</f>
        <v>10188.49</v>
      </c>
      <c r="T138" s="125">
        <f t="shared" si="17"/>
        <v>10188.49</v>
      </c>
      <c r="U138" s="125">
        <v>0</v>
      </c>
      <c r="V138" s="125">
        <v>0</v>
      </c>
      <c r="W138" s="193">
        <v>0</v>
      </c>
      <c r="X138" s="125">
        <f>ROUND(W138*Valores!$C$2,2)</f>
        <v>0</v>
      </c>
      <c r="Y138" s="125">
        <v>0</v>
      </c>
      <c r="Z138" s="125">
        <f>Valores!$C$90</f>
        <v>4899.43</v>
      </c>
      <c r="AA138" s="125">
        <f>Valores!$C$25</f>
        <v>447.83</v>
      </c>
      <c r="AB138" s="215">
        <v>0</v>
      </c>
      <c r="AC138" s="125">
        <f t="shared" si="20"/>
        <v>0</v>
      </c>
      <c r="AD138" s="125">
        <f>Valores!$C$26</f>
        <v>447.83</v>
      </c>
      <c r="AE138" s="193">
        <v>0</v>
      </c>
      <c r="AF138" s="125">
        <f>ROUND(AE138*Valores!$C$2,2)</f>
        <v>0</v>
      </c>
      <c r="AG138" s="125">
        <f>ROUND(IF($F$4="NO",Valores!$C$59,Valores!$C$59/2),2)</f>
        <v>3171.17</v>
      </c>
      <c r="AH138" s="125">
        <f t="shared" si="23"/>
        <v>84638.06999999999</v>
      </c>
      <c r="AI138" s="125">
        <f>Valores!$C$31</f>
        <v>4980.08</v>
      </c>
      <c r="AJ138" s="125">
        <f>Valores!$C$83</f>
        <v>2275</v>
      </c>
      <c r="AK138" s="125">
        <f>Valores!C$38*B138</f>
        <v>0</v>
      </c>
      <c r="AL138" s="125">
        <f>IF($F$3="NO",0,Valores!$C$52)</f>
        <v>0</v>
      </c>
      <c r="AM138" s="125">
        <f t="shared" si="21"/>
        <v>7255.08</v>
      </c>
      <c r="AN138" s="125">
        <f>AH138*Valores!$C$67</f>
        <v>-9310.187699999999</v>
      </c>
      <c r="AO138" s="125">
        <f>AH138*-Valores!$C$68</f>
        <v>0</v>
      </c>
      <c r="AP138" s="125">
        <f>AH138*Valores!$C$69</f>
        <v>-3808.7131499999996</v>
      </c>
      <c r="AQ138" s="125">
        <f>Valores!$C$96</f>
        <v>-280.91</v>
      </c>
      <c r="AR138" s="125">
        <f>IF($F$5=0,Valores!$C$97,(Valores!$C$97+$F$5*(Valores!$C$97)))</f>
        <v>-658</v>
      </c>
      <c r="AS138" s="125">
        <f t="shared" si="24"/>
        <v>77835.33915</v>
      </c>
      <c r="AT138" s="125">
        <f t="shared" si="18"/>
        <v>-9310.187699999999</v>
      </c>
      <c r="AU138" s="125">
        <f>AH138*Valores!$C$70</f>
        <v>-2285.2278899999997</v>
      </c>
      <c r="AV138" s="125">
        <f>AH138*Valores!$C$71</f>
        <v>-253.91420999999997</v>
      </c>
      <c r="AW138" s="125">
        <f t="shared" si="22"/>
        <v>80043.82019999999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3">
        <v>1278</v>
      </c>
      <c r="F139" s="125">
        <f>ROUND(E139*Valores!$C$2,2)</f>
        <v>27373.23</v>
      </c>
      <c r="G139" s="193">
        <v>0</v>
      </c>
      <c r="H139" s="125">
        <f>ROUND(G139*Valores!$C$2,2)</f>
        <v>0</v>
      </c>
      <c r="I139" s="193">
        <v>0</v>
      </c>
      <c r="J139" s="125">
        <f>ROUND(I139*Valores!$C$2,2)</f>
        <v>0</v>
      </c>
      <c r="K139" s="193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6163.06</v>
      </c>
      <c r="N139" s="125">
        <f t="shared" si="19"/>
        <v>0</v>
      </c>
      <c r="O139" s="125">
        <f>Valores!$C$16</f>
        <v>18508.63</v>
      </c>
      <c r="P139" s="125">
        <f>Valores!$D$5</f>
        <v>10949.29</v>
      </c>
      <c r="Q139" s="125">
        <v>0</v>
      </c>
      <c r="R139" s="125">
        <f>IF($F$4="NO",Valores!$C$43,Valores!$C$43/2)</f>
        <v>3629.53</v>
      </c>
      <c r="S139" s="125">
        <f>Valores!$C$20</f>
        <v>10084.32</v>
      </c>
      <c r="T139" s="125">
        <f aca="true" t="shared" si="25" ref="T139:T202">ROUND(S139*(1+$H$2),2)</f>
        <v>10084.32</v>
      </c>
      <c r="U139" s="125">
        <v>0</v>
      </c>
      <c r="V139" s="125">
        <v>0</v>
      </c>
      <c r="W139" s="193">
        <v>0</v>
      </c>
      <c r="X139" s="125">
        <f>ROUND(W139*Valores!$C$2,2)</f>
        <v>0</v>
      </c>
      <c r="Y139" s="125">
        <v>0</v>
      </c>
      <c r="Z139" s="125">
        <f>Valores!$C$90</f>
        <v>4899.43</v>
      </c>
      <c r="AA139" s="125">
        <f>Valores!$C$25</f>
        <v>447.83</v>
      </c>
      <c r="AB139" s="215">
        <v>0</v>
      </c>
      <c r="AC139" s="125">
        <f t="shared" si="20"/>
        <v>0</v>
      </c>
      <c r="AD139" s="125">
        <f>Valores!$C$26</f>
        <v>447.83</v>
      </c>
      <c r="AE139" s="193">
        <v>0</v>
      </c>
      <c r="AF139" s="125">
        <f>ROUND(AE139*Valores!$C$2,2)</f>
        <v>0</v>
      </c>
      <c r="AG139" s="125">
        <f>ROUND(IF($F$4="NO",Valores!$C$59,Valores!$C$59/2),2)</f>
        <v>3171.17</v>
      </c>
      <c r="AH139" s="125">
        <f t="shared" si="23"/>
        <v>85674.31999999999</v>
      </c>
      <c r="AI139" s="125">
        <f>Valores!$C$31</f>
        <v>4980.08</v>
      </c>
      <c r="AJ139" s="125">
        <f>Valores!$C$83</f>
        <v>2275</v>
      </c>
      <c r="AK139" s="125">
        <f>Valores!C$38*B139</f>
        <v>0</v>
      </c>
      <c r="AL139" s="125">
        <f>(IF($F$3="NO",0,Valores!$C$54))</f>
        <v>0</v>
      </c>
      <c r="AM139" s="125">
        <f t="shared" si="21"/>
        <v>7255.08</v>
      </c>
      <c r="AN139" s="125">
        <f>AH139*Valores!$C$67</f>
        <v>-9424.1752</v>
      </c>
      <c r="AO139" s="125">
        <f>AH139*-Valores!$C$68</f>
        <v>0</v>
      </c>
      <c r="AP139" s="125">
        <f>AH139*Valores!$C$69</f>
        <v>-3855.3443999999995</v>
      </c>
      <c r="AQ139" s="125">
        <f>Valores!$C$96</f>
        <v>-280.91</v>
      </c>
      <c r="AR139" s="125">
        <f>IF($F$5=0,Valores!$C$97,(Valores!$C$97+$F$5*(Valores!$C$97)))</f>
        <v>-658</v>
      </c>
      <c r="AS139" s="125">
        <f t="shared" si="24"/>
        <v>78710.97039999999</v>
      </c>
      <c r="AT139" s="125">
        <f t="shared" si="18"/>
        <v>-9424.1752</v>
      </c>
      <c r="AU139" s="125">
        <f>AH139*Valores!$C$70</f>
        <v>-2313.20664</v>
      </c>
      <c r="AV139" s="125">
        <f>AH139*Valores!$C$71</f>
        <v>-257.02295999999996</v>
      </c>
      <c r="AW139" s="125">
        <f t="shared" si="22"/>
        <v>80934.99519999999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3">
        <v>1983</v>
      </c>
      <c r="F140" s="125">
        <f>ROUND(E140*Valores!$C$2,2)</f>
        <v>42473.48</v>
      </c>
      <c r="G140" s="193">
        <v>0</v>
      </c>
      <c r="H140" s="125">
        <f>ROUND(G140*Valores!$C$2,2)</f>
        <v>0</v>
      </c>
      <c r="I140" s="193">
        <v>0</v>
      </c>
      <c r="J140" s="125">
        <f>ROUND(I140*Valores!$C$2,2)</f>
        <v>0</v>
      </c>
      <c r="K140" s="193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8443.73</v>
      </c>
      <c r="N140" s="125">
        <f t="shared" si="19"/>
        <v>0</v>
      </c>
      <c r="O140" s="125">
        <f>Valores!$C$8</f>
        <v>23890.21</v>
      </c>
      <c r="P140" s="125">
        <f>Valores!$D$5</f>
        <v>10949.29</v>
      </c>
      <c r="Q140" s="125">
        <f>Valores!$C$22</f>
        <v>9768.51</v>
      </c>
      <c r="R140" s="125">
        <f>IF($F$4="NO",Valores!$C$43,Valores!$C$43/2)</f>
        <v>3629.53</v>
      </c>
      <c r="S140" s="125">
        <f>Valores!$C$19</f>
        <v>10188.49</v>
      </c>
      <c r="T140" s="125">
        <f t="shared" si="25"/>
        <v>10188.49</v>
      </c>
      <c r="U140" s="125">
        <v>0</v>
      </c>
      <c r="V140" s="125">
        <v>0</v>
      </c>
      <c r="W140" s="193">
        <v>0</v>
      </c>
      <c r="X140" s="125">
        <f>ROUND(W140*Valores!$C$2,2)</f>
        <v>0</v>
      </c>
      <c r="Y140" s="125">
        <v>0</v>
      </c>
      <c r="Z140" s="125">
        <f>Valores!$C$90</f>
        <v>4899.43</v>
      </c>
      <c r="AA140" s="125">
        <f>Valores!$C$25</f>
        <v>447.83</v>
      </c>
      <c r="AB140" s="215">
        <v>0</v>
      </c>
      <c r="AC140" s="125">
        <f t="shared" si="20"/>
        <v>0</v>
      </c>
      <c r="AD140" s="125">
        <f>Valores!$C$26</f>
        <v>447.83</v>
      </c>
      <c r="AE140" s="193">
        <v>94</v>
      </c>
      <c r="AF140" s="125">
        <f>ROUND(AE140*Valores!$C$2,2)</f>
        <v>2013.37</v>
      </c>
      <c r="AG140" s="125">
        <f>ROUND(IF($F$4="NO",Valores!$C$59,Valores!$C$59/2),2)</f>
        <v>3171.17</v>
      </c>
      <c r="AH140" s="125">
        <f t="shared" si="23"/>
        <v>120322.87000000001</v>
      </c>
      <c r="AI140" s="125">
        <f>Valores!$C$31</f>
        <v>4980.08</v>
      </c>
      <c r="AJ140" s="125">
        <f>Valores!$C$83</f>
        <v>2275</v>
      </c>
      <c r="AK140" s="125">
        <f>Valores!C$38*B140</f>
        <v>0</v>
      </c>
      <c r="AL140" s="125">
        <f>IF($F$3="NO",0,Valores!$C$52)</f>
        <v>0</v>
      </c>
      <c r="AM140" s="125">
        <f t="shared" si="21"/>
        <v>7255.08</v>
      </c>
      <c r="AN140" s="125">
        <f>AH140*Valores!$C$67</f>
        <v>-13235.515700000002</v>
      </c>
      <c r="AO140" s="125">
        <f>AH140*-Valores!$C$68</f>
        <v>0</v>
      </c>
      <c r="AP140" s="125">
        <f>AH140*Valores!$C$69</f>
        <v>-5414.52915</v>
      </c>
      <c r="AQ140" s="125">
        <f>Valores!$C$96</f>
        <v>-280.91</v>
      </c>
      <c r="AR140" s="125">
        <f>IF($F$5=0,Valores!$C$97,(Valores!$C$97+$F$5*(Valores!$C$97)))</f>
        <v>-658</v>
      </c>
      <c r="AS140" s="125">
        <f t="shared" si="24"/>
        <v>107988.99515</v>
      </c>
      <c r="AT140" s="125">
        <f t="shared" si="18"/>
        <v>-13235.515700000002</v>
      </c>
      <c r="AU140" s="125">
        <f>AH140*Valores!$C$70</f>
        <v>-3248.7174900000005</v>
      </c>
      <c r="AV140" s="125">
        <f>AH140*Valores!$C$71</f>
        <v>-360.96861</v>
      </c>
      <c r="AW140" s="125">
        <f t="shared" si="22"/>
        <v>110732.7482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3">
        <v>1378</v>
      </c>
      <c r="F141" s="125">
        <f>ROUND(E141*Valores!$C$2,2)</f>
        <v>29515.11</v>
      </c>
      <c r="G141" s="193">
        <v>0</v>
      </c>
      <c r="H141" s="125">
        <f>ROUND(G141*Valores!$C$2,2)</f>
        <v>0</v>
      </c>
      <c r="I141" s="193">
        <v>0</v>
      </c>
      <c r="J141" s="125">
        <f>ROUND(I141*Valores!$C$2,2)</f>
        <v>0</v>
      </c>
      <c r="K141" s="193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6484.34</v>
      </c>
      <c r="N141" s="125">
        <f t="shared" si="19"/>
        <v>0</v>
      </c>
      <c r="O141" s="125">
        <f>Valores!$C$16</f>
        <v>18508.63</v>
      </c>
      <c r="P141" s="125">
        <f>Valores!$D$5</f>
        <v>10949.29</v>
      </c>
      <c r="Q141" s="125">
        <f>Valores!$C$22</f>
        <v>9768.51</v>
      </c>
      <c r="R141" s="125">
        <f>IF($F$4="NO",Valores!$C$43,Valores!$C$43/2)</f>
        <v>3629.53</v>
      </c>
      <c r="S141" s="125">
        <f>Valores!$C$20</f>
        <v>10084.32</v>
      </c>
      <c r="T141" s="125">
        <f t="shared" si="25"/>
        <v>10084.32</v>
      </c>
      <c r="U141" s="125">
        <v>0</v>
      </c>
      <c r="V141" s="125">
        <v>0</v>
      </c>
      <c r="W141" s="193">
        <v>0</v>
      </c>
      <c r="X141" s="125">
        <f>ROUND(W141*Valores!$C$2,2)</f>
        <v>0</v>
      </c>
      <c r="Y141" s="125">
        <v>0</v>
      </c>
      <c r="Z141" s="125">
        <f>Valores!$C$90</f>
        <v>4899.43</v>
      </c>
      <c r="AA141" s="125">
        <f>Valores!$C$25</f>
        <v>447.83</v>
      </c>
      <c r="AB141" s="215">
        <v>0</v>
      </c>
      <c r="AC141" s="125">
        <f t="shared" si="20"/>
        <v>0</v>
      </c>
      <c r="AD141" s="125">
        <f>Valores!$C$26</f>
        <v>447.83</v>
      </c>
      <c r="AE141" s="193">
        <v>0</v>
      </c>
      <c r="AF141" s="125">
        <f>ROUND(AE141*Valores!$C$2,2)</f>
        <v>0</v>
      </c>
      <c r="AG141" s="125">
        <f>ROUND(IF($F$4="NO",Valores!$C$59,Valores!$C$59/2),2)</f>
        <v>3171.17</v>
      </c>
      <c r="AH141" s="125">
        <f t="shared" si="23"/>
        <v>97905.99</v>
      </c>
      <c r="AI141" s="125">
        <f>Valores!$C$31</f>
        <v>4980.08</v>
      </c>
      <c r="AJ141" s="125">
        <f>Valores!$C$83</f>
        <v>2275</v>
      </c>
      <c r="AK141" s="125">
        <f>Valores!C$38*B141</f>
        <v>0</v>
      </c>
      <c r="AL141" s="125">
        <f>IF($F$3="NO",0,Valores!$C$52)</f>
        <v>0</v>
      </c>
      <c r="AM141" s="125">
        <f t="shared" si="21"/>
        <v>7255.08</v>
      </c>
      <c r="AN141" s="125">
        <f>AH141*Valores!$C$67</f>
        <v>-10769.6589</v>
      </c>
      <c r="AO141" s="125">
        <f>AH141*-Valores!$C$68</f>
        <v>0</v>
      </c>
      <c r="AP141" s="125">
        <f>AH141*Valores!$C$69</f>
        <v>-4405.76955</v>
      </c>
      <c r="AQ141" s="125">
        <f>Valores!$C$96</f>
        <v>-280.91</v>
      </c>
      <c r="AR141" s="125">
        <f>IF($F$5=0,Valores!$C$97,(Valores!$C$97+$F$5*(Valores!$C$97)))</f>
        <v>-658</v>
      </c>
      <c r="AS141" s="125">
        <f t="shared" si="24"/>
        <v>89046.73155</v>
      </c>
      <c r="AT141" s="125">
        <f t="shared" si="18"/>
        <v>-10769.6589</v>
      </c>
      <c r="AU141" s="125">
        <f>AH141*Valores!$C$70</f>
        <v>-2643.46173</v>
      </c>
      <c r="AV141" s="125">
        <f>AH141*Valores!$C$71</f>
        <v>-293.71797000000004</v>
      </c>
      <c r="AW141" s="125">
        <f t="shared" si="22"/>
        <v>91454.2314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3">
        <v>1278</v>
      </c>
      <c r="F142" s="125">
        <f>ROUND(E142*Valores!$C$2,2)</f>
        <v>27373.23</v>
      </c>
      <c r="G142" s="193">
        <v>0</v>
      </c>
      <c r="H142" s="125">
        <f>ROUND(G142*Valores!$C$2,2)</f>
        <v>0</v>
      </c>
      <c r="I142" s="193">
        <v>0</v>
      </c>
      <c r="J142" s="125">
        <f>ROUND(I142*Valores!$C$2,2)</f>
        <v>0</v>
      </c>
      <c r="K142" s="193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6178.69</v>
      </c>
      <c r="N142" s="125">
        <f t="shared" si="19"/>
        <v>0</v>
      </c>
      <c r="O142" s="125">
        <f>Valores!$C$16</f>
        <v>18508.63</v>
      </c>
      <c r="P142" s="125">
        <f>Valores!$D$5</f>
        <v>10949.29</v>
      </c>
      <c r="Q142" s="125">
        <f>Valores!$C$22</f>
        <v>9768.51</v>
      </c>
      <c r="R142" s="125">
        <f>IF($F$4="NO",Valores!$C$43,Valores!$C$43/2)</f>
        <v>3629.53</v>
      </c>
      <c r="S142" s="125">
        <f>Valores!$C$19</f>
        <v>10188.49</v>
      </c>
      <c r="T142" s="125">
        <f t="shared" si="25"/>
        <v>10188.49</v>
      </c>
      <c r="U142" s="125">
        <v>0</v>
      </c>
      <c r="V142" s="125">
        <v>0</v>
      </c>
      <c r="W142" s="193">
        <v>0</v>
      </c>
      <c r="X142" s="125">
        <f>ROUND(W142*Valores!$C$2,2)</f>
        <v>0</v>
      </c>
      <c r="Y142" s="125">
        <v>0</v>
      </c>
      <c r="Z142" s="125">
        <f>Valores!$C$90</f>
        <v>4899.43</v>
      </c>
      <c r="AA142" s="125">
        <f>Valores!$C$25</f>
        <v>447.83</v>
      </c>
      <c r="AB142" s="215">
        <v>0</v>
      </c>
      <c r="AC142" s="125">
        <f t="shared" si="20"/>
        <v>0</v>
      </c>
      <c r="AD142" s="125">
        <f>Valores!$C$26</f>
        <v>447.83</v>
      </c>
      <c r="AE142" s="193">
        <v>0</v>
      </c>
      <c r="AF142" s="125">
        <f>ROUND(AE142*Valores!$C$2,2)</f>
        <v>0</v>
      </c>
      <c r="AG142" s="125">
        <f>ROUND(IF($F$4="NO",Valores!$C$59,Valores!$C$59/2),2)</f>
        <v>3171.17</v>
      </c>
      <c r="AH142" s="125">
        <f t="shared" si="23"/>
        <v>95562.63000000002</v>
      </c>
      <c r="AI142" s="125">
        <f>Valores!$C$31</f>
        <v>4980.08</v>
      </c>
      <c r="AJ142" s="125">
        <f>Valores!$C$83</f>
        <v>2275</v>
      </c>
      <c r="AK142" s="125">
        <f>Valores!C$38*B142</f>
        <v>0</v>
      </c>
      <c r="AL142" s="125">
        <f>IF($F$3="NO",0,Valores!$C$52)</f>
        <v>0</v>
      </c>
      <c r="AM142" s="125">
        <f t="shared" si="21"/>
        <v>7255.08</v>
      </c>
      <c r="AN142" s="125">
        <f>AH142*Valores!$C$67</f>
        <v>-10511.889300000003</v>
      </c>
      <c r="AO142" s="125">
        <f>AH142*-Valores!$C$68</f>
        <v>0</v>
      </c>
      <c r="AP142" s="125">
        <f>AH142*Valores!$C$69</f>
        <v>-4300.3183500000005</v>
      </c>
      <c r="AQ142" s="125">
        <f>Valores!$C$96</f>
        <v>-280.91</v>
      </c>
      <c r="AR142" s="125">
        <f>IF($F$5=0,Valores!$C$97,(Valores!$C$97+$F$5*(Valores!$C$97)))</f>
        <v>-658</v>
      </c>
      <c r="AS142" s="125">
        <f t="shared" si="24"/>
        <v>87066.59235000002</v>
      </c>
      <c r="AT142" s="125">
        <f t="shared" si="18"/>
        <v>-10511.889300000003</v>
      </c>
      <c r="AU142" s="125">
        <f>AH142*Valores!$C$70</f>
        <v>-2580.1910100000005</v>
      </c>
      <c r="AV142" s="125">
        <f>AH142*Valores!$C$71</f>
        <v>-286.68789000000004</v>
      </c>
      <c r="AW142" s="125">
        <f t="shared" si="22"/>
        <v>89438.94180000002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3">
        <v>1278</v>
      </c>
      <c r="F143" s="125">
        <f>ROUND(E143*Valores!$C$2,2)</f>
        <v>27373.23</v>
      </c>
      <c r="G143" s="193">
        <v>0</v>
      </c>
      <c r="H143" s="125">
        <f>ROUND(G143*Valores!$C$2,2)</f>
        <v>0</v>
      </c>
      <c r="I143" s="193">
        <v>0</v>
      </c>
      <c r="J143" s="125">
        <f>ROUND(I143*Valores!$C$2,2)</f>
        <v>0</v>
      </c>
      <c r="K143" s="193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6178.69</v>
      </c>
      <c r="N143" s="125">
        <f t="shared" si="19"/>
        <v>0</v>
      </c>
      <c r="O143" s="125">
        <f>Valores!$C$16</f>
        <v>18508.63</v>
      </c>
      <c r="P143" s="125">
        <f>Valores!$D$5</f>
        <v>10949.29</v>
      </c>
      <c r="Q143" s="125">
        <f>Valores!$C$22</f>
        <v>9768.51</v>
      </c>
      <c r="R143" s="125">
        <f>IF($F$4="NO",Valores!$C$43,Valores!$C$43/2)</f>
        <v>3629.53</v>
      </c>
      <c r="S143" s="125">
        <f>Valores!$C$19</f>
        <v>10188.49</v>
      </c>
      <c r="T143" s="125">
        <f t="shared" si="25"/>
        <v>10188.49</v>
      </c>
      <c r="U143" s="125">
        <v>0</v>
      </c>
      <c r="V143" s="125">
        <v>0</v>
      </c>
      <c r="W143" s="193">
        <v>0</v>
      </c>
      <c r="X143" s="125">
        <f>ROUND(W143*Valores!$C$2,2)</f>
        <v>0</v>
      </c>
      <c r="Y143" s="125">
        <v>0</v>
      </c>
      <c r="Z143" s="125">
        <f>Valores!$C$90</f>
        <v>4899.43</v>
      </c>
      <c r="AA143" s="125">
        <f>Valores!$C$25</f>
        <v>447.83</v>
      </c>
      <c r="AB143" s="215">
        <v>0</v>
      </c>
      <c r="AC143" s="125">
        <f t="shared" si="20"/>
        <v>0</v>
      </c>
      <c r="AD143" s="125">
        <f>Valores!$C$26</f>
        <v>447.83</v>
      </c>
      <c r="AE143" s="193">
        <v>0</v>
      </c>
      <c r="AF143" s="125">
        <f>ROUND(AE143*Valores!$C$2,2)</f>
        <v>0</v>
      </c>
      <c r="AG143" s="125">
        <f>ROUND(IF($F$4="NO",Valores!$C$59,Valores!$C$59/2),2)</f>
        <v>3171.17</v>
      </c>
      <c r="AH143" s="125">
        <f t="shared" si="23"/>
        <v>95562.63000000002</v>
      </c>
      <c r="AI143" s="125">
        <f>Valores!$C$31</f>
        <v>4980.08</v>
      </c>
      <c r="AJ143" s="125">
        <f>Valores!$C$83</f>
        <v>2275</v>
      </c>
      <c r="AK143" s="125">
        <f>Valores!C$38*B143</f>
        <v>0</v>
      </c>
      <c r="AL143" s="125">
        <f>IF($F$3="NO",0,Valores!$C$52)</f>
        <v>0</v>
      </c>
      <c r="AM143" s="125">
        <f t="shared" si="21"/>
        <v>7255.08</v>
      </c>
      <c r="AN143" s="125">
        <f>AH143*Valores!$C$67</f>
        <v>-10511.889300000003</v>
      </c>
      <c r="AO143" s="125">
        <f>AH143*-Valores!$C$68</f>
        <v>0</v>
      </c>
      <c r="AP143" s="125">
        <f>AH143*Valores!$C$69</f>
        <v>-4300.3183500000005</v>
      </c>
      <c r="AQ143" s="125">
        <f>Valores!$C$96</f>
        <v>-280.91</v>
      </c>
      <c r="AR143" s="125">
        <f>IF($F$5=0,Valores!$C$97,(Valores!$C$97+$F$5*(Valores!$C$97)))</f>
        <v>-658</v>
      </c>
      <c r="AS143" s="125">
        <f t="shared" si="24"/>
        <v>87066.59235000002</v>
      </c>
      <c r="AT143" s="125">
        <f t="shared" si="18"/>
        <v>-10511.889300000003</v>
      </c>
      <c r="AU143" s="125">
        <f>AH143*Valores!$C$70</f>
        <v>-2580.1910100000005</v>
      </c>
      <c r="AV143" s="125">
        <f>AH143*Valores!$C$71</f>
        <v>-286.68789000000004</v>
      </c>
      <c r="AW143" s="125">
        <f t="shared" si="22"/>
        <v>89438.94180000002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3">
        <v>1278</v>
      </c>
      <c r="F144" s="125">
        <f>ROUND(E144*Valores!$C$2,2)</f>
        <v>27373.23</v>
      </c>
      <c r="G144" s="193">
        <v>0</v>
      </c>
      <c r="H144" s="125">
        <f>ROUND(G144*Valores!$C$2,2)</f>
        <v>0</v>
      </c>
      <c r="I144" s="193">
        <v>0</v>
      </c>
      <c r="J144" s="125">
        <f>ROUND(I144*Valores!$C$2,2)</f>
        <v>0</v>
      </c>
      <c r="K144" s="193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6178.69</v>
      </c>
      <c r="N144" s="125">
        <f t="shared" si="19"/>
        <v>0</v>
      </c>
      <c r="O144" s="125">
        <f>Valores!$C$16</f>
        <v>18508.63</v>
      </c>
      <c r="P144" s="125">
        <f>Valores!$D$5</f>
        <v>10949.29</v>
      </c>
      <c r="Q144" s="125">
        <f>Valores!$C$22</f>
        <v>9768.51</v>
      </c>
      <c r="R144" s="125">
        <f>IF($F$4="NO",Valores!$C$43,Valores!$C$43/2)</f>
        <v>3629.53</v>
      </c>
      <c r="S144" s="125">
        <f>Valores!$C$19</f>
        <v>10188.49</v>
      </c>
      <c r="T144" s="125">
        <f t="shared" si="25"/>
        <v>10188.49</v>
      </c>
      <c r="U144" s="125">
        <v>0</v>
      </c>
      <c r="V144" s="125">
        <v>0</v>
      </c>
      <c r="W144" s="193">
        <v>0</v>
      </c>
      <c r="X144" s="125">
        <f>ROUND(W144*Valores!$C$2,2)</f>
        <v>0</v>
      </c>
      <c r="Y144" s="125">
        <v>0</v>
      </c>
      <c r="Z144" s="125">
        <f>Valores!$C$90</f>
        <v>4899.43</v>
      </c>
      <c r="AA144" s="125">
        <f>Valores!$C$25</f>
        <v>447.83</v>
      </c>
      <c r="AB144" s="215">
        <v>0</v>
      </c>
      <c r="AC144" s="125">
        <f t="shared" si="20"/>
        <v>0</v>
      </c>
      <c r="AD144" s="125">
        <f>Valores!$C$26</f>
        <v>447.83</v>
      </c>
      <c r="AE144" s="193">
        <v>0</v>
      </c>
      <c r="AF144" s="125">
        <f>ROUND(AE144*Valores!$C$2,2)</f>
        <v>0</v>
      </c>
      <c r="AG144" s="125">
        <f>ROUND(IF($F$4="NO",Valores!$C$59,Valores!$C$59/2),2)</f>
        <v>3171.17</v>
      </c>
      <c r="AH144" s="125">
        <f t="shared" si="23"/>
        <v>95562.63000000002</v>
      </c>
      <c r="AI144" s="125">
        <f>Valores!$C$31</f>
        <v>4980.08</v>
      </c>
      <c r="AJ144" s="125">
        <f>Valores!$C$83</f>
        <v>2275</v>
      </c>
      <c r="AK144" s="125">
        <f>Valores!C$38*B144</f>
        <v>0</v>
      </c>
      <c r="AL144" s="125">
        <f>IF($F$3="NO",0,Valores!$C$52)</f>
        <v>0</v>
      </c>
      <c r="AM144" s="125">
        <f t="shared" si="21"/>
        <v>7255.08</v>
      </c>
      <c r="AN144" s="125">
        <f>AH144*Valores!$C$67</f>
        <v>-10511.889300000003</v>
      </c>
      <c r="AO144" s="125">
        <f>AH144*-Valores!$C$68</f>
        <v>0</v>
      </c>
      <c r="AP144" s="125">
        <f>AH144*Valores!$C$69</f>
        <v>-4300.3183500000005</v>
      </c>
      <c r="AQ144" s="125">
        <f>Valores!$C$96</f>
        <v>-280.91</v>
      </c>
      <c r="AR144" s="125">
        <f>IF($F$5=0,Valores!$C$97,(Valores!$C$97+$F$5*(Valores!$C$97)))</f>
        <v>-658</v>
      </c>
      <c r="AS144" s="125">
        <f t="shared" si="24"/>
        <v>87066.59235000002</v>
      </c>
      <c r="AT144" s="125">
        <f t="shared" si="18"/>
        <v>-10511.889300000003</v>
      </c>
      <c r="AU144" s="125">
        <f>AH144*Valores!$C$70</f>
        <v>-2580.1910100000005</v>
      </c>
      <c r="AV144" s="125">
        <f>AH144*Valores!$C$71</f>
        <v>-286.68789000000004</v>
      </c>
      <c r="AW144" s="125">
        <f t="shared" si="22"/>
        <v>89438.94180000002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3">
        <v>1278</v>
      </c>
      <c r="F145" s="125">
        <f>ROUND(E145*Valores!$C$2,2)</f>
        <v>27373.23</v>
      </c>
      <c r="G145" s="193">
        <v>0</v>
      </c>
      <c r="H145" s="125">
        <f>ROUND(G145*Valores!$C$2,2)</f>
        <v>0</v>
      </c>
      <c r="I145" s="193">
        <v>0</v>
      </c>
      <c r="J145" s="125">
        <f>ROUND(I145*Valores!$C$2,2)</f>
        <v>0</v>
      </c>
      <c r="K145" s="193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6178.69</v>
      </c>
      <c r="N145" s="125">
        <f t="shared" si="19"/>
        <v>0</v>
      </c>
      <c r="O145" s="125">
        <f>Valores!$C$16</f>
        <v>18508.63</v>
      </c>
      <c r="P145" s="125">
        <f>Valores!$D$5</f>
        <v>10949.29</v>
      </c>
      <c r="Q145" s="125">
        <f>Valores!$C$22</f>
        <v>9768.51</v>
      </c>
      <c r="R145" s="125">
        <f>IF($F$4="NO",Valores!$C$43,Valores!$C$43/2)</f>
        <v>3629.53</v>
      </c>
      <c r="S145" s="125">
        <f>Valores!$C$19</f>
        <v>10188.49</v>
      </c>
      <c r="T145" s="125">
        <f t="shared" si="25"/>
        <v>10188.49</v>
      </c>
      <c r="U145" s="125">
        <v>0</v>
      </c>
      <c r="V145" s="125">
        <v>0</v>
      </c>
      <c r="W145" s="193">
        <v>0</v>
      </c>
      <c r="X145" s="125">
        <f>ROUND(W145*Valores!$C$2,2)</f>
        <v>0</v>
      </c>
      <c r="Y145" s="125">
        <v>0</v>
      </c>
      <c r="Z145" s="125">
        <f>Valores!$C$90</f>
        <v>4899.43</v>
      </c>
      <c r="AA145" s="125">
        <f>Valores!$C$25</f>
        <v>447.83</v>
      </c>
      <c r="AB145" s="215">
        <v>0</v>
      </c>
      <c r="AC145" s="125">
        <f t="shared" si="20"/>
        <v>0</v>
      </c>
      <c r="AD145" s="125">
        <f>Valores!$C$26</f>
        <v>447.83</v>
      </c>
      <c r="AE145" s="193">
        <v>94</v>
      </c>
      <c r="AF145" s="125">
        <f>ROUND(AE145*Valores!$C$2,2)</f>
        <v>2013.37</v>
      </c>
      <c r="AG145" s="125">
        <f>ROUND(IF($F$4="NO",Valores!$C$59,Valores!$C$59/2),2)</f>
        <v>3171.17</v>
      </c>
      <c r="AH145" s="125">
        <f t="shared" si="23"/>
        <v>97576.00000000001</v>
      </c>
      <c r="AI145" s="125">
        <f>Valores!$C$31</f>
        <v>4980.08</v>
      </c>
      <c r="AJ145" s="125">
        <f>Valores!$C$83</f>
        <v>2275</v>
      </c>
      <c r="AK145" s="125">
        <f>Valores!C$38*B145</f>
        <v>0</v>
      </c>
      <c r="AL145" s="125">
        <f>IF($F$3="NO",0,Valores!$C$52)</f>
        <v>0</v>
      </c>
      <c r="AM145" s="125">
        <f t="shared" si="21"/>
        <v>7255.08</v>
      </c>
      <c r="AN145" s="125">
        <f>AH145*Valores!$C$67</f>
        <v>-10733.360000000002</v>
      </c>
      <c r="AO145" s="125">
        <f>AH145*-Valores!$C$68</f>
        <v>0</v>
      </c>
      <c r="AP145" s="125">
        <f>AH145*Valores!$C$69</f>
        <v>-4390.92</v>
      </c>
      <c r="AQ145" s="125">
        <f>Valores!$C$96</f>
        <v>-280.91</v>
      </c>
      <c r="AR145" s="125">
        <f>IF($F$5=0,Valores!$C$97,(Valores!$C$97+$F$5*(Valores!$C$97)))</f>
        <v>-658</v>
      </c>
      <c r="AS145" s="125">
        <f t="shared" si="24"/>
        <v>88767.89000000001</v>
      </c>
      <c r="AT145" s="125">
        <f t="shared" si="18"/>
        <v>-10733.360000000002</v>
      </c>
      <c r="AU145" s="125">
        <f>AH145*Valores!$C$70</f>
        <v>-2634.5520000000006</v>
      </c>
      <c r="AV145" s="125">
        <f>AH145*Valores!$C$71</f>
        <v>-292.72800000000007</v>
      </c>
      <c r="AW145" s="125">
        <f t="shared" si="22"/>
        <v>91170.44000000002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3">
        <v>1278</v>
      </c>
      <c r="F146" s="125">
        <f>ROUND(E146*Valores!$C$2,2)</f>
        <v>27373.23</v>
      </c>
      <c r="G146" s="193">
        <v>0</v>
      </c>
      <c r="H146" s="125">
        <f>ROUND(G146*Valores!$C$2,2)</f>
        <v>0</v>
      </c>
      <c r="I146" s="193">
        <v>0</v>
      </c>
      <c r="J146" s="125">
        <f>ROUND(I146*Valores!$C$2,2)</f>
        <v>0</v>
      </c>
      <c r="K146" s="193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6178.69</v>
      </c>
      <c r="N146" s="125">
        <f t="shared" si="19"/>
        <v>0</v>
      </c>
      <c r="O146" s="125">
        <f>Valores!$C$16</f>
        <v>18508.63</v>
      </c>
      <c r="P146" s="125">
        <f>Valores!$D$5</f>
        <v>10949.29</v>
      </c>
      <c r="Q146" s="125">
        <f>Valores!$C$22</f>
        <v>9768.51</v>
      </c>
      <c r="R146" s="125">
        <f>IF($F$4="NO",Valores!$C$43,Valores!$C$43/2)</f>
        <v>3629.53</v>
      </c>
      <c r="S146" s="125">
        <f>Valores!$C$19</f>
        <v>10188.49</v>
      </c>
      <c r="T146" s="125">
        <f t="shared" si="25"/>
        <v>10188.49</v>
      </c>
      <c r="U146" s="125">
        <v>0</v>
      </c>
      <c r="V146" s="125">
        <v>0</v>
      </c>
      <c r="W146" s="193">
        <v>0</v>
      </c>
      <c r="X146" s="125">
        <f>ROUND(W146*Valores!$C$2,2)</f>
        <v>0</v>
      </c>
      <c r="Y146" s="125">
        <v>0</v>
      </c>
      <c r="Z146" s="125">
        <f>Valores!$C$90</f>
        <v>4899.43</v>
      </c>
      <c r="AA146" s="125">
        <f>Valores!$C$25</f>
        <v>447.83</v>
      </c>
      <c r="AB146" s="215">
        <v>0</v>
      </c>
      <c r="AC146" s="125">
        <f t="shared" si="20"/>
        <v>0</v>
      </c>
      <c r="AD146" s="125">
        <f>Valores!$C$26</f>
        <v>447.83</v>
      </c>
      <c r="AE146" s="193">
        <v>0</v>
      </c>
      <c r="AF146" s="125">
        <f>ROUND(AE146*Valores!$C$2,2)</f>
        <v>0</v>
      </c>
      <c r="AG146" s="125">
        <f>ROUND(IF($F$4="NO",Valores!$C$59,Valores!$C$59/2),2)</f>
        <v>3171.17</v>
      </c>
      <c r="AH146" s="125">
        <f t="shared" si="23"/>
        <v>95562.63000000002</v>
      </c>
      <c r="AI146" s="125">
        <f>Valores!$C$31</f>
        <v>4980.08</v>
      </c>
      <c r="AJ146" s="125">
        <f>Valores!$C$83</f>
        <v>2275</v>
      </c>
      <c r="AK146" s="125">
        <f>Valores!C$38*B146</f>
        <v>0</v>
      </c>
      <c r="AL146" s="125">
        <f>IF($F$3="NO",0,Valores!$C$52)</f>
        <v>0</v>
      </c>
      <c r="AM146" s="125">
        <f t="shared" si="21"/>
        <v>7255.08</v>
      </c>
      <c r="AN146" s="125">
        <f>AH146*Valores!$C$67</f>
        <v>-10511.889300000003</v>
      </c>
      <c r="AO146" s="125">
        <f>AH146*-Valores!$C$68</f>
        <v>0</v>
      </c>
      <c r="AP146" s="125">
        <f>AH146*Valores!$C$69</f>
        <v>-4300.3183500000005</v>
      </c>
      <c r="AQ146" s="125">
        <f>Valores!$C$96</f>
        <v>-280.91</v>
      </c>
      <c r="AR146" s="125">
        <f>IF($F$5=0,Valores!$C$97,(Valores!$C$97+$F$5*(Valores!$C$97)))</f>
        <v>-658</v>
      </c>
      <c r="AS146" s="125">
        <f t="shared" si="24"/>
        <v>87066.59235000002</v>
      </c>
      <c r="AT146" s="125">
        <f t="shared" si="18"/>
        <v>-10511.889300000003</v>
      </c>
      <c r="AU146" s="125">
        <f>AH146*Valores!$C$70</f>
        <v>-2580.1910100000005</v>
      </c>
      <c r="AV146" s="125">
        <f>AH146*Valores!$C$71</f>
        <v>-286.68789000000004</v>
      </c>
      <c r="AW146" s="125">
        <f t="shared" si="22"/>
        <v>89438.94180000002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3">
        <v>1278</v>
      </c>
      <c r="F147" s="125">
        <f>ROUND(E147*Valores!$C$2,2)</f>
        <v>27373.23</v>
      </c>
      <c r="G147" s="193">
        <v>0</v>
      </c>
      <c r="H147" s="125">
        <f>ROUND(G147*Valores!$C$2,2)</f>
        <v>0</v>
      </c>
      <c r="I147" s="193">
        <v>0</v>
      </c>
      <c r="J147" s="125">
        <f>ROUND(I147*Valores!$C$2,2)</f>
        <v>0</v>
      </c>
      <c r="K147" s="193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6163.06</v>
      </c>
      <c r="N147" s="125">
        <f t="shared" si="19"/>
        <v>0</v>
      </c>
      <c r="O147" s="125">
        <f>Valores!$C$16</f>
        <v>18508.63</v>
      </c>
      <c r="P147" s="125">
        <f>Valores!$D$5</f>
        <v>10949.29</v>
      </c>
      <c r="Q147" s="125">
        <v>0</v>
      </c>
      <c r="R147" s="125">
        <f>IF($F$4="NO",Valores!$C$43,Valores!$C$43/2)</f>
        <v>3629.53</v>
      </c>
      <c r="S147" s="125">
        <f>Valores!$C$20</f>
        <v>10084.32</v>
      </c>
      <c r="T147" s="125">
        <f t="shared" si="25"/>
        <v>10084.32</v>
      </c>
      <c r="U147" s="125">
        <v>0</v>
      </c>
      <c r="V147" s="125">
        <v>0</v>
      </c>
      <c r="W147" s="193">
        <v>0</v>
      </c>
      <c r="X147" s="125">
        <f>ROUND(W147*Valores!$C$2,2)</f>
        <v>0</v>
      </c>
      <c r="Y147" s="125">
        <v>0</v>
      </c>
      <c r="Z147" s="125">
        <f>Valores!$C$90</f>
        <v>4899.43</v>
      </c>
      <c r="AA147" s="125">
        <f>Valores!$C$25</f>
        <v>447.83</v>
      </c>
      <c r="AB147" s="215">
        <v>0</v>
      </c>
      <c r="AC147" s="125">
        <f t="shared" si="20"/>
        <v>0</v>
      </c>
      <c r="AD147" s="125">
        <f>Valores!$C$26</f>
        <v>447.83</v>
      </c>
      <c r="AE147" s="193">
        <v>0</v>
      </c>
      <c r="AF147" s="125">
        <f>ROUND(AE147*Valores!$C$2,2)</f>
        <v>0</v>
      </c>
      <c r="AG147" s="125">
        <f>ROUND(IF($F$4="NO",Valores!$C$59,Valores!$C$59/2),2)</f>
        <v>3171.17</v>
      </c>
      <c r="AH147" s="125">
        <f t="shared" si="23"/>
        <v>85674.31999999999</v>
      </c>
      <c r="AI147" s="125">
        <f>Valores!$C$31</f>
        <v>4980.08</v>
      </c>
      <c r="AJ147" s="125">
        <f>Valores!$C$83</f>
        <v>2275</v>
      </c>
      <c r="AK147" s="125">
        <f>Valores!C$38*B147</f>
        <v>0</v>
      </c>
      <c r="AL147" s="125">
        <f>IF($F$3="NO",0,Valores!$C$52)</f>
        <v>0</v>
      </c>
      <c r="AM147" s="125">
        <f t="shared" si="21"/>
        <v>7255.08</v>
      </c>
      <c r="AN147" s="125">
        <f>AH147*Valores!$C$67</f>
        <v>-9424.1752</v>
      </c>
      <c r="AO147" s="125">
        <f>AH147*-Valores!$C$68</f>
        <v>0</v>
      </c>
      <c r="AP147" s="125">
        <f>AH147*Valores!$C$69</f>
        <v>-3855.3443999999995</v>
      </c>
      <c r="AQ147" s="125">
        <f>Valores!$C$96</f>
        <v>-280.91</v>
      </c>
      <c r="AR147" s="125">
        <f>IF($F$5=0,Valores!$C$97,(Valores!$C$97+$F$5*(Valores!$C$97)))</f>
        <v>-658</v>
      </c>
      <c r="AS147" s="125">
        <f t="shared" si="24"/>
        <v>78710.97039999999</v>
      </c>
      <c r="AT147" s="125">
        <f t="shared" si="18"/>
        <v>-9424.1752</v>
      </c>
      <c r="AU147" s="125">
        <f>AH147*Valores!$C$70</f>
        <v>-2313.20664</v>
      </c>
      <c r="AV147" s="125">
        <f>AH147*Valores!$C$71</f>
        <v>-257.02295999999996</v>
      </c>
      <c r="AW147" s="125">
        <f t="shared" si="22"/>
        <v>80934.99519999999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3">
        <v>1278</v>
      </c>
      <c r="F148" s="125">
        <f>ROUND(E148*Valores!$C$2,2)</f>
        <v>27373.23</v>
      </c>
      <c r="G148" s="193">
        <v>0</v>
      </c>
      <c r="H148" s="125">
        <f>ROUND(G148*Valores!$C$2,2)</f>
        <v>0</v>
      </c>
      <c r="I148" s="193">
        <v>0</v>
      </c>
      <c r="J148" s="125">
        <f>ROUND(I148*Valores!$C$2,2)</f>
        <v>0</v>
      </c>
      <c r="K148" s="193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6163.06</v>
      </c>
      <c r="N148" s="125">
        <f t="shared" si="19"/>
        <v>0</v>
      </c>
      <c r="O148" s="125">
        <f>Valores!$C$16</f>
        <v>18508.63</v>
      </c>
      <c r="P148" s="125">
        <f>Valores!$D$5</f>
        <v>10949.29</v>
      </c>
      <c r="Q148" s="125">
        <v>0</v>
      </c>
      <c r="R148" s="125">
        <f>IF($F$4="NO",Valores!$C$43,Valores!$C$43/2)</f>
        <v>3629.53</v>
      </c>
      <c r="S148" s="125">
        <f>Valores!$C$20</f>
        <v>10084.32</v>
      </c>
      <c r="T148" s="125">
        <f t="shared" si="25"/>
        <v>10084.32</v>
      </c>
      <c r="U148" s="125">
        <v>0</v>
      </c>
      <c r="V148" s="125">
        <v>0</v>
      </c>
      <c r="W148" s="193">
        <v>0</v>
      </c>
      <c r="X148" s="125">
        <f>ROUND(W148*Valores!$C$2,2)</f>
        <v>0</v>
      </c>
      <c r="Y148" s="125">
        <v>0</v>
      </c>
      <c r="Z148" s="125">
        <f>Valores!$C$90</f>
        <v>4899.43</v>
      </c>
      <c r="AA148" s="125">
        <f>Valores!$C$25</f>
        <v>447.83</v>
      </c>
      <c r="AB148" s="215">
        <v>0</v>
      </c>
      <c r="AC148" s="125">
        <f t="shared" si="20"/>
        <v>0</v>
      </c>
      <c r="AD148" s="125">
        <f>Valores!$C$26</f>
        <v>447.83</v>
      </c>
      <c r="AE148" s="193">
        <v>0</v>
      </c>
      <c r="AF148" s="125">
        <f>ROUND(AE148*Valores!$C$2,2)</f>
        <v>0</v>
      </c>
      <c r="AG148" s="125">
        <f>ROUND(IF($F$4="NO",Valores!$C$59,Valores!$C$59/2),2)</f>
        <v>3171.17</v>
      </c>
      <c r="AH148" s="125">
        <f t="shared" si="23"/>
        <v>85674.31999999999</v>
      </c>
      <c r="AI148" s="125">
        <f>Valores!$C$31</f>
        <v>4980.08</v>
      </c>
      <c r="AJ148" s="125">
        <f>Valores!$C$83</f>
        <v>2275</v>
      </c>
      <c r="AK148" s="125">
        <f>Valores!C$38*B148</f>
        <v>0</v>
      </c>
      <c r="AL148" s="125">
        <f>IF($F$3="NO",0,Valores!$C$52)</f>
        <v>0</v>
      </c>
      <c r="AM148" s="125">
        <f t="shared" si="21"/>
        <v>7255.08</v>
      </c>
      <c r="AN148" s="125">
        <f>AH148*Valores!$C$67</f>
        <v>-9424.1752</v>
      </c>
      <c r="AO148" s="125">
        <f>AH148*-Valores!$C$68</f>
        <v>0</v>
      </c>
      <c r="AP148" s="125">
        <f>AH148*Valores!$C$69</f>
        <v>-3855.3443999999995</v>
      </c>
      <c r="AQ148" s="125">
        <f>Valores!$C$96</f>
        <v>-280.91</v>
      </c>
      <c r="AR148" s="125">
        <f>IF($F$5=0,Valores!$C$97,(Valores!$C$97+$F$5*(Valores!$C$97)))</f>
        <v>-658</v>
      </c>
      <c r="AS148" s="125">
        <f t="shared" si="24"/>
        <v>78710.97039999999</v>
      </c>
      <c r="AT148" s="125">
        <f t="shared" si="18"/>
        <v>-9424.1752</v>
      </c>
      <c r="AU148" s="125">
        <f>AH148*Valores!$C$70</f>
        <v>-2313.20664</v>
      </c>
      <c r="AV148" s="125">
        <f>AH148*Valores!$C$71</f>
        <v>-257.02295999999996</v>
      </c>
      <c r="AW148" s="125">
        <f t="shared" si="22"/>
        <v>80934.99519999999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3">
        <v>1060</v>
      </c>
      <c r="F149" s="125">
        <f>ROUND(E149*Valores!$C$2,2)</f>
        <v>22703.93</v>
      </c>
      <c r="G149" s="193">
        <v>0</v>
      </c>
      <c r="H149" s="125">
        <f>ROUND(G149*Valores!$C$2,2)</f>
        <v>0</v>
      </c>
      <c r="I149" s="193">
        <v>0</v>
      </c>
      <c r="J149" s="125">
        <f>ROUND(I149*Valores!$C$2,2)</f>
        <v>0</v>
      </c>
      <c r="K149" s="193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5478.29</v>
      </c>
      <c r="N149" s="125">
        <f t="shared" si="19"/>
        <v>0</v>
      </c>
      <c r="O149" s="125">
        <f>Valores!$C$16</f>
        <v>18508.63</v>
      </c>
      <c r="P149" s="125">
        <f>Valores!$D$5</f>
        <v>10949.29</v>
      </c>
      <c r="Q149" s="125">
        <f>Valores!$C$22</f>
        <v>9768.51</v>
      </c>
      <c r="R149" s="125">
        <f>IF($F$4="NO",Valores!$C$43,Valores!$C$43/2)</f>
        <v>3629.53</v>
      </c>
      <c r="S149" s="125">
        <f>Valores!$C$19</f>
        <v>10188.49</v>
      </c>
      <c r="T149" s="125">
        <f t="shared" si="25"/>
        <v>10188.49</v>
      </c>
      <c r="U149" s="125">
        <v>0</v>
      </c>
      <c r="V149" s="125">
        <v>0</v>
      </c>
      <c r="W149" s="193">
        <v>0</v>
      </c>
      <c r="X149" s="125">
        <f>ROUND(W149*Valores!$C$2,2)</f>
        <v>0</v>
      </c>
      <c r="Y149" s="125">
        <v>0</v>
      </c>
      <c r="Z149" s="125">
        <f>Valores!$C$90</f>
        <v>4899.43</v>
      </c>
      <c r="AA149" s="125">
        <f>Valores!$C$25</f>
        <v>447.83</v>
      </c>
      <c r="AB149" s="215">
        <v>0</v>
      </c>
      <c r="AC149" s="125">
        <f t="shared" si="20"/>
        <v>0</v>
      </c>
      <c r="AD149" s="125">
        <f>Valores!$C$26</f>
        <v>447.83</v>
      </c>
      <c r="AE149" s="193">
        <v>0</v>
      </c>
      <c r="AF149" s="125">
        <f>ROUND(AE149*Valores!$C$2,2)</f>
        <v>0</v>
      </c>
      <c r="AG149" s="125">
        <f>ROUND(IF($F$4="NO",Valores!$C$59,Valores!$C$59/2),2)</f>
        <v>3171.17</v>
      </c>
      <c r="AH149" s="125">
        <f t="shared" si="23"/>
        <v>90192.93000000001</v>
      </c>
      <c r="AI149" s="125">
        <f>Valores!$C$31</f>
        <v>4980.08</v>
      </c>
      <c r="AJ149" s="125">
        <f>Valores!$C$83</f>
        <v>2275</v>
      </c>
      <c r="AK149" s="125">
        <f>Valores!C$38*B149</f>
        <v>0</v>
      </c>
      <c r="AL149" s="125">
        <f>IF($F$3="NO",0,Valores!$C$52)</f>
        <v>0</v>
      </c>
      <c r="AM149" s="125">
        <f t="shared" si="21"/>
        <v>7255.08</v>
      </c>
      <c r="AN149" s="125">
        <f>AH149*Valores!$C$67</f>
        <v>-9921.222300000001</v>
      </c>
      <c r="AO149" s="125">
        <f>AH149*-Valores!$C$68</f>
        <v>0</v>
      </c>
      <c r="AP149" s="125">
        <f>AH149*Valores!$C$69</f>
        <v>-4058.6818500000004</v>
      </c>
      <c r="AQ149" s="125">
        <f>Valores!$C$96</f>
        <v>-280.91</v>
      </c>
      <c r="AR149" s="125">
        <f>IF($F$5=0,Valores!$C$97,(Valores!$C$97+$F$5*(Valores!$C$97)))</f>
        <v>-658</v>
      </c>
      <c r="AS149" s="125">
        <f t="shared" si="24"/>
        <v>82529.19585</v>
      </c>
      <c r="AT149" s="125">
        <f t="shared" si="18"/>
        <v>-9921.222300000001</v>
      </c>
      <c r="AU149" s="125">
        <f>AH149*Valores!$C$70</f>
        <v>-2435.2091100000002</v>
      </c>
      <c r="AV149" s="125">
        <f>AH149*Valores!$C$71</f>
        <v>-270.57879</v>
      </c>
      <c r="AW149" s="125">
        <f t="shared" si="22"/>
        <v>84820.9998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3">
        <v>1278</v>
      </c>
      <c r="F150" s="125">
        <f>ROUND(E150*Valores!$C$2,2)</f>
        <v>27373.23</v>
      </c>
      <c r="G150" s="193">
        <v>0</v>
      </c>
      <c r="H150" s="125">
        <f>ROUND(G150*Valores!$C$2,2)</f>
        <v>0</v>
      </c>
      <c r="I150" s="193">
        <v>0</v>
      </c>
      <c r="J150" s="125">
        <f>ROUND(I150*Valores!$C$2,2)</f>
        <v>0</v>
      </c>
      <c r="K150" s="193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6163.06</v>
      </c>
      <c r="N150" s="125">
        <f t="shared" si="19"/>
        <v>0</v>
      </c>
      <c r="O150" s="125">
        <f>Valores!$C$16</f>
        <v>18508.63</v>
      </c>
      <c r="P150" s="125">
        <f>Valores!$D$5</f>
        <v>10949.29</v>
      </c>
      <c r="Q150" s="125">
        <f>Valores!$C$22</f>
        <v>9768.51</v>
      </c>
      <c r="R150" s="125">
        <f>IF($F$4="NO",Valores!$C$43,Valores!$C$43/2)</f>
        <v>3629.53</v>
      </c>
      <c r="S150" s="125">
        <f>Valores!$C$20</f>
        <v>10084.32</v>
      </c>
      <c r="T150" s="125">
        <f t="shared" si="25"/>
        <v>10084.32</v>
      </c>
      <c r="U150" s="125">
        <v>0</v>
      </c>
      <c r="V150" s="125">
        <v>0</v>
      </c>
      <c r="W150" s="193">
        <v>0</v>
      </c>
      <c r="X150" s="125">
        <f>ROUND(W150*Valores!$C$2,2)</f>
        <v>0</v>
      </c>
      <c r="Y150" s="125">
        <v>0</v>
      </c>
      <c r="Z150" s="125">
        <f>Valores!$C$90</f>
        <v>4899.43</v>
      </c>
      <c r="AA150" s="125">
        <f>Valores!$C$25</f>
        <v>447.83</v>
      </c>
      <c r="AB150" s="215">
        <v>0</v>
      </c>
      <c r="AC150" s="125">
        <f t="shared" si="20"/>
        <v>0</v>
      </c>
      <c r="AD150" s="125">
        <f>Valores!$C$26</f>
        <v>447.83</v>
      </c>
      <c r="AE150" s="193">
        <v>0</v>
      </c>
      <c r="AF150" s="125">
        <f>ROUND(AE150*Valores!$C$2,2)</f>
        <v>0</v>
      </c>
      <c r="AG150" s="125">
        <f>ROUND(IF($F$4="NO",Valores!$C$59,Valores!$C$59/2),2)</f>
        <v>3171.17</v>
      </c>
      <c r="AH150" s="125">
        <f t="shared" si="23"/>
        <v>95442.83</v>
      </c>
      <c r="AI150" s="125">
        <f>Valores!$C$31</f>
        <v>4980.08</v>
      </c>
      <c r="AJ150" s="125">
        <f>Valores!$C$83</f>
        <v>2275</v>
      </c>
      <c r="AK150" s="125">
        <f>Valores!C$38*B150</f>
        <v>0</v>
      </c>
      <c r="AL150" s="125">
        <f>IF($F$3="NO",0,Valores!$C$52)</f>
        <v>0</v>
      </c>
      <c r="AM150" s="125">
        <f t="shared" si="21"/>
        <v>7255.08</v>
      </c>
      <c r="AN150" s="125">
        <f>AH150*Valores!$C$67</f>
        <v>-10498.7113</v>
      </c>
      <c r="AO150" s="125">
        <f>AH150*-Valores!$C$68</f>
        <v>0</v>
      </c>
      <c r="AP150" s="125">
        <f>AH150*Valores!$C$69</f>
        <v>-4294.92735</v>
      </c>
      <c r="AQ150" s="125">
        <f>Valores!$C$96</f>
        <v>-280.91</v>
      </c>
      <c r="AR150" s="125">
        <f>IF($F$5=0,Valores!$C$97,(Valores!$C$97+$F$5*(Valores!$C$97)))</f>
        <v>-658</v>
      </c>
      <c r="AS150" s="125">
        <f t="shared" si="24"/>
        <v>86965.36135</v>
      </c>
      <c r="AT150" s="125">
        <f t="shared" si="18"/>
        <v>-10498.7113</v>
      </c>
      <c r="AU150" s="125">
        <f>AH150*Valores!$C$70</f>
        <v>-2576.9564100000002</v>
      </c>
      <c r="AV150" s="125">
        <f>AH150*Valores!$C$71</f>
        <v>-286.32849</v>
      </c>
      <c r="AW150" s="125">
        <f t="shared" si="22"/>
        <v>89335.91380000001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3">
        <v>1278</v>
      </c>
      <c r="F151" s="125">
        <f>ROUND(E151*Valores!$C$2,2)</f>
        <v>27373.23</v>
      </c>
      <c r="G151" s="193">
        <v>0</v>
      </c>
      <c r="H151" s="125">
        <f>ROUND(G151*Valores!$C$2,2)</f>
        <v>0</v>
      </c>
      <c r="I151" s="193">
        <v>0</v>
      </c>
      <c r="J151" s="125">
        <f>ROUND(I151*Valores!$C$2,2)</f>
        <v>0</v>
      </c>
      <c r="K151" s="193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6178.69</v>
      </c>
      <c r="N151" s="125">
        <f t="shared" si="19"/>
        <v>0</v>
      </c>
      <c r="O151" s="125">
        <f>Valores!$C$16</f>
        <v>18508.63</v>
      </c>
      <c r="P151" s="125">
        <f>Valores!$D$5</f>
        <v>10949.29</v>
      </c>
      <c r="Q151" s="125">
        <f>Valores!$C$22</f>
        <v>9768.51</v>
      </c>
      <c r="R151" s="125">
        <f>IF($F$4="NO",Valores!$C$43,Valores!$C$43/2)</f>
        <v>3629.53</v>
      </c>
      <c r="S151" s="125">
        <f>Valores!$C$19</f>
        <v>10188.49</v>
      </c>
      <c r="T151" s="125">
        <f t="shared" si="25"/>
        <v>10188.49</v>
      </c>
      <c r="U151" s="125">
        <v>0</v>
      </c>
      <c r="V151" s="125">
        <v>0</v>
      </c>
      <c r="W151" s="193">
        <v>0</v>
      </c>
      <c r="X151" s="125">
        <f>ROUND(W151*Valores!$C$2,2)</f>
        <v>0</v>
      </c>
      <c r="Y151" s="125">
        <v>0</v>
      </c>
      <c r="Z151" s="125">
        <f>Valores!$C$90</f>
        <v>4899.43</v>
      </c>
      <c r="AA151" s="125">
        <f>Valores!$C$25</f>
        <v>447.83</v>
      </c>
      <c r="AB151" s="215">
        <v>0</v>
      </c>
      <c r="AC151" s="125">
        <f t="shared" si="20"/>
        <v>0</v>
      </c>
      <c r="AD151" s="125">
        <f>Valores!$C$26</f>
        <v>447.83</v>
      </c>
      <c r="AE151" s="193">
        <v>0</v>
      </c>
      <c r="AF151" s="125">
        <f>ROUND(AE151*Valores!$C$2,2)</f>
        <v>0</v>
      </c>
      <c r="AG151" s="125">
        <f>ROUND(IF($F$4="NO",Valores!$C$59,Valores!$C$59/2),2)</f>
        <v>3171.17</v>
      </c>
      <c r="AH151" s="125">
        <f t="shared" si="23"/>
        <v>95562.63000000002</v>
      </c>
      <c r="AI151" s="125">
        <f>Valores!$C$31</f>
        <v>4980.08</v>
      </c>
      <c r="AJ151" s="125">
        <f>Valores!$C$83</f>
        <v>2275</v>
      </c>
      <c r="AK151" s="125">
        <f>Valores!C$38*B151</f>
        <v>0</v>
      </c>
      <c r="AL151" s="125">
        <f>IF($F$3="NO",0,Valores!$C$52)</f>
        <v>0</v>
      </c>
      <c r="AM151" s="125">
        <f t="shared" si="21"/>
        <v>7255.08</v>
      </c>
      <c r="AN151" s="125">
        <f>AH151*Valores!$C$67</f>
        <v>-10511.889300000003</v>
      </c>
      <c r="AO151" s="125">
        <f>AH151*-Valores!$C$68</f>
        <v>0</v>
      </c>
      <c r="AP151" s="125">
        <f>AH151*Valores!$C$69</f>
        <v>-4300.3183500000005</v>
      </c>
      <c r="AQ151" s="125">
        <f>Valores!$C$96</f>
        <v>-280.91</v>
      </c>
      <c r="AR151" s="125">
        <f>IF($F$5=0,Valores!$C$97,(Valores!$C$97+$F$5*(Valores!$C$97)))</f>
        <v>-658</v>
      </c>
      <c r="AS151" s="125">
        <f t="shared" si="24"/>
        <v>87066.59235000002</v>
      </c>
      <c r="AT151" s="125">
        <f t="shared" si="18"/>
        <v>-10511.889300000003</v>
      </c>
      <c r="AU151" s="125">
        <f>AH151*Valores!$C$70</f>
        <v>-2580.1910100000005</v>
      </c>
      <c r="AV151" s="125">
        <f>AH151*Valores!$C$71</f>
        <v>-286.68789000000004</v>
      </c>
      <c r="AW151" s="125">
        <f t="shared" si="22"/>
        <v>89438.94180000002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3">
        <v>1065</v>
      </c>
      <c r="F152" s="125">
        <f>ROUND(E152*Valores!$C$2,2)</f>
        <v>22811.02</v>
      </c>
      <c r="G152" s="193">
        <v>0</v>
      </c>
      <c r="H152" s="125">
        <f>ROUND(G152*Valores!$C$2,2)</f>
        <v>0</v>
      </c>
      <c r="I152" s="193">
        <v>0</v>
      </c>
      <c r="J152" s="125">
        <f>ROUND(I152*Valores!$C$2,2)</f>
        <v>0</v>
      </c>
      <c r="K152" s="193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5430.07</v>
      </c>
      <c r="N152" s="125">
        <f t="shared" si="19"/>
        <v>0</v>
      </c>
      <c r="O152" s="125">
        <f>Valores!$C$16</f>
        <v>18508.63</v>
      </c>
      <c r="P152" s="125">
        <f>Valores!$D$5</f>
        <v>10949.29</v>
      </c>
      <c r="Q152" s="125">
        <f>Valores!$C$23</f>
        <v>9091.88</v>
      </c>
      <c r="R152" s="125">
        <f>IF($F$4="NO",Valores!$C$42,Valores!$C$42/2)</f>
        <v>3200.97</v>
      </c>
      <c r="S152" s="125">
        <f>Valores!$C$19</f>
        <v>10188.49</v>
      </c>
      <c r="T152" s="125">
        <f t="shared" si="25"/>
        <v>10188.49</v>
      </c>
      <c r="U152" s="125">
        <v>0</v>
      </c>
      <c r="V152" s="125">
        <v>0</v>
      </c>
      <c r="W152" s="193">
        <v>0</v>
      </c>
      <c r="X152" s="125">
        <f>ROUND(W152*Valores!$C$2,2)</f>
        <v>0</v>
      </c>
      <c r="Y152" s="125">
        <v>0</v>
      </c>
      <c r="Z152" s="125">
        <f>Valores!$C$90</f>
        <v>4899.43</v>
      </c>
      <c r="AA152" s="125">
        <f>Valores!$C$25</f>
        <v>447.83</v>
      </c>
      <c r="AB152" s="215">
        <v>0</v>
      </c>
      <c r="AC152" s="125">
        <f t="shared" si="20"/>
        <v>0</v>
      </c>
      <c r="AD152" s="125">
        <f>Valores!$C$26</f>
        <v>447.83</v>
      </c>
      <c r="AE152" s="193">
        <v>0</v>
      </c>
      <c r="AF152" s="125">
        <f>ROUND(AE152*Valores!$C$2,2)</f>
        <v>0</v>
      </c>
      <c r="AG152" s="125">
        <f>ROUND(IF($F$4="NO",Valores!$C$59,Valores!$C$59/2),2)</f>
        <v>3171.17</v>
      </c>
      <c r="AH152" s="125">
        <f t="shared" si="23"/>
        <v>89146.61</v>
      </c>
      <c r="AI152" s="125">
        <f>Valores!$C$31</f>
        <v>4980.08</v>
      </c>
      <c r="AJ152" s="125">
        <f>Valores!$C$83</f>
        <v>2275</v>
      </c>
      <c r="AK152" s="125">
        <f>Valores!C$38*B152</f>
        <v>0</v>
      </c>
      <c r="AL152" s="125">
        <f>IF($F$3="NO",0,Valores!$C$52)</f>
        <v>0</v>
      </c>
      <c r="AM152" s="125">
        <f t="shared" si="21"/>
        <v>7255.08</v>
      </c>
      <c r="AN152" s="125">
        <f>AH152*Valores!$C$67</f>
        <v>-9806.1271</v>
      </c>
      <c r="AO152" s="125">
        <f>AH152*-Valores!$C$68</f>
        <v>0</v>
      </c>
      <c r="AP152" s="125">
        <f>AH152*Valores!$C$69</f>
        <v>-4011.5974499999998</v>
      </c>
      <c r="AQ152" s="125">
        <f>Valores!$C$96</f>
        <v>-280.91</v>
      </c>
      <c r="AR152" s="125">
        <f>IF($F$5=0,Valores!$C$97,(Valores!$C$97+$F$5*(Valores!$C$97)))</f>
        <v>-658</v>
      </c>
      <c r="AS152" s="125">
        <f t="shared" si="24"/>
        <v>81645.05545</v>
      </c>
      <c r="AT152" s="125">
        <f t="shared" si="18"/>
        <v>-9806.1271</v>
      </c>
      <c r="AU152" s="125">
        <f>AH152*Valores!$C$70</f>
        <v>-2406.95847</v>
      </c>
      <c r="AV152" s="125">
        <f>AH152*Valores!$C$71</f>
        <v>-267.43983000000003</v>
      </c>
      <c r="AW152" s="125">
        <f t="shared" si="22"/>
        <v>83921.1646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3">
        <v>947</v>
      </c>
      <c r="F153" s="125">
        <f>ROUND(E153*Valores!$C$2,2)</f>
        <v>20283.6</v>
      </c>
      <c r="G153" s="193">
        <v>0</v>
      </c>
      <c r="H153" s="125">
        <f>ROUND(G153*Valores!$C$2,2)</f>
        <v>0</v>
      </c>
      <c r="I153" s="193">
        <v>0</v>
      </c>
      <c r="J153" s="125">
        <f>ROUND(I153*Valores!$C$2,2)</f>
        <v>0</v>
      </c>
      <c r="K153" s="193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5050.96</v>
      </c>
      <c r="N153" s="125">
        <f t="shared" si="19"/>
        <v>0</v>
      </c>
      <c r="O153" s="125">
        <f>Valores!$C$16</f>
        <v>18508.63</v>
      </c>
      <c r="P153" s="125">
        <f>Valores!$D$5</f>
        <v>10949.29</v>
      </c>
      <c r="Q153" s="125">
        <f>Valores!$C$23</f>
        <v>9091.88</v>
      </c>
      <c r="R153" s="125">
        <f>IF($F$4="NO",Valores!$C$42,Valores!$C$42/2)</f>
        <v>3200.97</v>
      </c>
      <c r="S153" s="125">
        <f>Valores!$C$19</f>
        <v>10188.49</v>
      </c>
      <c r="T153" s="125">
        <f t="shared" si="25"/>
        <v>10188.49</v>
      </c>
      <c r="U153" s="125">
        <v>0</v>
      </c>
      <c r="V153" s="125">
        <v>0</v>
      </c>
      <c r="W153" s="193">
        <v>0</v>
      </c>
      <c r="X153" s="125">
        <f>ROUND(W153*Valores!$C$2,2)</f>
        <v>0</v>
      </c>
      <c r="Y153" s="125">
        <v>0</v>
      </c>
      <c r="Z153" s="125">
        <f>Valores!$C$90</f>
        <v>4899.43</v>
      </c>
      <c r="AA153" s="125">
        <f>Valores!$C$25</f>
        <v>447.83</v>
      </c>
      <c r="AB153" s="215">
        <v>0</v>
      </c>
      <c r="AC153" s="125">
        <f t="shared" si="20"/>
        <v>0</v>
      </c>
      <c r="AD153" s="125">
        <f>Valores!$C$26</f>
        <v>447.83</v>
      </c>
      <c r="AE153" s="193">
        <v>0</v>
      </c>
      <c r="AF153" s="125">
        <f>ROUND(AE153*Valores!$C$2,2)</f>
        <v>0</v>
      </c>
      <c r="AG153" s="125">
        <f>ROUND(IF($F$4="NO",Valores!$C$59,Valores!$C$59/2),2)</f>
        <v>3171.17</v>
      </c>
      <c r="AH153" s="125">
        <f t="shared" si="23"/>
        <v>86240.08</v>
      </c>
      <c r="AI153" s="125">
        <f>Valores!$C$31</f>
        <v>4980.08</v>
      </c>
      <c r="AJ153" s="125">
        <f>Valores!$C$83</f>
        <v>2275</v>
      </c>
      <c r="AK153" s="125">
        <f>Valores!C$38*B153</f>
        <v>0</v>
      </c>
      <c r="AL153" s="125">
        <f>IF($F$3="NO",0,Valores!$C$52)</f>
        <v>0</v>
      </c>
      <c r="AM153" s="125">
        <f t="shared" si="21"/>
        <v>7255.08</v>
      </c>
      <c r="AN153" s="125">
        <f>AH153*Valores!$C$67</f>
        <v>-9486.408800000001</v>
      </c>
      <c r="AO153" s="125">
        <f>AH153*-Valores!$C$68</f>
        <v>0</v>
      </c>
      <c r="AP153" s="125">
        <f>AH153*Valores!$C$69</f>
        <v>-3880.8035999999997</v>
      </c>
      <c r="AQ153" s="125">
        <f>Valores!$C$96</f>
        <v>-280.91</v>
      </c>
      <c r="AR153" s="125">
        <f>IF($F$5=0,Valores!$C$97,(Valores!$C$97+$F$5*(Valores!$C$97)))</f>
        <v>-658</v>
      </c>
      <c r="AS153" s="125">
        <f t="shared" si="24"/>
        <v>79189.0376</v>
      </c>
      <c r="AT153" s="125">
        <f t="shared" si="18"/>
        <v>-9486.408800000001</v>
      </c>
      <c r="AU153" s="125">
        <f>AH153*Valores!$C$70</f>
        <v>-2328.48216</v>
      </c>
      <c r="AV153" s="125">
        <f>AH153*Valores!$C$71</f>
        <v>-258.72024</v>
      </c>
      <c r="AW153" s="125">
        <f t="shared" si="22"/>
        <v>81421.5488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3">
        <v>1800</v>
      </c>
      <c r="F154" s="125">
        <f>ROUND(E154*Valores!$C$2,2)</f>
        <v>38553.84</v>
      </c>
      <c r="G154" s="193">
        <v>0</v>
      </c>
      <c r="H154" s="125">
        <f>ROUND(G154*Valores!$C$2,2)</f>
        <v>0</v>
      </c>
      <c r="I154" s="193">
        <v>0</v>
      </c>
      <c r="J154" s="125">
        <f>ROUND(I154*Valores!$C$2,2)</f>
        <v>0</v>
      </c>
      <c r="K154" s="193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8112.86</v>
      </c>
      <c r="N154" s="125">
        <f t="shared" si="19"/>
        <v>0</v>
      </c>
      <c r="O154" s="125">
        <f>Valores!$C$8</f>
        <v>23890.21</v>
      </c>
      <c r="P154" s="125">
        <f>Valores!$D$5</f>
        <v>10949.29</v>
      </c>
      <c r="Q154" s="125">
        <f>Valores!$C$22</f>
        <v>9768.51</v>
      </c>
      <c r="R154" s="125">
        <f>IF($F$4="NO",Valores!$C$44,Valores!$C$44/2)</f>
        <v>5343.37</v>
      </c>
      <c r="S154" s="125">
        <f>Valores!$C$19</f>
        <v>10188.49</v>
      </c>
      <c r="T154" s="125">
        <f t="shared" si="25"/>
        <v>10188.49</v>
      </c>
      <c r="U154" s="125">
        <v>0</v>
      </c>
      <c r="V154" s="125">
        <v>0</v>
      </c>
      <c r="W154" s="193">
        <v>0</v>
      </c>
      <c r="X154" s="125">
        <f>ROUND(W154*Valores!$C$2,2)</f>
        <v>0</v>
      </c>
      <c r="Y154" s="125">
        <v>0</v>
      </c>
      <c r="Z154" s="125">
        <f>Valores!$C$92</f>
        <v>9798.86</v>
      </c>
      <c r="AA154" s="125">
        <f>Valores!$C$25</f>
        <v>447.83</v>
      </c>
      <c r="AB154" s="215">
        <v>0</v>
      </c>
      <c r="AC154" s="125">
        <f t="shared" si="20"/>
        <v>0</v>
      </c>
      <c r="AD154" s="125">
        <f>Valores!$C$26</f>
        <v>447.83</v>
      </c>
      <c r="AE154" s="193">
        <v>0</v>
      </c>
      <c r="AF154" s="125">
        <f>ROUND(AE154*Valores!$C$2,2)</f>
        <v>0</v>
      </c>
      <c r="AG154" s="125">
        <f>ROUND(IF($F$4="NO",Valores!$C$59,Valores!$C$59/2),2)</f>
        <v>3171.17</v>
      </c>
      <c r="AH154" s="125">
        <f t="shared" si="23"/>
        <v>120672.26000000001</v>
      </c>
      <c r="AI154" s="125">
        <f>Valores!$C$31</f>
        <v>4980.08</v>
      </c>
      <c r="AJ154" s="125">
        <f>Valores!$C$85</f>
        <v>4550</v>
      </c>
      <c r="AK154" s="125">
        <f>Valores!C$38*B154</f>
        <v>0</v>
      </c>
      <c r="AL154" s="125">
        <f>IF($F$3="NO",0,Valores!$C$52)</f>
        <v>0</v>
      </c>
      <c r="AM154" s="125">
        <f t="shared" si="21"/>
        <v>9530.08</v>
      </c>
      <c r="AN154" s="125">
        <f>AH154*Valores!$C$67</f>
        <v>-13273.948600000002</v>
      </c>
      <c r="AO154" s="125">
        <f>AH154*-Valores!$C$68</f>
        <v>0</v>
      </c>
      <c r="AP154" s="125">
        <f>AH154*Valores!$C$69</f>
        <v>-5430.2517</v>
      </c>
      <c r="AQ154" s="125">
        <f>Valores!$C$96</f>
        <v>-280.91</v>
      </c>
      <c r="AR154" s="125">
        <f>IF($F$5=0,Valores!$C$97,(Valores!$C$97+$F$5*(Valores!$C$97)))</f>
        <v>-658</v>
      </c>
      <c r="AS154" s="125">
        <f t="shared" si="24"/>
        <v>110559.22970000001</v>
      </c>
      <c r="AT154" s="125">
        <f t="shared" si="18"/>
        <v>-13273.948600000002</v>
      </c>
      <c r="AU154" s="125">
        <f>AH154*Valores!$C$70</f>
        <v>-3258.1510200000002</v>
      </c>
      <c r="AV154" s="125">
        <f>AH154*Valores!$C$71</f>
        <v>-362.01678000000004</v>
      </c>
      <c r="AW154" s="125">
        <f t="shared" si="22"/>
        <v>113308.22360000001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3">
        <v>1278</v>
      </c>
      <c r="F155" s="125">
        <f>ROUND(E155*Valores!$C$2,2)</f>
        <v>27373.23</v>
      </c>
      <c r="G155" s="193">
        <v>0</v>
      </c>
      <c r="H155" s="125">
        <f>ROUND(G155*Valores!$C$2,2)</f>
        <v>0</v>
      </c>
      <c r="I155" s="193">
        <v>0</v>
      </c>
      <c r="J155" s="125">
        <f>ROUND(I155*Valores!$C$2,2)</f>
        <v>0</v>
      </c>
      <c r="K155" s="193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6178.69</v>
      </c>
      <c r="N155" s="125">
        <f t="shared" si="19"/>
        <v>0</v>
      </c>
      <c r="O155" s="125">
        <f>Valores!$C$8</f>
        <v>23890.21</v>
      </c>
      <c r="P155" s="125">
        <f>Valores!$D$5</f>
        <v>10949.29</v>
      </c>
      <c r="Q155" s="125">
        <f>Valores!$C$22</f>
        <v>9768.51</v>
      </c>
      <c r="R155" s="125">
        <f>IF($F$4="NO",Valores!$C$43,Valores!$C$43/2)</f>
        <v>3629.53</v>
      </c>
      <c r="S155" s="125">
        <f>Valores!$C$19</f>
        <v>10188.49</v>
      </c>
      <c r="T155" s="125">
        <f t="shared" si="25"/>
        <v>10188.49</v>
      </c>
      <c r="U155" s="125">
        <v>0</v>
      </c>
      <c r="V155" s="125">
        <v>0</v>
      </c>
      <c r="W155" s="193">
        <v>0</v>
      </c>
      <c r="X155" s="125">
        <f>ROUND(W155*Valores!$C$2,2)</f>
        <v>0</v>
      </c>
      <c r="Y155" s="125">
        <v>0</v>
      </c>
      <c r="Z155" s="125">
        <f>Valores!$C$90</f>
        <v>4899.43</v>
      </c>
      <c r="AA155" s="125">
        <f>Valores!$C$25</f>
        <v>447.83</v>
      </c>
      <c r="AB155" s="215">
        <v>0</v>
      </c>
      <c r="AC155" s="125">
        <f t="shared" si="20"/>
        <v>0</v>
      </c>
      <c r="AD155" s="125">
        <f>Valores!$C$26</f>
        <v>447.83</v>
      </c>
      <c r="AE155" s="193">
        <v>0</v>
      </c>
      <c r="AF155" s="125">
        <f>ROUND(AE155*Valores!$C$2,2)</f>
        <v>0</v>
      </c>
      <c r="AG155" s="125">
        <f>ROUND(IF($F$4="NO",Valores!$C$59,Valores!$C$59/2),2)</f>
        <v>3171.17</v>
      </c>
      <c r="AH155" s="125">
        <f t="shared" si="23"/>
        <v>100944.21</v>
      </c>
      <c r="AI155" s="125">
        <f>Valores!$C$31</f>
        <v>4980.08</v>
      </c>
      <c r="AJ155" s="125">
        <f>Valores!$C$83</f>
        <v>2275</v>
      </c>
      <c r="AK155" s="125">
        <f>Valores!C$38*B155</f>
        <v>0</v>
      </c>
      <c r="AL155" s="125">
        <f>IF($F$3="NO",0,Valores!$C$52)</f>
        <v>0</v>
      </c>
      <c r="AM155" s="125">
        <f t="shared" si="21"/>
        <v>7255.08</v>
      </c>
      <c r="AN155" s="125">
        <f>AH155*Valores!$C$67</f>
        <v>-11103.8631</v>
      </c>
      <c r="AO155" s="125">
        <f>AH155*-Valores!$C$68</f>
        <v>0</v>
      </c>
      <c r="AP155" s="125">
        <f>AH155*Valores!$C$69</f>
        <v>-4542.48945</v>
      </c>
      <c r="AQ155" s="125">
        <f>Valores!$C$96</f>
        <v>-280.91</v>
      </c>
      <c r="AR155" s="125">
        <f>IF($F$5=0,Valores!$C$97,(Valores!$C$97+$F$5*(Valores!$C$97)))</f>
        <v>-658</v>
      </c>
      <c r="AS155" s="125">
        <f t="shared" si="24"/>
        <v>91614.02745000001</v>
      </c>
      <c r="AT155" s="125">
        <f t="shared" si="18"/>
        <v>-11103.8631</v>
      </c>
      <c r="AU155" s="125">
        <f>AH155*Valores!$C$70</f>
        <v>-2725.4936700000003</v>
      </c>
      <c r="AV155" s="125">
        <f>AH155*Valores!$C$71</f>
        <v>-302.83263000000005</v>
      </c>
      <c r="AW155" s="125">
        <f t="shared" si="22"/>
        <v>94067.1006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3">
        <v>1214</v>
      </c>
      <c r="F156" s="125">
        <f>ROUND(E156*Valores!$C$2,2)</f>
        <v>26002.42</v>
      </c>
      <c r="G156" s="193">
        <v>0</v>
      </c>
      <c r="H156" s="125">
        <f>ROUND(G156*Valores!$C$2,2)</f>
        <v>0</v>
      </c>
      <c r="I156" s="193">
        <v>0</v>
      </c>
      <c r="J156" s="125">
        <f>ROUND(I156*Valores!$C$2,2)</f>
        <v>0</v>
      </c>
      <c r="K156" s="193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5973.07</v>
      </c>
      <c r="N156" s="125">
        <f t="shared" si="19"/>
        <v>0</v>
      </c>
      <c r="O156" s="125">
        <f>Valores!$C$16</f>
        <v>18508.63</v>
      </c>
      <c r="P156" s="125">
        <f>Valores!$D$5</f>
        <v>10949.29</v>
      </c>
      <c r="Q156" s="125">
        <f>Valores!$C$22</f>
        <v>9768.51</v>
      </c>
      <c r="R156" s="125">
        <f>IF($F$4="NO",Valores!$C$43,Valores!$C$43/2)</f>
        <v>3629.53</v>
      </c>
      <c r="S156" s="125">
        <f>Valores!$C$19</f>
        <v>10188.49</v>
      </c>
      <c r="T156" s="125">
        <f t="shared" si="25"/>
        <v>10188.49</v>
      </c>
      <c r="U156" s="125">
        <v>0</v>
      </c>
      <c r="V156" s="125">
        <v>0</v>
      </c>
      <c r="W156" s="193">
        <v>0</v>
      </c>
      <c r="X156" s="125">
        <f>ROUND(W156*Valores!$C$2,2)</f>
        <v>0</v>
      </c>
      <c r="Y156" s="125">
        <v>0</v>
      </c>
      <c r="Z156" s="125">
        <f>Valores!$C$90</f>
        <v>4899.43</v>
      </c>
      <c r="AA156" s="125">
        <f>Valores!$C$25</f>
        <v>447.83</v>
      </c>
      <c r="AB156" s="215">
        <v>0</v>
      </c>
      <c r="AC156" s="125">
        <f t="shared" si="20"/>
        <v>0</v>
      </c>
      <c r="AD156" s="125">
        <f>Valores!$C$26</f>
        <v>447.83</v>
      </c>
      <c r="AE156" s="193">
        <v>0</v>
      </c>
      <c r="AF156" s="125">
        <f>ROUND(AE156*Valores!$C$2,2)</f>
        <v>0</v>
      </c>
      <c r="AG156" s="125">
        <f>ROUND(IF($F$4="NO",Valores!$C$59,Valores!$C$59/2),2)</f>
        <v>3171.17</v>
      </c>
      <c r="AH156" s="125">
        <f t="shared" si="23"/>
        <v>93986.2</v>
      </c>
      <c r="AI156" s="125">
        <f>Valores!$C$31</f>
        <v>4980.08</v>
      </c>
      <c r="AJ156" s="125">
        <f>Valores!$C$83</f>
        <v>2275</v>
      </c>
      <c r="AK156" s="125">
        <f>Valores!C$38*B156</f>
        <v>0</v>
      </c>
      <c r="AL156" s="125">
        <f>IF($F$3="NO",0,Valores!$C$52)</f>
        <v>0</v>
      </c>
      <c r="AM156" s="125">
        <f t="shared" si="21"/>
        <v>7255.08</v>
      </c>
      <c r="AN156" s="125">
        <f>AH156*Valores!$C$67</f>
        <v>-10338.482</v>
      </c>
      <c r="AO156" s="125">
        <f>AH156*-Valores!$C$68</f>
        <v>0</v>
      </c>
      <c r="AP156" s="125">
        <f>AH156*Valores!$C$69</f>
        <v>-4229.379</v>
      </c>
      <c r="AQ156" s="125">
        <f>Valores!$C$96</f>
        <v>-280.91</v>
      </c>
      <c r="AR156" s="125">
        <f>IF($F$5=0,Valores!$C$97,(Valores!$C$97+$F$5*(Valores!$C$97)))</f>
        <v>-658</v>
      </c>
      <c r="AS156" s="125">
        <f t="shared" si="24"/>
        <v>85734.50899999999</v>
      </c>
      <c r="AT156" s="125">
        <f t="shared" si="18"/>
        <v>-10338.482</v>
      </c>
      <c r="AU156" s="125">
        <f>AH156*Valores!$C$70</f>
        <v>-2537.6274</v>
      </c>
      <c r="AV156" s="125">
        <f>AH156*Valores!$C$71</f>
        <v>-281.9586</v>
      </c>
      <c r="AW156" s="125">
        <f t="shared" si="22"/>
        <v>88083.212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3">
        <f>1106+78</f>
        <v>1184</v>
      </c>
      <c r="F157" s="125">
        <f>ROUND(E157*Valores!$C$2,2)</f>
        <v>25359.86</v>
      </c>
      <c r="G157" s="193">
        <v>0</v>
      </c>
      <c r="H157" s="125">
        <f>ROUND(G157*Valores!$C$2,2)</f>
        <v>0</v>
      </c>
      <c r="I157" s="193">
        <v>0</v>
      </c>
      <c r="J157" s="125">
        <f>ROUND(I157*Valores!$C$2,2)</f>
        <v>0</v>
      </c>
      <c r="K157" s="193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5861.06</v>
      </c>
      <c r="N157" s="125">
        <f t="shared" si="19"/>
        <v>0</v>
      </c>
      <c r="O157" s="125">
        <f>Valores!$C$16</f>
        <v>18508.63</v>
      </c>
      <c r="P157" s="125">
        <f>Valores!$D$5</f>
        <v>10949.29</v>
      </c>
      <c r="Q157" s="125">
        <v>0</v>
      </c>
      <c r="R157" s="125">
        <f>IF($F$4="NO",Valores!$C$43,Valores!$C$43/2)</f>
        <v>3629.53</v>
      </c>
      <c r="S157" s="125">
        <f>Valores!$C$20</f>
        <v>10084.32</v>
      </c>
      <c r="T157" s="125">
        <f t="shared" si="25"/>
        <v>10084.32</v>
      </c>
      <c r="U157" s="125">
        <v>0</v>
      </c>
      <c r="V157" s="125">
        <v>0</v>
      </c>
      <c r="W157" s="193">
        <v>0</v>
      </c>
      <c r="X157" s="125">
        <f>ROUND(W157*Valores!$C$2,2)</f>
        <v>0</v>
      </c>
      <c r="Y157" s="125">
        <v>0</v>
      </c>
      <c r="Z157" s="125">
        <f>Valores!$C$90</f>
        <v>4899.43</v>
      </c>
      <c r="AA157" s="125">
        <f>Valores!$C$25</f>
        <v>447.83</v>
      </c>
      <c r="AB157" s="215">
        <v>0</v>
      </c>
      <c r="AC157" s="125">
        <f t="shared" si="20"/>
        <v>0</v>
      </c>
      <c r="AD157" s="125">
        <f>Valores!$C$26</f>
        <v>447.83</v>
      </c>
      <c r="AE157" s="193">
        <v>0</v>
      </c>
      <c r="AF157" s="125">
        <f>ROUND(AE157*Valores!$C$2,2)</f>
        <v>0</v>
      </c>
      <c r="AG157" s="125">
        <f>ROUND(IF($F$4="NO",Valores!$C$59,Valores!$C$59/2),2)</f>
        <v>3171.17</v>
      </c>
      <c r="AH157" s="125">
        <f t="shared" si="23"/>
        <v>83358.95</v>
      </c>
      <c r="AI157" s="125">
        <f>Valores!$C$31</f>
        <v>4980.08</v>
      </c>
      <c r="AJ157" s="125">
        <f>Valores!$C$83</f>
        <v>2275</v>
      </c>
      <c r="AK157" s="125">
        <f>Valores!C$38*B157</f>
        <v>0</v>
      </c>
      <c r="AL157" s="125">
        <f>IF($F$3="NO",0,Valores!$C$52)</f>
        <v>0</v>
      </c>
      <c r="AM157" s="125">
        <f t="shared" si="21"/>
        <v>7255.08</v>
      </c>
      <c r="AN157" s="125">
        <f>AH157*Valores!$C$67</f>
        <v>-9169.4845</v>
      </c>
      <c r="AO157" s="125">
        <f>AH157*-Valores!$C$68</f>
        <v>0</v>
      </c>
      <c r="AP157" s="125">
        <f>AH157*Valores!$C$69</f>
        <v>-3751.1527499999997</v>
      </c>
      <c r="AQ157" s="125">
        <f>Valores!$C$96</f>
        <v>-280.91</v>
      </c>
      <c r="AR157" s="125">
        <f>IF($F$5=0,Valores!$C$97,(Valores!$C$97+$F$5*(Valores!$C$97)))</f>
        <v>-658</v>
      </c>
      <c r="AS157" s="125">
        <f t="shared" si="24"/>
        <v>76754.48275</v>
      </c>
      <c r="AT157" s="125">
        <f t="shared" si="18"/>
        <v>-9169.4845</v>
      </c>
      <c r="AU157" s="125">
        <f>AH157*Valores!$C$70</f>
        <v>-2250.6916499999998</v>
      </c>
      <c r="AV157" s="125">
        <f>AH157*Valores!$C$71</f>
        <v>-250.07685</v>
      </c>
      <c r="AW157" s="125">
        <f t="shared" si="22"/>
        <v>78943.777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3">
        <v>971</v>
      </c>
      <c r="F158" s="125">
        <f>ROUND(E158*Valores!$C$2,2)</f>
        <v>20797.65</v>
      </c>
      <c r="G158" s="193">
        <v>0</v>
      </c>
      <c r="H158" s="125">
        <f>ROUND(G158*Valores!$C$2,2)</f>
        <v>0</v>
      </c>
      <c r="I158" s="193">
        <v>0</v>
      </c>
      <c r="J158" s="125">
        <f>ROUND(I158*Valores!$C$2,2)</f>
        <v>0</v>
      </c>
      <c r="K158" s="193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5128.07</v>
      </c>
      <c r="N158" s="125">
        <f t="shared" si="19"/>
        <v>0</v>
      </c>
      <c r="O158" s="125">
        <f>Valores!$C$16</f>
        <v>18508.63</v>
      </c>
      <c r="P158" s="125">
        <f>Valores!$D$5</f>
        <v>10949.29</v>
      </c>
      <c r="Q158" s="125">
        <f>Valores!$C$23</f>
        <v>9091.88</v>
      </c>
      <c r="R158" s="125">
        <f>IF($F$4="NO",Valores!$C$42,Valores!$C$42/2)</f>
        <v>3200.97</v>
      </c>
      <c r="S158" s="125">
        <f>Valores!$C$19</f>
        <v>10188.49</v>
      </c>
      <c r="T158" s="125">
        <f t="shared" si="25"/>
        <v>10188.49</v>
      </c>
      <c r="U158" s="125">
        <v>0</v>
      </c>
      <c r="V158" s="125">
        <v>0</v>
      </c>
      <c r="W158" s="193">
        <v>0</v>
      </c>
      <c r="X158" s="125">
        <f>ROUND(W158*Valores!$C$2,2)</f>
        <v>0</v>
      </c>
      <c r="Y158" s="125">
        <v>0</v>
      </c>
      <c r="Z158" s="125">
        <f>Valores!$C$90</f>
        <v>4899.43</v>
      </c>
      <c r="AA158" s="125">
        <f>Valores!$C$25</f>
        <v>447.83</v>
      </c>
      <c r="AB158" s="215">
        <v>0</v>
      </c>
      <c r="AC158" s="125">
        <f t="shared" si="20"/>
        <v>0</v>
      </c>
      <c r="AD158" s="125">
        <f>Valores!$C$25</f>
        <v>447.83</v>
      </c>
      <c r="AE158" s="193">
        <v>0</v>
      </c>
      <c r="AF158" s="125">
        <f>ROUND(AE158*Valores!$C$2,2)</f>
        <v>0</v>
      </c>
      <c r="AG158" s="125">
        <f>ROUND(IF($F$4="NO",Valores!$C$59,Valores!$C$59/2),2)</f>
        <v>3171.17</v>
      </c>
      <c r="AH158" s="125">
        <f t="shared" si="23"/>
        <v>86831.24</v>
      </c>
      <c r="AI158" s="125">
        <f>Valores!$C$31</f>
        <v>4980.08</v>
      </c>
      <c r="AJ158" s="125">
        <f>Valores!$C$83</f>
        <v>2275</v>
      </c>
      <c r="AK158" s="125">
        <f>Valores!C$38*B158</f>
        <v>0</v>
      </c>
      <c r="AL158" s="125">
        <f>(IF($F$3="NO",0,Valores!$C$54))</f>
        <v>0</v>
      </c>
      <c r="AM158" s="125">
        <f t="shared" si="21"/>
        <v>7255.08</v>
      </c>
      <c r="AN158" s="125">
        <f>AH158*Valores!$C$67</f>
        <v>-9551.4364</v>
      </c>
      <c r="AO158" s="125">
        <f>AH158*-Valores!$C$68</f>
        <v>0</v>
      </c>
      <c r="AP158" s="125">
        <f>AH158*Valores!$C$69</f>
        <v>-3907.4058</v>
      </c>
      <c r="AQ158" s="125">
        <f>Valores!$C$96</f>
        <v>-280.91</v>
      </c>
      <c r="AR158" s="125">
        <f>IF($F$5=0,Valores!$C$97,(Valores!$C$97+$F$5*(Valores!$C$97)))</f>
        <v>-658</v>
      </c>
      <c r="AS158" s="125">
        <f t="shared" si="24"/>
        <v>79688.5678</v>
      </c>
      <c r="AT158" s="125">
        <f t="shared" si="18"/>
        <v>-9551.4364</v>
      </c>
      <c r="AU158" s="125">
        <f>AH158*Valores!$C$70</f>
        <v>-2344.44348</v>
      </c>
      <c r="AV158" s="125">
        <f>AH158*Valores!$C$71</f>
        <v>-260.49372</v>
      </c>
      <c r="AW158" s="125">
        <f t="shared" si="22"/>
        <v>81929.9464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3">
        <v>971</v>
      </c>
      <c r="F159" s="125">
        <f>ROUND(E159*Valores!$C$2,2)</f>
        <v>20797.65</v>
      </c>
      <c r="G159" s="193">
        <v>0</v>
      </c>
      <c r="H159" s="125">
        <f>ROUND(G159*Valores!$C$2,2)</f>
        <v>0</v>
      </c>
      <c r="I159" s="193">
        <v>0</v>
      </c>
      <c r="J159" s="125">
        <f>ROUND(I159*Valores!$C$2,2)</f>
        <v>0</v>
      </c>
      <c r="K159" s="193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6734.55</v>
      </c>
      <c r="N159" s="125">
        <f t="shared" si="19"/>
        <v>0</v>
      </c>
      <c r="O159" s="125">
        <f>Valores!$C$16</f>
        <v>18508.63</v>
      </c>
      <c r="P159" s="125">
        <f>Valores!$D$5</f>
        <v>10949.29</v>
      </c>
      <c r="Q159" s="125">
        <f>Valores!$C$23</f>
        <v>9091.88</v>
      </c>
      <c r="R159" s="125">
        <f>IF($F$4="NO",Valores!$C$44,Valores!$C$44/2)</f>
        <v>5343.37</v>
      </c>
      <c r="S159" s="125">
        <f>Valores!$C$19</f>
        <v>10188.49</v>
      </c>
      <c r="T159" s="125">
        <f t="shared" si="25"/>
        <v>10188.49</v>
      </c>
      <c r="U159" s="125">
        <v>0</v>
      </c>
      <c r="V159" s="125">
        <v>0</v>
      </c>
      <c r="W159" s="193">
        <v>400</v>
      </c>
      <c r="X159" s="125">
        <f>ROUND(W159*Valores!$C$2,2)</f>
        <v>8567.52</v>
      </c>
      <c r="Y159" s="125">
        <f>ROUND(SUM(J159,H159,F159,T159)*Valores!$C$3,2)</f>
        <v>4647.92</v>
      </c>
      <c r="Z159" s="125">
        <f>Valores!$C$90</f>
        <v>4899.43</v>
      </c>
      <c r="AA159" s="125">
        <f>Valores!$C$25</f>
        <v>447.83</v>
      </c>
      <c r="AB159" s="215">
        <v>0</v>
      </c>
      <c r="AC159" s="125">
        <f t="shared" si="20"/>
        <v>0</v>
      </c>
      <c r="AD159" s="125">
        <f>Valores!$C$25</f>
        <v>447.83</v>
      </c>
      <c r="AE159" s="193">
        <v>94</v>
      </c>
      <c r="AF159" s="125">
        <f>ROUND(AE159*Valores!$C$2,2)</f>
        <v>2013.37</v>
      </c>
      <c r="AG159" s="125">
        <f>ROUND(IF($F$4="NO",Valores!$C$59,Valores!$C$59/2),2)</f>
        <v>3171.17</v>
      </c>
      <c r="AH159" s="125">
        <f t="shared" si="23"/>
        <v>105808.93000000001</v>
      </c>
      <c r="AI159" s="125">
        <f>Valores!$C$31</f>
        <v>4980.08</v>
      </c>
      <c r="AJ159" s="125">
        <f>Valores!$C$83</f>
        <v>2275</v>
      </c>
      <c r="AK159" s="125">
        <f>Valores!C$38*B159</f>
        <v>0</v>
      </c>
      <c r="AL159" s="125">
        <f>(IF($F$3="NO",0,Valores!$C$54))</f>
        <v>0</v>
      </c>
      <c r="AM159" s="125">
        <f t="shared" si="21"/>
        <v>7255.08</v>
      </c>
      <c r="AN159" s="125">
        <f>AH159*Valores!$C$67</f>
        <v>-11638.982300000001</v>
      </c>
      <c r="AO159" s="125">
        <f>AH159*-Valores!$C$68</f>
        <v>0</v>
      </c>
      <c r="AP159" s="125">
        <f>AH159*Valores!$C$69</f>
        <v>-4761.40185</v>
      </c>
      <c r="AQ159" s="125">
        <f>Valores!$C$96</f>
        <v>-280.91</v>
      </c>
      <c r="AR159" s="125">
        <f>IF($F$5=0,Valores!$C$97,(Valores!$C$97+$F$5*(Valores!$C$97)))</f>
        <v>-658</v>
      </c>
      <c r="AS159" s="125">
        <f t="shared" si="24"/>
        <v>95724.71585000001</v>
      </c>
      <c r="AT159" s="125">
        <f t="shared" si="18"/>
        <v>-11638.982300000001</v>
      </c>
      <c r="AU159" s="125">
        <f>AH159*Valores!$C$70</f>
        <v>-2856.8411100000003</v>
      </c>
      <c r="AV159" s="125">
        <f>AH159*Valores!$C$71</f>
        <v>-317.42679000000004</v>
      </c>
      <c r="AW159" s="125">
        <f t="shared" si="22"/>
        <v>98250.75980000001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3">
        <v>810</v>
      </c>
      <c r="F160" s="125">
        <f>ROUND(E160*Valores!$C$2,2)</f>
        <v>17349.23</v>
      </c>
      <c r="G160" s="193">
        <v>0</v>
      </c>
      <c r="H160" s="125">
        <f>ROUND(G160*Valores!$C$2,2)</f>
        <v>0</v>
      </c>
      <c r="I160" s="193">
        <v>0</v>
      </c>
      <c r="J160" s="125">
        <f>ROUND(I160*Valores!$C$2,2)</f>
        <v>0</v>
      </c>
      <c r="K160" s="193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4595.18</v>
      </c>
      <c r="N160" s="125">
        <f t="shared" si="19"/>
        <v>0</v>
      </c>
      <c r="O160" s="125">
        <f>Valores!$C$16</f>
        <v>18508.63</v>
      </c>
      <c r="P160" s="125">
        <f>Valores!$D$5</f>
        <v>10949.29</v>
      </c>
      <c r="Q160" s="125">
        <f>Valores!$C$23</f>
        <v>9091.88</v>
      </c>
      <c r="R160" s="125">
        <f>IF($F$4="NO",Valores!$C$42,Valores!$C$42/2)</f>
        <v>3200.97</v>
      </c>
      <c r="S160" s="125">
        <f>Valores!$C$20</f>
        <v>10084.32</v>
      </c>
      <c r="T160" s="125">
        <f t="shared" si="25"/>
        <v>10084.32</v>
      </c>
      <c r="U160" s="125">
        <v>0</v>
      </c>
      <c r="V160" s="125">
        <v>0</v>
      </c>
      <c r="W160" s="193">
        <v>0</v>
      </c>
      <c r="X160" s="125">
        <f>ROUND(W160*Valores!$C$2,2)</f>
        <v>0</v>
      </c>
      <c r="Y160" s="125">
        <v>0</v>
      </c>
      <c r="Z160" s="125">
        <f>Valores!$C$90</f>
        <v>4899.43</v>
      </c>
      <c r="AA160" s="125">
        <f>Valores!$C$25</f>
        <v>447.83</v>
      </c>
      <c r="AB160" s="215">
        <v>0</v>
      </c>
      <c r="AC160" s="125">
        <f t="shared" si="20"/>
        <v>0</v>
      </c>
      <c r="AD160" s="125">
        <f>Valores!$C$26</f>
        <v>447.83</v>
      </c>
      <c r="AE160" s="193">
        <v>0</v>
      </c>
      <c r="AF160" s="125">
        <f>ROUND(AE160*Valores!$C$2,2)</f>
        <v>0</v>
      </c>
      <c r="AG160" s="125">
        <f>ROUND(IF($F$4="NO",Valores!$C$59,Valores!$C$59/2),2)</f>
        <v>3171.17</v>
      </c>
      <c r="AH160" s="125">
        <f t="shared" si="23"/>
        <v>82745.76</v>
      </c>
      <c r="AI160" s="125">
        <f>Valores!$C$31</f>
        <v>4980.08</v>
      </c>
      <c r="AJ160" s="125">
        <f>Valores!$C$83</f>
        <v>2275</v>
      </c>
      <c r="AK160" s="125">
        <f>Valores!C$38*B160</f>
        <v>0</v>
      </c>
      <c r="AL160" s="125">
        <f>IF($F$3="NO",0,Valores!$C$52)</f>
        <v>0</v>
      </c>
      <c r="AM160" s="125">
        <f t="shared" si="21"/>
        <v>7255.08</v>
      </c>
      <c r="AN160" s="125">
        <f>AH160*Valores!$C$67</f>
        <v>-9102.033599999999</v>
      </c>
      <c r="AO160" s="125">
        <f>AH160*-Valores!$C$68</f>
        <v>0</v>
      </c>
      <c r="AP160" s="125">
        <f>AH160*Valores!$C$69</f>
        <v>-3723.5591999999997</v>
      </c>
      <c r="AQ160" s="125">
        <f>Valores!$C$96</f>
        <v>-280.91</v>
      </c>
      <c r="AR160" s="125">
        <f>IF($F$5=0,Valores!$C$97,(Valores!$C$97+$F$5*(Valores!$C$97)))</f>
        <v>-658</v>
      </c>
      <c r="AS160" s="125">
        <f t="shared" si="24"/>
        <v>76236.3372</v>
      </c>
      <c r="AT160" s="125">
        <f t="shared" si="18"/>
        <v>-9102.033599999999</v>
      </c>
      <c r="AU160" s="125">
        <f>AH160*Valores!$C$70</f>
        <v>-2234.13552</v>
      </c>
      <c r="AV160" s="125">
        <f>AH160*Valores!$C$71</f>
        <v>-248.23728</v>
      </c>
      <c r="AW160" s="125">
        <f t="shared" si="22"/>
        <v>78416.4336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3">
        <v>1065</v>
      </c>
      <c r="F161" s="125">
        <f>ROUND(E161*Valores!$C$2,2)</f>
        <v>22811.02</v>
      </c>
      <c r="G161" s="193">
        <v>0</v>
      </c>
      <c r="H161" s="125">
        <f>ROUND(G161*Valores!$C$2,2)</f>
        <v>0</v>
      </c>
      <c r="I161" s="193">
        <v>0</v>
      </c>
      <c r="J161" s="125">
        <f>ROUND(I161*Valores!$C$2,2)</f>
        <v>0</v>
      </c>
      <c r="K161" s="193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5430.07</v>
      </c>
      <c r="N161" s="125">
        <f t="shared" si="19"/>
        <v>0</v>
      </c>
      <c r="O161" s="125">
        <f>Valores!$C$16</f>
        <v>18508.63</v>
      </c>
      <c r="P161" s="125">
        <f>Valores!$D$5</f>
        <v>10949.29</v>
      </c>
      <c r="Q161" s="125">
        <f>Valores!$C$23</f>
        <v>9091.88</v>
      </c>
      <c r="R161" s="125">
        <f>IF($F$4="NO",Valores!$C$42,Valores!$C$42/2)</f>
        <v>3200.97</v>
      </c>
      <c r="S161" s="125">
        <f>Valores!$C$19</f>
        <v>10188.49</v>
      </c>
      <c r="T161" s="125">
        <f t="shared" si="25"/>
        <v>10188.49</v>
      </c>
      <c r="U161" s="125">
        <v>0</v>
      </c>
      <c r="V161" s="125">
        <v>0</v>
      </c>
      <c r="W161" s="193">
        <v>0</v>
      </c>
      <c r="X161" s="125">
        <f>ROUND(W161*Valores!$C$2,2)</f>
        <v>0</v>
      </c>
      <c r="Y161" s="125">
        <v>0</v>
      </c>
      <c r="Z161" s="125">
        <f>Valores!$C$90</f>
        <v>4899.43</v>
      </c>
      <c r="AA161" s="125">
        <f>Valores!$C$25</f>
        <v>447.83</v>
      </c>
      <c r="AB161" s="215">
        <v>0</v>
      </c>
      <c r="AC161" s="125">
        <f t="shared" si="20"/>
        <v>0</v>
      </c>
      <c r="AD161" s="125">
        <f>Valores!$C$26</f>
        <v>447.83</v>
      </c>
      <c r="AE161" s="193">
        <v>0</v>
      </c>
      <c r="AF161" s="125">
        <f>ROUND(AE161*Valores!$C$2,2)</f>
        <v>0</v>
      </c>
      <c r="AG161" s="125">
        <f>ROUND(IF($F$4="NO",Valores!$C$59,Valores!$C$59/2),2)</f>
        <v>3171.17</v>
      </c>
      <c r="AH161" s="125">
        <f t="shared" si="23"/>
        <v>89146.61</v>
      </c>
      <c r="AI161" s="125">
        <f>Valores!$C$31</f>
        <v>4980.08</v>
      </c>
      <c r="AJ161" s="125">
        <f>Valores!$C$83</f>
        <v>2275</v>
      </c>
      <c r="AK161" s="125">
        <f>Valores!C$38*B161</f>
        <v>0</v>
      </c>
      <c r="AL161" s="125">
        <f>IF($F$3="NO",0,Valores!$C$52)</f>
        <v>0</v>
      </c>
      <c r="AM161" s="125">
        <f t="shared" si="21"/>
        <v>7255.08</v>
      </c>
      <c r="AN161" s="125">
        <f>AH161*Valores!$C$67</f>
        <v>-9806.1271</v>
      </c>
      <c r="AO161" s="125">
        <f>AH161*-Valores!$C$68</f>
        <v>0</v>
      </c>
      <c r="AP161" s="125">
        <f>AH161*Valores!$C$69</f>
        <v>-4011.5974499999998</v>
      </c>
      <c r="AQ161" s="125">
        <f>Valores!$C$96</f>
        <v>-280.91</v>
      </c>
      <c r="AR161" s="125">
        <f>IF($F$5=0,Valores!$C$97,(Valores!$C$97+$F$5*(Valores!$C$97)))</f>
        <v>-658</v>
      </c>
      <c r="AS161" s="125">
        <f t="shared" si="24"/>
        <v>81645.05545</v>
      </c>
      <c r="AT161" s="125">
        <f t="shared" si="18"/>
        <v>-9806.1271</v>
      </c>
      <c r="AU161" s="125">
        <f>AH161*Valores!$C$70</f>
        <v>-2406.95847</v>
      </c>
      <c r="AV161" s="125">
        <f>AH161*Valores!$C$71</f>
        <v>-267.43983000000003</v>
      </c>
      <c r="AW161" s="125">
        <f t="shared" si="22"/>
        <v>83921.1646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3">
        <v>1065</v>
      </c>
      <c r="F162" s="125">
        <f>ROUND(E162*Valores!$C$2,2)</f>
        <v>22811.02</v>
      </c>
      <c r="G162" s="193">
        <v>0</v>
      </c>
      <c r="H162" s="125">
        <f>ROUND(G162*Valores!$C$2,2)</f>
        <v>0</v>
      </c>
      <c r="I162" s="193">
        <v>0</v>
      </c>
      <c r="J162" s="125">
        <f>ROUND(I162*Valores!$C$2,2)</f>
        <v>0</v>
      </c>
      <c r="K162" s="193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5430.07</v>
      </c>
      <c r="N162" s="125">
        <f t="shared" si="19"/>
        <v>0</v>
      </c>
      <c r="O162" s="125">
        <f>Valores!$C$16</f>
        <v>18508.63</v>
      </c>
      <c r="P162" s="125">
        <f>Valores!$D$5</f>
        <v>10949.29</v>
      </c>
      <c r="Q162" s="125">
        <f>Valores!$C$23</f>
        <v>9091.88</v>
      </c>
      <c r="R162" s="125">
        <f>IF($F$4="NO",Valores!$C$42,Valores!$C$42/2)</f>
        <v>3200.97</v>
      </c>
      <c r="S162" s="125">
        <f>Valores!$C$19</f>
        <v>10188.49</v>
      </c>
      <c r="T162" s="125">
        <f t="shared" si="25"/>
        <v>10188.49</v>
      </c>
      <c r="U162" s="125">
        <v>0</v>
      </c>
      <c r="V162" s="125">
        <v>0</v>
      </c>
      <c r="W162" s="193">
        <v>0</v>
      </c>
      <c r="X162" s="125">
        <f>ROUND(W162*Valores!$C$2,2)</f>
        <v>0</v>
      </c>
      <c r="Y162" s="125">
        <v>0</v>
      </c>
      <c r="Z162" s="125">
        <f>Valores!$C$90</f>
        <v>4899.43</v>
      </c>
      <c r="AA162" s="125">
        <f>Valores!$C$25</f>
        <v>447.83</v>
      </c>
      <c r="AB162" s="215">
        <v>0</v>
      </c>
      <c r="AC162" s="125">
        <f t="shared" si="20"/>
        <v>0</v>
      </c>
      <c r="AD162" s="125">
        <f>Valores!$C$26</f>
        <v>447.83</v>
      </c>
      <c r="AE162" s="193">
        <v>94</v>
      </c>
      <c r="AF162" s="125">
        <f>ROUND(AE162*Valores!$C$2,2)</f>
        <v>2013.37</v>
      </c>
      <c r="AG162" s="125">
        <f>ROUND(IF($F$4="NO",Valores!$C$59,Valores!$C$59/2),2)</f>
        <v>3171.17</v>
      </c>
      <c r="AH162" s="125">
        <f t="shared" si="23"/>
        <v>91159.98</v>
      </c>
      <c r="AI162" s="125">
        <f>Valores!$C$31</f>
        <v>4980.08</v>
      </c>
      <c r="AJ162" s="125">
        <f>Valores!$C$83</f>
        <v>2275</v>
      </c>
      <c r="AK162" s="125">
        <f>Valores!C$38*B162</f>
        <v>0</v>
      </c>
      <c r="AL162" s="125">
        <f>IF($F$3="NO",0,Valores!$C$52)</f>
        <v>0</v>
      </c>
      <c r="AM162" s="125">
        <f t="shared" si="21"/>
        <v>7255.08</v>
      </c>
      <c r="AN162" s="125">
        <f>AH162*Valores!$C$67</f>
        <v>-10027.5978</v>
      </c>
      <c r="AO162" s="125">
        <f>AH162*-Valores!$C$68</f>
        <v>0</v>
      </c>
      <c r="AP162" s="125">
        <f>AH162*Valores!$C$69</f>
        <v>-4102.1991</v>
      </c>
      <c r="AQ162" s="125">
        <f>Valores!$C$96</f>
        <v>-280.91</v>
      </c>
      <c r="AR162" s="125">
        <f>IF($F$5=0,Valores!$C$97,(Valores!$C$97+$F$5*(Valores!$C$97)))</f>
        <v>-658</v>
      </c>
      <c r="AS162" s="125">
        <f t="shared" si="24"/>
        <v>83346.3531</v>
      </c>
      <c r="AT162" s="125">
        <f t="shared" si="18"/>
        <v>-10027.5978</v>
      </c>
      <c r="AU162" s="125">
        <f>AH162*Valores!$C$70</f>
        <v>-2461.3194599999997</v>
      </c>
      <c r="AV162" s="125">
        <f>AH162*Valores!$C$71</f>
        <v>-273.47994</v>
      </c>
      <c r="AW162" s="125">
        <f t="shared" si="22"/>
        <v>85652.6628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3">
        <v>98</v>
      </c>
      <c r="F163" s="125">
        <f>ROUND(E163*Valores!$C$2,2)</f>
        <v>2099.04</v>
      </c>
      <c r="G163" s="193">
        <v>2686</v>
      </c>
      <c r="H163" s="125">
        <f>ROUND(G163*Valores!$C$2,2)</f>
        <v>57530.9</v>
      </c>
      <c r="I163" s="193">
        <v>0</v>
      </c>
      <c r="J163" s="125">
        <f>ROUND(I163*Valores!$C$2,2)</f>
        <v>0</v>
      </c>
      <c r="K163" s="193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13523.24</v>
      </c>
      <c r="N163" s="125">
        <f t="shared" si="19"/>
        <v>0</v>
      </c>
      <c r="O163" s="125">
        <f>Valores!$C$8</f>
        <v>23890.21</v>
      </c>
      <c r="P163" s="125">
        <f>Valores!$D$5</f>
        <v>10949.29</v>
      </c>
      <c r="Q163" s="125">
        <f>Valores!$C$22</f>
        <v>9768.51</v>
      </c>
      <c r="R163" s="125">
        <f>IF($F$4="NO",Valores!$C$44,Valores!$C$44/2)</f>
        <v>5343.37</v>
      </c>
      <c r="S163" s="125">
        <f>Valores!$C$19</f>
        <v>10188.49</v>
      </c>
      <c r="T163" s="125">
        <f t="shared" si="25"/>
        <v>10188.49</v>
      </c>
      <c r="U163" s="125">
        <v>0</v>
      </c>
      <c r="V163" s="125">
        <v>0</v>
      </c>
      <c r="W163" s="193">
        <v>700</v>
      </c>
      <c r="X163" s="125">
        <f>ROUND(W163*Valores!$C$2,2)</f>
        <v>14993.16</v>
      </c>
      <c r="Y163" s="125">
        <f>ROUND(SUM(J163,H163,F163,T163)*Valores!$C$3,2)</f>
        <v>10472.76</v>
      </c>
      <c r="Z163" s="125">
        <f>Valores!$C$92</f>
        <v>9798.86</v>
      </c>
      <c r="AA163" s="125">
        <f>Valores!$C$25</f>
        <v>447.83</v>
      </c>
      <c r="AB163" s="215">
        <v>0</v>
      </c>
      <c r="AC163" s="125">
        <f t="shared" si="20"/>
        <v>0</v>
      </c>
      <c r="AD163" s="125">
        <f>Valores!$C$26</f>
        <v>447.83</v>
      </c>
      <c r="AE163" s="193">
        <v>94</v>
      </c>
      <c r="AF163" s="125">
        <f>ROUND(AE163*Valores!$C$2,2)</f>
        <v>2013.37</v>
      </c>
      <c r="AG163" s="125">
        <f>ROUND(IF($F$4="NO",Valores!$C$59,Valores!$C$59/2),2)</f>
        <v>3171.17</v>
      </c>
      <c r="AH163" s="125">
        <f t="shared" si="23"/>
        <v>174638.03</v>
      </c>
      <c r="AI163" s="125">
        <f>Valores!$C$31</f>
        <v>4980.08</v>
      </c>
      <c r="AJ163" s="125">
        <f>Valores!$C$85</f>
        <v>4550</v>
      </c>
      <c r="AK163" s="125">
        <f>Valores!C$38*B163</f>
        <v>0</v>
      </c>
      <c r="AL163" s="125">
        <f>IF($F$3="NO",0,224.5)</f>
        <v>0</v>
      </c>
      <c r="AM163" s="125">
        <f t="shared" si="21"/>
        <v>9530.08</v>
      </c>
      <c r="AN163" s="125">
        <f>AH163*Valores!$C$67</f>
        <v>-19210.1833</v>
      </c>
      <c r="AO163" s="125">
        <f>AH163*-Valores!$C$68</f>
        <v>0</v>
      </c>
      <c r="AP163" s="125">
        <f>AH163*Valores!$C$69</f>
        <v>-7858.71135</v>
      </c>
      <c r="AQ163" s="125">
        <f>Valores!$C$96</f>
        <v>-280.91</v>
      </c>
      <c r="AR163" s="125">
        <f>IF($F$5=0,Valores!$C$97,(Valores!$C$97+$F$5*(Valores!$C$97)))</f>
        <v>-658</v>
      </c>
      <c r="AS163" s="125">
        <f t="shared" si="24"/>
        <v>156160.30535</v>
      </c>
      <c r="AT163" s="125">
        <f t="shared" si="18"/>
        <v>-19210.1833</v>
      </c>
      <c r="AU163" s="125">
        <f>AH163*Valores!$C$70</f>
        <v>-4715.22681</v>
      </c>
      <c r="AV163" s="125">
        <f>AH163*Valores!$C$71</f>
        <v>-523.91409</v>
      </c>
      <c r="AW163" s="125">
        <f t="shared" si="22"/>
        <v>159718.78579999998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3">
        <v>93</v>
      </c>
      <c r="F164" s="125">
        <f>ROUND(E164*Valores!$C$2,2)</f>
        <v>1991.95</v>
      </c>
      <c r="G164" s="193">
        <v>2547</v>
      </c>
      <c r="H164" s="125">
        <f>ROUND(G164*Valores!$C$2,2)</f>
        <v>54553.68</v>
      </c>
      <c r="I164" s="193">
        <v>0</v>
      </c>
      <c r="J164" s="125">
        <f>ROUND(I164*Valores!$C$2,2)</f>
        <v>0</v>
      </c>
      <c r="K164" s="193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13060.6</v>
      </c>
      <c r="N164" s="125">
        <f t="shared" si="19"/>
        <v>0</v>
      </c>
      <c r="O164" s="125">
        <f>Valores!$C$16</f>
        <v>18508.63</v>
      </c>
      <c r="P164" s="125">
        <f>Valores!$D$5</f>
        <v>10949.29</v>
      </c>
      <c r="Q164" s="125">
        <f>Valores!$C$22</f>
        <v>9768.51</v>
      </c>
      <c r="R164" s="125">
        <f>IF($F$4="NO",Valores!$C$44,Valores!$C$44/2)</f>
        <v>5343.37</v>
      </c>
      <c r="S164" s="125">
        <f>Valores!$C$19</f>
        <v>10188.49</v>
      </c>
      <c r="T164" s="125">
        <f t="shared" si="25"/>
        <v>10188.49</v>
      </c>
      <c r="U164" s="125">
        <v>0</v>
      </c>
      <c r="V164" s="125">
        <v>0</v>
      </c>
      <c r="W164" s="193">
        <v>700</v>
      </c>
      <c r="X164" s="125">
        <f>ROUND(W164*Valores!$C$2,2)</f>
        <v>14993.16</v>
      </c>
      <c r="Y164" s="125">
        <f>ROUND(SUM(J164,H164,F164,T164)*Valores!$C$3,2)</f>
        <v>10010.12</v>
      </c>
      <c r="Z164" s="125">
        <f>Valores!$C$92</f>
        <v>9798.86</v>
      </c>
      <c r="AA164" s="125">
        <f>Valores!$C$25</f>
        <v>447.83</v>
      </c>
      <c r="AB164" s="215">
        <v>0</v>
      </c>
      <c r="AC164" s="125">
        <f t="shared" si="20"/>
        <v>0</v>
      </c>
      <c r="AD164" s="125">
        <f>Valores!$C$26</f>
        <v>447.83</v>
      </c>
      <c r="AE164" s="193">
        <v>94</v>
      </c>
      <c r="AF164" s="125">
        <f>ROUND(AE164*Valores!$C$2,2)</f>
        <v>2013.37</v>
      </c>
      <c r="AG164" s="125">
        <f>ROUND(IF($F$4="NO",Valores!$C$59,Valores!$C$59/2),2)</f>
        <v>3171.17</v>
      </c>
      <c r="AH164" s="125">
        <f t="shared" si="23"/>
        <v>165246.85999999996</v>
      </c>
      <c r="AI164" s="125">
        <f>Valores!$C$31</f>
        <v>4980.08</v>
      </c>
      <c r="AJ164" s="125">
        <f>Valores!$C$85</f>
        <v>4550</v>
      </c>
      <c r="AK164" s="125">
        <f>Valores!C$38*B164</f>
        <v>0</v>
      </c>
      <c r="AL164" s="125">
        <f>IF($F$3="NO",0,224.5)</f>
        <v>0</v>
      </c>
      <c r="AM164" s="125">
        <f t="shared" si="21"/>
        <v>9530.08</v>
      </c>
      <c r="AN164" s="125">
        <f>AH164*Valores!$C$67</f>
        <v>-18177.154599999994</v>
      </c>
      <c r="AO164" s="125">
        <f>AH164*-Valores!$C$68</f>
        <v>0</v>
      </c>
      <c r="AP164" s="125">
        <f>AH164*Valores!$C$69</f>
        <v>-7436.108699999998</v>
      </c>
      <c r="AQ164" s="125">
        <f>Valores!$C$96</f>
        <v>-280.91</v>
      </c>
      <c r="AR164" s="125">
        <f>IF($F$5=0,Valores!$C$97,(Valores!$C$97+$F$5*(Valores!$C$97)))</f>
        <v>-658</v>
      </c>
      <c r="AS164" s="125">
        <f t="shared" si="24"/>
        <v>148224.76669999998</v>
      </c>
      <c r="AT164" s="125">
        <f t="shared" si="18"/>
        <v>-18177.154599999994</v>
      </c>
      <c r="AU164" s="125">
        <f>AH164*Valores!$C$70</f>
        <v>-4461.665219999999</v>
      </c>
      <c r="AV164" s="125">
        <f>AH164*Valores!$C$71</f>
        <v>-495.7405799999999</v>
      </c>
      <c r="AW164" s="125">
        <f t="shared" si="22"/>
        <v>151642.37959999996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3">
        <v>89</v>
      </c>
      <c r="F165" s="125">
        <f>ROUND(E165*Valores!$C$2,2)</f>
        <v>1906.27</v>
      </c>
      <c r="G165" s="193">
        <v>2251</v>
      </c>
      <c r="H165" s="125">
        <f>ROUND(G165*Valores!$C$2,2)</f>
        <v>48213.72</v>
      </c>
      <c r="I165" s="193">
        <v>0</v>
      </c>
      <c r="J165" s="125">
        <f>ROUND(I165*Valores!$C$2,2)</f>
        <v>0</v>
      </c>
      <c r="K165" s="193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12096.75</v>
      </c>
      <c r="N165" s="125">
        <f t="shared" si="19"/>
        <v>0</v>
      </c>
      <c r="O165" s="125">
        <f>Valores!$C$16</f>
        <v>18508.63</v>
      </c>
      <c r="P165" s="125">
        <f>Valores!$D$5</f>
        <v>10949.29</v>
      </c>
      <c r="Q165" s="125">
        <f>Valores!$C$22</f>
        <v>9768.51</v>
      </c>
      <c r="R165" s="125">
        <f>IF($F$4="NO",Valores!$C$44,Valores!$C$44/2)</f>
        <v>5343.37</v>
      </c>
      <c r="S165" s="125">
        <f>Valores!$C$19</f>
        <v>10188.49</v>
      </c>
      <c r="T165" s="125">
        <f t="shared" si="25"/>
        <v>10188.49</v>
      </c>
      <c r="U165" s="125">
        <v>0</v>
      </c>
      <c r="V165" s="125">
        <v>0</v>
      </c>
      <c r="W165" s="193">
        <v>700</v>
      </c>
      <c r="X165" s="125">
        <f>ROUND(W165*Valores!$C$2,2)</f>
        <v>14993.16</v>
      </c>
      <c r="Y165" s="125">
        <f>ROUND(SUM(J165,H165,F165,T165)*Valores!$C$3,2)</f>
        <v>9046.27</v>
      </c>
      <c r="Z165" s="125">
        <f>Valores!$C$92</f>
        <v>9798.86</v>
      </c>
      <c r="AA165" s="125">
        <f>Valores!$C$25</f>
        <v>447.83</v>
      </c>
      <c r="AB165" s="215">
        <v>0</v>
      </c>
      <c r="AC165" s="125">
        <f t="shared" si="20"/>
        <v>0</v>
      </c>
      <c r="AD165" s="125">
        <f>Valores!$C$26</f>
        <v>447.83</v>
      </c>
      <c r="AE165" s="193">
        <v>94</v>
      </c>
      <c r="AF165" s="125">
        <f>ROUND(AE165*Valores!$C$2,2)</f>
        <v>2013.37</v>
      </c>
      <c r="AG165" s="125">
        <f>ROUND(IF($F$4="NO",Valores!$C$59,Valores!$C$59/2),2)</f>
        <v>3171.17</v>
      </c>
      <c r="AH165" s="125">
        <f t="shared" si="23"/>
        <v>156893.52</v>
      </c>
      <c r="AI165" s="125">
        <f>Valores!$C$31</f>
        <v>4980.08</v>
      </c>
      <c r="AJ165" s="125">
        <f>Valores!$C$85</f>
        <v>4550</v>
      </c>
      <c r="AK165" s="125">
        <f>Valores!C$38*B165</f>
        <v>0</v>
      </c>
      <c r="AL165" s="125">
        <f>IF($F$3="NO",0,224.5)</f>
        <v>0</v>
      </c>
      <c r="AM165" s="125">
        <f t="shared" si="21"/>
        <v>9530.08</v>
      </c>
      <c r="AN165" s="125">
        <f>AH165*Valores!$C$67</f>
        <v>-17258.2872</v>
      </c>
      <c r="AO165" s="125">
        <f>AH165*-Valores!$C$68</f>
        <v>0</v>
      </c>
      <c r="AP165" s="125">
        <f>AH165*Valores!$C$69</f>
        <v>-7060.2083999999995</v>
      </c>
      <c r="AQ165" s="125">
        <f>Valores!$C$96</f>
        <v>-280.91</v>
      </c>
      <c r="AR165" s="125">
        <f>IF($F$5=0,Valores!$C$97,(Valores!$C$97+$F$5*(Valores!$C$97)))</f>
        <v>-658</v>
      </c>
      <c r="AS165" s="125">
        <f t="shared" si="24"/>
        <v>141166.19439999998</v>
      </c>
      <c r="AT165" s="125">
        <f t="shared" si="18"/>
        <v>-17258.2872</v>
      </c>
      <c r="AU165" s="125">
        <f>AH165*Valores!$C$70</f>
        <v>-4236.12504</v>
      </c>
      <c r="AV165" s="125">
        <f>AH165*Valores!$C$71</f>
        <v>-470.68055999999996</v>
      </c>
      <c r="AW165" s="125">
        <f t="shared" si="22"/>
        <v>144458.5072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3">
        <v>83</v>
      </c>
      <c r="F166" s="125">
        <f>ROUND(E166*Valores!$C$2,2)</f>
        <v>1777.76</v>
      </c>
      <c r="G166" s="193">
        <v>2352</v>
      </c>
      <c r="H166" s="125">
        <f>ROUND(G166*Valores!$C$2,2)</f>
        <v>50377.02</v>
      </c>
      <c r="I166" s="193">
        <v>0</v>
      </c>
      <c r="J166" s="125">
        <f>ROUND(I166*Valores!$C$2,2)</f>
        <v>0</v>
      </c>
      <c r="K166" s="193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12401.97</v>
      </c>
      <c r="N166" s="125">
        <f t="shared" si="19"/>
        <v>0</v>
      </c>
      <c r="O166" s="125">
        <f>Valores!$C$16</f>
        <v>18508.63</v>
      </c>
      <c r="P166" s="125">
        <f>Valores!$D$5</f>
        <v>10949.29</v>
      </c>
      <c r="Q166" s="125">
        <v>0</v>
      </c>
      <c r="R166" s="125">
        <f>IF($F$4="NO",Valores!$C$44,Valores!$C$44/2)</f>
        <v>5343.37</v>
      </c>
      <c r="S166" s="125">
        <f>Valores!$C$19</f>
        <v>10188.49</v>
      </c>
      <c r="T166" s="125">
        <f t="shared" si="25"/>
        <v>10188.49</v>
      </c>
      <c r="U166" s="125">
        <v>0</v>
      </c>
      <c r="V166" s="125">
        <v>0</v>
      </c>
      <c r="W166" s="193">
        <v>700</v>
      </c>
      <c r="X166" s="125">
        <f>ROUND(W166*Valores!$C$2,2)</f>
        <v>14993.16</v>
      </c>
      <c r="Y166" s="125">
        <f>ROUND(SUM(J166,H166,F166,T166)*Valores!$C$3,2)</f>
        <v>9351.49</v>
      </c>
      <c r="Z166" s="125">
        <f>Valores!$C$92</f>
        <v>9798.86</v>
      </c>
      <c r="AA166" s="125">
        <f>Valores!$C$25</f>
        <v>447.83</v>
      </c>
      <c r="AB166" s="215">
        <v>0</v>
      </c>
      <c r="AC166" s="125">
        <f t="shared" si="20"/>
        <v>0</v>
      </c>
      <c r="AD166" s="125">
        <f>Valores!$C$26</f>
        <v>447.83</v>
      </c>
      <c r="AE166" s="193">
        <v>94</v>
      </c>
      <c r="AF166" s="125">
        <f>ROUND(AE166*Valores!$C$2,2)</f>
        <v>2013.37</v>
      </c>
      <c r="AG166" s="125">
        <f>ROUND(IF($F$4="NO",Valores!$C$59,Valores!$C$59/2),2)</f>
        <v>3171.17</v>
      </c>
      <c r="AH166" s="125">
        <f t="shared" si="23"/>
        <v>149770.24000000002</v>
      </c>
      <c r="AI166" s="125">
        <f>Valores!$C$31</f>
        <v>4980.08</v>
      </c>
      <c r="AJ166" s="125">
        <f>Valores!$C$85</f>
        <v>4550</v>
      </c>
      <c r="AK166" s="125">
        <f>Valores!C$38*B166</f>
        <v>0</v>
      </c>
      <c r="AL166" s="125">
        <v>0</v>
      </c>
      <c r="AM166" s="125">
        <f t="shared" si="21"/>
        <v>9530.08</v>
      </c>
      <c r="AN166" s="125">
        <f>AH166*Valores!$C$67</f>
        <v>-16474.726400000003</v>
      </c>
      <c r="AO166" s="125">
        <f>AH166*-Valores!$C$68</f>
        <v>0</v>
      </c>
      <c r="AP166" s="125">
        <f>AH166*Valores!$C$69</f>
        <v>-6739.660800000001</v>
      </c>
      <c r="AQ166" s="125">
        <f>Valores!$C$96</f>
        <v>-280.91</v>
      </c>
      <c r="AR166" s="125">
        <f>IF($F$5=0,Valores!$C$97,(Valores!$C$97+$F$5*(Valores!$C$97)))</f>
        <v>-658</v>
      </c>
      <c r="AS166" s="125">
        <f t="shared" si="24"/>
        <v>135147.0228</v>
      </c>
      <c r="AT166" s="125">
        <f t="shared" si="18"/>
        <v>-16474.726400000003</v>
      </c>
      <c r="AU166" s="125">
        <f>AH166*Valores!$C$70</f>
        <v>-4043.7964800000004</v>
      </c>
      <c r="AV166" s="125">
        <f>AH166*Valores!$C$71</f>
        <v>-449.31072000000006</v>
      </c>
      <c r="AW166" s="125">
        <f t="shared" si="22"/>
        <v>138332.4864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3">
        <v>83</v>
      </c>
      <c r="F167" s="125">
        <f>ROUND(E167*Valores!$C$2,2)</f>
        <v>1777.76</v>
      </c>
      <c r="G167" s="193">
        <v>2092</v>
      </c>
      <c r="H167" s="125">
        <f>ROUND(G167*Valores!$C$2,2)</f>
        <v>44808.13</v>
      </c>
      <c r="I167" s="193">
        <v>0</v>
      </c>
      <c r="J167" s="125">
        <f>ROUND(I167*Valores!$C$2,2)</f>
        <v>0</v>
      </c>
      <c r="K167" s="193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11566.64</v>
      </c>
      <c r="N167" s="125">
        <f t="shared" si="19"/>
        <v>0</v>
      </c>
      <c r="O167" s="125">
        <f>Valores!$C$16</f>
        <v>18508.63</v>
      </c>
      <c r="P167" s="125">
        <f>Valores!$D$5</f>
        <v>10949.29</v>
      </c>
      <c r="Q167" s="125">
        <v>0</v>
      </c>
      <c r="R167" s="125">
        <f>IF($F$4="NO",Valores!$C$44,Valores!$C$44/2)</f>
        <v>5343.37</v>
      </c>
      <c r="S167" s="125">
        <f>Valores!$C$19</f>
        <v>10188.49</v>
      </c>
      <c r="T167" s="125">
        <f t="shared" si="25"/>
        <v>10188.49</v>
      </c>
      <c r="U167" s="125">
        <v>0</v>
      </c>
      <c r="V167" s="125">
        <v>0</v>
      </c>
      <c r="W167" s="193">
        <v>700</v>
      </c>
      <c r="X167" s="125">
        <f>ROUND(W167*Valores!$C$2,2)</f>
        <v>14993.16</v>
      </c>
      <c r="Y167" s="125">
        <f>ROUND(SUM(J167,H167,F167,T167)*Valores!$C$3,2)</f>
        <v>8516.16</v>
      </c>
      <c r="Z167" s="125">
        <f>Valores!$C$92</f>
        <v>9798.86</v>
      </c>
      <c r="AA167" s="125">
        <f>Valores!$C$25</f>
        <v>447.83</v>
      </c>
      <c r="AB167" s="215">
        <v>0</v>
      </c>
      <c r="AC167" s="125">
        <f t="shared" si="20"/>
        <v>0</v>
      </c>
      <c r="AD167" s="125">
        <f>Valores!$C$26</f>
        <v>447.83</v>
      </c>
      <c r="AE167" s="193">
        <v>94</v>
      </c>
      <c r="AF167" s="125">
        <f>ROUND(AE167*Valores!$C$2,2)</f>
        <v>2013.37</v>
      </c>
      <c r="AG167" s="125">
        <f>ROUND(IF($F$4="NO",Valores!$C$59,Valores!$C$59/2),2)</f>
        <v>3171.17</v>
      </c>
      <c r="AH167" s="125">
        <f t="shared" si="23"/>
        <v>142530.69</v>
      </c>
      <c r="AI167" s="125">
        <f>Valores!$C$31</f>
        <v>4980.08</v>
      </c>
      <c r="AJ167" s="125">
        <f>Valores!$C$85</f>
        <v>4550</v>
      </c>
      <c r="AK167" s="125">
        <f>Valores!C$38*B167</f>
        <v>0</v>
      </c>
      <c r="AL167" s="125">
        <v>0</v>
      </c>
      <c r="AM167" s="125">
        <f t="shared" si="21"/>
        <v>9530.08</v>
      </c>
      <c r="AN167" s="125">
        <f>AH167*Valores!$C$67</f>
        <v>-15678.375900000001</v>
      </c>
      <c r="AO167" s="125">
        <f>AH167*-Valores!$C$68</f>
        <v>0</v>
      </c>
      <c r="AP167" s="125">
        <f>AH167*Valores!$C$69</f>
        <v>-6413.88105</v>
      </c>
      <c r="AQ167" s="125">
        <f>Valores!$C$96</f>
        <v>-280.91</v>
      </c>
      <c r="AR167" s="125">
        <f>IF($F$5=0,Valores!$C$97,(Valores!$C$97+$F$5*(Valores!$C$97)))</f>
        <v>-658</v>
      </c>
      <c r="AS167" s="125">
        <f t="shared" si="24"/>
        <v>129029.60305</v>
      </c>
      <c r="AT167" s="125">
        <f t="shared" si="18"/>
        <v>-15678.375900000001</v>
      </c>
      <c r="AU167" s="125">
        <f>AH167*Valores!$C$70</f>
        <v>-3848.32863</v>
      </c>
      <c r="AV167" s="125">
        <f>AH167*Valores!$C$71</f>
        <v>-427.59207000000004</v>
      </c>
      <c r="AW167" s="125">
        <f t="shared" si="22"/>
        <v>132106.4734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3">
        <v>82</v>
      </c>
      <c r="F168" s="125">
        <f>ROUND(E168*Valores!$C$2,2)</f>
        <v>1756.34</v>
      </c>
      <c r="G168" s="193">
        <v>1941</v>
      </c>
      <c r="H168" s="125">
        <f>ROUND(G168*Valores!$C$2,2)</f>
        <v>41573.89</v>
      </c>
      <c r="I168" s="193">
        <v>0</v>
      </c>
      <c r="J168" s="125">
        <f>ROUND(I168*Valores!$C$2,2)</f>
        <v>0</v>
      </c>
      <c r="K168" s="193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11078.29</v>
      </c>
      <c r="N168" s="125">
        <f t="shared" si="19"/>
        <v>0</v>
      </c>
      <c r="O168" s="125">
        <f>Valores!$C$16</f>
        <v>18508.63</v>
      </c>
      <c r="P168" s="125">
        <f>Valores!$D$5</f>
        <v>10949.29</v>
      </c>
      <c r="Q168" s="125">
        <v>0</v>
      </c>
      <c r="R168" s="125">
        <f>IF($F$4="NO",Valores!$C$44,Valores!$C$44/2)</f>
        <v>5343.37</v>
      </c>
      <c r="S168" s="125">
        <f>Valores!$C$19</f>
        <v>10188.49</v>
      </c>
      <c r="T168" s="125">
        <f t="shared" si="25"/>
        <v>10188.49</v>
      </c>
      <c r="U168" s="125">
        <v>0</v>
      </c>
      <c r="V168" s="125">
        <v>0</v>
      </c>
      <c r="W168" s="193">
        <v>700</v>
      </c>
      <c r="X168" s="125">
        <f>ROUND(W168*Valores!$C$2,2)</f>
        <v>14993.16</v>
      </c>
      <c r="Y168" s="125">
        <f>ROUND(SUM(J168,H168,F168,T168)*Valores!$C$3,2)</f>
        <v>8027.81</v>
      </c>
      <c r="Z168" s="125">
        <f>Valores!$C$92</f>
        <v>9798.86</v>
      </c>
      <c r="AA168" s="125">
        <f>Valores!$C$25</f>
        <v>447.83</v>
      </c>
      <c r="AB168" s="215">
        <v>0</v>
      </c>
      <c r="AC168" s="125">
        <f t="shared" si="20"/>
        <v>0</v>
      </c>
      <c r="AD168" s="125">
        <f>Valores!$C$26</f>
        <v>447.83</v>
      </c>
      <c r="AE168" s="193">
        <v>94</v>
      </c>
      <c r="AF168" s="125">
        <f>ROUND(AE168*Valores!$C$2,2)</f>
        <v>2013.37</v>
      </c>
      <c r="AG168" s="125">
        <f>ROUND(IF($F$4="NO",Valores!$C$59,Valores!$C$59/2),2)</f>
        <v>3171.17</v>
      </c>
      <c r="AH168" s="125">
        <f t="shared" si="23"/>
        <v>138298.33</v>
      </c>
      <c r="AI168" s="125">
        <f>Valores!$C$31</f>
        <v>4980.08</v>
      </c>
      <c r="AJ168" s="125">
        <f>Valores!$C$85</f>
        <v>4550</v>
      </c>
      <c r="AK168" s="125">
        <f>Valores!C$38*B168</f>
        <v>0</v>
      </c>
      <c r="AL168" s="125">
        <v>0</v>
      </c>
      <c r="AM168" s="125">
        <f t="shared" si="21"/>
        <v>9530.08</v>
      </c>
      <c r="AN168" s="125">
        <f>AH168*Valores!$C$67</f>
        <v>-15212.816299999999</v>
      </c>
      <c r="AO168" s="125">
        <f>AH168*-Valores!$C$68</f>
        <v>0</v>
      </c>
      <c r="AP168" s="125">
        <f>AH168*Valores!$C$69</f>
        <v>-6223.424849999999</v>
      </c>
      <c r="AQ168" s="125">
        <f>Valores!$C$96</f>
        <v>-280.91</v>
      </c>
      <c r="AR168" s="125">
        <f>IF($F$5=0,Valores!$C$97,(Valores!$C$97+$F$5*(Valores!$C$97)))</f>
        <v>-658</v>
      </c>
      <c r="AS168" s="125">
        <f t="shared" si="24"/>
        <v>125453.25884999998</v>
      </c>
      <c r="AT168" s="125">
        <f t="shared" si="18"/>
        <v>-15212.816299999999</v>
      </c>
      <c r="AU168" s="125">
        <f>AH168*Valores!$C$70</f>
        <v>-3734.05491</v>
      </c>
      <c r="AV168" s="125">
        <f>AH168*Valores!$C$71</f>
        <v>-414.89498999999995</v>
      </c>
      <c r="AW168" s="125">
        <f t="shared" si="22"/>
        <v>128466.64379999998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3">
        <v>79</v>
      </c>
      <c r="F169" s="125">
        <f>ROUND(E169*Valores!$C$2,2)</f>
        <v>1692.09</v>
      </c>
      <c r="G169" s="193">
        <v>2161</v>
      </c>
      <c r="H169" s="125">
        <f>ROUND(G169*Valores!$C$2,2)</f>
        <v>46286.03</v>
      </c>
      <c r="I169" s="193">
        <v>0</v>
      </c>
      <c r="J169" s="125">
        <f>ROUND(I169*Valores!$C$2,2)</f>
        <v>0</v>
      </c>
      <c r="K169" s="193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11775.47</v>
      </c>
      <c r="N169" s="125">
        <f t="shared" si="19"/>
        <v>0</v>
      </c>
      <c r="O169" s="125">
        <f>Valores!$C$16</f>
        <v>18508.63</v>
      </c>
      <c r="P169" s="125">
        <f>Valores!$D$5</f>
        <v>10949.29</v>
      </c>
      <c r="Q169" s="125">
        <v>0</v>
      </c>
      <c r="R169" s="125">
        <f>IF($F$4="NO",Valores!$C$44,Valores!$C$44/2)</f>
        <v>5343.37</v>
      </c>
      <c r="S169" s="125">
        <f>Valores!$C$19</f>
        <v>10188.49</v>
      </c>
      <c r="T169" s="125">
        <f t="shared" si="25"/>
        <v>10188.49</v>
      </c>
      <c r="U169" s="125">
        <v>0</v>
      </c>
      <c r="V169" s="125">
        <v>0</v>
      </c>
      <c r="W169" s="193">
        <v>700</v>
      </c>
      <c r="X169" s="125">
        <f>ROUND(W169*Valores!$C$2,2)</f>
        <v>14993.16</v>
      </c>
      <c r="Y169" s="125">
        <f>ROUND(SUM(J169,H169,F169,T169)*Valores!$C$3,2)</f>
        <v>8724.99</v>
      </c>
      <c r="Z169" s="125">
        <f>Valores!$C$92</f>
        <v>9798.86</v>
      </c>
      <c r="AA169" s="125">
        <f>Valores!$C$25</f>
        <v>447.83</v>
      </c>
      <c r="AB169" s="215">
        <v>0</v>
      </c>
      <c r="AC169" s="125">
        <f t="shared" si="20"/>
        <v>0</v>
      </c>
      <c r="AD169" s="125">
        <f>Valores!$C$26</f>
        <v>447.83</v>
      </c>
      <c r="AE169" s="193">
        <v>94</v>
      </c>
      <c r="AF169" s="125">
        <f>ROUND(AE169*Valores!$C$2,2)</f>
        <v>2013.37</v>
      </c>
      <c r="AG169" s="125">
        <f>ROUND(IF($F$4="NO",Valores!$C$59,Valores!$C$59/2),2)</f>
        <v>3171.17</v>
      </c>
      <c r="AH169" s="125">
        <f t="shared" si="23"/>
        <v>144340.58</v>
      </c>
      <c r="AI169" s="125">
        <f>Valores!$C$31</f>
        <v>4980.08</v>
      </c>
      <c r="AJ169" s="125">
        <f>Valores!$C$85</f>
        <v>4550</v>
      </c>
      <c r="AK169" s="125">
        <f>Valores!C$38*B169</f>
        <v>0</v>
      </c>
      <c r="AL169" s="125">
        <v>0</v>
      </c>
      <c r="AM169" s="125">
        <f t="shared" si="21"/>
        <v>9530.08</v>
      </c>
      <c r="AN169" s="125">
        <f>AH169*Valores!$C$67</f>
        <v>-15877.4638</v>
      </c>
      <c r="AO169" s="125">
        <f>AH169*-Valores!$C$68</f>
        <v>0</v>
      </c>
      <c r="AP169" s="125">
        <f>AH169*Valores!$C$69</f>
        <v>-6495.326099999999</v>
      </c>
      <c r="AQ169" s="125">
        <f>Valores!$C$96</f>
        <v>-280.91</v>
      </c>
      <c r="AR169" s="125">
        <f>IF($F$5=0,Valores!$C$97,(Valores!$C$97+$F$5*(Valores!$C$97)))</f>
        <v>-658</v>
      </c>
      <c r="AS169" s="125">
        <f t="shared" si="24"/>
        <v>130558.9601</v>
      </c>
      <c r="AT169" s="125">
        <f t="shared" si="18"/>
        <v>-15877.4638</v>
      </c>
      <c r="AU169" s="125">
        <f>AH169*Valores!$C$70</f>
        <v>-3897.1956599999994</v>
      </c>
      <c r="AV169" s="125">
        <f>AH169*Valores!$C$71</f>
        <v>-433.02173999999997</v>
      </c>
      <c r="AW169" s="125">
        <f t="shared" si="22"/>
        <v>133662.97879999998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3">
        <v>98</v>
      </c>
      <c r="F170" s="125">
        <f>ROUND(E170*Valores!$C$2,2)</f>
        <v>2099.04</v>
      </c>
      <c r="G170" s="193">
        <v>2686</v>
      </c>
      <c r="H170" s="125">
        <f>ROUND(G170*Valores!$C$2,2)</f>
        <v>57530.9</v>
      </c>
      <c r="I170" s="193">
        <v>0</v>
      </c>
      <c r="J170" s="125">
        <f>ROUND(I170*Valores!$C$2,2)</f>
        <v>0</v>
      </c>
      <c r="K170" s="193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13523.24</v>
      </c>
      <c r="N170" s="125">
        <f t="shared" si="19"/>
        <v>0</v>
      </c>
      <c r="O170" s="125">
        <f>Valores!$C$16</f>
        <v>18508.63</v>
      </c>
      <c r="P170" s="125">
        <f>Valores!$D$5</f>
        <v>10949.29</v>
      </c>
      <c r="Q170" s="125">
        <v>0</v>
      </c>
      <c r="R170" s="125">
        <f>IF($F$4="NO",Valores!$C$44,Valores!$C$44/2)</f>
        <v>5343.37</v>
      </c>
      <c r="S170" s="125">
        <f>Valores!$C$19</f>
        <v>10188.49</v>
      </c>
      <c r="T170" s="125">
        <f t="shared" si="25"/>
        <v>10188.49</v>
      </c>
      <c r="U170" s="125">
        <v>0</v>
      </c>
      <c r="V170" s="125">
        <v>0</v>
      </c>
      <c r="W170" s="193">
        <v>700</v>
      </c>
      <c r="X170" s="125">
        <f>ROUND(W170*Valores!$C$2,2)</f>
        <v>14993.16</v>
      </c>
      <c r="Y170" s="125">
        <f>ROUND(SUM(J170,H170,F170,T170)*Valores!$C$3,2)</f>
        <v>10472.76</v>
      </c>
      <c r="Z170" s="125">
        <f>Valores!$C$92</f>
        <v>9798.86</v>
      </c>
      <c r="AA170" s="125">
        <f>Valores!$C$25</f>
        <v>447.83</v>
      </c>
      <c r="AB170" s="215">
        <v>0</v>
      </c>
      <c r="AC170" s="125">
        <f t="shared" si="20"/>
        <v>0</v>
      </c>
      <c r="AD170" s="125">
        <f>Valores!$C$26</f>
        <v>447.83</v>
      </c>
      <c r="AE170" s="193">
        <v>0</v>
      </c>
      <c r="AF170" s="125">
        <f>ROUND(AE170*Valores!$C$2,2)</f>
        <v>0</v>
      </c>
      <c r="AG170" s="125">
        <f>ROUND(IF($F$4="NO",Valores!$C$59,Valores!$C$59/2),2)</f>
        <v>3171.17</v>
      </c>
      <c r="AH170" s="125">
        <f t="shared" si="23"/>
        <v>157474.56999999998</v>
      </c>
      <c r="AI170" s="125">
        <f>Valores!$C$31</f>
        <v>4980.08</v>
      </c>
      <c r="AJ170" s="125">
        <f>Valores!$C$85</f>
        <v>4550</v>
      </c>
      <c r="AK170" s="125">
        <f>Valores!C$38*B170</f>
        <v>0</v>
      </c>
      <c r="AL170" s="125">
        <v>0</v>
      </c>
      <c r="AM170" s="125">
        <f t="shared" si="21"/>
        <v>9530.08</v>
      </c>
      <c r="AN170" s="125">
        <f>AH170*Valores!$C$67</f>
        <v>-17322.202699999998</v>
      </c>
      <c r="AO170" s="125">
        <f>AH170*-Valores!$C$68</f>
        <v>0</v>
      </c>
      <c r="AP170" s="125">
        <f>AH170*Valores!$C$69</f>
        <v>-7086.355649999999</v>
      </c>
      <c r="AQ170" s="125">
        <f>Valores!$C$96</f>
        <v>-280.91</v>
      </c>
      <c r="AR170" s="125">
        <f>IF($F$5=0,Valores!$C$97,(Valores!$C$97+$F$5*(Valores!$C$97)))</f>
        <v>-658</v>
      </c>
      <c r="AS170" s="125">
        <f t="shared" si="24"/>
        <v>141657.18164999998</v>
      </c>
      <c r="AT170" s="125">
        <f t="shared" si="18"/>
        <v>-17322.202699999998</v>
      </c>
      <c r="AU170" s="125">
        <f>AH170*Valores!$C$70</f>
        <v>-4251.813389999999</v>
      </c>
      <c r="AV170" s="125">
        <f>AH170*Valores!$C$71</f>
        <v>-472.42370999999997</v>
      </c>
      <c r="AW170" s="125">
        <f t="shared" si="22"/>
        <v>144958.21019999997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3">
        <v>93</v>
      </c>
      <c r="F171" s="125">
        <f>ROUND(E171*Valores!$C$2,2)</f>
        <v>1991.95</v>
      </c>
      <c r="G171" s="193">
        <v>2547</v>
      </c>
      <c r="H171" s="125">
        <f>ROUND(G171*Valores!$C$2,2)</f>
        <v>54553.68</v>
      </c>
      <c r="I171" s="193">
        <v>0</v>
      </c>
      <c r="J171" s="125">
        <f>ROUND(I171*Valores!$C$2,2)</f>
        <v>0</v>
      </c>
      <c r="K171" s="193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13060.6</v>
      </c>
      <c r="N171" s="125">
        <f t="shared" si="19"/>
        <v>0</v>
      </c>
      <c r="O171" s="125">
        <f>Valores!$C$16</f>
        <v>18508.63</v>
      </c>
      <c r="P171" s="125">
        <f>Valores!$D$5</f>
        <v>10949.29</v>
      </c>
      <c r="Q171" s="125">
        <v>0</v>
      </c>
      <c r="R171" s="125">
        <f>IF($F$4="NO",Valores!$C$44,Valores!$C$44/2)</f>
        <v>5343.37</v>
      </c>
      <c r="S171" s="125">
        <f>Valores!$C$19</f>
        <v>10188.49</v>
      </c>
      <c r="T171" s="125">
        <f t="shared" si="25"/>
        <v>10188.49</v>
      </c>
      <c r="U171" s="125">
        <v>0</v>
      </c>
      <c r="V171" s="125">
        <v>0</v>
      </c>
      <c r="W171" s="193">
        <v>700</v>
      </c>
      <c r="X171" s="125">
        <f>ROUND(W171*Valores!$C$2,2)</f>
        <v>14993.16</v>
      </c>
      <c r="Y171" s="125">
        <f>ROUND(SUM(J171,H171,F171,T171)*Valores!$C$3,2)</f>
        <v>10010.12</v>
      </c>
      <c r="Z171" s="125">
        <f>Valores!$C$92</f>
        <v>9798.86</v>
      </c>
      <c r="AA171" s="125">
        <f>Valores!$C$25</f>
        <v>447.83</v>
      </c>
      <c r="AB171" s="215">
        <v>0</v>
      </c>
      <c r="AC171" s="125">
        <f t="shared" si="20"/>
        <v>0</v>
      </c>
      <c r="AD171" s="125">
        <f>Valores!$C$26</f>
        <v>447.83</v>
      </c>
      <c r="AE171" s="193">
        <v>0</v>
      </c>
      <c r="AF171" s="125">
        <f>ROUND(AE171*Valores!$C$2,2)</f>
        <v>0</v>
      </c>
      <c r="AG171" s="125">
        <f>ROUND(IF($F$4="NO",Valores!$C$59,Valores!$C$59/2),2)</f>
        <v>3171.17</v>
      </c>
      <c r="AH171" s="125">
        <f t="shared" si="23"/>
        <v>153464.98</v>
      </c>
      <c r="AI171" s="125">
        <f>Valores!$C$31</f>
        <v>4980.08</v>
      </c>
      <c r="AJ171" s="125">
        <f>Valores!$C$85</f>
        <v>4550</v>
      </c>
      <c r="AK171" s="125">
        <f>Valores!C$38*B171</f>
        <v>0</v>
      </c>
      <c r="AL171" s="125">
        <v>0</v>
      </c>
      <c r="AM171" s="125">
        <f t="shared" si="21"/>
        <v>9530.08</v>
      </c>
      <c r="AN171" s="125">
        <f>AH171*Valores!$C$67</f>
        <v>-16881.147800000002</v>
      </c>
      <c r="AO171" s="125">
        <f>AH171*-Valores!$C$68</f>
        <v>0</v>
      </c>
      <c r="AP171" s="125">
        <f>AH171*Valores!$C$69</f>
        <v>-6905.9241</v>
      </c>
      <c r="AQ171" s="125">
        <f>Valores!$C$96</f>
        <v>-280.91</v>
      </c>
      <c r="AR171" s="125">
        <f>IF($F$5=0,Valores!$C$97,(Valores!$C$97+$F$5*(Valores!$C$97)))</f>
        <v>-658</v>
      </c>
      <c r="AS171" s="125">
        <f t="shared" si="24"/>
        <v>138269.0781</v>
      </c>
      <c r="AT171" s="125">
        <f t="shared" si="18"/>
        <v>-16881.147800000002</v>
      </c>
      <c r="AU171" s="125">
        <f>AH171*Valores!$C$70</f>
        <v>-4143.55446</v>
      </c>
      <c r="AV171" s="125">
        <f>AH171*Valores!$C$71</f>
        <v>-460.39494</v>
      </c>
      <c r="AW171" s="125">
        <f t="shared" si="22"/>
        <v>141509.9628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3">
        <v>1278</v>
      </c>
      <c r="F172" s="125">
        <f>ROUND(E172*Valores!$C$2,2)</f>
        <v>27373.23</v>
      </c>
      <c r="G172" s="193">
        <v>0</v>
      </c>
      <c r="H172" s="125">
        <f>ROUND(G172*Valores!$C$2,2)</f>
        <v>0</v>
      </c>
      <c r="I172" s="193">
        <v>0</v>
      </c>
      <c r="J172" s="125">
        <f>ROUND(I172*Valores!$C$2,2)</f>
        <v>0</v>
      </c>
      <c r="K172" s="193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9327.3</v>
      </c>
      <c r="N172" s="125">
        <f t="shared" si="19"/>
        <v>0</v>
      </c>
      <c r="O172" s="125">
        <f>Valores!$C$16</f>
        <v>18508.63</v>
      </c>
      <c r="P172" s="125">
        <f>Valores!$D$5</f>
        <v>10949.29</v>
      </c>
      <c r="Q172" s="125">
        <v>0</v>
      </c>
      <c r="R172" s="125">
        <f>IF($F$4="NO",Valores!$C$44,Valores!$C$44/2)</f>
        <v>5343.37</v>
      </c>
      <c r="S172" s="125">
        <f>Valores!$C$19</f>
        <v>10188.49</v>
      </c>
      <c r="T172" s="125">
        <f t="shared" si="25"/>
        <v>10188.49</v>
      </c>
      <c r="U172" s="125">
        <v>0</v>
      </c>
      <c r="V172" s="125">
        <v>0</v>
      </c>
      <c r="W172" s="193">
        <v>900</v>
      </c>
      <c r="X172" s="125">
        <f>ROUND(W172*Valores!$C$2,2)</f>
        <v>19276.92</v>
      </c>
      <c r="Y172" s="125">
        <f>ROUND(SUM(J172,H172,F172,T172)*Valores!$C$3,2)</f>
        <v>5634.26</v>
      </c>
      <c r="Z172" s="125">
        <f>Valores!$C$92</f>
        <v>9798.86</v>
      </c>
      <c r="AA172" s="125">
        <f>Valores!$C$25</f>
        <v>447.83</v>
      </c>
      <c r="AB172" s="215">
        <v>0</v>
      </c>
      <c r="AC172" s="125">
        <f t="shared" si="20"/>
        <v>0</v>
      </c>
      <c r="AD172" s="125">
        <f>Valores!$C$26</f>
        <v>447.83</v>
      </c>
      <c r="AE172" s="193">
        <v>94</v>
      </c>
      <c r="AF172" s="125">
        <f>ROUND(AE172*Valores!$C$2,2)</f>
        <v>2013.37</v>
      </c>
      <c r="AG172" s="125">
        <f>ROUND(IF($F$4="NO",Valores!$C$59,Valores!$C$59/2),2)</f>
        <v>3171.17</v>
      </c>
      <c r="AH172" s="125">
        <f t="shared" si="23"/>
        <v>122480.55</v>
      </c>
      <c r="AI172" s="125">
        <f>Valores!$C$31</f>
        <v>4980.08</v>
      </c>
      <c r="AJ172" s="125">
        <f>Valores!$C$85</f>
        <v>4550</v>
      </c>
      <c r="AK172" s="125">
        <f>Valores!C$38*B172</f>
        <v>0</v>
      </c>
      <c r="AL172" s="125">
        <f>IF($F$3="NO",0,Valores!$C$51)</f>
        <v>0</v>
      </c>
      <c r="AM172" s="125">
        <f t="shared" si="21"/>
        <v>9530.08</v>
      </c>
      <c r="AN172" s="125">
        <f>AH172*Valores!$C$67</f>
        <v>-13472.8605</v>
      </c>
      <c r="AO172" s="125">
        <f>AH172*-Valores!$C$68</f>
        <v>0</v>
      </c>
      <c r="AP172" s="125">
        <f>AH172*Valores!$C$69</f>
        <v>-5511.62475</v>
      </c>
      <c r="AQ172" s="125">
        <f>Valores!$C$96</f>
        <v>-280.91</v>
      </c>
      <c r="AR172" s="125">
        <f>IF($F$5=0,Valores!$C$97,(Valores!$C$97+$F$5*(Valores!$C$97)))</f>
        <v>-658</v>
      </c>
      <c r="AS172" s="125">
        <f t="shared" si="24"/>
        <v>112087.23475</v>
      </c>
      <c r="AT172" s="125">
        <f t="shared" si="18"/>
        <v>-13472.8605</v>
      </c>
      <c r="AU172" s="125">
        <f>AH172*Valores!$C$70</f>
        <v>-3306.97485</v>
      </c>
      <c r="AV172" s="125">
        <f>AH172*Valores!$C$71</f>
        <v>-367.44165000000004</v>
      </c>
      <c r="AW172" s="125">
        <f t="shared" si="22"/>
        <v>114863.353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3">
        <v>217</v>
      </c>
      <c r="F173" s="125">
        <f>ROUND(E173*Valores!$C$2,2)</f>
        <v>4647.88</v>
      </c>
      <c r="G173" s="193">
        <f>2245</f>
        <v>2245</v>
      </c>
      <c r="H173" s="125">
        <f>ROUND(G173*Valores!$C$2,2)</f>
        <v>48085.21</v>
      </c>
      <c r="I173" s="193">
        <v>0</v>
      </c>
      <c r="J173" s="125">
        <f>ROUND(I173*Valores!$C$2,2)</f>
        <v>0</v>
      </c>
      <c r="K173" s="193">
        <v>1300</v>
      </c>
      <c r="L173" s="125">
        <f>ROUND(K173*Valores!$C$2,2)</f>
        <v>27844.44</v>
      </c>
      <c r="M173" s="125">
        <f>ROUND(IF($H$2=0,IF(AND(A173&lt;&gt;"13-930",A173&lt;&gt;"13-940"),(SUM(F173,H173,J173,L173,X173,T173,R173)*Valores!$C$4),0),0),2)</f>
        <v>14416.41</v>
      </c>
      <c r="N173" s="125">
        <f t="shared" si="19"/>
        <v>0</v>
      </c>
      <c r="O173" s="125">
        <f>Valores!$C$9</f>
        <v>23959.59</v>
      </c>
      <c r="P173" s="125">
        <f>Valores!$D$5</f>
        <v>10949.29</v>
      </c>
      <c r="Q173" s="125">
        <f>Valores!$C$22</f>
        <v>9768.51</v>
      </c>
      <c r="R173" s="125">
        <f>IF($F$4="NO",Valores!$C$44,Valores!$C$44/2)</f>
        <v>5343.37</v>
      </c>
      <c r="S173" s="125">
        <f>Valores!$C$19</f>
        <v>10188.49</v>
      </c>
      <c r="T173" s="125">
        <f t="shared" si="25"/>
        <v>10188.49</v>
      </c>
      <c r="U173" s="125">
        <v>0</v>
      </c>
      <c r="V173" s="125">
        <v>0</v>
      </c>
      <c r="W173" s="193">
        <v>0</v>
      </c>
      <c r="X173" s="125">
        <f>ROUND(W173*Valores!$C$2,2)</f>
        <v>0</v>
      </c>
      <c r="Y173" s="125">
        <v>0</v>
      </c>
      <c r="Z173" s="125">
        <f>Valores!$C$92</f>
        <v>9798.86</v>
      </c>
      <c r="AA173" s="125">
        <f>Valores!$C$25</f>
        <v>447.83</v>
      </c>
      <c r="AB173" s="215">
        <v>0</v>
      </c>
      <c r="AC173" s="125">
        <f t="shared" si="20"/>
        <v>0</v>
      </c>
      <c r="AD173" s="125">
        <f>Valores!$C$26</f>
        <v>447.83</v>
      </c>
      <c r="AE173" s="193">
        <v>0</v>
      </c>
      <c r="AF173" s="125">
        <f>ROUND(AE173*Valores!$C$2,2)</f>
        <v>0</v>
      </c>
      <c r="AG173" s="125">
        <f>ROUND(IF($F$4="NO",Valores!$C$59,Valores!$C$59/2),2)</f>
        <v>3171.17</v>
      </c>
      <c r="AH173" s="125">
        <f t="shared" si="23"/>
        <v>169068.87999999998</v>
      </c>
      <c r="AI173" s="125">
        <f>Valores!$C$31</f>
        <v>4980.08</v>
      </c>
      <c r="AJ173" s="125">
        <f>Valores!$C$85</f>
        <v>4550</v>
      </c>
      <c r="AK173" s="125">
        <f>Valores!C$38*B173</f>
        <v>0</v>
      </c>
      <c r="AL173" s="125">
        <f>IF($F$3="NO",0,Valores!$C$51)</f>
        <v>0</v>
      </c>
      <c r="AM173" s="125">
        <f t="shared" si="21"/>
        <v>9530.08</v>
      </c>
      <c r="AN173" s="125">
        <f>AH173*Valores!$C$67</f>
        <v>-18597.5768</v>
      </c>
      <c r="AO173" s="125">
        <f>AH173*-Valores!$C$68</f>
        <v>0</v>
      </c>
      <c r="AP173" s="125">
        <f>AH173*Valores!$C$69</f>
        <v>-7608.099599999999</v>
      </c>
      <c r="AQ173" s="125">
        <f>Valores!$C$96</f>
        <v>-280.91</v>
      </c>
      <c r="AR173" s="125">
        <f>IF($F$5=0,Valores!$C$97,(Valores!$C$97+$F$5*(Valores!$C$97)))</f>
        <v>-658</v>
      </c>
      <c r="AS173" s="125">
        <f t="shared" si="24"/>
        <v>151454.3736</v>
      </c>
      <c r="AT173" s="125">
        <f t="shared" si="18"/>
        <v>-18597.5768</v>
      </c>
      <c r="AU173" s="125">
        <f>AH173*Valores!$C$70</f>
        <v>-4564.859759999999</v>
      </c>
      <c r="AV173" s="125">
        <f>AH173*Valores!$C$71</f>
        <v>-507.20663999999994</v>
      </c>
      <c r="AW173" s="125">
        <f t="shared" si="22"/>
        <v>154929.31679999997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3">
        <v>185</v>
      </c>
      <c r="F174" s="125">
        <f>ROUND(E174*Valores!$C$2,2)</f>
        <v>3962.48</v>
      </c>
      <c r="G174" s="193">
        <f>1835</f>
        <v>1835</v>
      </c>
      <c r="H174" s="125">
        <f>ROUND(G174*Valores!$C$2,2)</f>
        <v>39303.5</v>
      </c>
      <c r="I174" s="193">
        <v>0</v>
      </c>
      <c r="J174" s="125">
        <f>ROUND(I174*Valores!$C$2,2)</f>
        <v>0</v>
      </c>
      <c r="K174" s="193">
        <v>1300</v>
      </c>
      <c r="L174" s="125">
        <f>ROUND(K174*Valores!$C$2,2)</f>
        <v>27844.44</v>
      </c>
      <c r="M174" s="125">
        <f>ROUND(IF($H$2=0,IF(AND(A174&lt;&gt;"13-930",A174&lt;&gt;"13-940"),(SUM(F174,H174,J174,L174,X174,T174,R174)*Valores!$C$4),0),0),2)</f>
        <v>12996.34</v>
      </c>
      <c r="N174" s="125">
        <f t="shared" si="19"/>
        <v>0</v>
      </c>
      <c r="O174" s="125">
        <f>Valores!$C$9</f>
        <v>23959.59</v>
      </c>
      <c r="P174" s="125">
        <f>Valores!$D$5</f>
        <v>10949.29</v>
      </c>
      <c r="Q174" s="125">
        <f>Valores!$C$22</f>
        <v>9768.51</v>
      </c>
      <c r="R174" s="125">
        <f>IF($F$4="NO",Valores!$C$44,Valores!$C$44/2)</f>
        <v>5343.37</v>
      </c>
      <c r="S174" s="125">
        <f>Valores!$C$19</f>
        <v>10188.49</v>
      </c>
      <c r="T174" s="125">
        <f t="shared" si="25"/>
        <v>10188.49</v>
      </c>
      <c r="U174" s="125">
        <v>0</v>
      </c>
      <c r="V174" s="125">
        <v>0</v>
      </c>
      <c r="W174" s="193">
        <v>0</v>
      </c>
      <c r="X174" s="125">
        <f>ROUND(W174*Valores!$C$2,2)</f>
        <v>0</v>
      </c>
      <c r="Y174" s="125">
        <v>0</v>
      </c>
      <c r="Z174" s="125">
        <f>Valores!$C$92</f>
        <v>9798.86</v>
      </c>
      <c r="AA174" s="125">
        <f>Valores!$C$25</f>
        <v>447.83</v>
      </c>
      <c r="AB174" s="215">
        <v>0</v>
      </c>
      <c r="AC174" s="125">
        <f t="shared" si="20"/>
        <v>0</v>
      </c>
      <c r="AD174" s="125">
        <f>Valores!$C$26</f>
        <v>447.83</v>
      </c>
      <c r="AE174" s="193">
        <v>0</v>
      </c>
      <c r="AF174" s="125">
        <f>ROUND(AE174*Valores!$C$2,2)</f>
        <v>0</v>
      </c>
      <c r="AG174" s="125">
        <f>ROUND(IF($F$4="NO",Valores!$C$59,Valores!$C$59/2),2)</f>
        <v>3171.17</v>
      </c>
      <c r="AH174" s="125">
        <f t="shared" si="23"/>
        <v>158181.69999999998</v>
      </c>
      <c r="AI174" s="125">
        <f>Valores!$C$31</f>
        <v>4980.08</v>
      </c>
      <c r="AJ174" s="125">
        <f>Valores!$C$85</f>
        <v>4550</v>
      </c>
      <c r="AK174" s="125">
        <f>Valores!C$38*B174</f>
        <v>0</v>
      </c>
      <c r="AL174" s="125">
        <f>IF($F$3="NO",0,Valores!$C$51)</f>
        <v>0</v>
      </c>
      <c r="AM174" s="125">
        <f t="shared" si="21"/>
        <v>9530.08</v>
      </c>
      <c r="AN174" s="125">
        <f>AH174*Valores!$C$67</f>
        <v>-17399.986999999997</v>
      </c>
      <c r="AO174" s="125">
        <f>AH174*-Valores!$C$68</f>
        <v>0</v>
      </c>
      <c r="AP174" s="125">
        <f>AH174*Valores!$C$69</f>
        <v>-7118.176499999999</v>
      </c>
      <c r="AQ174" s="125">
        <f>Valores!$C$96</f>
        <v>-280.91</v>
      </c>
      <c r="AR174" s="125">
        <f>IF($F$5=0,Valores!$C$97,(Valores!$C$97+$F$5*(Valores!$C$97)))</f>
        <v>-658</v>
      </c>
      <c r="AS174" s="125">
        <f t="shared" si="24"/>
        <v>142254.70649999997</v>
      </c>
      <c r="AT174" s="125">
        <f t="shared" si="18"/>
        <v>-17399.986999999997</v>
      </c>
      <c r="AU174" s="125">
        <f>AH174*Valores!$C$70</f>
        <v>-4270.9059</v>
      </c>
      <c r="AV174" s="125">
        <f>AH174*Valores!$C$71</f>
        <v>-474.54509999999993</v>
      </c>
      <c r="AW174" s="125">
        <f t="shared" si="22"/>
        <v>145566.34199999998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3">
        <v>160</v>
      </c>
      <c r="F175" s="125">
        <f>ROUND(E175*Valores!$C$2,2)</f>
        <v>3427.01</v>
      </c>
      <c r="G175" s="193">
        <f>1484</f>
        <v>1484</v>
      </c>
      <c r="H175" s="125">
        <f>ROUND(G175*Valores!$C$2,2)</f>
        <v>31785.5</v>
      </c>
      <c r="I175" s="193">
        <v>0</v>
      </c>
      <c r="J175" s="125">
        <f>ROUND(I175*Valores!$C$2,2)</f>
        <v>0</v>
      </c>
      <c r="K175" s="193">
        <v>1300</v>
      </c>
      <c r="L175" s="125">
        <f>ROUND(K175*Valores!$C$2,2)</f>
        <v>27844.44</v>
      </c>
      <c r="M175" s="125">
        <f>ROUND(IF($H$2=0,IF(AND(A175&lt;&gt;"13-930",A175&lt;&gt;"13-940"),(SUM(F175,H175,J175,L175,X175,T175,R175)*Valores!$C$4),0),0),2)</f>
        <v>11788.32</v>
      </c>
      <c r="N175" s="125">
        <f t="shared" si="19"/>
        <v>0</v>
      </c>
      <c r="O175" s="125">
        <f>Valores!$C$9</f>
        <v>23959.59</v>
      </c>
      <c r="P175" s="125">
        <f>Valores!$D$5</f>
        <v>10949.29</v>
      </c>
      <c r="Q175" s="125">
        <f>Valores!$C$22</f>
        <v>9768.51</v>
      </c>
      <c r="R175" s="125">
        <f>IF($F$4="NO",Valores!$C$44,Valores!$C$44/2)</f>
        <v>5343.37</v>
      </c>
      <c r="S175" s="125">
        <f>Valores!$C$19</f>
        <v>10188.49</v>
      </c>
      <c r="T175" s="125">
        <f t="shared" si="25"/>
        <v>10188.49</v>
      </c>
      <c r="U175" s="125">
        <v>0</v>
      </c>
      <c r="V175" s="125">
        <v>0</v>
      </c>
      <c r="W175" s="193">
        <v>0</v>
      </c>
      <c r="X175" s="125">
        <f>ROUND(W175*Valores!$C$2,2)</f>
        <v>0</v>
      </c>
      <c r="Y175" s="125">
        <v>0</v>
      </c>
      <c r="Z175" s="125">
        <f>Valores!$C$92</f>
        <v>9798.86</v>
      </c>
      <c r="AA175" s="125">
        <f>Valores!$C$25</f>
        <v>447.83</v>
      </c>
      <c r="AB175" s="215">
        <v>0</v>
      </c>
      <c r="AC175" s="125">
        <f t="shared" si="20"/>
        <v>0</v>
      </c>
      <c r="AD175" s="125">
        <f>Valores!$C$26</f>
        <v>447.83</v>
      </c>
      <c r="AE175" s="193">
        <v>0</v>
      </c>
      <c r="AF175" s="125">
        <f>ROUND(AE175*Valores!$C$2,2)</f>
        <v>0</v>
      </c>
      <c r="AG175" s="125">
        <f>ROUND(IF($F$4="NO",Valores!$C$59,Valores!$C$59/2),2)</f>
        <v>3171.17</v>
      </c>
      <c r="AH175" s="125">
        <f t="shared" si="23"/>
        <v>148920.21</v>
      </c>
      <c r="AI175" s="125">
        <f>Valores!$C$31</f>
        <v>4980.08</v>
      </c>
      <c r="AJ175" s="125">
        <f>Valores!$C$85</f>
        <v>4550</v>
      </c>
      <c r="AK175" s="125">
        <f>Valores!C$38*B175</f>
        <v>0</v>
      </c>
      <c r="AL175" s="125">
        <f>IF($F$3="NO",0,Valores!$C$51)</f>
        <v>0</v>
      </c>
      <c r="AM175" s="125">
        <f t="shared" si="21"/>
        <v>9530.08</v>
      </c>
      <c r="AN175" s="125">
        <f>AH175*Valores!$C$67</f>
        <v>-16381.2231</v>
      </c>
      <c r="AO175" s="125">
        <f>AH175*-Valores!$C$68</f>
        <v>0</v>
      </c>
      <c r="AP175" s="125">
        <f>AH175*Valores!$C$69</f>
        <v>-6701.409449999999</v>
      </c>
      <c r="AQ175" s="125">
        <f>Valores!$C$96</f>
        <v>-280.91</v>
      </c>
      <c r="AR175" s="125">
        <f>IF($F$5=0,Valores!$C$97,(Valores!$C$97+$F$5*(Valores!$C$97)))</f>
        <v>-658</v>
      </c>
      <c r="AS175" s="125">
        <f t="shared" si="24"/>
        <v>134428.74745</v>
      </c>
      <c r="AT175" s="125">
        <f t="shared" si="18"/>
        <v>-16381.2231</v>
      </c>
      <c r="AU175" s="125">
        <f>AH175*Valores!$C$70</f>
        <v>-4020.8456699999997</v>
      </c>
      <c r="AV175" s="125">
        <f>AH175*Valores!$C$71</f>
        <v>-446.76063</v>
      </c>
      <c r="AW175" s="125">
        <f t="shared" si="22"/>
        <v>137601.4606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3">
        <v>178</v>
      </c>
      <c r="F176" s="125">
        <f>ROUND(E176*Valores!$C$2,2)</f>
        <v>3812.55</v>
      </c>
      <c r="G176" s="193">
        <f>1842</f>
        <v>1842</v>
      </c>
      <c r="H176" s="125">
        <f>ROUND(G176*Valores!$C$2,2)</f>
        <v>39453.43</v>
      </c>
      <c r="I176" s="193">
        <v>0</v>
      </c>
      <c r="J176" s="125">
        <f>ROUND(I176*Valores!$C$2,2)</f>
        <v>0</v>
      </c>
      <c r="K176" s="193">
        <v>1300</v>
      </c>
      <c r="L176" s="125">
        <f>ROUND(K176*Valores!$C$2,2)</f>
        <v>27844.44</v>
      </c>
      <c r="M176" s="125">
        <f>ROUND(IF($H$2=0,IF(AND(A176&lt;&gt;"13-930",A176&lt;&gt;"13-940"),(SUM(F176,H176,J176,L176,X176,T176,R176)*Valores!$C$4),0),0),2)</f>
        <v>12996.34</v>
      </c>
      <c r="N176" s="125">
        <f t="shared" si="19"/>
        <v>0</v>
      </c>
      <c r="O176" s="125">
        <f>Valores!$C$9</f>
        <v>23959.59</v>
      </c>
      <c r="P176" s="125">
        <f>Valores!$D$5</f>
        <v>10949.29</v>
      </c>
      <c r="Q176" s="125">
        <f>Valores!$C$22</f>
        <v>9768.51</v>
      </c>
      <c r="R176" s="125">
        <f>IF($F$4="NO",Valores!$C$44,Valores!$C$44/2)</f>
        <v>5343.37</v>
      </c>
      <c r="S176" s="125">
        <f>Valores!$C$19</f>
        <v>10188.49</v>
      </c>
      <c r="T176" s="125">
        <f t="shared" si="25"/>
        <v>10188.49</v>
      </c>
      <c r="U176" s="125">
        <v>0</v>
      </c>
      <c r="V176" s="125">
        <v>0</v>
      </c>
      <c r="W176" s="193">
        <v>0</v>
      </c>
      <c r="X176" s="125">
        <f>ROUND(W176*Valores!$C$2,2)</f>
        <v>0</v>
      </c>
      <c r="Y176" s="125">
        <v>0</v>
      </c>
      <c r="Z176" s="125">
        <f>Valores!$C$92</f>
        <v>9798.86</v>
      </c>
      <c r="AA176" s="125">
        <f>Valores!$C$25</f>
        <v>447.83</v>
      </c>
      <c r="AB176" s="215">
        <v>0</v>
      </c>
      <c r="AC176" s="125">
        <f t="shared" si="20"/>
        <v>0</v>
      </c>
      <c r="AD176" s="125">
        <f>Valores!$C$26</f>
        <v>447.83</v>
      </c>
      <c r="AE176" s="193">
        <v>0</v>
      </c>
      <c r="AF176" s="125">
        <f>ROUND(AE176*Valores!$C$2,2)</f>
        <v>0</v>
      </c>
      <c r="AG176" s="125">
        <f>ROUND(IF($F$4="NO",Valores!$C$59,Valores!$C$59/2),2)</f>
        <v>3171.17</v>
      </c>
      <c r="AH176" s="125">
        <f t="shared" si="23"/>
        <v>158181.69999999998</v>
      </c>
      <c r="AI176" s="125">
        <f>Valores!$C$31</f>
        <v>4980.08</v>
      </c>
      <c r="AJ176" s="125">
        <f>Valores!$C$85</f>
        <v>4550</v>
      </c>
      <c r="AK176" s="125">
        <f>Valores!C$38*B176</f>
        <v>0</v>
      </c>
      <c r="AL176" s="125">
        <f>IF($F$3="NO",0,Valores!$C$51)</f>
        <v>0</v>
      </c>
      <c r="AM176" s="125">
        <f t="shared" si="21"/>
        <v>9530.08</v>
      </c>
      <c r="AN176" s="125">
        <f>AH176*Valores!$C$67</f>
        <v>-17399.986999999997</v>
      </c>
      <c r="AO176" s="125">
        <f>AH176*-Valores!$C$68</f>
        <v>0</v>
      </c>
      <c r="AP176" s="125">
        <f>AH176*Valores!$C$69</f>
        <v>-7118.176499999999</v>
      </c>
      <c r="AQ176" s="125">
        <f>Valores!$C$96</f>
        <v>-280.91</v>
      </c>
      <c r="AR176" s="125">
        <f>IF($F$5=0,Valores!$C$97,(Valores!$C$97+$F$5*(Valores!$C$97)))</f>
        <v>-658</v>
      </c>
      <c r="AS176" s="125">
        <f t="shared" si="24"/>
        <v>142254.70649999997</v>
      </c>
      <c r="AT176" s="125">
        <f t="shared" si="18"/>
        <v>-17399.986999999997</v>
      </c>
      <c r="AU176" s="125">
        <f>AH176*Valores!$C$70</f>
        <v>-4270.9059</v>
      </c>
      <c r="AV176" s="125">
        <f>AH176*Valores!$C$71</f>
        <v>-474.54509999999993</v>
      </c>
      <c r="AW176" s="125">
        <f t="shared" si="22"/>
        <v>145566.34199999998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3">
        <v>1278</v>
      </c>
      <c r="F177" s="125">
        <f>ROUND(E177*Valores!$C$2,2)</f>
        <v>27373.23</v>
      </c>
      <c r="G177" s="193">
        <v>0</v>
      </c>
      <c r="H177" s="125">
        <f>ROUND(G177*Valores!$C$2,2)</f>
        <v>0</v>
      </c>
      <c r="I177" s="193">
        <v>0</v>
      </c>
      <c r="J177" s="125">
        <f>ROUND(I177*Valores!$C$2,2)</f>
        <v>0</v>
      </c>
      <c r="K177" s="193">
        <v>1200</v>
      </c>
      <c r="L177" s="125">
        <f>ROUND(K177*Valores!$C$2,2)</f>
        <v>25702.56</v>
      </c>
      <c r="M177" s="125">
        <f>ROUND(IF($H$2=0,IF(AND(A177&lt;&gt;"13-930",A177&lt;&gt;"13-940"),(SUM(F177,H177,J177,L177,X177,T177,R177)*Valores!$C$4),0),0),2)</f>
        <v>10291.15</v>
      </c>
      <c r="N177" s="125">
        <f t="shared" si="19"/>
        <v>0</v>
      </c>
      <c r="O177" s="125">
        <f>Valores!$C$16</f>
        <v>18508.63</v>
      </c>
      <c r="P177" s="125">
        <f>Valores!$D$5</f>
        <v>10949.29</v>
      </c>
      <c r="Q177" s="125">
        <f>Valores!$C$22</f>
        <v>9768.51</v>
      </c>
      <c r="R177" s="125">
        <f>IF($F$4="NO",Valores!$C$44,Valores!$C$44/2)</f>
        <v>5343.37</v>
      </c>
      <c r="S177" s="125">
        <f>Valores!$C$19</f>
        <v>10188.49</v>
      </c>
      <c r="T177" s="125">
        <f t="shared" si="25"/>
        <v>10188.49</v>
      </c>
      <c r="U177" s="125">
        <v>0</v>
      </c>
      <c r="V177" s="125">
        <v>0</v>
      </c>
      <c r="W177" s="193">
        <v>0</v>
      </c>
      <c r="X177" s="125">
        <f>ROUND(W177*Valores!$C$2,2)</f>
        <v>0</v>
      </c>
      <c r="Y177" s="125">
        <v>0</v>
      </c>
      <c r="Z177" s="125">
        <f>Valores!$C$92</f>
        <v>9798.86</v>
      </c>
      <c r="AA177" s="125">
        <f>Valores!$C$25</f>
        <v>447.83</v>
      </c>
      <c r="AB177" s="215">
        <v>0</v>
      </c>
      <c r="AC177" s="125">
        <f t="shared" si="20"/>
        <v>0</v>
      </c>
      <c r="AD177" s="125">
        <f>Valores!$C$26</f>
        <v>447.83</v>
      </c>
      <c r="AE177" s="193">
        <v>0</v>
      </c>
      <c r="AF177" s="125">
        <f>ROUND(AE177*Valores!$C$2,2)</f>
        <v>0</v>
      </c>
      <c r="AG177" s="125">
        <f>ROUND(IF($F$4="NO",Valores!$C$59,Valores!$C$59/2),2)</f>
        <v>3171.17</v>
      </c>
      <c r="AH177" s="125">
        <f t="shared" si="23"/>
        <v>131990.92</v>
      </c>
      <c r="AI177" s="125">
        <f>Valores!$C$31</f>
        <v>4980.08</v>
      </c>
      <c r="AJ177" s="125">
        <f>Valores!$C$85</f>
        <v>4550</v>
      </c>
      <c r="AK177" s="125">
        <f>Valores!C$38*B177</f>
        <v>0</v>
      </c>
      <c r="AL177" s="125">
        <f>IF($F$3="NO",0,Valores!$C$51)</f>
        <v>0</v>
      </c>
      <c r="AM177" s="125">
        <f t="shared" si="21"/>
        <v>9530.08</v>
      </c>
      <c r="AN177" s="125">
        <f>AH177*Valores!$C$67</f>
        <v>-14519.0012</v>
      </c>
      <c r="AO177" s="125">
        <f>AH177*-Valores!$C$68</f>
        <v>0</v>
      </c>
      <c r="AP177" s="125">
        <f>AH177*Valores!$C$69</f>
        <v>-5939.5914</v>
      </c>
      <c r="AQ177" s="125">
        <f>Valores!$C$96</f>
        <v>-280.91</v>
      </c>
      <c r="AR177" s="125">
        <f>IF($F$5=0,Valores!$C$97,(Valores!$C$97+$F$5*(Valores!$C$97)))</f>
        <v>-658</v>
      </c>
      <c r="AS177" s="125">
        <f t="shared" si="24"/>
        <v>120123.49740000001</v>
      </c>
      <c r="AT177" s="125">
        <f t="shared" si="18"/>
        <v>-14519.0012</v>
      </c>
      <c r="AU177" s="125">
        <f>AH177*Valores!$C$70</f>
        <v>-3563.7548400000005</v>
      </c>
      <c r="AV177" s="125">
        <f>AH177*Valores!$C$71</f>
        <v>-395.97276000000005</v>
      </c>
      <c r="AW177" s="125">
        <f t="shared" si="22"/>
        <v>123042.2712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3">
        <v>971</v>
      </c>
      <c r="F178" s="125">
        <f>ROUND(E178*Valores!$C$2,2)</f>
        <v>20797.65</v>
      </c>
      <c r="G178" s="193">
        <v>0</v>
      </c>
      <c r="H178" s="125">
        <f>ROUND(G178*Valores!$C$2,2)</f>
        <v>0</v>
      </c>
      <c r="I178" s="193">
        <v>0</v>
      </c>
      <c r="J178" s="125">
        <f>ROUND(I178*Valores!$C$2,2)</f>
        <v>0</v>
      </c>
      <c r="K178" s="193">
        <v>660</v>
      </c>
      <c r="L178" s="125">
        <f>ROUND(K178*Valores!$C$2,2)</f>
        <v>14136.41</v>
      </c>
      <c r="M178" s="125">
        <f>ROUND(IF($H$2=0,IF(AND(A178&lt;&gt;"13-930",A178&lt;&gt;"13-940"),(SUM(F178,H178,J178,L178,X178,T178,R178)*Valores!$C$4),0),0),2)</f>
        <v>7569.89</v>
      </c>
      <c r="N178" s="125">
        <f t="shared" si="19"/>
        <v>0</v>
      </c>
      <c r="O178" s="125">
        <f>Valores!$C$16</f>
        <v>18508.63</v>
      </c>
      <c r="P178" s="125">
        <f>Valores!$D$5</f>
        <v>10949.29</v>
      </c>
      <c r="Q178" s="125">
        <f>Valores!$C$22</f>
        <v>9768.51</v>
      </c>
      <c r="R178" s="125">
        <f>IF($F$4="NO",Valores!$C$44,Valores!$C$44/2)</f>
        <v>5343.37</v>
      </c>
      <c r="S178" s="125">
        <f>Valores!$C$19</f>
        <v>10188.49</v>
      </c>
      <c r="T178" s="125">
        <f t="shared" si="25"/>
        <v>10188.49</v>
      </c>
      <c r="U178" s="125">
        <v>0</v>
      </c>
      <c r="V178" s="125">
        <v>0</v>
      </c>
      <c r="W178" s="193">
        <v>0</v>
      </c>
      <c r="X178" s="125">
        <f>ROUND(W178*Valores!$C$2,2)</f>
        <v>0</v>
      </c>
      <c r="Y178" s="125">
        <v>0</v>
      </c>
      <c r="Z178" s="125">
        <f>Valores!$C$92</f>
        <v>9798.86</v>
      </c>
      <c r="AA178" s="125">
        <f>Valores!$C$25</f>
        <v>447.83</v>
      </c>
      <c r="AB178" s="215">
        <v>0</v>
      </c>
      <c r="AC178" s="125">
        <f t="shared" si="20"/>
        <v>0</v>
      </c>
      <c r="AD178" s="125">
        <f>Valores!$C$26</f>
        <v>447.83</v>
      </c>
      <c r="AE178" s="193">
        <v>0</v>
      </c>
      <c r="AF178" s="125">
        <f>ROUND(AE178*Valores!$C$2,2)</f>
        <v>0</v>
      </c>
      <c r="AG178" s="125">
        <f>ROUND(IF($F$4="NO",Valores!$C$59,Valores!$C$59/2),2)</f>
        <v>3171.17</v>
      </c>
      <c r="AH178" s="125">
        <f t="shared" si="23"/>
        <v>111127.93</v>
      </c>
      <c r="AI178" s="125">
        <f>Valores!$C$31</f>
        <v>4980.08</v>
      </c>
      <c r="AJ178" s="125">
        <f>Valores!$C$85</f>
        <v>4550</v>
      </c>
      <c r="AK178" s="125">
        <f>Valores!C$38*B178</f>
        <v>0</v>
      </c>
      <c r="AL178" s="125">
        <f>IF($F$3="NO",0,Valores!$C$51)</f>
        <v>0</v>
      </c>
      <c r="AM178" s="125">
        <f t="shared" si="21"/>
        <v>9530.08</v>
      </c>
      <c r="AN178" s="125">
        <f>AH178*Valores!$C$67</f>
        <v>-12224.0723</v>
      </c>
      <c r="AO178" s="125">
        <f>AH178*-Valores!$C$68</f>
        <v>0</v>
      </c>
      <c r="AP178" s="125">
        <f>AH178*Valores!$C$69</f>
        <v>-5000.75685</v>
      </c>
      <c r="AQ178" s="125">
        <f>Valores!$C$96</f>
        <v>-280.91</v>
      </c>
      <c r="AR178" s="125">
        <f>IF($F$5=0,Valores!$C$97,(Valores!$C$97+$F$5*(Valores!$C$97)))</f>
        <v>-658</v>
      </c>
      <c r="AS178" s="125">
        <f t="shared" si="24"/>
        <v>102494.27085</v>
      </c>
      <c r="AT178" s="125">
        <f t="shared" si="18"/>
        <v>-12224.0723</v>
      </c>
      <c r="AU178" s="125">
        <f>AH178*Valores!$C$70</f>
        <v>-3000.4541099999997</v>
      </c>
      <c r="AV178" s="125">
        <f>AH178*Valores!$C$71</f>
        <v>-333.38379</v>
      </c>
      <c r="AW178" s="125">
        <f t="shared" si="22"/>
        <v>105100.0998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3">
        <v>213</v>
      </c>
      <c r="F179" s="125">
        <f>ROUND(E179*Valores!$C$2,2)</f>
        <v>4562.2</v>
      </c>
      <c r="G179" s="193">
        <f>1835</f>
        <v>1835</v>
      </c>
      <c r="H179" s="125">
        <f>ROUND(G179*Valores!$C$2,2)</f>
        <v>39303.5</v>
      </c>
      <c r="I179" s="193">
        <v>0</v>
      </c>
      <c r="J179" s="125">
        <f>ROUND(I179*Valores!$C$2,2)</f>
        <v>0</v>
      </c>
      <c r="K179" s="193">
        <v>1300</v>
      </c>
      <c r="L179" s="125">
        <f>ROUND(K179*Valores!$C$2,2)</f>
        <v>27844.44</v>
      </c>
      <c r="M179" s="125">
        <f>ROUND(IF($H$2=0,IF(AND(A179&lt;&gt;"13-930",A179&lt;&gt;"13-940"),(SUM(F179,H179,J179,L179,X179,T179,R179)*Valores!$C$4),0),0),2)</f>
        <v>13086.3</v>
      </c>
      <c r="N179" s="125">
        <f t="shared" si="19"/>
        <v>0</v>
      </c>
      <c r="O179" s="125">
        <f>Valores!$C$9</f>
        <v>23959.59</v>
      </c>
      <c r="P179" s="125">
        <f>Valores!$D$5</f>
        <v>10949.29</v>
      </c>
      <c r="Q179" s="125">
        <f>Valores!$C$22</f>
        <v>9768.51</v>
      </c>
      <c r="R179" s="125">
        <f>IF($F$4="NO",Valores!$C$44,Valores!$C$44/2)</f>
        <v>5343.37</v>
      </c>
      <c r="S179" s="125">
        <f>Valores!$C$19</f>
        <v>10188.49</v>
      </c>
      <c r="T179" s="125">
        <f t="shared" si="25"/>
        <v>10188.49</v>
      </c>
      <c r="U179" s="125">
        <v>0</v>
      </c>
      <c r="V179" s="125">
        <v>0</v>
      </c>
      <c r="W179" s="193">
        <v>0</v>
      </c>
      <c r="X179" s="125">
        <f>ROUND(W179*Valores!$C$2,2)</f>
        <v>0</v>
      </c>
      <c r="Y179" s="125">
        <v>0</v>
      </c>
      <c r="Z179" s="125">
        <f>Valores!$C$92</f>
        <v>9798.86</v>
      </c>
      <c r="AA179" s="125">
        <f>Valores!$C$25</f>
        <v>447.83</v>
      </c>
      <c r="AB179" s="215">
        <v>0</v>
      </c>
      <c r="AC179" s="125">
        <f t="shared" si="20"/>
        <v>0</v>
      </c>
      <c r="AD179" s="125">
        <f>Valores!$C$26</f>
        <v>447.83</v>
      </c>
      <c r="AE179" s="193">
        <v>0</v>
      </c>
      <c r="AF179" s="125">
        <f>ROUND(AE179*Valores!$C$2,2)</f>
        <v>0</v>
      </c>
      <c r="AG179" s="125">
        <f>ROUND(IF($F$4="NO",Valores!$C$59,Valores!$C$59/2),2)</f>
        <v>3171.17</v>
      </c>
      <c r="AH179" s="125">
        <f t="shared" si="23"/>
        <v>158871.37999999998</v>
      </c>
      <c r="AI179" s="125">
        <f>Valores!$C$31</f>
        <v>4980.08</v>
      </c>
      <c r="AJ179" s="125">
        <f>Valores!$C$85</f>
        <v>4550</v>
      </c>
      <c r="AK179" s="125">
        <f>Valores!C$38*B179</f>
        <v>0</v>
      </c>
      <c r="AL179" s="125">
        <f>IF($F$3="NO",0,Valores!$C$51)</f>
        <v>0</v>
      </c>
      <c r="AM179" s="125">
        <f t="shared" si="21"/>
        <v>9530.08</v>
      </c>
      <c r="AN179" s="125">
        <f>AH179*Valores!$C$67</f>
        <v>-17475.851799999997</v>
      </c>
      <c r="AO179" s="125">
        <f>AH179*-Valores!$C$68</f>
        <v>0</v>
      </c>
      <c r="AP179" s="125">
        <f>AH179*Valores!$C$69</f>
        <v>-7149.212099999999</v>
      </c>
      <c r="AQ179" s="125">
        <f>Valores!$C$96</f>
        <v>-280.91</v>
      </c>
      <c r="AR179" s="125">
        <f>IF($F$5=0,Valores!$C$97,(Valores!$C$97+$F$5*(Valores!$C$97)))</f>
        <v>-658</v>
      </c>
      <c r="AS179" s="125">
        <f t="shared" si="24"/>
        <v>142837.48609999998</v>
      </c>
      <c r="AT179" s="125">
        <f t="shared" si="18"/>
        <v>-17475.851799999997</v>
      </c>
      <c r="AU179" s="125">
        <f>AH179*Valores!$C$70</f>
        <v>-4289.527259999999</v>
      </c>
      <c r="AV179" s="125">
        <f>AH179*Valores!$C$71</f>
        <v>-476.61413999999996</v>
      </c>
      <c r="AW179" s="125">
        <f t="shared" si="22"/>
        <v>146159.46679999997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3">
        <v>185</v>
      </c>
      <c r="F180" s="125">
        <f>ROUND(E180*Valores!$C$2,2)</f>
        <v>3962.48</v>
      </c>
      <c r="G180" s="193">
        <f>1835</f>
        <v>1835</v>
      </c>
      <c r="H180" s="125">
        <f>ROUND(G180*Valores!$C$2,2)</f>
        <v>39303.5</v>
      </c>
      <c r="I180" s="193">
        <v>0</v>
      </c>
      <c r="J180" s="125">
        <f>ROUND(I180*Valores!$C$2,2)</f>
        <v>0</v>
      </c>
      <c r="K180" s="193">
        <v>1300</v>
      </c>
      <c r="L180" s="125">
        <f>ROUND(K180*Valores!$C$2,2)</f>
        <v>27844.44</v>
      </c>
      <c r="M180" s="125">
        <f>ROUND(IF($H$2=0,IF(AND(A180&lt;&gt;"13-930",A180&lt;&gt;"13-940"),(SUM(F180,H180,J180,L180,X180,T180,R180)*Valores!$C$4),0),0),2)</f>
        <v>12996.34</v>
      </c>
      <c r="N180" s="125">
        <f t="shared" si="19"/>
        <v>0</v>
      </c>
      <c r="O180" s="125">
        <f>Valores!$C$9</f>
        <v>23959.59</v>
      </c>
      <c r="P180" s="125">
        <f>Valores!$D$5</f>
        <v>10949.29</v>
      </c>
      <c r="Q180" s="125">
        <f>Valores!$C$22</f>
        <v>9768.51</v>
      </c>
      <c r="R180" s="125">
        <f>IF($F$4="NO",Valores!$C$44,Valores!$C$44/2)</f>
        <v>5343.37</v>
      </c>
      <c r="S180" s="125">
        <f>Valores!$C$19</f>
        <v>10188.49</v>
      </c>
      <c r="T180" s="125">
        <f t="shared" si="25"/>
        <v>10188.49</v>
      </c>
      <c r="U180" s="125">
        <v>0</v>
      </c>
      <c r="V180" s="125">
        <v>0</v>
      </c>
      <c r="W180" s="193">
        <v>0</v>
      </c>
      <c r="X180" s="125">
        <f>ROUND(W180*Valores!$C$2,2)</f>
        <v>0</v>
      </c>
      <c r="Y180" s="125">
        <v>0</v>
      </c>
      <c r="Z180" s="125">
        <f>Valores!$C$92</f>
        <v>9798.86</v>
      </c>
      <c r="AA180" s="125">
        <f>Valores!$C$25</f>
        <v>447.83</v>
      </c>
      <c r="AB180" s="215">
        <v>0</v>
      </c>
      <c r="AC180" s="125">
        <f t="shared" si="20"/>
        <v>0</v>
      </c>
      <c r="AD180" s="125">
        <f>Valores!$C$26</f>
        <v>447.83</v>
      </c>
      <c r="AE180" s="193">
        <v>0</v>
      </c>
      <c r="AF180" s="125">
        <f>ROUND(AE180*Valores!$C$2,2)</f>
        <v>0</v>
      </c>
      <c r="AG180" s="125">
        <f>ROUND(IF($F$4="NO",Valores!$C$59,Valores!$C$59/2),2)</f>
        <v>3171.17</v>
      </c>
      <c r="AH180" s="125">
        <f t="shared" si="23"/>
        <v>158181.69999999998</v>
      </c>
      <c r="AI180" s="125">
        <f>Valores!$C$31</f>
        <v>4980.08</v>
      </c>
      <c r="AJ180" s="125">
        <f>Valores!$C$85</f>
        <v>4550</v>
      </c>
      <c r="AK180" s="125">
        <f>Valores!C$38*B180</f>
        <v>0</v>
      </c>
      <c r="AL180" s="125">
        <f>IF($F$3="NO",0,Valores!$C$51)</f>
        <v>0</v>
      </c>
      <c r="AM180" s="125">
        <f t="shared" si="21"/>
        <v>9530.08</v>
      </c>
      <c r="AN180" s="125">
        <f>AH180*Valores!$C$67</f>
        <v>-17399.986999999997</v>
      </c>
      <c r="AO180" s="125">
        <f>AH180*-Valores!$C$68</f>
        <v>0</v>
      </c>
      <c r="AP180" s="125">
        <f>AH180*Valores!$C$69</f>
        <v>-7118.176499999999</v>
      </c>
      <c r="AQ180" s="125">
        <f>Valores!$C$96</f>
        <v>-280.91</v>
      </c>
      <c r="AR180" s="125">
        <f>IF($F$5=0,Valores!$C$97,(Valores!$C$97+$F$5*(Valores!$C$97)))</f>
        <v>-658</v>
      </c>
      <c r="AS180" s="125">
        <f t="shared" si="24"/>
        <v>142254.70649999997</v>
      </c>
      <c r="AT180" s="125">
        <f t="shared" si="18"/>
        <v>-17399.986999999997</v>
      </c>
      <c r="AU180" s="125">
        <f>AH180*Valores!$C$70</f>
        <v>-4270.9059</v>
      </c>
      <c r="AV180" s="125">
        <f>AH180*Valores!$C$71</f>
        <v>-474.54509999999993</v>
      </c>
      <c r="AW180" s="125">
        <f t="shared" si="22"/>
        <v>145566.34199999998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3">
        <v>160</v>
      </c>
      <c r="F181" s="125">
        <f>ROUND(E181*Valores!$C$2,2)</f>
        <v>3427.01</v>
      </c>
      <c r="G181" s="193">
        <f>1484</f>
        <v>1484</v>
      </c>
      <c r="H181" s="125">
        <f>ROUND(G181*Valores!$C$2,2)</f>
        <v>31785.5</v>
      </c>
      <c r="I181" s="193">
        <v>0</v>
      </c>
      <c r="J181" s="125">
        <f>ROUND(I181*Valores!$C$2,2)</f>
        <v>0</v>
      </c>
      <c r="K181" s="193">
        <v>1300</v>
      </c>
      <c r="L181" s="125">
        <f>ROUND(K181*Valores!$C$2,2)</f>
        <v>27844.44</v>
      </c>
      <c r="M181" s="125">
        <f>ROUND(IF($H$2=0,IF(AND(A181&lt;&gt;"13-930",A181&lt;&gt;"13-940"),(SUM(F181,H181,J181,L181,X181,T181,R181)*Valores!$C$4),0),0),2)</f>
        <v>11788.32</v>
      </c>
      <c r="N181" s="125">
        <f t="shared" si="19"/>
        <v>0</v>
      </c>
      <c r="O181" s="125">
        <f>Valores!$C$9</f>
        <v>23959.59</v>
      </c>
      <c r="P181" s="125">
        <f>Valores!$D$5</f>
        <v>10949.29</v>
      </c>
      <c r="Q181" s="125">
        <f>Valores!$C$22</f>
        <v>9768.51</v>
      </c>
      <c r="R181" s="125">
        <f>IF($F$4="NO",Valores!$C$44,Valores!$C$44/2)</f>
        <v>5343.37</v>
      </c>
      <c r="S181" s="125">
        <f>Valores!$C$19</f>
        <v>10188.49</v>
      </c>
      <c r="T181" s="125">
        <f t="shared" si="25"/>
        <v>10188.49</v>
      </c>
      <c r="U181" s="125">
        <v>0</v>
      </c>
      <c r="V181" s="125">
        <v>0</v>
      </c>
      <c r="W181" s="193">
        <v>0</v>
      </c>
      <c r="X181" s="125">
        <f>ROUND(W181*Valores!$C$2,2)</f>
        <v>0</v>
      </c>
      <c r="Y181" s="125">
        <v>0</v>
      </c>
      <c r="Z181" s="125">
        <f>Valores!$C$92</f>
        <v>9798.86</v>
      </c>
      <c r="AA181" s="125">
        <f>Valores!$C$25</f>
        <v>447.83</v>
      </c>
      <c r="AB181" s="215">
        <v>0</v>
      </c>
      <c r="AC181" s="125">
        <f t="shared" si="20"/>
        <v>0</v>
      </c>
      <c r="AD181" s="125">
        <f>Valores!$C$26</f>
        <v>447.83</v>
      </c>
      <c r="AE181" s="193">
        <v>0</v>
      </c>
      <c r="AF181" s="125">
        <f>ROUND(AE181*Valores!$C$2,2)</f>
        <v>0</v>
      </c>
      <c r="AG181" s="125">
        <f>ROUND(IF($F$4="NO",Valores!$C$59,Valores!$C$59/2),2)</f>
        <v>3171.17</v>
      </c>
      <c r="AH181" s="125">
        <f t="shared" si="23"/>
        <v>148920.21</v>
      </c>
      <c r="AI181" s="125">
        <f>Valores!$C$31</f>
        <v>4980.08</v>
      </c>
      <c r="AJ181" s="125">
        <f>Valores!$C$85</f>
        <v>4550</v>
      </c>
      <c r="AK181" s="125">
        <f>Valores!C$38*B181</f>
        <v>0</v>
      </c>
      <c r="AL181" s="125">
        <f>IF($F$3="NO",0,Valores!$C$51)</f>
        <v>0</v>
      </c>
      <c r="AM181" s="125">
        <f t="shared" si="21"/>
        <v>9530.08</v>
      </c>
      <c r="AN181" s="125">
        <f>AH181*Valores!$C$67</f>
        <v>-16381.2231</v>
      </c>
      <c r="AO181" s="125">
        <f>AH181*-Valores!$C$68</f>
        <v>0</v>
      </c>
      <c r="AP181" s="125">
        <f>AH181*Valores!$C$69</f>
        <v>-6701.409449999999</v>
      </c>
      <c r="AQ181" s="125">
        <f>Valores!$C$96</f>
        <v>-280.91</v>
      </c>
      <c r="AR181" s="125">
        <f>IF($F$5=0,Valores!$C$97,(Valores!$C$97+$F$5*(Valores!$C$97)))</f>
        <v>-658</v>
      </c>
      <c r="AS181" s="125">
        <f t="shared" si="24"/>
        <v>134428.74745</v>
      </c>
      <c r="AT181" s="125">
        <f t="shared" si="18"/>
        <v>-16381.2231</v>
      </c>
      <c r="AU181" s="125">
        <f>AH181*Valores!$C$70</f>
        <v>-4020.8456699999997</v>
      </c>
      <c r="AV181" s="125">
        <f>AH181*Valores!$C$71</f>
        <v>-446.76063</v>
      </c>
      <c r="AW181" s="125">
        <f t="shared" si="22"/>
        <v>137601.4606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3">
        <v>1278</v>
      </c>
      <c r="F182" s="125">
        <f>ROUND(E182*Valores!$C$2,2)</f>
        <v>27373.23</v>
      </c>
      <c r="G182" s="193">
        <v>0</v>
      </c>
      <c r="H182" s="125">
        <f>ROUND(G182*Valores!$C$2,2)</f>
        <v>0</v>
      </c>
      <c r="I182" s="193">
        <v>0</v>
      </c>
      <c r="J182" s="125">
        <f>ROUND(I182*Valores!$C$2,2)</f>
        <v>0</v>
      </c>
      <c r="K182" s="193">
        <v>1200</v>
      </c>
      <c r="L182" s="125">
        <f>ROUND(K182*Valores!$C$2,2)</f>
        <v>25702.56</v>
      </c>
      <c r="M182" s="125">
        <f>ROUND(IF($H$2=0,IF(AND(A182&lt;&gt;"13-930",A182&lt;&gt;"13-940"),(SUM(F182,H182,J182,L182,X182,T182,R182)*Valores!$C$4),0),0),2)</f>
        <v>10291.15</v>
      </c>
      <c r="N182" s="125">
        <f t="shared" si="19"/>
        <v>0</v>
      </c>
      <c r="O182" s="125">
        <f>Valores!$C$16</f>
        <v>18508.63</v>
      </c>
      <c r="P182" s="125">
        <f>Valores!$D$5</f>
        <v>10949.29</v>
      </c>
      <c r="Q182" s="125">
        <f>Valores!$C$22</f>
        <v>9768.51</v>
      </c>
      <c r="R182" s="125">
        <f>IF($F$4="NO",Valores!$C$44,Valores!$C$44/2)</f>
        <v>5343.37</v>
      </c>
      <c r="S182" s="125">
        <f>Valores!$C$19</f>
        <v>10188.49</v>
      </c>
      <c r="T182" s="125">
        <f t="shared" si="25"/>
        <v>10188.49</v>
      </c>
      <c r="U182" s="125">
        <v>0</v>
      </c>
      <c r="V182" s="125">
        <v>0</v>
      </c>
      <c r="W182" s="193">
        <v>0</v>
      </c>
      <c r="X182" s="125">
        <f>ROUND(W182*Valores!$C$2,2)</f>
        <v>0</v>
      </c>
      <c r="Y182" s="125">
        <v>0</v>
      </c>
      <c r="Z182" s="125">
        <f>Valores!$C$92</f>
        <v>9798.86</v>
      </c>
      <c r="AA182" s="125">
        <f>Valores!$C$25</f>
        <v>447.83</v>
      </c>
      <c r="AB182" s="215">
        <v>0</v>
      </c>
      <c r="AC182" s="125">
        <f t="shared" si="20"/>
        <v>0</v>
      </c>
      <c r="AD182" s="125">
        <f>Valores!$C$26</f>
        <v>447.83</v>
      </c>
      <c r="AE182" s="193">
        <v>0</v>
      </c>
      <c r="AF182" s="125">
        <f>ROUND(AE182*Valores!$C$2,2)</f>
        <v>0</v>
      </c>
      <c r="AG182" s="125">
        <f>ROUND(IF($F$4="NO",Valores!$C$59,Valores!$C$59/2),2)</f>
        <v>3171.17</v>
      </c>
      <c r="AH182" s="125">
        <f t="shared" si="23"/>
        <v>131990.92</v>
      </c>
      <c r="AI182" s="125">
        <f>Valores!$C$31</f>
        <v>4980.08</v>
      </c>
      <c r="AJ182" s="125">
        <f>Valores!$C$85</f>
        <v>4550</v>
      </c>
      <c r="AK182" s="125">
        <f>Valores!C$38*B182</f>
        <v>0</v>
      </c>
      <c r="AL182" s="125">
        <f>IF($F$3="NO",0,Valores!$C$51)</f>
        <v>0</v>
      </c>
      <c r="AM182" s="125">
        <f t="shared" si="21"/>
        <v>9530.08</v>
      </c>
      <c r="AN182" s="125">
        <f>AH182*Valores!$C$67</f>
        <v>-14519.0012</v>
      </c>
      <c r="AO182" s="125">
        <f>AH182*-Valores!$C$68</f>
        <v>0</v>
      </c>
      <c r="AP182" s="125">
        <f>AH182*Valores!$C$69</f>
        <v>-5939.5914</v>
      </c>
      <c r="AQ182" s="125">
        <f>Valores!$C$96</f>
        <v>-280.91</v>
      </c>
      <c r="AR182" s="125">
        <f>IF($F$5=0,Valores!$C$97,(Valores!$C$97+$F$5*(Valores!$C$97)))</f>
        <v>-658</v>
      </c>
      <c r="AS182" s="125">
        <f t="shared" si="24"/>
        <v>120123.49740000001</v>
      </c>
      <c r="AT182" s="125">
        <f t="shared" si="18"/>
        <v>-14519.0012</v>
      </c>
      <c r="AU182" s="125">
        <f>AH182*Valores!$C$70</f>
        <v>-3563.7548400000005</v>
      </c>
      <c r="AV182" s="125">
        <f>AH182*Valores!$C$71</f>
        <v>-395.97276000000005</v>
      </c>
      <c r="AW182" s="125">
        <f t="shared" si="22"/>
        <v>123042.2712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3">
        <v>971</v>
      </c>
      <c r="F183" s="125">
        <f>ROUND(E183*Valores!$C$2,2)</f>
        <v>20797.65</v>
      </c>
      <c r="G183" s="193">
        <v>0</v>
      </c>
      <c r="H183" s="125">
        <f>ROUND(G183*Valores!$C$2,2)</f>
        <v>0</v>
      </c>
      <c r="I183" s="193">
        <v>0</v>
      </c>
      <c r="J183" s="125">
        <f>ROUND(I183*Valores!$C$2,2)</f>
        <v>0</v>
      </c>
      <c r="K183" s="193">
        <v>660</v>
      </c>
      <c r="L183" s="125">
        <f>ROUND(K183*Valores!$C$2,2)</f>
        <v>14136.41</v>
      </c>
      <c r="M183" s="125">
        <f>ROUND(IF($H$2=0,IF(AND(A183&lt;&gt;"13-930",A183&lt;&gt;"13-940"),(SUM(F183,H183,J183,L183,X183,T183,R183)*Valores!$C$4),0),0),2)</f>
        <v>7569.89</v>
      </c>
      <c r="N183" s="125">
        <f t="shared" si="19"/>
        <v>0</v>
      </c>
      <c r="O183" s="125">
        <f>Valores!$C$16</f>
        <v>18508.63</v>
      </c>
      <c r="P183" s="125">
        <f>Valores!$D$5</f>
        <v>10949.29</v>
      </c>
      <c r="Q183" s="125">
        <f>Valores!$C$23</f>
        <v>9091.88</v>
      </c>
      <c r="R183" s="125">
        <f>IF($F$4="NO",Valores!$C$44,Valores!$C$44/2)</f>
        <v>5343.37</v>
      </c>
      <c r="S183" s="125">
        <f>Valores!$C$19</f>
        <v>10188.49</v>
      </c>
      <c r="T183" s="125">
        <f t="shared" si="25"/>
        <v>10188.49</v>
      </c>
      <c r="U183" s="125">
        <v>0</v>
      </c>
      <c r="V183" s="125">
        <v>0</v>
      </c>
      <c r="W183" s="193">
        <v>0</v>
      </c>
      <c r="X183" s="125">
        <f>ROUND(W183*Valores!$C$2,2)</f>
        <v>0</v>
      </c>
      <c r="Y183" s="125">
        <v>0</v>
      </c>
      <c r="Z183" s="125">
        <f>Valores!$C$92</f>
        <v>9798.86</v>
      </c>
      <c r="AA183" s="125">
        <f>Valores!$C$25</f>
        <v>447.83</v>
      </c>
      <c r="AB183" s="215">
        <v>0</v>
      </c>
      <c r="AC183" s="125">
        <f t="shared" si="20"/>
        <v>0</v>
      </c>
      <c r="AD183" s="125">
        <f>Valores!$C$26</f>
        <v>447.83</v>
      </c>
      <c r="AE183" s="193">
        <v>0</v>
      </c>
      <c r="AF183" s="125">
        <f>ROUND(AE183*Valores!$C$2,2)</f>
        <v>0</v>
      </c>
      <c r="AG183" s="125">
        <f>ROUND(IF($F$4="NO",Valores!$C$59,Valores!$C$59/2),2)</f>
        <v>3171.17</v>
      </c>
      <c r="AH183" s="125">
        <f t="shared" si="23"/>
        <v>110451.3</v>
      </c>
      <c r="AI183" s="125">
        <f>Valores!$C$31</f>
        <v>4980.08</v>
      </c>
      <c r="AJ183" s="125">
        <f>Valores!$C$85</f>
        <v>4550</v>
      </c>
      <c r="AK183" s="125">
        <f>Valores!C$38*B183</f>
        <v>0</v>
      </c>
      <c r="AL183" s="125">
        <f>IF($F$3="NO",0,Valores!$C$51)</f>
        <v>0</v>
      </c>
      <c r="AM183" s="125">
        <f t="shared" si="21"/>
        <v>9530.08</v>
      </c>
      <c r="AN183" s="125">
        <f>AH183*Valores!$C$67</f>
        <v>-12149.643</v>
      </c>
      <c r="AO183" s="125">
        <f>AH183*-Valores!$C$68</f>
        <v>0</v>
      </c>
      <c r="AP183" s="125">
        <f>AH183*Valores!$C$69</f>
        <v>-4970.3085</v>
      </c>
      <c r="AQ183" s="125">
        <f>Valores!$C$96</f>
        <v>-280.91</v>
      </c>
      <c r="AR183" s="125">
        <f>IF($F$5=0,Valores!$C$97,(Valores!$C$97+$F$5*(Valores!$C$97)))</f>
        <v>-658</v>
      </c>
      <c r="AS183" s="125">
        <f t="shared" si="24"/>
        <v>101922.5185</v>
      </c>
      <c r="AT183" s="125">
        <f t="shared" si="18"/>
        <v>-12149.643</v>
      </c>
      <c r="AU183" s="125">
        <f>AH183*Valores!$C$70</f>
        <v>-2982.1851</v>
      </c>
      <c r="AV183" s="125">
        <f>AH183*Valores!$C$71</f>
        <v>-331.3539</v>
      </c>
      <c r="AW183" s="125">
        <f t="shared" si="22"/>
        <v>104518.198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3">
        <v>179</v>
      </c>
      <c r="F184" s="125">
        <f>ROUND(E184*Valores!$C$2,2)</f>
        <v>3833.97</v>
      </c>
      <c r="G184" s="193">
        <f>1323</f>
        <v>1323</v>
      </c>
      <c r="H184" s="125">
        <f>ROUND(G184*Valores!$C$2,2)</f>
        <v>28337.07</v>
      </c>
      <c r="I184" s="193">
        <v>0</v>
      </c>
      <c r="J184" s="125">
        <f>ROUND(I184*Valores!$C$2,2)</f>
        <v>0</v>
      </c>
      <c r="K184" s="193">
        <v>1300</v>
      </c>
      <c r="L184" s="125">
        <f>ROUND(K184*Valores!$C$2,2)</f>
        <v>27844.44</v>
      </c>
      <c r="M184" s="125">
        <f>ROUND(IF($H$2=0,IF(AND(A184&lt;&gt;"13-930",A184&lt;&gt;"13-940"),(SUM(F184,H184,J184,L184,X184,T184,R184)*Valores!$C$4),0),0),2)</f>
        <v>11332.1</v>
      </c>
      <c r="N184" s="125">
        <f t="shared" si="19"/>
        <v>0</v>
      </c>
      <c r="O184" s="125">
        <f>Valores!$C$9</f>
        <v>23959.59</v>
      </c>
      <c r="P184" s="125">
        <f>Valores!$D$5</f>
        <v>10949.29</v>
      </c>
      <c r="Q184" s="125">
        <f>Valores!$C$22</f>
        <v>9768.51</v>
      </c>
      <c r="R184" s="125">
        <f>IF($F$4="NO",Valores!$C$44,Valores!$C$44/2)</f>
        <v>5343.37</v>
      </c>
      <c r="S184" s="125">
        <f>Valores!$C$19</f>
        <v>10188.49</v>
      </c>
      <c r="T184" s="125">
        <f t="shared" si="25"/>
        <v>10188.49</v>
      </c>
      <c r="U184" s="125">
        <v>0</v>
      </c>
      <c r="V184" s="125">
        <v>0</v>
      </c>
      <c r="W184" s="193">
        <v>0</v>
      </c>
      <c r="X184" s="125">
        <f>ROUND(W184*Valores!$C$2,2)</f>
        <v>0</v>
      </c>
      <c r="Y184" s="125">
        <v>0</v>
      </c>
      <c r="Z184" s="125">
        <f>Valores!$C$92</f>
        <v>9798.86</v>
      </c>
      <c r="AA184" s="125">
        <f>Valores!$C$25</f>
        <v>447.83</v>
      </c>
      <c r="AB184" s="215">
        <v>0</v>
      </c>
      <c r="AC184" s="125">
        <f t="shared" si="20"/>
        <v>0</v>
      </c>
      <c r="AD184" s="125">
        <f>Valores!$C$26</f>
        <v>447.83</v>
      </c>
      <c r="AE184" s="193">
        <v>0</v>
      </c>
      <c r="AF184" s="125">
        <f>ROUND(AE184*Valores!$C$2,2)</f>
        <v>0</v>
      </c>
      <c r="AG184" s="125">
        <f>ROUND(IF($F$4="NO",Valores!$C$59,Valores!$C$59/2),2)</f>
        <v>3171.17</v>
      </c>
      <c r="AH184" s="125">
        <f t="shared" si="23"/>
        <v>145422.52</v>
      </c>
      <c r="AI184" s="125">
        <f>Valores!$C$31</f>
        <v>4980.08</v>
      </c>
      <c r="AJ184" s="125">
        <f>Valores!$C$85</f>
        <v>4550</v>
      </c>
      <c r="AK184" s="125">
        <f>Valores!C$38*B184</f>
        <v>0</v>
      </c>
      <c r="AL184" s="125">
        <v>0</v>
      </c>
      <c r="AM184" s="125">
        <f t="shared" si="21"/>
        <v>9530.08</v>
      </c>
      <c r="AN184" s="125">
        <f>AH184*Valores!$C$67</f>
        <v>-15996.4772</v>
      </c>
      <c r="AO184" s="125">
        <f>AH184*-Valores!$C$68</f>
        <v>0</v>
      </c>
      <c r="AP184" s="125">
        <f>AH184*Valores!$C$69</f>
        <v>-6544.013399999999</v>
      </c>
      <c r="AQ184" s="125">
        <f>Valores!$C$96</f>
        <v>-280.91</v>
      </c>
      <c r="AR184" s="125">
        <f>IF($F$5=0,Valores!$C$97,(Valores!$C$97+$F$5*(Valores!$C$97)))</f>
        <v>-658</v>
      </c>
      <c r="AS184" s="125">
        <f t="shared" si="24"/>
        <v>131473.19939999998</v>
      </c>
      <c r="AT184" s="125">
        <f t="shared" si="18"/>
        <v>-15996.4772</v>
      </c>
      <c r="AU184" s="125">
        <f>AH184*Valores!$C$70</f>
        <v>-3926.40804</v>
      </c>
      <c r="AV184" s="125">
        <f>AH184*Valores!$C$71</f>
        <v>-436.26756</v>
      </c>
      <c r="AW184" s="125">
        <f t="shared" si="22"/>
        <v>134593.44719999997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3">
        <v>64</v>
      </c>
      <c r="F185" s="125">
        <f>ROUND(E185*Valores!$C$2,2)</f>
        <v>1370.8</v>
      </c>
      <c r="G185" s="193">
        <v>1354</v>
      </c>
      <c r="H185" s="125">
        <f>ROUND(G185*Valores!$C$2,2)</f>
        <v>29001.06</v>
      </c>
      <c r="I185" s="193">
        <v>0</v>
      </c>
      <c r="J185" s="125">
        <f>ROUND(I185*Valores!$C$2,2)</f>
        <v>0</v>
      </c>
      <c r="K185" s="193">
        <v>1200</v>
      </c>
      <c r="L185" s="125">
        <f>ROUND(K185*Valores!$C$2,2)</f>
        <v>25702.56</v>
      </c>
      <c r="M185" s="125">
        <f>ROUND(IF($H$2=0,IF(AND(A185&lt;&gt;"13-930",A185&lt;&gt;"13-940"),(SUM(F185,H185,J185,L185,X185,T185,R185)*Valores!$C$4),0),0),2)</f>
        <v>10725.32</v>
      </c>
      <c r="N185" s="125">
        <f t="shared" si="19"/>
        <v>0</v>
      </c>
      <c r="O185" s="125">
        <f>Valores!$C$14</f>
        <v>20008.63</v>
      </c>
      <c r="P185" s="125">
        <f>Valores!$D$5</f>
        <v>10949.29</v>
      </c>
      <c r="Q185" s="125">
        <v>0</v>
      </c>
      <c r="R185" s="125">
        <f>IF($F$4="NO",Valores!$C$44,Valores!$C$44/2)</f>
        <v>5343.37</v>
      </c>
      <c r="S185" s="125">
        <f>Valores!$C$20</f>
        <v>10084.32</v>
      </c>
      <c r="T185" s="125">
        <f t="shared" si="25"/>
        <v>10084.32</v>
      </c>
      <c r="U185" s="125">
        <v>0</v>
      </c>
      <c r="V185" s="125">
        <v>0</v>
      </c>
      <c r="W185" s="193">
        <v>0</v>
      </c>
      <c r="X185" s="125">
        <f>ROUND(W185*Valores!$C$2,2)</f>
        <v>0</v>
      </c>
      <c r="Y185" s="125">
        <v>0</v>
      </c>
      <c r="Z185" s="125">
        <f>Valores!$C$92</f>
        <v>9798.86</v>
      </c>
      <c r="AA185" s="125">
        <f>Valores!$C$25</f>
        <v>447.83</v>
      </c>
      <c r="AB185" s="215">
        <v>0</v>
      </c>
      <c r="AC185" s="125">
        <f t="shared" si="20"/>
        <v>0</v>
      </c>
      <c r="AD185" s="125">
        <f>Valores!$C$26</f>
        <v>447.83</v>
      </c>
      <c r="AE185" s="193">
        <v>0</v>
      </c>
      <c r="AF185" s="125">
        <f>ROUND(AE185*Valores!$C$2,2)</f>
        <v>0</v>
      </c>
      <c r="AG185" s="125">
        <f>ROUND(IF($F$4="NO",Valores!$C$59,Valores!$C$59/2),2)</f>
        <v>3171.17</v>
      </c>
      <c r="AH185" s="125">
        <f t="shared" si="23"/>
        <v>127051.04000000001</v>
      </c>
      <c r="AI185" s="125">
        <f>Valores!$C$31</f>
        <v>4980.08</v>
      </c>
      <c r="AJ185" s="125">
        <f>Valores!$C$85</f>
        <v>4550</v>
      </c>
      <c r="AK185" s="125">
        <f>Valores!C$38*B185</f>
        <v>0</v>
      </c>
      <c r="AL185" s="125">
        <v>0</v>
      </c>
      <c r="AM185" s="125">
        <f t="shared" si="21"/>
        <v>9530.08</v>
      </c>
      <c r="AN185" s="125">
        <f>AH185*Valores!$C$67</f>
        <v>-13975.6144</v>
      </c>
      <c r="AO185" s="125">
        <f>AH185*-Valores!$C$68</f>
        <v>0</v>
      </c>
      <c r="AP185" s="125">
        <f>AH185*Valores!$C$69</f>
        <v>-5717.2968</v>
      </c>
      <c r="AQ185" s="125">
        <f>Valores!$C$96</f>
        <v>-280.91</v>
      </c>
      <c r="AR185" s="125">
        <f>IF($F$5=0,Valores!$C$97,(Valores!$C$97+$F$5*(Valores!$C$97)))</f>
        <v>-658</v>
      </c>
      <c r="AS185" s="125">
        <f t="shared" si="24"/>
        <v>115949.2988</v>
      </c>
      <c r="AT185" s="125">
        <f t="shared" si="18"/>
        <v>-13975.6144</v>
      </c>
      <c r="AU185" s="125">
        <f>AH185*Valores!$C$70</f>
        <v>-3430.37808</v>
      </c>
      <c r="AV185" s="125">
        <f>AH185*Valores!$C$71</f>
        <v>-381.15312000000006</v>
      </c>
      <c r="AW185" s="125">
        <f t="shared" si="22"/>
        <v>118793.97439999999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3">
        <v>55</v>
      </c>
      <c r="F186" s="125">
        <f>ROUND(E186*Valores!$C$2,2)</f>
        <v>1178.03</v>
      </c>
      <c r="G186" s="193">
        <v>1279</v>
      </c>
      <c r="H186" s="125">
        <f>ROUND(G186*Valores!$C$2,2)</f>
        <v>27394.65</v>
      </c>
      <c r="I186" s="193">
        <v>0</v>
      </c>
      <c r="J186" s="125">
        <f>ROUND(I186*Valores!$C$2,2)</f>
        <v>0</v>
      </c>
      <c r="K186" s="193">
        <v>1200</v>
      </c>
      <c r="L186" s="125">
        <f>ROUND(K186*Valores!$C$2,2)</f>
        <v>25702.56</v>
      </c>
      <c r="M186" s="125">
        <f>ROUND(IF($H$2=0,IF(AND(A186&lt;&gt;"13-930",A186&lt;&gt;"13-940"),(SUM(F186,H186,J186,L186,X186,T186,R186)*Valores!$C$4),0),0),2)</f>
        <v>10471.07</v>
      </c>
      <c r="N186" s="125">
        <f t="shared" si="19"/>
        <v>0</v>
      </c>
      <c r="O186" s="125">
        <f>Valores!$C$16</f>
        <v>18508.63</v>
      </c>
      <c r="P186" s="125">
        <f>Valores!$D$5</f>
        <v>10949.29</v>
      </c>
      <c r="Q186" s="125">
        <v>0</v>
      </c>
      <c r="R186" s="125">
        <f>IF($F$4="NO",Valores!$C$44,Valores!$C$44/2)</f>
        <v>5343.37</v>
      </c>
      <c r="S186" s="125">
        <f>Valores!$C$19</f>
        <v>10188.49</v>
      </c>
      <c r="T186" s="125">
        <f t="shared" si="25"/>
        <v>10188.49</v>
      </c>
      <c r="U186" s="125">
        <v>0</v>
      </c>
      <c r="V186" s="125">
        <v>0</v>
      </c>
      <c r="W186" s="193">
        <v>0</v>
      </c>
      <c r="X186" s="125">
        <f>ROUND(W186*Valores!$C$2,2)</f>
        <v>0</v>
      </c>
      <c r="Y186" s="125">
        <v>0</v>
      </c>
      <c r="Z186" s="125">
        <f>Valores!$C$92</f>
        <v>9798.86</v>
      </c>
      <c r="AA186" s="125">
        <f>Valores!$C$25</f>
        <v>447.83</v>
      </c>
      <c r="AB186" s="215">
        <v>0</v>
      </c>
      <c r="AC186" s="125">
        <f t="shared" si="20"/>
        <v>0</v>
      </c>
      <c r="AD186" s="125">
        <f>Valores!$C$26</f>
        <v>447.83</v>
      </c>
      <c r="AE186" s="193">
        <v>0</v>
      </c>
      <c r="AF186" s="125">
        <f>ROUND(AE186*Valores!$C$2,2)</f>
        <v>0</v>
      </c>
      <c r="AG186" s="125">
        <f>ROUND(IF($F$4="NO",Valores!$C$59,Valores!$C$59/2),2)</f>
        <v>3171.17</v>
      </c>
      <c r="AH186" s="125">
        <f t="shared" si="23"/>
        <v>123601.78000000001</v>
      </c>
      <c r="AI186" s="125">
        <f>Valores!$C$31</f>
        <v>4980.08</v>
      </c>
      <c r="AJ186" s="125">
        <f>Valores!$C$85</f>
        <v>4550</v>
      </c>
      <c r="AK186" s="125">
        <f>Valores!C$38*B186</f>
        <v>0</v>
      </c>
      <c r="AL186" s="125">
        <v>0</v>
      </c>
      <c r="AM186" s="125">
        <f t="shared" si="21"/>
        <v>9530.08</v>
      </c>
      <c r="AN186" s="125">
        <f>AH186*Valores!$C$67</f>
        <v>-13596.195800000001</v>
      </c>
      <c r="AO186" s="125">
        <f>AH186*-Valores!$C$68</f>
        <v>0</v>
      </c>
      <c r="AP186" s="125">
        <f>AH186*Valores!$C$69</f>
        <v>-5562.0801</v>
      </c>
      <c r="AQ186" s="125">
        <f>Valores!$C$96</f>
        <v>-280.91</v>
      </c>
      <c r="AR186" s="125">
        <f>IF($F$5=0,Valores!$C$97,(Valores!$C$97+$F$5*(Valores!$C$97)))</f>
        <v>-658</v>
      </c>
      <c r="AS186" s="125">
        <f t="shared" si="24"/>
        <v>113034.6741</v>
      </c>
      <c r="AT186" s="125">
        <f t="shared" si="18"/>
        <v>-13596.195800000001</v>
      </c>
      <c r="AU186" s="125">
        <f>AH186*Valores!$C$70</f>
        <v>-3337.2480600000004</v>
      </c>
      <c r="AV186" s="125">
        <f>AH186*Valores!$C$71</f>
        <v>-370.80534000000006</v>
      </c>
      <c r="AW186" s="125">
        <f t="shared" si="22"/>
        <v>115827.61080000001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3">
        <v>1027</v>
      </c>
      <c r="F187" s="125">
        <f>ROUND(E187*Valores!$C$2,2)</f>
        <v>21997.11</v>
      </c>
      <c r="G187" s="193">
        <v>0</v>
      </c>
      <c r="H187" s="125">
        <f>ROUND(G187*Valores!$C$2,2)</f>
        <v>0</v>
      </c>
      <c r="I187" s="193">
        <v>0</v>
      </c>
      <c r="J187" s="125">
        <f>ROUND(I187*Valores!$C$2,2)</f>
        <v>0</v>
      </c>
      <c r="K187" s="193">
        <v>1200</v>
      </c>
      <c r="L187" s="125">
        <f>ROUND(K187*Valores!$C$2,2)</f>
        <v>25702.56</v>
      </c>
      <c r="M187" s="125">
        <f>ROUND(IF($H$2=0,IF(AND(A187&lt;&gt;"13-930",A187&lt;&gt;"13-940"),(SUM(F187,H187,J187,L187,X187,T187,R187)*Valores!$C$4),0),0),2)</f>
        <v>9469.1</v>
      </c>
      <c r="N187" s="125">
        <f t="shared" si="19"/>
        <v>0</v>
      </c>
      <c r="O187" s="125">
        <f>Valores!$C$16</f>
        <v>18508.63</v>
      </c>
      <c r="P187" s="125">
        <f>Valores!$D$5</f>
        <v>10949.29</v>
      </c>
      <c r="Q187" s="125">
        <v>0</v>
      </c>
      <c r="R187" s="125">
        <f>IF($F$4="NO",Valores!$C$44,Valores!$C$44/2)</f>
        <v>5343.37</v>
      </c>
      <c r="S187" s="125">
        <f>Valores!$C$20</f>
        <v>10084.32</v>
      </c>
      <c r="T187" s="125">
        <f t="shared" si="25"/>
        <v>10084.32</v>
      </c>
      <c r="U187" s="125">
        <v>0</v>
      </c>
      <c r="V187" s="125">
        <v>0</v>
      </c>
      <c r="W187" s="193">
        <v>0</v>
      </c>
      <c r="X187" s="125">
        <f>ROUND(W187*Valores!$C$2,2)</f>
        <v>0</v>
      </c>
      <c r="Y187" s="125">
        <v>0</v>
      </c>
      <c r="Z187" s="125">
        <f>Valores!$C$92</f>
        <v>9798.86</v>
      </c>
      <c r="AA187" s="125">
        <f>Valores!$C$25</f>
        <v>447.83</v>
      </c>
      <c r="AB187" s="215">
        <v>0</v>
      </c>
      <c r="AC187" s="125">
        <f t="shared" si="20"/>
        <v>0</v>
      </c>
      <c r="AD187" s="125">
        <f>Valores!$C$26</f>
        <v>447.83</v>
      </c>
      <c r="AE187" s="193">
        <v>0</v>
      </c>
      <c r="AF187" s="125">
        <f>ROUND(AE187*Valores!$C$2,2)</f>
        <v>0</v>
      </c>
      <c r="AG187" s="125">
        <f>ROUND(IF($F$4="NO",Valores!$C$59,Valores!$C$59/2),2)</f>
        <v>3171.17</v>
      </c>
      <c r="AH187" s="125">
        <f t="shared" si="23"/>
        <v>115920.07</v>
      </c>
      <c r="AI187" s="125">
        <f>Valores!$C$31</f>
        <v>4980.08</v>
      </c>
      <c r="AJ187" s="125">
        <f>Valores!$C$85</f>
        <v>4550</v>
      </c>
      <c r="AK187" s="125">
        <f>Valores!C$38*B187</f>
        <v>0</v>
      </c>
      <c r="AL187" s="125">
        <v>0</v>
      </c>
      <c r="AM187" s="125">
        <f t="shared" si="21"/>
        <v>9530.08</v>
      </c>
      <c r="AN187" s="125">
        <f>AH187*Valores!$C$67</f>
        <v>-12751.2077</v>
      </c>
      <c r="AO187" s="125">
        <f>AH187*-Valores!$C$68</f>
        <v>0</v>
      </c>
      <c r="AP187" s="125">
        <f>AH187*Valores!$C$69</f>
        <v>-5216.40315</v>
      </c>
      <c r="AQ187" s="125">
        <f>Valores!$C$96</f>
        <v>-280.91</v>
      </c>
      <c r="AR187" s="125">
        <f>IF($F$5=0,Valores!$C$97,(Valores!$C$97+$F$5*(Valores!$C$97)))</f>
        <v>-658</v>
      </c>
      <c r="AS187" s="125">
        <f t="shared" si="24"/>
        <v>106543.62915000001</v>
      </c>
      <c r="AT187" s="125">
        <f t="shared" si="18"/>
        <v>-12751.2077</v>
      </c>
      <c r="AU187" s="125">
        <f>AH187*Valores!$C$70</f>
        <v>-3129.84189</v>
      </c>
      <c r="AV187" s="125">
        <f>AH187*Valores!$C$71</f>
        <v>-347.76021000000003</v>
      </c>
      <c r="AW187" s="125">
        <f t="shared" si="22"/>
        <v>109221.3402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3">
        <v>1278</v>
      </c>
      <c r="F188" s="125">
        <f>ROUND(E188*Valores!$C$2,2)</f>
        <v>27373.23</v>
      </c>
      <c r="G188" s="193">
        <v>0</v>
      </c>
      <c r="H188" s="125">
        <f>ROUND(G188*Valores!$C$2,2)</f>
        <v>0</v>
      </c>
      <c r="I188" s="193">
        <v>0</v>
      </c>
      <c r="J188" s="125">
        <f>ROUND(I188*Valores!$C$2,2)</f>
        <v>0</v>
      </c>
      <c r="K188" s="193">
        <v>1200</v>
      </c>
      <c r="L188" s="125">
        <f>ROUND(K188*Valores!$C$2,2)</f>
        <v>25702.56</v>
      </c>
      <c r="M188" s="125">
        <f>ROUND(IF($H$2=0,IF(AND(A188&lt;&gt;"13-930",A188&lt;&gt;"13-940"),(SUM(F188,H188,J188,L188,X188,T188,R188)*Valores!$C$4),0),0),2)</f>
        <v>10291.15</v>
      </c>
      <c r="N188" s="125">
        <f t="shared" si="19"/>
        <v>0</v>
      </c>
      <c r="O188" s="125">
        <f>Valores!$C$16</f>
        <v>18508.63</v>
      </c>
      <c r="P188" s="125">
        <f>Valores!$D$5</f>
        <v>10949.29</v>
      </c>
      <c r="Q188" s="125">
        <f>Valores!$C$22</f>
        <v>9768.51</v>
      </c>
      <c r="R188" s="125">
        <f>IF($F$4="NO",Valores!$C$44,Valores!$C$44/2)</f>
        <v>5343.37</v>
      </c>
      <c r="S188" s="125">
        <f>Valores!$C$19</f>
        <v>10188.49</v>
      </c>
      <c r="T188" s="125">
        <f t="shared" si="25"/>
        <v>10188.49</v>
      </c>
      <c r="U188" s="125">
        <v>0</v>
      </c>
      <c r="V188" s="125">
        <v>0</v>
      </c>
      <c r="W188" s="193">
        <v>0</v>
      </c>
      <c r="X188" s="125">
        <f>ROUND(W188*Valores!$C$2,2)</f>
        <v>0</v>
      </c>
      <c r="Y188" s="125">
        <v>0</v>
      </c>
      <c r="Z188" s="125">
        <f>Valores!$C$92</f>
        <v>9798.86</v>
      </c>
      <c r="AA188" s="125">
        <f>Valores!$C$25</f>
        <v>447.83</v>
      </c>
      <c r="AB188" s="215">
        <v>0</v>
      </c>
      <c r="AC188" s="125">
        <f t="shared" si="20"/>
        <v>0</v>
      </c>
      <c r="AD188" s="125">
        <f>Valores!$C$26</f>
        <v>447.83</v>
      </c>
      <c r="AE188" s="193">
        <v>0</v>
      </c>
      <c r="AF188" s="125">
        <f>ROUND(AE188*Valores!$C$2,2)</f>
        <v>0</v>
      </c>
      <c r="AG188" s="125">
        <f>ROUND(IF($F$4="NO",Valores!$C$59,Valores!$C$59/2),2)</f>
        <v>3171.17</v>
      </c>
      <c r="AH188" s="125">
        <f t="shared" si="23"/>
        <v>131990.92</v>
      </c>
      <c r="AI188" s="125">
        <f>Valores!$C$31</f>
        <v>4980.08</v>
      </c>
      <c r="AJ188" s="125">
        <f>Valores!$C$85</f>
        <v>4550</v>
      </c>
      <c r="AK188" s="125">
        <f>Valores!C$38*B188</f>
        <v>0</v>
      </c>
      <c r="AL188" s="125">
        <f>IF($F$3="NO",0,Valores!$C$51)</f>
        <v>0</v>
      </c>
      <c r="AM188" s="125">
        <f t="shared" si="21"/>
        <v>9530.08</v>
      </c>
      <c r="AN188" s="125">
        <f>AH188*Valores!$C$67</f>
        <v>-14519.0012</v>
      </c>
      <c r="AO188" s="125">
        <f>AH188*-Valores!$C$68</f>
        <v>0</v>
      </c>
      <c r="AP188" s="125">
        <f>AH188*Valores!$C$69</f>
        <v>-5939.5914</v>
      </c>
      <c r="AQ188" s="125">
        <f>Valores!$C$96</f>
        <v>-280.91</v>
      </c>
      <c r="AR188" s="125">
        <f>IF($F$5=0,Valores!$C$97,(Valores!$C$97+$F$5*(Valores!$C$97)))</f>
        <v>-658</v>
      </c>
      <c r="AS188" s="125">
        <f t="shared" si="24"/>
        <v>120123.49740000001</v>
      </c>
      <c r="AT188" s="125">
        <f t="shared" si="18"/>
        <v>-14519.0012</v>
      </c>
      <c r="AU188" s="125">
        <f>AH188*Valores!$C$70</f>
        <v>-3563.7548400000005</v>
      </c>
      <c r="AV188" s="125">
        <f>AH188*Valores!$C$71</f>
        <v>-395.97276000000005</v>
      </c>
      <c r="AW188" s="125">
        <f t="shared" si="22"/>
        <v>123042.2712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3">
        <v>1065</v>
      </c>
      <c r="F189" s="125">
        <f>ROUND(E189*Valores!$C$2,2)</f>
        <v>22811.02</v>
      </c>
      <c r="G189" s="193">
        <v>0</v>
      </c>
      <c r="H189" s="125">
        <f>ROUND(G189*Valores!$C$2,2)</f>
        <v>0</v>
      </c>
      <c r="I189" s="193">
        <v>0</v>
      </c>
      <c r="J189" s="125">
        <f>ROUND(I189*Valores!$C$2,2)</f>
        <v>0</v>
      </c>
      <c r="K189" s="193">
        <v>600</v>
      </c>
      <c r="L189" s="125">
        <f>ROUND(K189*Valores!$C$2,2)</f>
        <v>12851.28</v>
      </c>
      <c r="M189" s="125">
        <f>ROUND(IF($H$2=0,IF(AND(A189&lt;&gt;"13-930",A189&lt;&gt;"13-940"),(SUM(F189,H189,J189,L189,X189,T189,R189)*Valores!$C$4),0),0),2)</f>
        <v>7679.12</v>
      </c>
      <c r="N189" s="125">
        <f t="shared" si="19"/>
        <v>0</v>
      </c>
      <c r="O189" s="125">
        <f>Valores!$C$16</f>
        <v>18508.63</v>
      </c>
      <c r="P189" s="125">
        <f>Valores!$D$5</f>
        <v>10949.29</v>
      </c>
      <c r="Q189" s="125">
        <v>0</v>
      </c>
      <c r="R189" s="125">
        <f>IF($F$4="NO",Valores!$C$44,Valores!$C$44/2)</f>
        <v>5343.37</v>
      </c>
      <c r="S189" s="125">
        <f>Valores!$C$19</f>
        <v>10188.49</v>
      </c>
      <c r="T189" s="125">
        <f t="shared" si="25"/>
        <v>10188.49</v>
      </c>
      <c r="U189" s="125">
        <v>0</v>
      </c>
      <c r="V189" s="125">
        <v>0</v>
      </c>
      <c r="W189" s="193">
        <v>0</v>
      </c>
      <c r="X189" s="125">
        <f>ROUND(W189*Valores!$C$2,2)</f>
        <v>0</v>
      </c>
      <c r="Y189" s="125">
        <v>0</v>
      </c>
      <c r="Z189" s="125">
        <f>Valores!$C$92</f>
        <v>9798.86</v>
      </c>
      <c r="AA189" s="125">
        <f>Valores!$C$25</f>
        <v>447.83</v>
      </c>
      <c r="AB189" s="215">
        <v>0</v>
      </c>
      <c r="AC189" s="125">
        <f t="shared" si="20"/>
        <v>0</v>
      </c>
      <c r="AD189" s="125">
        <f>Valores!$C$26</f>
        <v>447.83</v>
      </c>
      <c r="AE189" s="193">
        <v>0</v>
      </c>
      <c r="AF189" s="125">
        <f>ROUND(AE189*Valores!$C$2,2)</f>
        <v>0</v>
      </c>
      <c r="AG189" s="125">
        <f>ROUND(IF($F$4="NO",Valores!$C$59,Valores!$C$59/2),2)</f>
        <v>3171.17</v>
      </c>
      <c r="AH189" s="125">
        <f t="shared" si="23"/>
        <v>102196.89</v>
      </c>
      <c r="AI189" s="125">
        <f>Valores!$C$31</f>
        <v>4980.08</v>
      </c>
      <c r="AJ189" s="125">
        <f>Valores!$C$85</f>
        <v>4550</v>
      </c>
      <c r="AK189" s="125">
        <f>Valores!C$38*B189</f>
        <v>0</v>
      </c>
      <c r="AL189" s="125">
        <f>IF($F$3="NO",0,Valores!$C$51)</f>
        <v>0</v>
      </c>
      <c r="AM189" s="125">
        <f t="shared" si="21"/>
        <v>9530.08</v>
      </c>
      <c r="AN189" s="125">
        <f>AH189*Valores!$C$67</f>
        <v>-11241.6579</v>
      </c>
      <c r="AO189" s="125">
        <f>AH189*-Valores!$C$68</f>
        <v>0</v>
      </c>
      <c r="AP189" s="125">
        <f>AH189*Valores!$C$69</f>
        <v>-4598.86005</v>
      </c>
      <c r="AQ189" s="125">
        <f>Valores!$C$96</f>
        <v>-280.91</v>
      </c>
      <c r="AR189" s="125">
        <f>IF($F$5=0,Valores!$C$97,(Valores!$C$97+$F$5*(Valores!$C$97)))</f>
        <v>-658</v>
      </c>
      <c r="AS189" s="125">
        <f t="shared" si="24"/>
        <v>94947.54205</v>
      </c>
      <c r="AT189" s="125">
        <f t="shared" si="18"/>
        <v>-11241.6579</v>
      </c>
      <c r="AU189" s="125">
        <f>AH189*Valores!$C$70</f>
        <v>-2759.31603</v>
      </c>
      <c r="AV189" s="125">
        <f>AH189*Valores!$C$71</f>
        <v>-306.59067</v>
      </c>
      <c r="AW189" s="125">
        <f t="shared" si="22"/>
        <v>97419.4054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3">
        <v>971</v>
      </c>
      <c r="F190" s="125">
        <f>ROUND(E190*Valores!$C$2,2)</f>
        <v>20797.65</v>
      </c>
      <c r="G190" s="193">
        <v>0</v>
      </c>
      <c r="H190" s="125">
        <f>ROUND(G190*Valores!$C$2,2)</f>
        <v>0</v>
      </c>
      <c r="I190" s="193">
        <v>0</v>
      </c>
      <c r="J190" s="125">
        <f>ROUND(I190*Valores!$C$2,2)</f>
        <v>0</v>
      </c>
      <c r="K190" s="193">
        <v>660</v>
      </c>
      <c r="L190" s="125">
        <f>ROUND(K190*Valores!$C$2,2)</f>
        <v>14136.41</v>
      </c>
      <c r="M190" s="125">
        <f>ROUND(IF($H$2=0,IF(AND(A190&lt;&gt;"13-930",A190&lt;&gt;"13-940"),(SUM(F190,H190,J190,L190,X190,T190,R190)*Valores!$C$4),0),0),2)</f>
        <v>7312.81</v>
      </c>
      <c r="N190" s="125">
        <f t="shared" si="19"/>
        <v>0</v>
      </c>
      <c r="O190" s="125">
        <f>Valores!$C$16</f>
        <v>18508.63</v>
      </c>
      <c r="P190" s="125">
        <f>Valores!$D$5</f>
        <v>10949.29</v>
      </c>
      <c r="Q190" s="125">
        <f>Valores!$C$23</f>
        <v>9091.88</v>
      </c>
      <c r="R190" s="125">
        <f>IF($F$4="NO",Valores!$C$43,Valores!$C$43/2)</f>
        <v>3629.53</v>
      </c>
      <c r="S190" s="125">
        <f>Valores!$C$19</f>
        <v>10188.49</v>
      </c>
      <c r="T190" s="125">
        <f t="shared" si="25"/>
        <v>10188.49</v>
      </c>
      <c r="U190" s="125">
        <v>0</v>
      </c>
      <c r="V190" s="125">
        <v>0</v>
      </c>
      <c r="W190" s="193">
        <v>0</v>
      </c>
      <c r="X190" s="125">
        <f>ROUND(W190*Valores!$C$2,2)</f>
        <v>0</v>
      </c>
      <c r="Y190" s="125">
        <v>0</v>
      </c>
      <c r="Z190" s="125">
        <f>Valores!$C$90</f>
        <v>4899.43</v>
      </c>
      <c r="AA190" s="125">
        <f>Valores!$C$25</f>
        <v>447.83</v>
      </c>
      <c r="AB190" s="215">
        <v>0</v>
      </c>
      <c r="AC190" s="125">
        <f t="shared" si="20"/>
        <v>0</v>
      </c>
      <c r="AD190" s="125">
        <f>Valores!$C$26</f>
        <v>447.83</v>
      </c>
      <c r="AE190" s="193">
        <v>0</v>
      </c>
      <c r="AF190" s="125">
        <f>ROUND(AE190*Valores!$C$2,2)</f>
        <v>0</v>
      </c>
      <c r="AG190" s="125">
        <f>ROUND(IF($F$4="NO",Valores!$C$59,Valores!$C$59/2),2)</f>
        <v>3171.17</v>
      </c>
      <c r="AH190" s="125">
        <f t="shared" si="23"/>
        <v>103580.95000000003</v>
      </c>
      <c r="AI190" s="125">
        <f>Valores!$C$31</f>
        <v>4980.08</v>
      </c>
      <c r="AJ190" s="125">
        <f>Valores!$C$83</f>
        <v>2275</v>
      </c>
      <c r="AK190" s="125">
        <f>Valores!C$38*B190</f>
        <v>0</v>
      </c>
      <c r="AL190" s="125">
        <v>0</v>
      </c>
      <c r="AM190" s="125">
        <f t="shared" si="21"/>
        <v>7255.08</v>
      </c>
      <c r="AN190" s="125">
        <f>AH190*Valores!$C$67</f>
        <v>-11393.904500000002</v>
      </c>
      <c r="AO190" s="125">
        <f>AH190*-Valores!$C$68</f>
        <v>0</v>
      </c>
      <c r="AP190" s="125">
        <f>AH190*Valores!$C$69</f>
        <v>-4661.142750000001</v>
      </c>
      <c r="AQ190" s="125">
        <f>Valores!$C$96</f>
        <v>-280.91</v>
      </c>
      <c r="AR190" s="125">
        <f>IF($F$5=0,Valores!$C$97,(Valores!$C$97+$F$5*(Valores!$C$97)))</f>
        <v>-658</v>
      </c>
      <c r="AS190" s="125">
        <f t="shared" si="24"/>
        <v>93842.07275000002</v>
      </c>
      <c r="AT190" s="125">
        <f t="shared" si="18"/>
        <v>-11393.904500000002</v>
      </c>
      <c r="AU190" s="125">
        <f>AH190*Valores!$C$70</f>
        <v>-2796.685650000001</v>
      </c>
      <c r="AV190" s="125">
        <f>AH190*Valores!$C$71</f>
        <v>-310.7428500000001</v>
      </c>
      <c r="AW190" s="125">
        <f t="shared" si="22"/>
        <v>96334.69700000003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3">
        <f aca="true" t="shared" si="27" ref="E191:E226">99*B191</f>
        <v>99</v>
      </c>
      <c r="F191" s="125">
        <f>ROUND(E191*Valores!$C$2,2)</f>
        <v>2120.46</v>
      </c>
      <c r="G191" s="193">
        <v>0</v>
      </c>
      <c r="H191" s="125">
        <f>ROUND(G191*Valores!$C$2,2)</f>
        <v>0</v>
      </c>
      <c r="I191" s="193">
        <v>0</v>
      </c>
      <c r="J191" s="125">
        <f>ROUND(I191*Valores!$C$2,2)</f>
        <v>0</v>
      </c>
      <c r="K191" s="193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375.28</v>
      </c>
      <c r="N191" s="125">
        <f t="shared" si="19"/>
        <v>0</v>
      </c>
      <c r="O191" s="125">
        <f>Valores!$C$7*B191</f>
        <v>726.37</v>
      </c>
      <c r="P191" s="125">
        <f>ROUND(IF(B191&lt;15,(Valores!$E$5*B191),Valores!$D$5),2)</f>
        <v>729.95</v>
      </c>
      <c r="Q191" s="125">
        <v>0</v>
      </c>
      <c r="R191" s="125">
        <f>IF($F$4="NO",IF(Valores!$C$45*B191&gt;Valores!$C$44,Valores!$C$44,Valores!$C$45*B191),IF(Valores!$C$45*B191&gt;Valores!$C$44,Valores!$C$44,Valores!$C$45*B191)/2)</f>
        <v>152.92</v>
      </c>
      <c r="S191" s="125">
        <f>Valores!$C$18*B191</f>
        <v>228.46</v>
      </c>
      <c r="T191" s="125">
        <f t="shared" si="25"/>
        <v>228.46</v>
      </c>
      <c r="U191" s="125">
        <v>0</v>
      </c>
      <c r="V191" s="125">
        <v>0</v>
      </c>
      <c r="W191" s="193">
        <v>0</v>
      </c>
      <c r="X191" s="125">
        <f>ROUND(W191*Valores!$C$2,2)</f>
        <v>0</v>
      </c>
      <c r="Y191" s="125">
        <v>0</v>
      </c>
      <c r="Z191" s="125">
        <f>IF(Valores!$C$93*B191&gt;Valores!$C$92,Valores!$C$92,Valores!$C$93*B191)</f>
        <v>251.57</v>
      </c>
      <c r="AA191" s="125">
        <f>IF((Valores!$C$28)*B191&gt;Valores!$F$28,Valores!$F$28,(Valores!$C$28)*B191)</f>
        <v>17.94</v>
      </c>
      <c r="AB191" s="215">
        <v>0</v>
      </c>
      <c r="AC191" s="125">
        <f t="shared" si="20"/>
        <v>0</v>
      </c>
      <c r="AD191" s="125">
        <f>IF(Valores!$C$29*B191&gt;Valores!$F$29,Valores!$F$29,Valores!$C$29*B191)</f>
        <v>14.94</v>
      </c>
      <c r="AE191" s="193">
        <v>0</v>
      </c>
      <c r="AF191" s="125">
        <f>ROUND(AE191*Valores!$C$2,2)</f>
        <v>0</v>
      </c>
      <c r="AG191" s="125">
        <f>IF($F$4="NO",IF(Valores!$D$59*'Escala Docente'!B191&gt;Valores!$F$59,Valores!$F$59,Valores!$D$59*'Escala Docente'!B191),IF(Valores!$D$59*'Escala Docente'!B191&gt;Valores!$F$59,Valores!$F$59,Valores!$D$59*'Escala Docente'!B191)/2)</f>
        <v>211.41</v>
      </c>
      <c r="AH191" s="125">
        <f t="shared" si="23"/>
        <v>4829.299999999998</v>
      </c>
      <c r="AI191" s="125">
        <f>IF(Valores!$C$32*B191&gt;Valores!$F$32,Valores!$F$32,Valores!$C$32*B191)</f>
        <v>332.01</v>
      </c>
      <c r="AJ191" s="125">
        <f>IF(Valores!$C$86*B191&gt;Valores!$C$85,Valores!$C$85,Valores!$C$86*B191)</f>
        <v>113.74999999999999</v>
      </c>
      <c r="AK191" s="125">
        <f>Valores!C$39*B191</f>
        <v>0</v>
      </c>
      <c r="AL191" s="125">
        <f>IF($F$3="NO",0,IF(Valores!$C$57*B191&gt;Valores!$F$57,Valores!$F$57,Valores!$C$57*B191))</f>
        <v>0</v>
      </c>
      <c r="AM191" s="125">
        <f t="shared" si="21"/>
        <v>445.76</v>
      </c>
      <c r="AN191" s="125">
        <f>AH191*Valores!$C$67</f>
        <v>-531.2229999999998</v>
      </c>
      <c r="AO191" s="125">
        <f>AH191*-Valores!$C$68</f>
        <v>0</v>
      </c>
      <c r="AP191" s="125">
        <f>AH191*Valores!$C$69</f>
        <v>-217.31849999999991</v>
      </c>
      <c r="AQ191" s="125">
        <f>Valores!$C$96</f>
        <v>-280.91</v>
      </c>
      <c r="AR191" s="125">
        <f>IF($F$5=0,Valores!$C$97,(Valores!$C$97+$F$5*(Valores!$C$97)))</f>
        <v>-658</v>
      </c>
      <c r="AS191" s="125">
        <f t="shared" si="24"/>
        <v>3587.6084999999985</v>
      </c>
      <c r="AT191" s="125">
        <f t="shared" si="18"/>
        <v>-531.2229999999998</v>
      </c>
      <c r="AU191" s="125">
        <f>AH191*Valores!$C$70</f>
        <v>-130.39109999999997</v>
      </c>
      <c r="AV191" s="125">
        <f>AH191*Valores!$C$71</f>
        <v>-14.487899999999996</v>
      </c>
      <c r="AW191" s="125">
        <f t="shared" si="22"/>
        <v>4598.957999999999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3">
        <f t="shared" si="27"/>
        <v>198</v>
      </c>
      <c r="F192" s="125">
        <f>ROUND(E192*Valores!$C$2,2)</f>
        <v>4240.92</v>
      </c>
      <c r="G192" s="193">
        <v>0</v>
      </c>
      <c r="H192" s="125">
        <f>ROUND(G192*Valores!$C$2,2)</f>
        <v>0</v>
      </c>
      <c r="I192" s="193">
        <v>0</v>
      </c>
      <c r="J192" s="125">
        <f>ROUND(I192*Valores!$C$2,2)</f>
        <v>0</v>
      </c>
      <c r="K192" s="193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750.55</v>
      </c>
      <c r="N192" s="125">
        <f t="shared" si="19"/>
        <v>0</v>
      </c>
      <c r="O192" s="125">
        <f>Valores!$C$7*B192</f>
        <v>1452.74</v>
      </c>
      <c r="P192" s="125">
        <f>ROUND(IF(B192&lt;15,(Valores!$E$5*B192),Valores!$D$5),2)</f>
        <v>1459.9</v>
      </c>
      <c r="Q192" s="125">
        <v>0</v>
      </c>
      <c r="R192" s="125">
        <f>IF($F$4="NO",IF(Valores!$C$45*B192&gt;Valores!$C$44,Valores!$C$44,Valores!$C$45*B192),IF(Valores!$C$45*B192&gt;Valores!$C$44,Valores!$C$44,Valores!$C$45*B192)/2)</f>
        <v>305.84</v>
      </c>
      <c r="S192" s="125">
        <f>Valores!$C$18*B192</f>
        <v>456.92</v>
      </c>
      <c r="T192" s="125">
        <f t="shared" si="25"/>
        <v>456.92</v>
      </c>
      <c r="U192" s="125">
        <v>0</v>
      </c>
      <c r="V192" s="125">
        <v>0</v>
      </c>
      <c r="W192" s="193">
        <v>0</v>
      </c>
      <c r="X192" s="125">
        <f>ROUND(W192*Valores!$C$2,2)</f>
        <v>0</v>
      </c>
      <c r="Y192" s="125">
        <v>0</v>
      </c>
      <c r="Z192" s="125">
        <f>IF(Valores!$C$93*B192&gt;Valores!$C$92,Valores!$C$92,Valores!$C$93*B192)</f>
        <v>503.14</v>
      </c>
      <c r="AA192" s="125">
        <f>IF((Valores!$C$28)*B192&gt;Valores!$F$28,Valores!$F$28,(Valores!$C$28)*B192)</f>
        <v>35.88</v>
      </c>
      <c r="AB192" s="215">
        <v>0</v>
      </c>
      <c r="AC192" s="125">
        <f t="shared" si="20"/>
        <v>0</v>
      </c>
      <c r="AD192" s="125">
        <f>IF(Valores!$C$29*B192&gt;Valores!$F$29,Valores!$F$29,Valores!$C$29*B192)</f>
        <v>29.88</v>
      </c>
      <c r="AE192" s="193">
        <v>0</v>
      </c>
      <c r="AF192" s="125">
        <f>ROUND(AE192*Valores!$C$2,2)</f>
        <v>0</v>
      </c>
      <c r="AG192" s="125">
        <f>IF($F$4="NO",IF(Valores!$D$59*'Escala Docente'!B192&gt;Valores!$F$59,Valores!$F$59,Valores!$D$59*'Escala Docente'!B192),IF(Valores!$D$59*'Escala Docente'!B192&gt;Valores!$F$59,Valores!$F$59,Valores!$D$59*'Escala Docente'!B192)/2)</f>
        <v>422.82</v>
      </c>
      <c r="AH192" s="125">
        <f t="shared" si="23"/>
        <v>9658.589999999998</v>
      </c>
      <c r="AI192" s="125">
        <f>IF(Valores!$C$32*B192&gt;Valores!$F$32,Valores!$F$32,Valores!$C$32*B192)</f>
        <v>664.02</v>
      </c>
      <c r="AJ192" s="125">
        <f>IF(Valores!$C$86*B192&gt;Valores!$C$85,Valores!$C$85,Valores!$C$86*B192)</f>
        <v>227.49999999999997</v>
      </c>
      <c r="AK192" s="125">
        <f>Valores!C$39*B192</f>
        <v>0</v>
      </c>
      <c r="AL192" s="125">
        <f>IF($F$3="NO",0,IF(Valores!$C$57*B192&gt;Valores!$F$57,Valores!$F$57,Valores!$C$57*B192))</f>
        <v>0</v>
      </c>
      <c r="AM192" s="125">
        <f t="shared" si="21"/>
        <v>891.52</v>
      </c>
      <c r="AN192" s="125">
        <f>AH192*Valores!$C$67</f>
        <v>-1062.4448999999997</v>
      </c>
      <c r="AO192" s="125">
        <f>AH192*-Valores!$C$68</f>
        <v>0</v>
      </c>
      <c r="AP192" s="125">
        <f>AH192*Valores!$C$69</f>
        <v>-434.6365499999999</v>
      </c>
      <c r="AQ192" s="125">
        <f>Valores!$C$96</f>
        <v>-280.91</v>
      </c>
      <c r="AR192" s="125">
        <f>IF($F$5=0,Valores!$C$97,(Valores!$C$97+$F$5*(Valores!$C$97)))</f>
        <v>-658</v>
      </c>
      <c r="AS192" s="125">
        <f t="shared" si="24"/>
        <v>8114.118549999998</v>
      </c>
      <c r="AT192" s="125">
        <f t="shared" si="18"/>
        <v>-1062.4448999999997</v>
      </c>
      <c r="AU192" s="125">
        <f>AH192*Valores!$C$70</f>
        <v>-260.78192999999993</v>
      </c>
      <c r="AV192" s="125">
        <f>AH192*Valores!$C$71</f>
        <v>-28.975769999999997</v>
      </c>
      <c r="AW192" s="125">
        <f t="shared" si="22"/>
        <v>9197.9074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3">
        <f t="shared" si="27"/>
        <v>297</v>
      </c>
      <c r="F193" s="125">
        <f>ROUND(E193*Valores!$C$2,2)</f>
        <v>6361.38</v>
      </c>
      <c r="G193" s="193">
        <v>0</v>
      </c>
      <c r="H193" s="125">
        <f>ROUND(G193*Valores!$C$2,2)</f>
        <v>0</v>
      </c>
      <c r="I193" s="193">
        <v>0</v>
      </c>
      <c r="J193" s="125">
        <f>ROUND(I193*Valores!$C$2,2)</f>
        <v>0</v>
      </c>
      <c r="K193" s="193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1125.83</v>
      </c>
      <c r="N193" s="125">
        <f t="shared" si="19"/>
        <v>0</v>
      </c>
      <c r="O193" s="125">
        <f>Valores!$C$7*B193</f>
        <v>2179.11</v>
      </c>
      <c r="P193" s="125">
        <f>ROUND(IF(B193&lt;15,(Valores!$E$5*B193),Valores!$D$5),2)</f>
        <v>2189.85</v>
      </c>
      <c r="Q193" s="125">
        <v>0</v>
      </c>
      <c r="R193" s="125">
        <f>IF($F$4="NO",IF(Valores!$C$45*B193&gt;Valores!$C$44,Valores!$C$44,Valores!$C$45*B193),IF(Valores!$C$45*B193&gt;Valores!$C$44,Valores!$C$44,Valores!$C$45*B193)/2)</f>
        <v>458.76</v>
      </c>
      <c r="S193" s="125">
        <f>Valores!$C$18*B193</f>
        <v>685.38</v>
      </c>
      <c r="T193" s="125">
        <f t="shared" si="25"/>
        <v>685.38</v>
      </c>
      <c r="U193" s="125">
        <v>0</v>
      </c>
      <c r="V193" s="125">
        <v>0</v>
      </c>
      <c r="W193" s="193">
        <v>0</v>
      </c>
      <c r="X193" s="125">
        <f>ROUND(W193*Valores!$C$2,2)</f>
        <v>0</v>
      </c>
      <c r="Y193" s="125">
        <v>0</v>
      </c>
      <c r="Z193" s="125">
        <f>IF(Valores!$C$93*B193&gt;Valores!$C$92,Valores!$C$92,Valores!$C$93*B193)</f>
        <v>754.71</v>
      </c>
      <c r="AA193" s="125">
        <f>IF((Valores!$C$28)*B193&gt;Valores!$F$28,Valores!$F$28,(Valores!$C$28)*B193)</f>
        <v>53.82000000000001</v>
      </c>
      <c r="AB193" s="215">
        <v>0</v>
      </c>
      <c r="AC193" s="125">
        <f t="shared" si="20"/>
        <v>0</v>
      </c>
      <c r="AD193" s="125">
        <f>IF(Valores!$C$29*B193&gt;Valores!$F$29,Valores!$F$29,Valores!$C$29*B193)</f>
        <v>44.82</v>
      </c>
      <c r="AE193" s="193">
        <v>0</v>
      </c>
      <c r="AF193" s="125">
        <f>ROUND(AE193*Valores!$C$2,2)</f>
        <v>0</v>
      </c>
      <c r="AG193" s="125">
        <f>IF($F$4="NO",IF(Valores!$D$59*'Escala Docente'!B193&gt;Valores!$F$59,Valores!$F$59,Valores!$D$59*'Escala Docente'!B193),IF(Valores!$D$59*'Escala Docente'!B193&gt;Valores!$F$59,Valores!$F$59,Valores!$D$59*'Escala Docente'!B193)/2)</f>
        <v>634.23</v>
      </c>
      <c r="AH193" s="125">
        <f t="shared" si="23"/>
        <v>14487.89</v>
      </c>
      <c r="AI193" s="125">
        <f>IF(Valores!$C$32*B193&gt;Valores!$F$32,Valores!$F$32,Valores!$C$32*B193)</f>
        <v>996.03</v>
      </c>
      <c r="AJ193" s="125">
        <f>IF(Valores!$C$86*B193&gt;Valores!$C$85,Valores!$C$85,Valores!$C$86*B193)</f>
        <v>341.24999999999994</v>
      </c>
      <c r="AK193" s="125">
        <f>Valores!C$39*B193</f>
        <v>0</v>
      </c>
      <c r="AL193" s="125">
        <f>IF($F$3="NO",0,IF(Valores!$C$57*B193&gt;Valores!$F$57,Valores!$F$57,Valores!$C$57*B193))</f>
        <v>0</v>
      </c>
      <c r="AM193" s="125">
        <f t="shared" si="21"/>
        <v>1337.28</v>
      </c>
      <c r="AN193" s="125">
        <f>AH193*Valores!$C$67</f>
        <v>-1593.6679</v>
      </c>
      <c r="AO193" s="125">
        <f>AH193*-Valores!$C$68</f>
        <v>0</v>
      </c>
      <c r="AP193" s="125">
        <f>AH193*Valores!$C$69</f>
        <v>-651.9550499999999</v>
      </c>
      <c r="AQ193" s="125">
        <f>Valores!$C$96</f>
        <v>-280.91</v>
      </c>
      <c r="AR193" s="125">
        <f>IF($F$5=0,Valores!$C$97,(Valores!$C$97+$F$5*(Valores!$C$97)))</f>
        <v>-658</v>
      </c>
      <c r="AS193" s="125">
        <f t="shared" si="24"/>
        <v>12640.63705</v>
      </c>
      <c r="AT193" s="125">
        <f t="shared" si="18"/>
        <v>-1593.6679</v>
      </c>
      <c r="AU193" s="125">
        <f>AH193*Valores!$C$70</f>
        <v>-391.17303</v>
      </c>
      <c r="AV193" s="125">
        <f>AH193*Valores!$C$71</f>
        <v>-43.46367</v>
      </c>
      <c r="AW193" s="125">
        <f t="shared" si="22"/>
        <v>13796.8654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3">
        <f t="shared" si="27"/>
        <v>396</v>
      </c>
      <c r="F194" s="125">
        <f>ROUND(E194*Valores!$C$2,2)</f>
        <v>8481.84</v>
      </c>
      <c r="G194" s="193">
        <v>0</v>
      </c>
      <c r="H194" s="125">
        <f>ROUND(G194*Valores!$C$2,2)</f>
        <v>0</v>
      </c>
      <c r="I194" s="193">
        <v>0</v>
      </c>
      <c r="J194" s="125">
        <f>ROUND(I194*Valores!$C$2,2)</f>
        <v>0</v>
      </c>
      <c r="K194" s="193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1501.1</v>
      </c>
      <c r="N194" s="125">
        <f t="shared" si="19"/>
        <v>0</v>
      </c>
      <c r="O194" s="125">
        <f>Valores!$C$7*B194</f>
        <v>2905.48</v>
      </c>
      <c r="P194" s="125">
        <f>ROUND(IF(B194&lt;15,(Valores!$E$5*B194),Valores!$D$5),2)</f>
        <v>2919.8</v>
      </c>
      <c r="Q194" s="125">
        <v>0</v>
      </c>
      <c r="R194" s="125">
        <f>IF($F$4="NO",IF(Valores!$C$45*B194&gt;Valores!$C$44,Valores!$C$44,Valores!$C$45*B194),IF(Valores!$C$45*B194&gt;Valores!$C$44,Valores!$C$44,Valores!$C$45*B194)/2)</f>
        <v>611.68</v>
      </c>
      <c r="S194" s="125">
        <f>Valores!$C$18*B194</f>
        <v>913.84</v>
      </c>
      <c r="T194" s="125">
        <f t="shared" si="25"/>
        <v>913.84</v>
      </c>
      <c r="U194" s="125">
        <v>0</v>
      </c>
      <c r="V194" s="125">
        <v>0</v>
      </c>
      <c r="W194" s="193">
        <v>0</v>
      </c>
      <c r="X194" s="125">
        <f>ROUND(W194*Valores!$C$2,2)</f>
        <v>0</v>
      </c>
      <c r="Y194" s="125">
        <v>0</v>
      </c>
      <c r="Z194" s="125">
        <f>IF(Valores!$C$93*B194&gt;Valores!$C$92,Valores!$C$92,Valores!$C$93*B194)</f>
        <v>1006.28</v>
      </c>
      <c r="AA194" s="125">
        <f>IF((Valores!$C$28)*B194&gt;Valores!$F$28,Valores!$F$28,(Valores!$C$28)*B194)</f>
        <v>71.76</v>
      </c>
      <c r="AB194" s="215">
        <v>0</v>
      </c>
      <c r="AC194" s="125">
        <f t="shared" si="20"/>
        <v>0</v>
      </c>
      <c r="AD194" s="125">
        <f>IF(Valores!$C$29*B194&gt;Valores!$F$29,Valores!$F$29,Valores!$C$29*B194)</f>
        <v>59.76</v>
      </c>
      <c r="AE194" s="193">
        <v>0</v>
      </c>
      <c r="AF194" s="125">
        <f>ROUND(AE194*Valores!$C$2,2)</f>
        <v>0</v>
      </c>
      <c r="AG194" s="125">
        <f>IF($F$4="NO",IF(Valores!$D$59*'Escala Docente'!B194&gt;Valores!$F$59,Valores!$F$59,Valores!$D$59*'Escala Docente'!B194),IF(Valores!$D$59*'Escala Docente'!B194&gt;Valores!$F$59,Valores!$F$59,Valores!$D$59*'Escala Docente'!B194)/2)</f>
        <v>845.64</v>
      </c>
      <c r="AH194" s="125">
        <f t="shared" si="23"/>
        <v>19317.179999999997</v>
      </c>
      <c r="AI194" s="125">
        <f>IF(Valores!$C$32*B194&gt;Valores!$F$32,Valores!$F$32,Valores!$C$32*B194)</f>
        <v>1328.04</v>
      </c>
      <c r="AJ194" s="125">
        <f>IF(Valores!$C$86*B194&gt;Valores!$C$85,Valores!$C$85,Valores!$C$86*B194)</f>
        <v>454.99999999999994</v>
      </c>
      <c r="AK194" s="125">
        <f>Valores!C$39*B194</f>
        <v>0</v>
      </c>
      <c r="AL194" s="125">
        <f>IF($F$3="NO",0,IF(Valores!$C$57*B194&gt;Valores!$F$57,Valores!$F$57,Valores!$C$57*B194))</f>
        <v>0</v>
      </c>
      <c r="AM194" s="125">
        <f t="shared" si="21"/>
        <v>1783.04</v>
      </c>
      <c r="AN194" s="125">
        <f>AH194*Valores!$C$67</f>
        <v>-2124.8897999999995</v>
      </c>
      <c r="AO194" s="125">
        <f>AH194*-Valores!$C$68</f>
        <v>0</v>
      </c>
      <c r="AP194" s="125">
        <f>AH194*Valores!$C$69</f>
        <v>-869.2730999999998</v>
      </c>
      <c r="AQ194" s="125">
        <f>Valores!$C$96</f>
        <v>-280.91</v>
      </c>
      <c r="AR194" s="125">
        <f>IF($F$5=0,Valores!$C$97,(Valores!$C$97+$F$5*(Valores!$C$97)))</f>
        <v>-658</v>
      </c>
      <c r="AS194" s="125">
        <f t="shared" si="24"/>
        <v>17167.1471</v>
      </c>
      <c r="AT194" s="125">
        <f t="shared" si="18"/>
        <v>-2124.8897999999995</v>
      </c>
      <c r="AU194" s="125">
        <f>AH194*Valores!$C$70</f>
        <v>-521.5638599999999</v>
      </c>
      <c r="AV194" s="125">
        <f>AH194*Valores!$C$71</f>
        <v>-57.951539999999994</v>
      </c>
      <c r="AW194" s="125">
        <f t="shared" si="22"/>
        <v>18395.8148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3">
        <f t="shared" si="27"/>
        <v>495</v>
      </c>
      <c r="F195" s="125">
        <f>ROUND(E195*Valores!$C$2,2)</f>
        <v>10602.31</v>
      </c>
      <c r="G195" s="193">
        <v>0</v>
      </c>
      <c r="H195" s="125">
        <f>ROUND(G195*Valores!$C$2,2)</f>
        <v>0</v>
      </c>
      <c r="I195" s="193">
        <v>0</v>
      </c>
      <c r="J195" s="125">
        <f>ROUND(I195*Valores!$C$2,2)</f>
        <v>0</v>
      </c>
      <c r="K195" s="193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1876.38</v>
      </c>
      <c r="N195" s="125">
        <f t="shared" si="19"/>
        <v>0</v>
      </c>
      <c r="O195" s="125">
        <f>Valores!$C$7*B195</f>
        <v>3631.85</v>
      </c>
      <c r="P195" s="125">
        <f>ROUND(IF(B195&lt;15,(Valores!$E$5*B195),Valores!$D$5),2)</f>
        <v>3649.75</v>
      </c>
      <c r="Q195" s="125">
        <v>0</v>
      </c>
      <c r="R195" s="125">
        <f>IF($F$4="NO",IF(Valores!$C$45*B195&gt;Valores!$C$44,Valores!$C$44,Valores!$C$45*B195),IF(Valores!$C$45*B195&gt;Valores!$C$44,Valores!$C$44,Valores!$C$45*B195)/2)</f>
        <v>764.5999999999999</v>
      </c>
      <c r="S195" s="125">
        <f>Valores!$C$18*B195</f>
        <v>1142.3</v>
      </c>
      <c r="T195" s="125">
        <f t="shared" si="25"/>
        <v>1142.3</v>
      </c>
      <c r="U195" s="125">
        <v>0</v>
      </c>
      <c r="V195" s="125">
        <v>0</v>
      </c>
      <c r="W195" s="193">
        <v>0</v>
      </c>
      <c r="X195" s="125">
        <f>ROUND(W195*Valores!$C$2,2)</f>
        <v>0</v>
      </c>
      <c r="Y195" s="125">
        <v>0</v>
      </c>
      <c r="Z195" s="125">
        <f>IF(Valores!$C$93*B195&gt;Valores!$C$92,Valores!$C$92,Valores!$C$93*B195)</f>
        <v>1257.85</v>
      </c>
      <c r="AA195" s="125">
        <f>IF((Valores!$C$28)*B195&gt;Valores!$F$28,Valores!$F$28,(Valores!$C$28)*B195)</f>
        <v>89.7</v>
      </c>
      <c r="AB195" s="215">
        <v>0</v>
      </c>
      <c r="AC195" s="125">
        <f t="shared" si="20"/>
        <v>0</v>
      </c>
      <c r="AD195" s="125">
        <f>IF(Valores!$C$29*B195&gt;Valores!$F$29,Valores!$F$29,Valores!$C$29*B195)</f>
        <v>74.7</v>
      </c>
      <c r="AE195" s="193">
        <v>0</v>
      </c>
      <c r="AF195" s="125">
        <f>ROUND(AE195*Valores!$C$2,2)</f>
        <v>0</v>
      </c>
      <c r="AG195" s="125">
        <f>IF($F$4="NO",IF(Valores!$D$59*'Escala Docente'!B195&gt;Valores!$F$59,Valores!$F$59,Valores!$D$59*'Escala Docente'!B195),IF(Valores!$D$59*'Escala Docente'!B195&gt;Valores!$F$59,Valores!$F$59,Valores!$D$59*'Escala Docente'!B195)/2)</f>
        <v>1057.05</v>
      </c>
      <c r="AH195" s="125">
        <f t="shared" si="23"/>
        <v>24146.489999999998</v>
      </c>
      <c r="AI195" s="125">
        <f>IF(Valores!$C$32*B195&gt;Valores!$F$32,Valores!$F$32,Valores!$C$32*B195)</f>
        <v>1660.05</v>
      </c>
      <c r="AJ195" s="125">
        <f>IF(Valores!$C$86*B195&gt;Valores!$C$85,Valores!$C$85,Valores!$C$86*B195)</f>
        <v>568.7499999999999</v>
      </c>
      <c r="AK195" s="125">
        <f>Valores!C$39*B195</f>
        <v>0</v>
      </c>
      <c r="AL195" s="125">
        <f>IF($F$3="NO",0,IF(Valores!$C$57*B195&gt;Valores!$F$57,Valores!$F$57,Valores!$C$57*B195))</f>
        <v>0</v>
      </c>
      <c r="AM195" s="125">
        <f t="shared" si="21"/>
        <v>2228.7999999999997</v>
      </c>
      <c r="AN195" s="125">
        <f>AH195*Valores!$C$67</f>
        <v>-2656.1139</v>
      </c>
      <c r="AO195" s="125">
        <f>AH195*-Valores!$C$68</f>
        <v>0</v>
      </c>
      <c r="AP195" s="125">
        <f>AH195*Valores!$C$69</f>
        <v>-1086.59205</v>
      </c>
      <c r="AQ195" s="125">
        <f>Valores!$C$96</f>
        <v>-280.91</v>
      </c>
      <c r="AR195" s="125">
        <f>IF($F$5=0,Valores!$C$97,(Valores!$C$97+$F$5*(Valores!$C$97)))</f>
        <v>-658</v>
      </c>
      <c r="AS195" s="125">
        <f t="shared" si="24"/>
        <v>21693.674049999998</v>
      </c>
      <c r="AT195" s="125">
        <f t="shared" si="18"/>
        <v>-2656.1139</v>
      </c>
      <c r="AU195" s="125">
        <f>AH195*Valores!$C$70</f>
        <v>-651.9552299999999</v>
      </c>
      <c r="AV195" s="125">
        <f>AH195*Valores!$C$71</f>
        <v>-72.43947</v>
      </c>
      <c r="AW195" s="125">
        <f t="shared" si="22"/>
        <v>22994.781399999996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3">
        <f t="shared" si="27"/>
        <v>594</v>
      </c>
      <c r="F196" s="125">
        <f>ROUND(E196*Valores!$C$2,2)</f>
        <v>12722.77</v>
      </c>
      <c r="G196" s="193">
        <v>0</v>
      </c>
      <c r="H196" s="125">
        <f>ROUND(G196*Valores!$C$2,2)</f>
        <v>0</v>
      </c>
      <c r="I196" s="193">
        <v>0</v>
      </c>
      <c r="J196" s="125">
        <f>ROUND(I196*Valores!$C$2,2)</f>
        <v>0</v>
      </c>
      <c r="K196" s="193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2251.66</v>
      </c>
      <c r="N196" s="125">
        <f t="shared" si="19"/>
        <v>0</v>
      </c>
      <c r="O196" s="125">
        <f>Valores!$C$7*B196</f>
        <v>4358.22</v>
      </c>
      <c r="P196" s="125">
        <f>ROUND(IF(B196&lt;15,(Valores!$E$5*B196),Valores!$D$5),2)</f>
        <v>4379.7</v>
      </c>
      <c r="Q196" s="125">
        <v>0</v>
      </c>
      <c r="R196" s="125">
        <f>IF($F$4="NO",IF(Valores!$C$45*B196&gt;Valores!$C$44,Valores!$C$44,Valores!$C$45*B196),IF(Valores!$C$45*B196&gt;Valores!$C$44,Valores!$C$44,Valores!$C$45*B196)/2)</f>
        <v>917.52</v>
      </c>
      <c r="S196" s="125">
        <f>Valores!$C$18*B196</f>
        <v>1370.76</v>
      </c>
      <c r="T196" s="125">
        <f t="shared" si="25"/>
        <v>1370.76</v>
      </c>
      <c r="U196" s="125">
        <v>0</v>
      </c>
      <c r="V196" s="125">
        <v>0</v>
      </c>
      <c r="W196" s="193">
        <v>0</v>
      </c>
      <c r="X196" s="125">
        <f>ROUND(W196*Valores!$C$2,2)</f>
        <v>0</v>
      </c>
      <c r="Y196" s="125">
        <v>0</v>
      </c>
      <c r="Z196" s="125">
        <f>IF(Valores!$C$93*B196&gt;Valores!$C$92,Valores!$C$92,Valores!$C$93*B196)</f>
        <v>1509.42</v>
      </c>
      <c r="AA196" s="125">
        <f>IF((Valores!$C$28)*B196&gt;Valores!$F$28,Valores!$F$28,(Valores!$C$28)*B196)</f>
        <v>107.64000000000001</v>
      </c>
      <c r="AB196" s="215">
        <v>0</v>
      </c>
      <c r="AC196" s="125">
        <f t="shared" si="20"/>
        <v>0</v>
      </c>
      <c r="AD196" s="125">
        <f>IF(Valores!$C$29*B196&gt;Valores!$F$29,Valores!$F$29,Valores!$C$29*B196)</f>
        <v>89.64</v>
      </c>
      <c r="AE196" s="193">
        <v>0</v>
      </c>
      <c r="AF196" s="125">
        <f>ROUND(AE196*Valores!$C$2,2)</f>
        <v>0</v>
      </c>
      <c r="AG196" s="125">
        <f>IF($F$4="NO",IF(Valores!$D$59*'Escala Docente'!B196&gt;Valores!$F$59,Valores!$F$59,Valores!$D$59*'Escala Docente'!B196),IF(Valores!$D$59*'Escala Docente'!B196&gt;Valores!$F$59,Valores!$F$59,Valores!$D$59*'Escala Docente'!B196)/2)</f>
        <v>1268.46</v>
      </c>
      <c r="AH196" s="125">
        <f t="shared" si="23"/>
        <v>28975.79</v>
      </c>
      <c r="AI196" s="125">
        <f>IF(Valores!$C$32*B196&gt;Valores!$F$32,Valores!$F$32,Valores!$C$32*B196)</f>
        <v>1992.06</v>
      </c>
      <c r="AJ196" s="125">
        <f>IF(Valores!$C$86*B196&gt;Valores!$C$85,Valores!$C$85,Valores!$C$86*B196)</f>
        <v>682.4999999999999</v>
      </c>
      <c r="AK196" s="125">
        <f>Valores!C$39*B196</f>
        <v>0</v>
      </c>
      <c r="AL196" s="125">
        <f>IF($F$3="NO",0,IF(Valores!$C$57*B196&gt;Valores!$F$57,Valores!$F$57,Valores!$C$57*B196))</f>
        <v>0</v>
      </c>
      <c r="AM196" s="125">
        <f t="shared" si="21"/>
        <v>2674.56</v>
      </c>
      <c r="AN196" s="125">
        <f>AH196*Valores!$C$67</f>
        <v>-3187.3369000000002</v>
      </c>
      <c r="AO196" s="125">
        <f>AH196*-Valores!$C$68</f>
        <v>0</v>
      </c>
      <c r="AP196" s="125">
        <f>AH196*Valores!$C$69</f>
        <v>-1303.91055</v>
      </c>
      <c r="AQ196" s="125">
        <f>Valores!$C$96</f>
        <v>-280.91</v>
      </c>
      <c r="AR196" s="125">
        <f>IF($F$5=0,Valores!$C$97,(Valores!$C$97+$F$5*(Valores!$C$97)))</f>
        <v>-658</v>
      </c>
      <c r="AS196" s="125">
        <f t="shared" si="24"/>
        <v>26220.19255</v>
      </c>
      <c r="AT196" s="125">
        <f t="shared" si="18"/>
        <v>-3187.3369000000002</v>
      </c>
      <c r="AU196" s="125">
        <f>AH196*Valores!$C$70</f>
        <v>-782.34633</v>
      </c>
      <c r="AV196" s="125">
        <f>AH196*Valores!$C$71</f>
        <v>-86.92737000000001</v>
      </c>
      <c r="AW196" s="125">
        <f t="shared" si="22"/>
        <v>27593.739400000002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3">
        <f t="shared" si="27"/>
        <v>693</v>
      </c>
      <c r="F197" s="125">
        <f>ROUND(E197*Valores!$C$2,2)</f>
        <v>14843.23</v>
      </c>
      <c r="G197" s="193">
        <v>0</v>
      </c>
      <c r="H197" s="125">
        <f>ROUND(G197*Valores!$C$2,2)</f>
        <v>0</v>
      </c>
      <c r="I197" s="193">
        <v>0</v>
      </c>
      <c r="J197" s="125">
        <f>ROUND(I197*Valores!$C$2,2)</f>
        <v>0</v>
      </c>
      <c r="K197" s="193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2626.93</v>
      </c>
      <c r="N197" s="125">
        <f t="shared" si="19"/>
        <v>0</v>
      </c>
      <c r="O197" s="125">
        <f>Valores!$C$7*B197</f>
        <v>5084.59</v>
      </c>
      <c r="P197" s="125">
        <f>ROUND(IF(B197&lt;15,(Valores!$E$5*B197),Valores!$D$5),2)</f>
        <v>5109.65</v>
      </c>
      <c r="Q197" s="125">
        <v>0</v>
      </c>
      <c r="R197" s="125">
        <f>IF($F$4="NO",IF(Valores!$C$45*B197&gt;Valores!$C$44,Valores!$C$44,Valores!$C$45*B197),IF(Valores!$C$45*B197&gt;Valores!$C$44,Valores!$C$44,Valores!$C$45*B197)/2)</f>
        <v>1070.4399999999998</v>
      </c>
      <c r="S197" s="125">
        <f>Valores!$C$18*B197</f>
        <v>1599.22</v>
      </c>
      <c r="T197" s="125">
        <f t="shared" si="25"/>
        <v>1599.22</v>
      </c>
      <c r="U197" s="125">
        <v>0</v>
      </c>
      <c r="V197" s="125">
        <v>0</v>
      </c>
      <c r="W197" s="193">
        <v>0</v>
      </c>
      <c r="X197" s="125">
        <f>ROUND(W197*Valores!$C$2,2)</f>
        <v>0</v>
      </c>
      <c r="Y197" s="125">
        <v>0</v>
      </c>
      <c r="Z197" s="125">
        <f>IF(Valores!$C$93*B197&gt;Valores!$C$92,Valores!$C$92,Valores!$C$93*B197)</f>
        <v>1760.99</v>
      </c>
      <c r="AA197" s="125">
        <f>IF((Valores!$C$28)*B197&gt;Valores!$F$28,Valores!$F$28,(Valores!$C$28)*B197)</f>
        <v>125.58000000000001</v>
      </c>
      <c r="AB197" s="215">
        <v>0</v>
      </c>
      <c r="AC197" s="125">
        <f t="shared" si="20"/>
        <v>0</v>
      </c>
      <c r="AD197" s="125">
        <f>IF(Valores!$C$29*B197&gt;Valores!$F$29,Valores!$F$29,Valores!$C$29*B197)</f>
        <v>104.58</v>
      </c>
      <c r="AE197" s="193">
        <v>0</v>
      </c>
      <c r="AF197" s="125">
        <f>ROUND(AE197*Valores!$C$2,2)</f>
        <v>0</v>
      </c>
      <c r="AG197" s="125">
        <f>IF($F$4="NO",IF(Valores!$D$59*'Escala Docente'!B197&gt;Valores!$F$59,Valores!$F$59,Valores!$D$59*'Escala Docente'!B197),IF(Valores!$D$59*'Escala Docente'!B197&gt;Valores!$F$59,Valores!$F$59,Valores!$D$59*'Escala Docente'!B197)/2)</f>
        <v>1479.87</v>
      </c>
      <c r="AH197" s="125">
        <f t="shared" si="23"/>
        <v>33805.08000000001</v>
      </c>
      <c r="AI197" s="125">
        <f>IF(Valores!$C$32*B197&gt;Valores!$F$32,Valores!$F$32,Valores!$C$32*B197)</f>
        <v>2324.0699999999997</v>
      </c>
      <c r="AJ197" s="125">
        <f>IF(Valores!$C$86*B197&gt;Valores!$C$85,Valores!$C$85,Valores!$C$86*B197)</f>
        <v>796.2499999999999</v>
      </c>
      <c r="AK197" s="125">
        <f>Valores!C$39*B197</f>
        <v>0</v>
      </c>
      <c r="AL197" s="125">
        <f>IF($F$3="NO",0,IF(Valores!$C$57*B197&gt;Valores!$F$57,Valores!$F$57,Valores!$C$57*B197))</f>
        <v>0</v>
      </c>
      <c r="AM197" s="125">
        <f t="shared" si="21"/>
        <v>3120.3199999999997</v>
      </c>
      <c r="AN197" s="125">
        <f>AH197*Valores!$C$67</f>
        <v>-3718.558800000001</v>
      </c>
      <c r="AO197" s="125">
        <f>AH197*-Valores!$C$68</f>
        <v>0</v>
      </c>
      <c r="AP197" s="125">
        <f>AH197*Valores!$C$69</f>
        <v>-1521.2286000000004</v>
      </c>
      <c r="AQ197" s="125">
        <f>Valores!$C$96</f>
        <v>-280.91</v>
      </c>
      <c r="AR197" s="125">
        <f>IF($F$5=0,Valores!$C$97,(Valores!$C$97+$F$5*(Valores!$C$97)))</f>
        <v>-658</v>
      </c>
      <c r="AS197" s="125">
        <f t="shared" si="24"/>
        <v>30746.702600000008</v>
      </c>
      <c r="AT197" s="125">
        <f aca="true" t="shared" si="29" ref="AT197:AT260">AN197</f>
        <v>-3718.558800000001</v>
      </c>
      <c r="AU197" s="125">
        <f>AH197*Valores!$C$70</f>
        <v>-912.7371600000002</v>
      </c>
      <c r="AV197" s="125">
        <f>AH197*Valores!$C$71</f>
        <v>-101.41524000000003</v>
      </c>
      <c r="AW197" s="125">
        <f t="shared" si="22"/>
        <v>32192.688800000007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3">
        <f t="shared" si="27"/>
        <v>792</v>
      </c>
      <c r="F198" s="125">
        <f>ROUND(E198*Valores!$C$2,2)</f>
        <v>16963.69</v>
      </c>
      <c r="G198" s="193">
        <v>0</v>
      </c>
      <c r="H198" s="125">
        <f>ROUND(G198*Valores!$C$2,2)</f>
        <v>0</v>
      </c>
      <c r="I198" s="193">
        <v>0</v>
      </c>
      <c r="J198" s="125">
        <f>ROUND(I198*Valores!$C$2,2)</f>
        <v>0</v>
      </c>
      <c r="K198" s="193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3002.21</v>
      </c>
      <c r="N198" s="125">
        <f t="shared" si="19"/>
        <v>0</v>
      </c>
      <c r="O198" s="125">
        <f>Valores!$C$7*B198</f>
        <v>5810.96</v>
      </c>
      <c r="P198" s="125">
        <f>ROUND(IF(B198&lt;15,(Valores!$E$5*B198),Valores!$D$5),2)</f>
        <v>5839.6</v>
      </c>
      <c r="Q198" s="125">
        <v>0</v>
      </c>
      <c r="R198" s="125">
        <f>IF($F$4="NO",IF(Valores!$C$45*B198&gt;Valores!$C$44,Valores!$C$44,Valores!$C$45*B198),IF(Valores!$C$45*B198&gt;Valores!$C$44,Valores!$C$44,Valores!$C$45*B198)/2)</f>
        <v>1223.36</v>
      </c>
      <c r="S198" s="125">
        <f>Valores!$C$18*B198</f>
        <v>1827.68</v>
      </c>
      <c r="T198" s="125">
        <f t="shared" si="25"/>
        <v>1827.68</v>
      </c>
      <c r="U198" s="125">
        <v>0</v>
      </c>
      <c r="V198" s="125">
        <v>0</v>
      </c>
      <c r="W198" s="193">
        <v>0</v>
      </c>
      <c r="X198" s="125">
        <f>ROUND(W198*Valores!$C$2,2)</f>
        <v>0</v>
      </c>
      <c r="Y198" s="125">
        <v>0</v>
      </c>
      <c r="Z198" s="125">
        <f>IF(Valores!$C$93*B198&gt;Valores!$C$92,Valores!$C$92,Valores!$C$93*B198)</f>
        <v>2012.56</v>
      </c>
      <c r="AA198" s="125">
        <f>IF((Valores!$C$28)*B198&gt;Valores!$F$28,Valores!$F$28,(Valores!$C$28)*B198)</f>
        <v>143.52</v>
      </c>
      <c r="AB198" s="215">
        <v>0</v>
      </c>
      <c r="AC198" s="125">
        <f t="shared" si="20"/>
        <v>0</v>
      </c>
      <c r="AD198" s="125">
        <f>IF(Valores!$C$29*B198&gt;Valores!$F$29,Valores!$F$29,Valores!$C$29*B198)</f>
        <v>119.52</v>
      </c>
      <c r="AE198" s="193">
        <v>0</v>
      </c>
      <c r="AF198" s="125">
        <f>ROUND(AE198*Valores!$C$2,2)</f>
        <v>0</v>
      </c>
      <c r="AG198" s="125">
        <f>IF($F$4="NO",IF(Valores!$D$59*'Escala Docente'!B198&gt;Valores!$F$59,Valores!$F$59,Valores!$D$59*'Escala Docente'!B198),IF(Valores!$D$59*'Escala Docente'!B198&gt;Valores!$F$59,Valores!$F$59,Valores!$D$59*'Escala Docente'!B198)/2)</f>
        <v>1691.28</v>
      </c>
      <c r="AH198" s="125">
        <f t="shared" si="23"/>
        <v>38634.37999999999</v>
      </c>
      <c r="AI198" s="125">
        <f>IF(Valores!$C$32*B198&gt;Valores!$F$32,Valores!$F$32,Valores!$C$32*B198)</f>
        <v>2656.08</v>
      </c>
      <c r="AJ198" s="125">
        <f>IF(Valores!$C$86*B198&gt;Valores!$C$85,Valores!$C$85,Valores!$C$86*B198)</f>
        <v>909.9999999999999</v>
      </c>
      <c r="AK198" s="125">
        <f>Valores!C$39*B198</f>
        <v>0</v>
      </c>
      <c r="AL198" s="125">
        <f>IF($F$3="NO",0,IF(Valores!$C$57*B198&gt;Valores!$F$57,Valores!$F$57,Valores!$C$57*B198))</f>
        <v>0</v>
      </c>
      <c r="AM198" s="125">
        <f t="shared" si="21"/>
        <v>3566.08</v>
      </c>
      <c r="AN198" s="125">
        <f>AH198*Valores!$C$67</f>
        <v>-4249.781799999999</v>
      </c>
      <c r="AO198" s="125">
        <f>AH198*-Valores!$C$68</f>
        <v>0</v>
      </c>
      <c r="AP198" s="125">
        <f>AH198*Valores!$C$69</f>
        <v>-1738.5470999999995</v>
      </c>
      <c r="AQ198" s="125">
        <f>Valores!$C$96</f>
        <v>-280.91</v>
      </c>
      <c r="AR198" s="125">
        <f>IF($F$5=0,Valores!$C$97,(Valores!$C$97+$F$5*(Valores!$C$97)))</f>
        <v>-658</v>
      </c>
      <c r="AS198" s="125">
        <f t="shared" si="24"/>
        <v>35273.221099999995</v>
      </c>
      <c r="AT198" s="125">
        <f t="shared" si="29"/>
        <v>-4249.781799999999</v>
      </c>
      <c r="AU198" s="125">
        <f>AH198*Valores!$C$70</f>
        <v>-1043.1282599999997</v>
      </c>
      <c r="AV198" s="125">
        <f>AH198*Valores!$C$71</f>
        <v>-115.90313999999998</v>
      </c>
      <c r="AW198" s="125">
        <f t="shared" si="22"/>
        <v>36791.646799999995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3">
        <f t="shared" si="27"/>
        <v>891</v>
      </c>
      <c r="F199" s="125">
        <f>ROUND(E199*Valores!$C$2,2)</f>
        <v>19084.15</v>
      </c>
      <c r="G199" s="193">
        <v>0</v>
      </c>
      <c r="H199" s="125">
        <f>ROUND(G199*Valores!$C$2,2)</f>
        <v>0</v>
      </c>
      <c r="I199" s="193">
        <v>0</v>
      </c>
      <c r="J199" s="125">
        <f>ROUND(I199*Valores!$C$2,2)</f>
        <v>0</v>
      </c>
      <c r="K199" s="193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3377.49</v>
      </c>
      <c r="N199" s="125">
        <f t="shared" si="19"/>
        <v>0</v>
      </c>
      <c r="O199" s="125">
        <f>Valores!$C$7*B199</f>
        <v>6537.33</v>
      </c>
      <c r="P199" s="125">
        <f>ROUND(IF(B199&lt;15,(Valores!$E$5*B199),Valores!$D$5),2)</f>
        <v>6569.55</v>
      </c>
      <c r="Q199" s="125">
        <v>0</v>
      </c>
      <c r="R199" s="125">
        <f>IF($F$4="NO",IF(Valores!$C$45*B199&gt;Valores!$C$44,Valores!$C$44,Valores!$C$45*B199),IF(Valores!$C$45*B199&gt;Valores!$C$44,Valores!$C$44,Valores!$C$45*B199)/2)</f>
        <v>1376.28</v>
      </c>
      <c r="S199" s="125">
        <f>Valores!$C$18*B199</f>
        <v>2056.14</v>
      </c>
      <c r="T199" s="125">
        <f t="shared" si="25"/>
        <v>2056.14</v>
      </c>
      <c r="U199" s="125">
        <v>0</v>
      </c>
      <c r="V199" s="125">
        <v>0</v>
      </c>
      <c r="W199" s="193">
        <v>0</v>
      </c>
      <c r="X199" s="125">
        <f>ROUND(W199*Valores!$C$2,2)</f>
        <v>0</v>
      </c>
      <c r="Y199" s="125">
        <v>0</v>
      </c>
      <c r="Z199" s="125">
        <f>IF(Valores!$C$93*B199&gt;Valores!$C$92,Valores!$C$92,Valores!$C$93*B199)</f>
        <v>2264.13</v>
      </c>
      <c r="AA199" s="125">
        <f>IF((Valores!$C$28)*B199&gt;Valores!$F$28,Valores!$F$28,(Valores!$C$28)*B199)</f>
        <v>161.46</v>
      </c>
      <c r="AB199" s="215">
        <v>0</v>
      </c>
      <c r="AC199" s="125">
        <f t="shared" si="20"/>
        <v>0</v>
      </c>
      <c r="AD199" s="125">
        <f>IF(Valores!$C$29*B199&gt;Valores!$F$29,Valores!$F$29,Valores!$C$29*B199)</f>
        <v>134.46</v>
      </c>
      <c r="AE199" s="193">
        <v>0</v>
      </c>
      <c r="AF199" s="125">
        <f>ROUND(AE199*Valores!$C$2,2)</f>
        <v>0</v>
      </c>
      <c r="AG199" s="125">
        <f>IF($F$4="NO",IF(Valores!$D$59*'Escala Docente'!B199&gt;Valores!$F$59,Valores!$F$59,Valores!$D$59*'Escala Docente'!B199),IF(Valores!$D$59*'Escala Docente'!B199&gt;Valores!$F$59,Valores!$F$59,Valores!$D$59*'Escala Docente'!B199)/2)</f>
        <v>1902.69</v>
      </c>
      <c r="AH199" s="125">
        <f t="shared" si="23"/>
        <v>43463.68</v>
      </c>
      <c r="AI199" s="125">
        <f>IF(Valores!$C$32*B199&gt;Valores!$F$32,Valores!$F$32,Valores!$C$32*B199)</f>
        <v>2988.09</v>
      </c>
      <c r="AJ199" s="125">
        <f>IF(Valores!$C$86*B199&gt;Valores!$C$85,Valores!$C$85,Valores!$C$86*B199)</f>
        <v>1023.7499999999999</v>
      </c>
      <c r="AK199" s="125">
        <f>Valores!C$39*B199</f>
        <v>0</v>
      </c>
      <c r="AL199" s="125">
        <f>IF($F$3="NO",0,IF(Valores!$C$57*B199&gt;Valores!$F$57,Valores!$F$57,Valores!$C$57*B199))</f>
        <v>0</v>
      </c>
      <c r="AM199" s="125">
        <f t="shared" si="21"/>
        <v>4011.84</v>
      </c>
      <c r="AN199" s="125">
        <f>AH199*Valores!$C$67</f>
        <v>-4781.0048</v>
      </c>
      <c r="AO199" s="125">
        <f>AH199*-Valores!$C$68</f>
        <v>0</v>
      </c>
      <c r="AP199" s="125">
        <f>AH199*Valores!$C$69</f>
        <v>-1955.8655999999999</v>
      </c>
      <c r="AQ199" s="125">
        <f>Valores!$C$96</f>
        <v>-280.91</v>
      </c>
      <c r="AR199" s="125">
        <f>IF($F$5=0,Valores!$C$97,(Valores!$C$97+$F$5*(Valores!$C$97)))</f>
        <v>-658</v>
      </c>
      <c r="AS199" s="125">
        <f t="shared" si="24"/>
        <v>39799.7396</v>
      </c>
      <c r="AT199" s="125">
        <f t="shared" si="29"/>
        <v>-4781.0048</v>
      </c>
      <c r="AU199" s="125">
        <f>AH199*Valores!$C$70</f>
        <v>-1173.51936</v>
      </c>
      <c r="AV199" s="125">
        <f>AH199*Valores!$C$71</f>
        <v>-130.39104</v>
      </c>
      <c r="AW199" s="125">
        <f t="shared" si="22"/>
        <v>41390.6048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3">
        <f t="shared" si="27"/>
        <v>990</v>
      </c>
      <c r="F200" s="125">
        <f>ROUND(E200*Valores!$C$2,2)</f>
        <v>21204.61</v>
      </c>
      <c r="G200" s="193">
        <v>0</v>
      </c>
      <c r="H200" s="125">
        <f>ROUND(G200*Valores!$C$2,2)</f>
        <v>0</v>
      </c>
      <c r="I200" s="193">
        <v>0</v>
      </c>
      <c r="J200" s="125">
        <f>ROUND(I200*Valores!$C$2,2)</f>
        <v>0</v>
      </c>
      <c r="K200" s="193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3752.76</v>
      </c>
      <c r="N200" s="125">
        <f aca="true" t="shared" si="30" ref="N200:N263">ROUND(SUM(F200,H200,J200,L200,X200,R200)*$H$2,2)</f>
        <v>0</v>
      </c>
      <c r="O200" s="125">
        <f>Valores!$C$7*B200</f>
        <v>7263.7</v>
      </c>
      <c r="P200" s="125">
        <f>ROUND(IF(B200&lt;15,(Valores!$E$5*B200),Valores!$D$5),2)</f>
        <v>7299.5</v>
      </c>
      <c r="Q200" s="125">
        <v>0</v>
      </c>
      <c r="R200" s="125">
        <f>IF($F$4="NO",IF(Valores!$C$45*B200&gt;Valores!$C$44,Valores!$C$44,Valores!$C$45*B200),IF(Valores!$C$45*B200&gt;Valores!$C$44,Valores!$C$44,Valores!$C$45*B200)/2)</f>
        <v>1529.1999999999998</v>
      </c>
      <c r="S200" s="125">
        <f>Valores!$C$18*B200</f>
        <v>2284.6</v>
      </c>
      <c r="T200" s="125">
        <f t="shared" si="25"/>
        <v>2284.6</v>
      </c>
      <c r="U200" s="125">
        <v>0</v>
      </c>
      <c r="V200" s="125">
        <v>0</v>
      </c>
      <c r="W200" s="193">
        <v>0</v>
      </c>
      <c r="X200" s="125">
        <f>ROUND(W200*Valores!$C$2,2)</f>
        <v>0</v>
      </c>
      <c r="Y200" s="125">
        <v>0</v>
      </c>
      <c r="Z200" s="125">
        <f>IF(Valores!$C$93*B200&gt;Valores!$C$92,Valores!$C$92,Valores!$C$93*B200)</f>
        <v>2515.7</v>
      </c>
      <c r="AA200" s="125">
        <f>IF((Valores!$C$28)*B200&gt;Valores!$F$28,Valores!$F$28,(Valores!$C$28)*B200)</f>
        <v>179.4</v>
      </c>
      <c r="AB200" s="215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149.4</v>
      </c>
      <c r="AE200" s="193">
        <v>0</v>
      </c>
      <c r="AF200" s="125">
        <f>ROUND(AE200*Valores!$C$2,2)</f>
        <v>0</v>
      </c>
      <c r="AG200" s="125">
        <f>IF($F$4="NO",IF(Valores!$D$59*'Escala Docente'!B200&gt;Valores!$F$59,Valores!$F$59,Valores!$D$59*'Escala Docente'!B200),IF(Valores!$D$59*'Escala Docente'!B200&gt;Valores!$F$59,Valores!$F$59,Valores!$D$59*'Escala Docente'!B200)/2)</f>
        <v>2114.1</v>
      </c>
      <c r="AH200" s="125">
        <f t="shared" si="23"/>
        <v>48292.97</v>
      </c>
      <c r="AI200" s="125">
        <f>IF(Valores!$C$32*B200&gt;Valores!$F$32,Valores!$F$32,Valores!$C$32*B200)</f>
        <v>3320.1</v>
      </c>
      <c r="AJ200" s="125">
        <f>IF(Valores!$C$86*B200&gt;Valores!$C$85,Valores!$C$85,Valores!$C$86*B200)</f>
        <v>1137.4999999999998</v>
      </c>
      <c r="AK200" s="125">
        <f>Valores!C$39*B200</f>
        <v>0</v>
      </c>
      <c r="AL200" s="125">
        <f>IF($F$3="NO",0,IF(Valores!$C$57*B200&gt;Valores!$F$57,Valores!$F$57,Valores!$C$57*B200))</f>
        <v>0</v>
      </c>
      <c r="AM200" s="125">
        <f aca="true" t="shared" si="32" ref="AM200:AM263">SUM(AI200:AL200)</f>
        <v>4457.599999999999</v>
      </c>
      <c r="AN200" s="125">
        <f>AH200*Valores!$C$67</f>
        <v>-5312.2267</v>
      </c>
      <c r="AO200" s="125">
        <f>AH200*-Valores!$C$68</f>
        <v>0</v>
      </c>
      <c r="AP200" s="125">
        <f>AH200*Valores!$C$69</f>
        <v>-2173.18365</v>
      </c>
      <c r="AQ200" s="125">
        <f>Valores!$C$96</f>
        <v>-280.91</v>
      </c>
      <c r="AR200" s="125">
        <f>IF($F$5=0,Valores!$C$97,(Valores!$C$97+$F$5*(Valores!$C$97)))</f>
        <v>-658</v>
      </c>
      <c r="AS200" s="125">
        <f t="shared" si="24"/>
        <v>44326.24965</v>
      </c>
      <c r="AT200" s="125">
        <f t="shared" si="29"/>
        <v>-5312.2267</v>
      </c>
      <c r="AU200" s="125">
        <f>AH200*Valores!$C$70</f>
        <v>-1303.91019</v>
      </c>
      <c r="AV200" s="125">
        <f>AH200*Valores!$C$71</f>
        <v>-144.87891000000002</v>
      </c>
      <c r="AW200" s="125">
        <f aca="true" t="shared" si="33" ref="AW200:AW263">AH200+AM200+SUM(AT200:AV200)</f>
        <v>45989.5542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3">
        <f t="shared" si="27"/>
        <v>1089</v>
      </c>
      <c r="F201" s="125">
        <f>ROUND(E201*Valores!$C$2,2)</f>
        <v>23325.07</v>
      </c>
      <c r="G201" s="193">
        <v>0</v>
      </c>
      <c r="H201" s="125">
        <f>ROUND(G201*Valores!$C$2,2)</f>
        <v>0</v>
      </c>
      <c r="I201" s="193">
        <v>0</v>
      </c>
      <c r="J201" s="125">
        <f>ROUND(I201*Valores!$C$2,2)</f>
        <v>0</v>
      </c>
      <c r="K201" s="193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4128.04</v>
      </c>
      <c r="N201" s="125">
        <f t="shared" si="30"/>
        <v>0</v>
      </c>
      <c r="O201" s="125">
        <f>Valores!$C$7*B201</f>
        <v>7990.07</v>
      </c>
      <c r="P201" s="125">
        <f>ROUND(IF(B201&lt;15,(Valores!$E$5*B201),Valores!$D$5),2)</f>
        <v>8029.45</v>
      </c>
      <c r="Q201" s="125">
        <v>0</v>
      </c>
      <c r="R201" s="125">
        <f>IF($F$4="NO",IF(Valores!$C$45*B201&gt;Valores!$C$44,Valores!$C$44,Valores!$C$45*B201),IF(Valores!$C$45*B201&gt;Valores!$C$44,Valores!$C$44,Valores!$C$45*B201)/2)</f>
        <v>1682.12</v>
      </c>
      <c r="S201" s="125">
        <f>Valores!$C$18*B201</f>
        <v>2513.06</v>
      </c>
      <c r="T201" s="125">
        <f t="shared" si="25"/>
        <v>2513.06</v>
      </c>
      <c r="U201" s="125">
        <v>0</v>
      </c>
      <c r="V201" s="125">
        <v>0</v>
      </c>
      <c r="W201" s="193">
        <v>0</v>
      </c>
      <c r="X201" s="125">
        <f>ROUND(W201*Valores!$C$2,2)</f>
        <v>0</v>
      </c>
      <c r="Y201" s="125">
        <v>0</v>
      </c>
      <c r="Z201" s="125">
        <f>IF(Valores!$C$93*B201&gt;Valores!$C$92,Valores!$C$92,Valores!$C$93*B201)</f>
        <v>2767.27</v>
      </c>
      <c r="AA201" s="125">
        <f>IF((Valores!$C$28)*B201&gt;Valores!$F$28,Valores!$F$28,(Valores!$C$28)*B201)</f>
        <v>197.34</v>
      </c>
      <c r="AB201" s="215">
        <v>0</v>
      </c>
      <c r="AC201" s="125">
        <f t="shared" si="31"/>
        <v>0</v>
      </c>
      <c r="AD201" s="125">
        <f>IF(Valores!$C$29*B201&gt;Valores!$F$29,Valores!$F$29,Valores!$C$29*B201)</f>
        <v>164.34</v>
      </c>
      <c r="AE201" s="193">
        <v>0</v>
      </c>
      <c r="AF201" s="125">
        <f>ROUND(AE201*Valores!$C$2,2)</f>
        <v>0</v>
      </c>
      <c r="AG201" s="125">
        <f>IF($F$4="NO",IF(Valores!$D$59*'Escala Docente'!B201&gt;Valores!$F$59,Valores!$F$59,Valores!$D$59*'Escala Docente'!B201),IF(Valores!$D$59*'Escala Docente'!B201&gt;Valores!$F$59,Valores!$F$59,Valores!$D$59*'Escala Docente'!B201)/2)</f>
        <v>2325.5099999999998</v>
      </c>
      <c r="AH201" s="125">
        <f aca="true" t="shared" si="34" ref="AH201:AH264">SUM(F201,H201,J201,L201,M201,N201,O201,P201,Q201,R201,T201,U201,V201,X201,Y201,Z201,AA201,AC201,AD201,AF201,AG201)</f>
        <v>53122.26999999999</v>
      </c>
      <c r="AI201" s="125">
        <f>IF(Valores!$C$32*B201&gt;Valores!$F$32,Valores!$F$32,Valores!$C$32*B201)</f>
        <v>3652.1099999999997</v>
      </c>
      <c r="AJ201" s="125">
        <f>IF(Valores!$C$86*B201&gt;Valores!$C$85,Valores!$C$85,Valores!$C$86*B201)</f>
        <v>1251.2499999999998</v>
      </c>
      <c r="AK201" s="125">
        <f>Valores!C$39*B201</f>
        <v>0</v>
      </c>
      <c r="AL201" s="125">
        <f>IF($F$3="NO",0,IF(Valores!$C$57*B201&gt;Valores!$F$57,Valores!$F$57,Valores!$C$57*B201))</f>
        <v>0</v>
      </c>
      <c r="AM201" s="125">
        <f t="shared" si="32"/>
        <v>4903.36</v>
      </c>
      <c r="AN201" s="125">
        <f>AH201*Valores!$C$67</f>
        <v>-5843.449699999999</v>
      </c>
      <c r="AO201" s="125">
        <f>AH201*-Valores!$C$68</f>
        <v>0</v>
      </c>
      <c r="AP201" s="125">
        <f>AH201*Valores!$C$69</f>
        <v>-2390.5021499999993</v>
      </c>
      <c r="AQ201" s="125">
        <f>Valores!$C$96</f>
        <v>-280.91</v>
      </c>
      <c r="AR201" s="125">
        <f>IF($F$5=0,Valores!$C$97,(Valores!$C$97+$F$5*(Valores!$C$97)))</f>
        <v>-658</v>
      </c>
      <c r="AS201" s="125">
        <f aca="true" t="shared" si="35" ref="AS201:AS264">AH201+SUM(AM201:AR201)</f>
        <v>48852.76814999999</v>
      </c>
      <c r="AT201" s="125">
        <f t="shared" si="29"/>
        <v>-5843.449699999999</v>
      </c>
      <c r="AU201" s="125">
        <f>AH201*Valores!$C$70</f>
        <v>-1434.3012899999997</v>
      </c>
      <c r="AV201" s="125">
        <f>AH201*Valores!$C$71</f>
        <v>-159.36680999999996</v>
      </c>
      <c r="AW201" s="125">
        <f t="shared" si="33"/>
        <v>50588.51219999999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3">
        <f t="shared" si="27"/>
        <v>1188</v>
      </c>
      <c r="F202" s="125">
        <f>ROUND(E202*Valores!$C$2,2)</f>
        <v>25445.53</v>
      </c>
      <c r="G202" s="193">
        <v>0</v>
      </c>
      <c r="H202" s="125">
        <f>ROUND(G202*Valores!$C$2,2)</f>
        <v>0</v>
      </c>
      <c r="I202" s="193">
        <v>0</v>
      </c>
      <c r="J202" s="125">
        <f>ROUND(I202*Valores!$C$2,2)</f>
        <v>0</v>
      </c>
      <c r="K202" s="193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4503.31</v>
      </c>
      <c r="N202" s="125">
        <f t="shared" si="30"/>
        <v>0</v>
      </c>
      <c r="O202" s="125">
        <f>Valores!$C$7*B202</f>
        <v>8716.44</v>
      </c>
      <c r="P202" s="125">
        <f>ROUND(IF(B202&lt;15,(Valores!$E$5*B202),Valores!$D$5),2)</f>
        <v>8759.4</v>
      </c>
      <c r="Q202" s="125">
        <v>0</v>
      </c>
      <c r="R202" s="125">
        <f>IF($F$4="NO",IF(Valores!$C$45*B202&gt;Valores!$C$44,Valores!$C$44,Valores!$C$45*B202),IF(Valores!$C$45*B202&gt;Valores!$C$44,Valores!$C$44,Valores!$C$45*B202)/2)</f>
        <v>1835.04</v>
      </c>
      <c r="S202" s="125">
        <f>Valores!$C$18*B202</f>
        <v>2741.52</v>
      </c>
      <c r="T202" s="125">
        <f t="shared" si="25"/>
        <v>2741.52</v>
      </c>
      <c r="U202" s="125">
        <v>0</v>
      </c>
      <c r="V202" s="125">
        <v>0</v>
      </c>
      <c r="W202" s="193">
        <v>0</v>
      </c>
      <c r="X202" s="125">
        <f>ROUND(W202*Valores!$C$2,2)</f>
        <v>0</v>
      </c>
      <c r="Y202" s="125">
        <v>0</v>
      </c>
      <c r="Z202" s="125">
        <f>IF(Valores!$C$93*B202&gt;Valores!$C$92,Valores!$C$92,Valores!$C$93*B202)</f>
        <v>3018.84</v>
      </c>
      <c r="AA202" s="125">
        <f>IF((Valores!$C$28)*B202&gt;Valores!$F$28,Valores!$F$28,(Valores!$C$28)*B202)</f>
        <v>215.28000000000003</v>
      </c>
      <c r="AB202" s="215">
        <v>0</v>
      </c>
      <c r="AC202" s="125">
        <f t="shared" si="31"/>
        <v>0</v>
      </c>
      <c r="AD202" s="125">
        <f>IF(Valores!$C$29*B202&gt;Valores!$F$29,Valores!$F$29,Valores!$C$29*B202)</f>
        <v>179.28</v>
      </c>
      <c r="AE202" s="193">
        <v>0</v>
      </c>
      <c r="AF202" s="125">
        <f>ROUND(AE202*Valores!$C$2,2)</f>
        <v>0</v>
      </c>
      <c r="AG202" s="125">
        <f>IF($F$4="NO",IF(Valores!$D$59*'Escala Docente'!B202&gt;Valores!$F$59,Valores!$F$59,Valores!$D$59*'Escala Docente'!B202),IF(Valores!$D$59*'Escala Docente'!B202&gt;Valores!$F$59,Valores!$F$59,Valores!$D$59*'Escala Docente'!B202)/2)</f>
        <v>2536.92</v>
      </c>
      <c r="AH202" s="125">
        <f t="shared" si="34"/>
        <v>57951.56</v>
      </c>
      <c r="AI202" s="125">
        <f>IF(Valores!$C$32*B202&gt;Valores!$F$32,Valores!$F$32,Valores!$C$32*B202)</f>
        <v>3984.12</v>
      </c>
      <c r="AJ202" s="125">
        <f>IF(Valores!$C$86*B202&gt;Valores!$C$85,Valores!$C$85,Valores!$C$86*B202)</f>
        <v>1364.9999999999998</v>
      </c>
      <c r="AK202" s="125">
        <f>Valores!C$39*B202</f>
        <v>0</v>
      </c>
      <c r="AL202" s="125">
        <f>IF($F$3="NO",0,IF(Valores!$C$57*B202&gt;Valores!$F$57,Valores!$F$57,Valores!$C$57*B202))</f>
        <v>0</v>
      </c>
      <c r="AM202" s="125">
        <f t="shared" si="32"/>
        <v>5349.12</v>
      </c>
      <c r="AN202" s="125">
        <f>AH202*Valores!$C$67</f>
        <v>-6374.6716</v>
      </c>
      <c r="AO202" s="125">
        <f>AH202*-Valores!$C$68</f>
        <v>0</v>
      </c>
      <c r="AP202" s="125">
        <f>AH202*Valores!$C$69</f>
        <v>-2607.8201999999997</v>
      </c>
      <c r="AQ202" s="125">
        <f>Valores!$C$96</f>
        <v>-280.91</v>
      </c>
      <c r="AR202" s="125">
        <f>IF($F$5=0,Valores!$C$97,(Valores!$C$97+$F$5*(Valores!$C$97)))</f>
        <v>-658</v>
      </c>
      <c r="AS202" s="125">
        <f t="shared" si="35"/>
        <v>53379.2782</v>
      </c>
      <c r="AT202" s="125">
        <f t="shared" si="29"/>
        <v>-6374.6716</v>
      </c>
      <c r="AU202" s="125">
        <f>AH202*Valores!$C$70</f>
        <v>-1564.69212</v>
      </c>
      <c r="AV202" s="125">
        <f>AH202*Valores!$C$71</f>
        <v>-173.85468</v>
      </c>
      <c r="AW202" s="125">
        <f t="shared" si="33"/>
        <v>55187.4616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3">
        <f t="shared" si="27"/>
        <v>1287</v>
      </c>
      <c r="F203" s="125">
        <f>ROUND(E203*Valores!$C$2,2)</f>
        <v>27566</v>
      </c>
      <c r="G203" s="193">
        <v>0</v>
      </c>
      <c r="H203" s="125">
        <f>ROUND(G203*Valores!$C$2,2)</f>
        <v>0</v>
      </c>
      <c r="I203" s="193">
        <v>0</v>
      </c>
      <c r="J203" s="125">
        <f>ROUND(I203*Valores!$C$2,2)</f>
        <v>0</v>
      </c>
      <c r="K203" s="193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4878.59</v>
      </c>
      <c r="N203" s="125">
        <f t="shared" si="30"/>
        <v>0</v>
      </c>
      <c r="O203" s="125">
        <f>Valores!$C$7*B203</f>
        <v>9442.81</v>
      </c>
      <c r="P203" s="125">
        <f>ROUND(IF(B203&lt;15,(Valores!$E$5*B203),Valores!$D$5),2)</f>
        <v>9489.35</v>
      </c>
      <c r="Q203" s="125">
        <v>0</v>
      </c>
      <c r="R203" s="125">
        <f>IF($F$4="NO",IF(Valores!$C$45*B203&gt;Valores!$C$44,Valores!$C$44,Valores!$C$45*B203),IF(Valores!$C$45*B203&gt;Valores!$C$44,Valores!$C$44,Valores!$C$45*B203)/2)</f>
        <v>1987.9599999999998</v>
      </c>
      <c r="S203" s="125">
        <f>Valores!$C$18*B203</f>
        <v>2969.98</v>
      </c>
      <c r="T203" s="125">
        <f aca="true" t="shared" si="36" ref="T203:T266">ROUND(S203*(1+$H$2),2)</f>
        <v>2969.98</v>
      </c>
      <c r="U203" s="125">
        <v>0</v>
      </c>
      <c r="V203" s="125">
        <v>0</v>
      </c>
      <c r="W203" s="193">
        <v>0</v>
      </c>
      <c r="X203" s="125">
        <f>ROUND(W203*Valores!$C$2,2)</f>
        <v>0</v>
      </c>
      <c r="Y203" s="125">
        <v>0</v>
      </c>
      <c r="Z203" s="125">
        <f>IF(Valores!$C$93*B203&gt;Valores!$C$92,Valores!$C$92,Valores!$C$93*B203)</f>
        <v>3270.41</v>
      </c>
      <c r="AA203" s="125">
        <f>IF((Valores!$C$28)*B203&gt;Valores!$F$28,Valores!$F$28,(Valores!$C$28)*B203)</f>
        <v>233.22000000000003</v>
      </c>
      <c r="AB203" s="215">
        <v>0</v>
      </c>
      <c r="AC203" s="125">
        <f t="shared" si="31"/>
        <v>0</v>
      </c>
      <c r="AD203" s="125">
        <f>IF(Valores!$C$29*B203&gt;Valores!$F$29,Valores!$F$29,Valores!$C$29*B203)</f>
        <v>194.22</v>
      </c>
      <c r="AE203" s="193">
        <v>0</v>
      </c>
      <c r="AF203" s="125">
        <f>ROUND(AE203*Valores!$C$2,2)</f>
        <v>0</v>
      </c>
      <c r="AG203" s="125">
        <f>IF($F$4="NO",IF(Valores!$D$59*'Escala Docente'!B203&gt;Valores!$F$59,Valores!$F$59,Valores!$D$59*'Escala Docente'!B203),IF(Valores!$D$59*'Escala Docente'!B203&gt;Valores!$F$59,Valores!$F$59,Valores!$D$59*'Escala Docente'!B203)/2)</f>
        <v>2748.33</v>
      </c>
      <c r="AH203" s="125">
        <f t="shared" si="34"/>
        <v>62780.87000000001</v>
      </c>
      <c r="AI203" s="125">
        <f>IF(Valores!$C$32*B203&gt;Valores!$F$32,Valores!$F$32,Valores!$C$32*B203)</f>
        <v>4316.13</v>
      </c>
      <c r="AJ203" s="125">
        <f>IF(Valores!$C$86*B203&gt;Valores!$C$85,Valores!$C$85,Valores!$C$86*B203)</f>
        <v>1478.7499999999998</v>
      </c>
      <c r="AK203" s="125">
        <f>Valores!C$39*B203</f>
        <v>0</v>
      </c>
      <c r="AL203" s="125">
        <f>IF($F$3="NO",0,IF(Valores!$C$57*B203&gt;Valores!$F$57,Valores!$F$57,Valores!$C$57*B203))</f>
        <v>0</v>
      </c>
      <c r="AM203" s="125">
        <f t="shared" si="32"/>
        <v>5794.88</v>
      </c>
      <c r="AN203" s="125">
        <f>AH203*Valores!$C$67</f>
        <v>-6905.895700000001</v>
      </c>
      <c r="AO203" s="125">
        <f>AH203*-Valores!$C$68</f>
        <v>0</v>
      </c>
      <c r="AP203" s="125">
        <f>AH203*Valores!$C$69</f>
        <v>-2825.1391500000004</v>
      </c>
      <c r="AQ203" s="125">
        <f>Valores!$C$96</f>
        <v>-280.91</v>
      </c>
      <c r="AR203" s="125">
        <f>IF($F$5=0,Valores!$C$97,(Valores!$C$97+$F$5*(Valores!$C$97)))</f>
        <v>-658</v>
      </c>
      <c r="AS203" s="125">
        <f t="shared" si="35"/>
        <v>57905.80515000001</v>
      </c>
      <c r="AT203" s="125">
        <f t="shared" si="29"/>
        <v>-6905.895700000001</v>
      </c>
      <c r="AU203" s="125">
        <f>AH203*Valores!$C$70</f>
        <v>-1695.0834900000002</v>
      </c>
      <c r="AV203" s="125">
        <f>AH203*Valores!$C$71</f>
        <v>-188.34261000000004</v>
      </c>
      <c r="AW203" s="125">
        <f t="shared" si="33"/>
        <v>59786.42820000001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3">
        <f t="shared" si="27"/>
        <v>1386</v>
      </c>
      <c r="F204" s="125">
        <f>ROUND(E204*Valores!$C$2,2)</f>
        <v>29686.46</v>
      </c>
      <c r="G204" s="193">
        <v>0</v>
      </c>
      <c r="H204" s="125">
        <f>ROUND(G204*Valores!$C$2,2)</f>
        <v>0</v>
      </c>
      <c r="I204" s="193">
        <v>0</v>
      </c>
      <c r="J204" s="125">
        <f>ROUND(I204*Valores!$C$2,2)</f>
        <v>0</v>
      </c>
      <c r="K204" s="193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5253.87</v>
      </c>
      <c r="N204" s="125">
        <f t="shared" si="30"/>
        <v>0</v>
      </c>
      <c r="O204" s="125">
        <f>Valores!$C$7*B204</f>
        <v>10169.18</v>
      </c>
      <c r="P204" s="125">
        <f>ROUND(IF(B204&lt;15,(Valores!$E$5*B204),Valores!$D$5),2)</f>
        <v>10219.3</v>
      </c>
      <c r="Q204" s="125">
        <v>0</v>
      </c>
      <c r="R204" s="125">
        <f>IF($F$4="NO",IF(Valores!$C$45*B204&gt;Valores!$C$44,Valores!$C$44,Valores!$C$45*B204),IF(Valores!$C$45*B204&gt;Valores!$C$44,Valores!$C$44,Valores!$C$45*B204)/2)</f>
        <v>2140.8799999999997</v>
      </c>
      <c r="S204" s="125">
        <f>Valores!$C$18*B204</f>
        <v>3198.44</v>
      </c>
      <c r="T204" s="125">
        <f t="shared" si="36"/>
        <v>3198.44</v>
      </c>
      <c r="U204" s="125">
        <v>0</v>
      </c>
      <c r="V204" s="125">
        <v>0</v>
      </c>
      <c r="W204" s="193">
        <v>0</v>
      </c>
      <c r="X204" s="125">
        <f>ROUND(W204*Valores!$C$2,2)</f>
        <v>0</v>
      </c>
      <c r="Y204" s="125">
        <v>0</v>
      </c>
      <c r="Z204" s="125">
        <f>IF(Valores!$C$93*B204&gt;Valores!$C$92,Valores!$C$92,Valores!$C$93*B204)</f>
        <v>3521.98</v>
      </c>
      <c r="AA204" s="125">
        <f>IF((Valores!$C$28)*B204&gt;Valores!$F$28,Valores!$F$28,(Valores!$C$28)*B204)</f>
        <v>251.16000000000003</v>
      </c>
      <c r="AB204" s="215">
        <v>0</v>
      </c>
      <c r="AC204" s="125">
        <f t="shared" si="31"/>
        <v>0</v>
      </c>
      <c r="AD204" s="125">
        <f>IF(Valores!$C$29*B204&gt;Valores!$F$29,Valores!$F$29,Valores!$C$29*B204)</f>
        <v>209.16</v>
      </c>
      <c r="AE204" s="193">
        <v>0</v>
      </c>
      <c r="AF204" s="125">
        <f>ROUND(AE204*Valores!$C$2,2)</f>
        <v>0</v>
      </c>
      <c r="AG204" s="125">
        <f>IF($F$4="NO",IF(Valores!$D$59*'Escala Docente'!B204&gt;Valores!$F$59,Valores!$F$59,Valores!$D$59*'Escala Docente'!B204),IF(Valores!$D$59*'Escala Docente'!B204&gt;Valores!$F$59,Valores!$F$59,Valores!$D$59*'Escala Docente'!B204)/2)</f>
        <v>2959.74</v>
      </c>
      <c r="AH204" s="125">
        <f t="shared" si="34"/>
        <v>67610.17000000001</v>
      </c>
      <c r="AI204" s="125">
        <f>IF(Valores!$C$32*B204&gt;Valores!$F$32,Valores!$F$32,Valores!$C$32*B204)</f>
        <v>4648.139999999999</v>
      </c>
      <c r="AJ204" s="125">
        <f>IF(Valores!$C$86*B204&gt;Valores!$C$85,Valores!$C$85,Valores!$C$86*B204)</f>
        <v>1592.4999999999998</v>
      </c>
      <c r="AK204" s="125">
        <f>Valores!C$39*B204</f>
        <v>0</v>
      </c>
      <c r="AL204" s="125">
        <f>IF($F$3="NO",0,IF(Valores!$C$57*B204&gt;Valores!$F$57,Valores!$F$57,Valores!$C$57*B204))</f>
        <v>0</v>
      </c>
      <c r="AM204" s="125">
        <f t="shared" si="32"/>
        <v>6240.639999999999</v>
      </c>
      <c r="AN204" s="125">
        <f>AH204*Valores!$C$67</f>
        <v>-7437.118700000002</v>
      </c>
      <c r="AO204" s="125">
        <f>AH204*-Valores!$C$68</f>
        <v>0</v>
      </c>
      <c r="AP204" s="125">
        <f>AH204*Valores!$C$69</f>
        <v>-3042.4576500000003</v>
      </c>
      <c r="AQ204" s="125">
        <f>Valores!$C$96</f>
        <v>-280.91</v>
      </c>
      <c r="AR204" s="125">
        <f>IF($F$5=0,Valores!$C$97,(Valores!$C$97+$F$5*(Valores!$C$97)))</f>
        <v>-658</v>
      </c>
      <c r="AS204" s="125">
        <f t="shared" si="35"/>
        <v>62432.32365000001</v>
      </c>
      <c r="AT204" s="125">
        <f t="shared" si="29"/>
        <v>-7437.118700000002</v>
      </c>
      <c r="AU204" s="125">
        <f>AH204*Valores!$C$70</f>
        <v>-1825.4745900000003</v>
      </c>
      <c r="AV204" s="125">
        <f>AH204*Valores!$C$71</f>
        <v>-202.83051000000003</v>
      </c>
      <c r="AW204" s="125">
        <f t="shared" si="33"/>
        <v>64385.38620000001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3">
        <f t="shared" si="27"/>
        <v>1485</v>
      </c>
      <c r="F205" s="125">
        <f>ROUND(E205*Valores!$C$2,2)</f>
        <v>31806.92</v>
      </c>
      <c r="G205" s="193">
        <v>0</v>
      </c>
      <c r="H205" s="125">
        <f>ROUND(G205*Valores!$C$2,2)</f>
        <v>0</v>
      </c>
      <c r="I205" s="193">
        <v>0</v>
      </c>
      <c r="J205" s="125">
        <f>ROUND(I205*Valores!$C$2,2)</f>
        <v>0</v>
      </c>
      <c r="K205" s="193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5629.14</v>
      </c>
      <c r="N205" s="125">
        <f t="shared" si="30"/>
        <v>0</v>
      </c>
      <c r="O205" s="125">
        <f>Valores!$C$7*B205</f>
        <v>10895.55</v>
      </c>
      <c r="P205" s="125">
        <f>ROUND(IF(B205&lt;15,(Valores!$E$5*B205),Valores!$D$5),2)</f>
        <v>10949.29</v>
      </c>
      <c r="Q205" s="125">
        <v>0</v>
      </c>
      <c r="R205" s="125">
        <f>IF($F$4="NO",IF(Valores!$C$45*B205&gt;Valores!$C$44,Valores!$C$44,Valores!$C$45*B205),IF(Valores!$C$45*B205&gt;Valores!$C$44,Valores!$C$44,Valores!$C$45*B205)/2)</f>
        <v>2293.7999999999997</v>
      </c>
      <c r="S205" s="125">
        <f>Valores!$C$18*B205</f>
        <v>3426.9</v>
      </c>
      <c r="T205" s="125">
        <f t="shared" si="36"/>
        <v>3426.9</v>
      </c>
      <c r="U205" s="125">
        <v>0</v>
      </c>
      <c r="V205" s="125">
        <v>0</v>
      </c>
      <c r="W205" s="193">
        <v>0</v>
      </c>
      <c r="X205" s="125">
        <f>ROUND(W205*Valores!$C$2,2)</f>
        <v>0</v>
      </c>
      <c r="Y205" s="125">
        <v>0</v>
      </c>
      <c r="Z205" s="125">
        <f>IF(Valores!$C$93*B205&gt;Valores!$C$92,Valores!$C$92,Valores!$C$93*B205)</f>
        <v>3773.5499999999997</v>
      </c>
      <c r="AA205" s="125">
        <f>IF((Valores!$C$28)*B205&gt;Valores!$F$28,Valores!$F$28,(Valores!$C$28)*B205)</f>
        <v>269.1</v>
      </c>
      <c r="AB205" s="215">
        <v>0</v>
      </c>
      <c r="AC205" s="125">
        <f t="shared" si="31"/>
        <v>0</v>
      </c>
      <c r="AD205" s="125">
        <f>IF(Valores!$C$29*B205&gt;Valores!$F$29,Valores!$F$29,Valores!$C$29*B205)</f>
        <v>224.1</v>
      </c>
      <c r="AE205" s="193">
        <v>0</v>
      </c>
      <c r="AF205" s="125">
        <f>ROUND(AE205*Valores!$C$2,2)</f>
        <v>0</v>
      </c>
      <c r="AG205" s="125">
        <f>IF($F$4="NO",IF(Valores!$D$59*'Escala Docente'!B205&gt;Valores!$F$59,Valores!$F$59,Valores!$D$59*'Escala Docente'!B205),IF(Valores!$D$59*'Escala Docente'!B205&gt;Valores!$F$59,Valores!$F$59,Valores!$D$59*'Escala Docente'!B205)/2)</f>
        <v>3171.15</v>
      </c>
      <c r="AH205" s="125">
        <f t="shared" si="34"/>
        <v>72439.50000000001</v>
      </c>
      <c r="AI205" s="125">
        <f>IF(Valores!$C$32*B205&gt;Valores!$F$32,Valores!$F$32,Valores!$C$32*B205)</f>
        <v>4980.15</v>
      </c>
      <c r="AJ205" s="125">
        <f>IF(Valores!$C$86*B205&gt;Valores!$C$85,Valores!$C$85,Valores!$C$86*B205)</f>
        <v>1706.2499999999998</v>
      </c>
      <c r="AK205" s="125">
        <f>Valores!C$39*B205</f>
        <v>0</v>
      </c>
      <c r="AL205" s="125">
        <f>IF($F$3="NO",0,IF(Valores!$C$57*B205&gt;Valores!$F$57,Valores!$F$57,Valores!$C$57*B205))</f>
        <v>0</v>
      </c>
      <c r="AM205" s="125">
        <f t="shared" si="32"/>
        <v>6686.4</v>
      </c>
      <c r="AN205" s="125">
        <f>AH205*Valores!$C$67</f>
        <v>-7968.345000000002</v>
      </c>
      <c r="AO205" s="125">
        <f>AH205*-Valores!$C$68</f>
        <v>0</v>
      </c>
      <c r="AP205" s="125">
        <f>AH205*Valores!$C$69</f>
        <v>-3259.7775000000006</v>
      </c>
      <c r="AQ205" s="125">
        <f>Valores!$C$96</f>
        <v>-280.91</v>
      </c>
      <c r="AR205" s="125">
        <f>IF($F$5=0,Valores!$C$97,(Valores!$C$97+$F$5*(Valores!$C$97)))</f>
        <v>-658</v>
      </c>
      <c r="AS205" s="125">
        <f t="shared" si="35"/>
        <v>66958.86750000001</v>
      </c>
      <c r="AT205" s="125">
        <f t="shared" si="29"/>
        <v>-7968.345000000002</v>
      </c>
      <c r="AU205" s="125">
        <f>AH205*Valores!$C$70</f>
        <v>-1955.8665000000003</v>
      </c>
      <c r="AV205" s="125">
        <f>AH205*Valores!$C$71</f>
        <v>-217.31850000000006</v>
      </c>
      <c r="AW205" s="125">
        <f t="shared" si="33"/>
        <v>68984.37000000001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3">
        <f t="shared" si="27"/>
        <v>1584</v>
      </c>
      <c r="F206" s="125">
        <f>ROUND(E206*Valores!$C$2,2)</f>
        <v>33927.38</v>
      </c>
      <c r="G206" s="193">
        <v>0</v>
      </c>
      <c r="H206" s="125">
        <f>ROUND(G206*Valores!$C$2,2)</f>
        <v>0</v>
      </c>
      <c r="I206" s="193">
        <v>0</v>
      </c>
      <c r="J206" s="125">
        <f>ROUND(I206*Valores!$C$2,2)</f>
        <v>0</v>
      </c>
      <c r="K206" s="193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6004.42</v>
      </c>
      <c r="N206" s="125">
        <f t="shared" si="30"/>
        <v>0</v>
      </c>
      <c r="O206" s="125">
        <f>Valores!$C$7*B206</f>
        <v>11621.92</v>
      </c>
      <c r="P206" s="125">
        <f>ROUND(IF(B206&lt;15,(Valores!$E$5*B206),Valores!$D$5),2)</f>
        <v>10949.29</v>
      </c>
      <c r="Q206" s="125">
        <v>0</v>
      </c>
      <c r="R206" s="125">
        <f>IF($F$4="NO",IF(Valores!$C$45*B206&gt;Valores!$C$44,Valores!$C$44,Valores!$C$45*B206),IF(Valores!$C$45*B206&gt;Valores!$C$44,Valores!$C$44,Valores!$C$45*B206)/2)</f>
        <v>2446.72</v>
      </c>
      <c r="S206" s="125">
        <f>Valores!$C$18*B206</f>
        <v>3655.36</v>
      </c>
      <c r="T206" s="125">
        <f t="shared" si="36"/>
        <v>3655.36</v>
      </c>
      <c r="U206" s="125">
        <v>0</v>
      </c>
      <c r="V206" s="125">
        <v>0</v>
      </c>
      <c r="W206" s="193">
        <v>0</v>
      </c>
      <c r="X206" s="125">
        <f>ROUND(W206*Valores!$C$2,2)</f>
        <v>0</v>
      </c>
      <c r="Y206" s="125">
        <v>0</v>
      </c>
      <c r="Z206" s="125">
        <f>IF(Valores!$C$93*B206&gt;Valores!$C$92,Valores!$C$92,Valores!$C$93*B206)</f>
        <v>4025.12</v>
      </c>
      <c r="AA206" s="125">
        <f>IF((Valores!$C$28)*B206&gt;Valores!$F$28,Valores!$F$28,(Valores!$C$28)*B206)</f>
        <v>287.04</v>
      </c>
      <c r="AB206" s="215">
        <v>0</v>
      </c>
      <c r="AC206" s="125">
        <f t="shared" si="31"/>
        <v>0</v>
      </c>
      <c r="AD206" s="125">
        <f>IF(Valores!$C$29*B206&gt;Valores!$F$29,Valores!$F$29,Valores!$C$29*B206)</f>
        <v>239.04</v>
      </c>
      <c r="AE206" s="193">
        <v>0</v>
      </c>
      <c r="AF206" s="125">
        <f>ROUND(AE206*Valores!$C$2,2)</f>
        <v>0</v>
      </c>
      <c r="AG206" s="125">
        <f>IF($F$4="NO",IF(Valores!$D$59*'Escala Docente'!B206&gt;Valores!$F$59,Valores!$F$59,Valores!$D$59*'Escala Docente'!B206),IF(Valores!$D$59*'Escala Docente'!B206&gt;Valores!$F$59,Valores!$F$59,Valores!$D$59*'Escala Docente'!B206)/2)</f>
        <v>3382.56</v>
      </c>
      <c r="AH206" s="125">
        <f t="shared" si="34"/>
        <v>76538.84999999998</v>
      </c>
      <c r="AI206" s="125">
        <f>IF(Valores!$C$32*B206&gt;Valores!$F$32,Valores!$F$32,Valores!$C$32*B206)</f>
        <v>5312.16</v>
      </c>
      <c r="AJ206" s="125">
        <f>IF(Valores!$C$86*B206&gt;Valores!$C$85,Valores!$C$85,Valores!$C$86*B206)</f>
        <v>1819.9999999999998</v>
      </c>
      <c r="AK206" s="125">
        <f>Valores!C$39*B206</f>
        <v>0</v>
      </c>
      <c r="AL206" s="125">
        <f>IF($F$3="NO",0,IF(Valores!$C$57*B206&gt;Valores!$F$57,Valores!$F$57,Valores!$C$57*B206))</f>
        <v>0</v>
      </c>
      <c r="AM206" s="125">
        <f t="shared" si="32"/>
        <v>7132.16</v>
      </c>
      <c r="AN206" s="125">
        <f>AH206*Valores!$C$67</f>
        <v>-8419.273499999998</v>
      </c>
      <c r="AO206" s="125">
        <f>AH206*-Valores!$C$68</f>
        <v>0</v>
      </c>
      <c r="AP206" s="125">
        <f>AH206*Valores!$C$69</f>
        <v>-3444.2482499999987</v>
      </c>
      <c r="AQ206" s="125">
        <f>Valores!$C$96</f>
        <v>-280.91</v>
      </c>
      <c r="AR206" s="125">
        <f>IF($F$5=0,Valores!$C$97,(Valores!$C$97+$F$5*(Valores!$C$97)))</f>
        <v>-658</v>
      </c>
      <c r="AS206" s="125">
        <f t="shared" si="35"/>
        <v>70868.57824999998</v>
      </c>
      <c r="AT206" s="125">
        <f t="shared" si="29"/>
        <v>-8419.273499999998</v>
      </c>
      <c r="AU206" s="125">
        <f>AH206*Valores!$C$70</f>
        <v>-2066.5489499999994</v>
      </c>
      <c r="AV206" s="125">
        <f>AH206*Valores!$C$71</f>
        <v>-229.61654999999993</v>
      </c>
      <c r="AW206" s="125">
        <f t="shared" si="33"/>
        <v>72955.57099999998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3">
        <f t="shared" si="27"/>
        <v>1683</v>
      </c>
      <c r="F207" s="125">
        <f>ROUND(E207*Valores!$C$2,2)</f>
        <v>36047.84</v>
      </c>
      <c r="G207" s="193">
        <v>0</v>
      </c>
      <c r="H207" s="125">
        <f>ROUND(G207*Valores!$C$2,2)</f>
        <v>0</v>
      </c>
      <c r="I207" s="193">
        <v>0</v>
      </c>
      <c r="J207" s="125">
        <f>ROUND(I207*Valores!$C$2,2)</f>
        <v>0</v>
      </c>
      <c r="K207" s="193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6379.7</v>
      </c>
      <c r="N207" s="125">
        <f t="shared" si="30"/>
        <v>0</v>
      </c>
      <c r="O207" s="125">
        <f>Valores!$C$7*B207</f>
        <v>12348.29</v>
      </c>
      <c r="P207" s="125">
        <f>ROUND(IF(B207&lt;15,(Valores!$E$5*B207),Valores!$D$5),2)</f>
        <v>10949.29</v>
      </c>
      <c r="Q207" s="125">
        <v>0</v>
      </c>
      <c r="R207" s="125">
        <f>IF($F$4="NO",IF(Valores!$C$45*B207&gt;Valores!$C$44,Valores!$C$44,Valores!$C$45*B207),IF(Valores!$C$45*B207&gt;Valores!$C$44,Valores!$C$44,Valores!$C$45*B207)/2)</f>
        <v>2599.64</v>
      </c>
      <c r="S207" s="125">
        <f>Valores!$C$18*B207</f>
        <v>3883.82</v>
      </c>
      <c r="T207" s="125">
        <f t="shared" si="36"/>
        <v>3883.82</v>
      </c>
      <c r="U207" s="125">
        <v>0</v>
      </c>
      <c r="V207" s="125">
        <v>0</v>
      </c>
      <c r="W207" s="193">
        <v>0</v>
      </c>
      <c r="X207" s="125">
        <f>ROUND(W207*Valores!$C$2,2)</f>
        <v>0</v>
      </c>
      <c r="Y207" s="125">
        <v>0</v>
      </c>
      <c r="Z207" s="125">
        <f>IF(Valores!$C$93*B207&gt;Valores!$C$92,Valores!$C$92,Valores!$C$93*B207)</f>
        <v>4276.69</v>
      </c>
      <c r="AA207" s="125">
        <f>IF((Valores!$C$28)*B207&gt;Valores!$F$28,Valores!$F$28,(Valores!$C$28)*B207)</f>
        <v>304.98</v>
      </c>
      <c r="AB207" s="215">
        <v>0</v>
      </c>
      <c r="AC207" s="125">
        <f t="shared" si="31"/>
        <v>0</v>
      </c>
      <c r="AD207" s="125">
        <f>IF(Valores!$C$29*B207&gt;Valores!$F$29,Valores!$F$29,Valores!$C$29*B207)</f>
        <v>253.98</v>
      </c>
      <c r="AE207" s="193">
        <v>0</v>
      </c>
      <c r="AF207" s="125">
        <f>ROUND(AE207*Valores!$C$2,2)</f>
        <v>0</v>
      </c>
      <c r="AG207" s="125">
        <f>IF($F$4="NO",IF(Valores!$D$59*'Escala Docente'!B207&gt;Valores!$F$59,Valores!$F$59,Valores!$D$59*'Escala Docente'!B207),IF(Valores!$D$59*'Escala Docente'!B207&gt;Valores!$F$59,Valores!$F$59,Valores!$D$59*'Escala Docente'!B207)/2)</f>
        <v>3593.97</v>
      </c>
      <c r="AH207" s="125">
        <f t="shared" si="34"/>
        <v>80638.2</v>
      </c>
      <c r="AI207" s="125">
        <f>IF(Valores!$C$32*B207&gt;Valores!$F$32,Valores!$F$32,Valores!$C$32*B207)</f>
        <v>5644.17</v>
      </c>
      <c r="AJ207" s="125">
        <f>IF(Valores!$C$86*B207&gt;Valores!$C$85,Valores!$C$85,Valores!$C$86*B207)</f>
        <v>1933.7499999999998</v>
      </c>
      <c r="AK207" s="125">
        <f>Valores!C$39*B207</f>
        <v>0</v>
      </c>
      <c r="AL207" s="125">
        <f>IF($F$3="NO",0,IF(Valores!$C$57*B207&gt;Valores!$F$57,Valores!$F$57,Valores!$C$57*B207))</f>
        <v>0</v>
      </c>
      <c r="AM207" s="125">
        <f t="shared" si="32"/>
        <v>7577.92</v>
      </c>
      <c r="AN207" s="125">
        <f>AH207*Valores!$C$67</f>
        <v>-8870.202</v>
      </c>
      <c r="AO207" s="125">
        <f>AH207*-Valores!$C$68</f>
        <v>0</v>
      </c>
      <c r="AP207" s="125">
        <f>AH207*Valores!$C$69</f>
        <v>-3628.7189999999996</v>
      </c>
      <c r="AQ207" s="125">
        <f>Valores!$C$96</f>
        <v>-280.91</v>
      </c>
      <c r="AR207" s="125">
        <f>IF($F$5=0,Valores!$C$97,(Valores!$C$97+$F$5*(Valores!$C$97)))</f>
        <v>-658</v>
      </c>
      <c r="AS207" s="125">
        <f t="shared" si="35"/>
        <v>74778.289</v>
      </c>
      <c r="AT207" s="125">
        <f t="shared" si="29"/>
        <v>-8870.202</v>
      </c>
      <c r="AU207" s="125">
        <f>AH207*Valores!$C$70</f>
        <v>-2177.2314</v>
      </c>
      <c r="AV207" s="125">
        <f>AH207*Valores!$C$71</f>
        <v>-241.9146</v>
      </c>
      <c r="AW207" s="125">
        <f t="shared" si="33"/>
        <v>76926.772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3">
        <f t="shared" si="27"/>
        <v>1782</v>
      </c>
      <c r="F208" s="125">
        <f>ROUND(E208*Valores!$C$2,2)</f>
        <v>38168.3</v>
      </c>
      <c r="G208" s="193">
        <v>0</v>
      </c>
      <c r="H208" s="125">
        <f>ROUND(G208*Valores!$C$2,2)</f>
        <v>0</v>
      </c>
      <c r="I208" s="193">
        <v>0</v>
      </c>
      <c r="J208" s="125">
        <f>ROUND(I208*Valores!$C$2,2)</f>
        <v>0</v>
      </c>
      <c r="K208" s="193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6754.97</v>
      </c>
      <c r="N208" s="125">
        <f t="shared" si="30"/>
        <v>0</v>
      </c>
      <c r="O208" s="125">
        <f>Valores!$C$7*B208</f>
        <v>13074.66</v>
      </c>
      <c r="P208" s="125">
        <f>ROUND(IF(B208&lt;15,(Valores!$E$5*B208),Valores!$D$5),2)</f>
        <v>10949.29</v>
      </c>
      <c r="Q208" s="125">
        <v>0</v>
      </c>
      <c r="R208" s="125">
        <f>IF($F$4="NO",IF(Valores!$C$45*B208&gt;Valores!$C$44,Valores!$C$44,Valores!$C$45*B208),IF(Valores!$C$45*B208&gt;Valores!$C$44,Valores!$C$44,Valores!$C$45*B208)/2)</f>
        <v>2752.56</v>
      </c>
      <c r="S208" s="125">
        <f>Valores!$C$18*B208</f>
        <v>4112.28</v>
      </c>
      <c r="T208" s="125">
        <f t="shared" si="36"/>
        <v>4112.28</v>
      </c>
      <c r="U208" s="125">
        <v>0</v>
      </c>
      <c r="V208" s="125">
        <v>0</v>
      </c>
      <c r="W208" s="193">
        <v>0</v>
      </c>
      <c r="X208" s="125">
        <f>ROUND(W208*Valores!$C$2,2)</f>
        <v>0</v>
      </c>
      <c r="Y208" s="125">
        <v>0</v>
      </c>
      <c r="Z208" s="125">
        <f>IF(Valores!$C$93*B208&gt;Valores!$C$92,Valores!$C$92,Valores!$C$93*B208)</f>
        <v>4528.26</v>
      </c>
      <c r="AA208" s="125">
        <f>IF((Valores!$C$28)*B208&gt;Valores!$F$28,Valores!$F$28,(Valores!$C$28)*B208)</f>
        <v>322.92</v>
      </c>
      <c r="AB208" s="215">
        <v>0</v>
      </c>
      <c r="AC208" s="125">
        <f t="shared" si="31"/>
        <v>0</v>
      </c>
      <c r="AD208" s="125">
        <f>IF(Valores!$C$29*B208&gt;Valores!$F$29,Valores!$F$29,Valores!$C$29*B208)</f>
        <v>268.92</v>
      </c>
      <c r="AE208" s="193">
        <v>0</v>
      </c>
      <c r="AF208" s="125">
        <f>ROUND(AE208*Valores!$C$2,2)</f>
        <v>0</v>
      </c>
      <c r="AG208" s="125">
        <f>IF($F$4="NO",IF(Valores!$D$59*'Escala Docente'!B208&gt;Valores!$F$59,Valores!$F$59,Valores!$D$59*'Escala Docente'!B208),IF(Valores!$D$59*'Escala Docente'!B208&gt;Valores!$F$59,Valores!$F$59,Valores!$D$59*'Escala Docente'!B208)/2)</f>
        <v>3805.38</v>
      </c>
      <c r="AH208" s="125">
        <f t="shared" si="34"/>
        <v>84737.54</v>
      </c>
      <c r="AI208" s="125">
        <f>IF(Valores!$C$32*B208&gt;Valores!$F$32,Valores!$F$32,Valores!$C$32*B208)</f>
        <v>5976.18</v>
      </c>
      <c r="AJ208" s="125">
        <f>IF(Valores!$C$86*B208&gt;Valores!$C$85,Valores!$C$85,Valores!$C$86*B208)</f>
        <v>2047.4999999999998</v>
      </c>
      <c r="AK208" s="125">
        <f>Valores!C$39*B208</f>
        <v>0</v>
      </c>
      <c r="AL208" s="125">
        <f>IF($F$3="NO",0,IF(Valores!$C$57*B208&gt;Valores!$F$57,Valores!$F$57,Valores!$C$57*B208))</f>
        <v>0</v>
      </c>
      <c r="AM208" s="125">
        <f t="shared" si="32"/>
        <v>8023.68</v>
      </c>
      <c r="AN208" s="125">
        <f>AH208*Valores!$C$67</f>
        <v>-9321.1294</v>
      </c>
      <c r="AO208" s="125">
        <f>AH208*-Valores!$C$68</f>
        <v>0</v>
      </c>
      <c r="AP208" s="125">
        <f>AH208*Valores!$C$69</f>
        <v>-3813.1892999999995</v>
      </c>
      <c r="AQ208" s="125">
        <f>Valores!$C$96</f>
        <v>-280.91</v>
      </c>
      <c r="AR208" s="125">
        <f>IF($F$5=0,Valores!$C$97,(Valores!$C$97+$F$5*(Valores!$C$97)))</f>
        <v>-658</v>
      </c>
      <c r="AS208" s="125">
        <f t="shared" si="35"/>
        <v>78687.9913</v>
      </c>
      <c r="AT208" s="125">
        <f t="shared" si="29"/>
        <v>-9321.1294</v>
      </c>
      <c r="AU208" s="125">
        <f>AH208*Valores!$C$70</f>
        <v>-2287.91358</v>
      </c>
      <c r="AV208" s="125">
        <f>AH208*Valores!$C$71</f>
        <v>-254.21262</v>
      </c>
      <c r="AW208" s="125">
        <f t="shared" si="33"/>
        <v>80897.9644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3">
        <f t="shared" si="27"/>
        <v>1881</v>
      </c>
      <c r="F209" s="125">
        <f>ROUND(E209*Valores!$C$2,2)</f>
        <v>40288.76</v>
      </c>
      <c r="G209" s="193">
        <v>0</v>
      </c>
      <c r="H209" s="125">
        <f>ROUND(G209*Valores!$C$2,2)</f>
        <v>0</v>
      </c>
      <c r="I209" s="193">
        <v>0</v>
      </c>
      <c r="J209" s="125">
        <f>ROUND(I209*Valores!$C$2,2)</f>
        <v>0</v>
      </c>
      <c r="K209" s="193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7130.25</v>
      </c>
      <c r="N209" s="125">
        <f t="shared" si="30"/>
        <v>0</v>
      </c>
      <c r="O209" s="125">
        <f>Valores!$C$7*B209</f>
        <v>13801.03</v>
      </c>
      <c r="P209" s="125">
        <f>ROUND(IF(B209&lt;15,(Valores!$E$5*B209),Valores!$D$5),2)</f>
        <v>10949.29</v>
      </c>
      <c r="Q209" s="125">
        <v>0</v>
      </c>
      <c r="R209" s="125">
        <f>IF($F$4="NO",IF(Valores!$C$45*B209&gt;Valores!$C$44,Valores!$C$44,Valores!$C$45*B209),IF(Valores!$C$45*B209&gt;Valores!$C$44,Valores!$C$44,Valores!$C$45*B209)/2)</f>
        <v>2905.4799999999996</v>
      </c>
      <c r="S209" s="125">
        <f>Valores!$C$18*B209</f>
        <v>4340.74</v>
      </c>
      <c r="T209" s="125">
        <f t="shared" si="36"/>
        <v>4340.74</v>
      </c>
      <c r="U209" s="125">
        <v>0</v>
      </c>
      <c r="V209" s="125">
        <v>0</v>
      </c>
      <c r="W209" s="193">
        <v>0</v>
      </c>
      <c r="X209" s="125">
        <f>ROUND(W209*Valores!$C$2,2)</f>
        <v>0</v>
      </c>
      <c r="Y209" s="125">
        <v>0</v>
      </c>
      <c r="Z209" s="125">
        <f>IF(Valores!$C$93*B209&gt;Valores!$C$92,Valores!$C$92,Valores!$C$93*B209)</f>
        <v>4779.83</v>
      </c>
      <c r="AA209" s="125">
        <f>IF((Valores!$C$28)*B209&gt;Valores!$F$28,Valores!$F$28,(Valores!$C$28)*B209)</f>
        <v>340.86</v>
      </c>
      <c r="AB209" s="215">
        <v>0</v>
      </c>
      <c r="AC209" s="125">
        <f t="shared" si="31"/>
        <v>0</v>
      </c>
      <c r="AD209" s="125">
        <f>IF(Valores!$C$29*B209&gt;Valores!$F$29,Valores!$F$29,Valores!$C$29*B209)</f>
        <v>283.86</v>
      </c>
      <c r="AE209" s="193">
        <v>0</v>
      </c>
      <c r="AF209" s="125">
        <f>ROUND(AE209*Valores!$C$2,2)</f>
        <v>0</v>
      </c>
      <c r="AG209" s="125">
        <f>IF($F$4="NO",IF(Valores!$D$59*'Escala Docente'!B209&gt;Valores!$F$59,Valores!$F$59,Valores!$D$59*'Escala Docente'!B209),IF(Valores!$D$59*'Escala Docente'!B209&gt;Valores!$F$59,Valores!$F$59,Valores!$D$59*'Escala Docente'!B209)/2)</f>
        <v>4016.79</v>
      </c>
      <c r="AH209" s="125">
        <f t="shared" si="34"/>
        <v>88836.89</v>
      </c>
      <c r="AI209" s="125">
        <f>IF(Valores!$C$32*B209&gt;Valores!$F$32,Valores!$F$32,Valores!$C$32*B209)</f>
        <v>6308.19</v>
      </c>
      <c r="AJ209" s="125">
        <f>IF(Valores!$C$86*B209&gt;Valores!$C$85,Valores!$C$85,Valores!$C$86*B209)</f>
        <v>2161.2499999999995</v>
      </c>
      <c r="AK209" s="125">
        <f>Valores!C$39*B209</f>
        <v>0</v>
      </c>
      <c r="AL209" s="125">
        <f>IF($F$3="NO",0,IF(Valores!$C$57*B209&gt;Valores!$F$57,Valores!$F$57,Valores!$C$57*B209))</f>
        <v>0</v>
      </c>
      <c r="AM209" s="125">
        <f t="shared" si="32"/>
        <v>8469.439999999999</v>
      </c>
      <c r="AN209" s="125">
        <f>AH209*Valores!$C$67</f>
        <v>-9772.0579</v>
      </c>
      <c r="AO209" s="125">
        <f>AH209*-Valores!$C$68</f>
        <v>0</v>
      </c>
      <c r="AP209" s="125">
        <f>AH209*Valores!$C$69</f>
        <v>-3997.66005</v>
      </c>
      <c r="AQ209" s="125">
        <f>Valores!$C$96</f>
        <v>-280.91</v>
      </c>
      <c r="AR209" s="125">
        <f>IF($F$5=0,Valores!$C$97,(Valores!$C$97+$F$5*(Valores!$C$97)))</f>
        <v>-658</v>
      </c>
      <c r="AS209" s="125">
        <f t="shared" si="35"/>
        <v>82597.70204999999</v>
      </c>
      <c r="AT209" s="125">
        <f t="shared" si="29"/>
        <v>-9772.0579</v>
      </c>
      <c r="AU209" s="125">
        <f>AH209*Valores!$C$70</f>
        <v>-2398.59603</v>
      </c>
      <c r="AV209" s="125">
        <f>AH209*Valores!$C$71</f>
        <v>-266.51067</v>
      </c>
      <c r="AW209" s="125">
        <f t="shared" si="33"/>
        <v>84869.1654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3">
        <f t="shared" si="27"/>
        <v>1980</v>
      </c>
      <c r="F210" s="125">
        <f>ROUND(E210*Valores!$C$2,2)</f>
        <v>42409.22</v>
      </c>
      <c r="G210" s="193">
        <v>0</v>
      </c>
      <c r="H210" s="125">
        <f>ROUND(G210*Valores!$C$2,2)</f>
        <v>0</v>
      </c>
      <c r="I210" s="193">
        <v>0</v>
      </c>
      <c r="J210" s="125">
        <f>ROUND(I210*Valores!$C$2,2)</f>
        <v>0</v>
      </c>
      <c r="K210" s="193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7505.52</v>
      </c>
      <c r="N210" s="125">
        <f t="shared" si="30"/>
        <v>0</v>
      </c>
      <c r="O210" s="125">
        <f>Valores!$C$7*B210</f>
        <v>14527.4</v>
      </c>
      <c r="P210" s="125">
        <f>ROUND(IF(B210&lt;15,(Valores!$E$5*B210),Valores!$D$5),2)</f>
        <v>10949.29</v>
      </c>
      <c r="Q210" s="125">
        <v>0</v>
      </c>
      <c r="R210" s="125">
        <f>IF($F$4="NO",IF(Valores!$C$45*B210&gt;Valores!$C$44,Valores!$C$44,Valores!$C$45*B210),IF(Valores!$C$45*B210&gt;Valores!$C$44,Valores!$C$44,Valores!$C$45*B210)/2)</f>
        <v>3058.3999999999996</v>
      </c>
      <c r="S210" s="125">
        <f>Valores!$C$18*B210</f>
        <v>4569.2</v>
      </c>
      <c r="T210" s="125">
        <f t="shared" si="36"/>
        <v>4569.2</v>
      </c>
      <c r="U210" s="125">
        <v>0</v>
      </c>
      <c r="V210" s="125">
        <v>0</v>
      </c>
      <c r="W210" s="193">
        <v>0</v>
      </c>
      <c r="X210" s="125">
        <f>ROUND(W210*Valores!$C$2,2)</f>
        <v>0</v>
      </c>
      <c r="Y210" s="125">
        <v>0</v>
      </c>
      <c r="Z210" s="125">
        <f>IF(Valores!$C$93*B210&gt;Valores!$C$92,Valores!$C$92,Valores!$C$93*B210)</f>
        <v>5031.4</v>
      </c>
      <c r="AA210" s="125">
        <f>IF((Valores!$C$28)*B210&gt;Valores!$F$28,Valores!$F$28,(Valores!$C$28)*B210)</f>
        <v>358.8</v>
      </c>
      <c r="AB210" s="215">
        <v>0</v>
      </c>
      <c r="AC210" s="125">
        <f t="shared" si="31"/>
        <v>0</v>
      </c>
      <c r="AD210" s="125">
        <f>IF(Valores!$C$29*B210&gt;Valores!$F$29,Valores!$F$29,Valores!$C$29*B210)</f>
        <v>298.8</v>
      </c>
      <c r="AE210" s="193">
        <v>0</v>
      </c>
      <c r="AF210" s="125">
        <f>ROUND(AE210*Valores!$C$2,2)</f>
        <v>0</v>
      </c>
      <c r="AG210" s="125">
        <f>IF($F$4="NO",IF(Valores!$D$59*'Escala Docente'!B210&gt;Valores!$F$59,Valores!$F$59,Valores!$D$59*'Escala Docente'!B210),IF(Valores!$D$59*'Escala Docente'!B210&gt;Valores!$F$59,Valores!$F$59,Valores!$D$59*'Escala Docente'!B210)/2)</f>
        <v>4228.2</v>
      </c>
      <c r="AH210" s="125">
        <f t="shared" si="34"/>
        <v>92936.23</v>
      </c>
      <c r="AI210" s="125">
        <f>IF(Valores!$C$32*B210&gt;Valores!$F$32,Valores!$F$32,Valores!$C$32*B210)</f>
        <v>6640.2</v>
      </c>
      <c r="AJ210" s="125">
        <f>IF(Valores!$C$86*B210&gt;Valores!$C$85,Valores!$C$85,Valores!$C$86*B210)</f>
        <v>2274.9999999999995</v>
      </c>
      <c r="AK210" s="125">
        <f>Valores!C$39*B210</f>
        <v>0</v>
      </c>
      <c r="AL210" s="125">
        <f>IF($F$3="NO",0,IF(Valores!$C$57*B210&gt;Valores!$F$57,Valores!$F$57,Valores!$C$57*B210))</f>
        <v>0</v>
      </c>
      <c r="AM210" s="125">
        <f t="shared" si="32"/>
        <v>8915.199999999999</v>
      </c>
      <c r="AN210" s="125">
        <f>AH210*Valores!$C$67</f>
        <v>-10222.9853</v>
      </c>
      <c r="AO210" s="125">
        <f>AH210*-Valores!$C$68</f>
        <v>0</v>
      </c>
      <c r="AP210" s="125">
        <f>AH210*Valores!$C$69</f>
        <v>-4182.130349999999</v>
      </c>
      <c r="AQ210" s="125">
        <f>Valores!$C$96</f>
        <v>-280.91</v>
      </c>
      <c r="AR210" s="125">
        <f>IF($F$5=0,Valores!$C$97,(Valores!$C$97+$F$5*(Valores!$C$97)))</f>
        <v>-658</v>
      </c>
      <c r="AS210" s="125">
        <f t="shared" si="35"/>
        <v>86507.40435</v>
      </c>
      <c r="AT210" s="125">
        <f t="shared" si="29"/>
        <v>-10222.9853</v>
      </c>
      <c r="AU210" s="125">
        <f>AH210*Valores!$C$70</f>
        <v>-2509.27821</v>
      </c>
      <c r="AV210" s="125">
        <f>AH210*Valores!$C$71</f>
        <v>-278.80869</v>
      </c>
      <c r="AW210" s="125">
        <f t="shared" si="33"/>
        <v>88840.3578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3">
        <f t="shared" si="27"/>
        <v>2079</v>
      </c>
      <c r="F211" s="125">
        <f>ROUND(E211*Valores!$C$2,2)</f>
        <v>44529.69</v>
      </c>
      <c r="G211" s="193">
        <v>0</v>
      </c>
      <c r="H211" s="125">
        <f>ROUND(G211*Valores!$C$2,2)</f>
        <v>0</v>
      </c>
      <c r="I211" s="193">
        <v>0</v>
      </c>
      <c r="J211" s="125">
        <f>ROUND(I211*Valores!$C$2,2)</f>
        <v>0</v>
      </c>
      <c r="K211" s="193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7880.8</v>
      </c>
      <c r="N211" s="125">
        <f t="shared" si="30"/>
        <v>0</v>
      </c>
      <c r="O211" s="125">
        <f>Valores!$C$7*B211</f>
        <v>15253.77</v>
      </c>
      <c r="P211" s="125">
        <f>ROUND(IF(B211&lt;15,(Valores!$E$5*B211),Valores!$D$5),2)</f>
        <v>10949.29</v>
      </c>
      <c r="Q211" s="125">
        <v>0</v>
      </c>
      <c r="R211" s="125">
        <f>IF($F$4="NO",IF(Valores!$C$45*B211&gt;Valores!$C$44,Valores!$C$44,Valores!$C$45*B211),IF(Valores!$C$45*B211&gt;Valores!$C$44,Valores!$C$44,Valores!$C$45*B211)/2)</f>
        <v>3211.3199999999997</v>
      </c>
      <c r="S211" s="125">
        <f>Valores!$C$18*B211</f>
        <v>4797.66</v>
      </c>
      <c r="T211" s="125">
        <f t="shared" si="36"/>
        <v>4797.66</v>
      </c>
      <c r="U211" s="125">
        <v>0</v>
      </c>
      <c r="V211" s="125">
        <v>0</v>
      </c>
      <c r="W211" s="193">
        <v>0</v>
      </c>
      <c r="X211" s="125">
        <f>ROUND(W211*Valores!$C$2,2)</f>
        <v>0</v>
      </c>
      <c r="Y211" s="125">
        <v>0</v>
      </c>
      <c r="Z211" s="125">
        <f>IF(Valores!$C$93*B211&gt;Valores!$C$92,Valores!$C$92,Valores!$C$93*B211)</f>
        <v>5282.97</v>
      </c>
      <c r="AA211" s="125">
        <f>IF((Valores!$C$28)*B211&gt;Valores!$F$28,Valores!$F$28,(Valores!$C$28)*B211)</f>
        <v>376.74</v>
      </c>
      <c r="AB211" s="215">
        <v>0</v>
      </c>
      <c r="AC211" s="125">
        <f t="shared" si="31"/>
        <v>0</v>
      </c>
      <c r="AD211" s="125">
        <f>IF(Valores!$C$29*B211&gt;Valores!$F$29,Valores!$F$29,Valores!$C$29*B211)</f>
        <v>313.74</v>
      </c>
      <c r="AE211" s="193">
        <v>0</v>
      </c>
      <c r="AF211" s="125">
        <f>ROUND(AE211*Valores!$C$2,2)</f>
        <v>0</v>
      </c>
      <c r="AG211" s="125">
        <f>IF($F$4="NO",IF(Valores!$D$59*'Escala Docente'!B211&gt;Valores!$F$59,Valores!$F$59,Valores!$D$59*'Escala Docente'!B211),IF(Valores!$D$59*'Escala Docente'!B211&gt;Valores!$F$59,Valores!$F$59,Valores!$D$59*'Escala Docente'!B211)/2)</f>
        <v>4439.61</v>
      </c>
      <c r="AH211" s="125">
        <f t="shared" si="34"/>
        <v>97035.59000000004</v>
      </c>
      <c r="AI211" s="125">
        <f>IF(Valores!$C$32*B211&gt;Valores!$F$32,Valores!$F$32,Valores!$C$32*B211)</f>
        <v>6972.21</v>
      </c>
      <c r="AJ211" s="125">
        <f>IF(Valores!$C$86*B211&gt;Valores!$C$85,Valores!$C$85,Valores!$C$86*B211)</f>
        <v>2388.7499999999995</v>
      </c>
      <c r="AK211" s="125">
        <f>Valores!C$39*B211</f>
        <v>0</v>
      </c>
      <c r="AL211" s="125">
        <f>IF($F$3="NO",0,IF(Valores!$C$57*B211&gt;Valores!$F$57,Valores!$F$57,Valores!$C$57*B211))</f>
        <v>0</v>
      </c>
      <c r="AM211" s="125">
        <f t="shared" si="32"/>
        <v>9360.96</v>
      </c>
      <c r="AN211" s="125">
        <f>AH211*Valores!$C$67</f>
        <v>-10673.914900000005</v>
      </c>
      <c r="AO211" s="125">
        <f>AH211*-Valores!$C$68</f>
        <v>0</v>
      </c>
      <c r="AP211" s="125">
        <f>AH211*Valores!$C$69</f>
        <v>-4366.601550000001</v>
      </c>
      <c r="AQ211" s="125">
        <f>Valores!$C$96</f>
        <v>-280.91</v>
      </c>
      <c r="AR211" s="125">
        <f>IF($F$5=0,Valores!$C$97,(Valores!$C$97+$F$5*(Valores!$C$97)))</f>
        <v>-658</v>
      </c>
      <c r="AS211" s="125">
        <f t="shared" si="35"/>
        <v>90417.12355000003</v>
      </c>
      <c r="AT211" s="125">
        <f t="shared" si="29"/>
        <v>-10673.914900000005</v>
      </c>
      <c r="AU211" s="125">
        <f>AH211*Valores!$C$70</f>
        <v>-2619.960930000001</v>
      </c>
      <c r="AV211" s="125">
        <f>AH211*Valores!$C$71</f>
        <v>-291.10677000000015</v>
      </c>
      <c r="AW211" s="125">
        <f t="shared" si="33"/>
        <v>92811.56740000004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3">
        <f t="shared" si="27"/>
        <v>2178</v>
      </c>
      <c r="F212" s="125">
        <f>ROUND(E212*Valores!$C$2,2)</f>
        <v>46650.15</v>
      </c>
      <c r="G212" s="193">
        <v>0</v>
      </c>
      <c r="H212" s="125">
        <f>ROUND(G212*Valores!$C$2,2)</f>
        <v>0</v>
      </c>
      <c r="I212" s="193">
        <v>0</v>
      </c>
      <c r="J212" s="125">
        <f>ROUND(I212*Valores!$C$2,2)</f>
        <v>0</v>
      </c>
      <c r="K212" s="193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8256.08</v>
      </c>
      <c r="N212" s="125">
        <f t="shared" si="30"/>
        <v>0</v>
      </c>
      <c r="O212" s="125">
        <f>Valores!$C$7*B212</f>
        <v>15980.14</v>
      </c>
      <c r="P212" s="125">
        <f>ROUND(IF(B212&lt;15,(Valores!$E$5*B212),Valores!$D$5),2)</f>
        <v>10949.29</v>
      </c>
      <c r="Q212" s="125">
        <v>0</v>
      </c>
      <c r="R212" s="125">
        <f>IF($F$4="NO",IF(Valores!$C$45*B212&gt;Valores!$C$44,Valores!$C$44,Valores!$C$45*B212),IF(Valores!$C$45*B212&gt;Valores!$C$44,Valores!$C$44,Valores!$C$45*B212)/2)</f>
        <v>3364.24</v>
      </c>
      <c r="S212" s="125">
        <f>Valores!$C$18*B212</f>
        <v>5026.12</v>
      </c>
      <c r="T212" s="125">
        <f t="shared" si="36"/>
        <v>5026.12</v>
      </c>
      <c r="U212" s="125">
        <v>0</v>
      </c>
      <c r="V212" s="125">
        <v>0</v>
      </c>
      <c r="W212" s="193">
        <v>0</v>
      </c>
      <c r="X212" s="125">
        <f>ROUND(W212*Valores!$C$2,2)</f>
        <v>0</v>
      </c>
      <c r="Y212" s="125">
        <v>0</v>
      </c>
      <c r="Z212" s="125">
        <f>IF(Valores!$C$93*B212&gt;Valores!$C$92,Valores!$C$92,Valores!$C$93*B212)</f>
        <v>5534.54</v>
      </c>
      <c r="AA212" s="125">
        <f>IF((Valores!$C$28)*B212&gt;Valores!$F$28,Valores!$F$28,(Valores!$C$28)*B212)</f>
        <v>394.68</v>
      </c>
      <c r="AB212" s="215">
        <v>0</v>
      </c>
      <c r="AC212" s="125">
        <f t="shared" si="31"/>
        <v>0</v>
      </c>
      <c r="AD212" s="125">
        <f>IF(Valores!$C$29*B212&gt;Valores!$F$29,Valores!$F$29,Valores!$C$29*B212)</f>
        <v>328.68</v>
      </c>
      <c r="AE212" s="193">
        <v>0</v>
      </c>
      <c r="AF212" s="125">
        <f>ROUND(AE212*Valores!$C$2,2)</f>
        <v>0</v>
      </c>
      <c r="AG212" s="125">
        <f>IF($F$4="NO",IF(Valores!$D$59*'Escala Docente'!B212&gt;Valores!$F$59,Valores!$F$59,Valores!$D$59*'Escala Docente'!B212),IF(Valores!$D$59*'Escala Docente'!B212&gt;Valores!$F$59,Valores!$F$59,Valores!$D$59*'Escala Docente'!B212)/2)</f>
        <v>4651.0199999999995</v>
      </c>
      <c r="AH212" s="125">
        <f t="shared" si="34"/>
        <v>101134.93999999999</v>
      </c>
      <c r="AI212" s="125">
        <f>IF(Valores!$C$32*B212&gt;Valores!$F$32,Valores!$F$32,Valores!$C$32*B212)</f>
        <v>7304.219999999999</v>
      </c>
      <c r="AJ212" s="125">
        <f>IF(Valores!$C$86*B212&gt;Valores!$C$85,Valores!$C$85,Valores!$C$86*B212)</f>
        <v>2502.4999999999995</v>
      </c>
      <c r="AK212" s="125">
        <f>Valores!C$39*B212</f>
        <v>0</v>
      </c>
      <c r="AL212" s="125">
        <f>IF($F$3="NO",0,IF(Valores!$C$57*B212&gt;Valores!$F$57,Valores!$F$57,Valores!$C$57*B212))</f>
        <v>0</v>
      </c>
      <c r="AM212" s="125">
        <f t="shared" si="32"/>
        <v>9806.72</v>
      </c>
      <c r="AN212" s="125">
        <f>AH212*Valores!$C$67</f>
        <v>-11124.843399999998</v>
      </c>
      <c r="AO212" s="125">
        <f>AH212*-Valores!$C$68</f>
        <v>0</v>
      </c>
      <c r="AP212" s="125">
        <f>AH212*Valores!$C$69</f>
        <v>-4551.072299999999</v>
      </c>
      <c r="AQ212" s="125">
        <f>Valores!$C$96</f>
        <v>-280.91</v>
      </c>
      <c r="AR212" s="125">
        <f>IF($F$5=0,Valores!$C$97,(Valores!$C$97+$F$5*(Valores!$C$97)))</f>
        <v>-658</v>
      </c>
      <c r="AS212" s="125">
        <f t="shared" si="35"/>
        <v>94326.83429999999</v>
      </c>
      <c r="AT212" s="125">
        <f t="shared" si="29"/>
        <v>-11124.843399999998</v>
      </c>
      <c r="AU212" s="125">
        <f>AH212*Valores!$C$70</f>
        <v>-2730.6433799999995</v>
      </c>
      <c r="AV212" s="125">
        <f>AH212*Valores!$C$71</f>
        <v>-303.40482</v>
      </c>
      <c r="AW212" s="125">
        <f t="shared" si="33"/>
        <v>96782.76839999999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3">
        <f t="shared" si="27"/>
        <v>2277</v>
      </c>
      <c r="F213" s="125">
        <f>ROUND(E213*Valores!$C$2,2)</f>
        <v>48770.61</v>
      </c>
      <c r="G213" s="193">
        <v>0</v>
      </c>
      <c r="H213" s="125">
        <f>ROUND(G213*Valores!$C$2,2)</f>
        <v>0</v>
      </c>
      <c r="I213" s="193">
        <v>0</v>
      </c>
      <c r="J213" s="125">
        <f>ROUND(I213*Valores!$C$2,2)</f>
        <v>0</v>
      </c>
      <c r="K213" s="193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8631.35</v>
      </c>
      <c r="N213" s="125">
        <f t="shared" si="30"/>
        <v>0</v>
      </c>
      <c r="O213" s="125">
        <f>Valores!$C$7*B213</f>
        <v>16706.51</v>
      </c>
      <c r="P213" s="125">
        <f>ROUND(IF(B213&lt;15,(Valores!$E$5*B213),Valores!$D$5),2)</f>
        <v>10949.29</v>
      </c>
      <c r="Q213" s="125">
        <v>0</v>
      </c>
      <c r="R213" s="125">
        <f>IF($F$4="NO",IF(Valores!$C$45*B213&gt;Valores!$C$44,Valores!$C$44,Valores!$C$45*B213),IF(Valores!$C$45*B213&gt;Valores!$C$44,Valores!$C$44,Valores!$C$45*B213)/2)</f>
        <v>3517.16</v>
      </c>
      <c r="S213" s="125">
        <f>Valores!$C$18*B213</f>
        <v>5254.58</v>
      </c>
      <c r="T213" s="125">
        <f t="shared" si="36"/>
        <v>5254.58</v>
      </c>
      <c r="U213" s="125">
        <v>0</v>
      </c>
      <c r="V213" s="125">
        <v>0</v>
      </c>
      <c r="W213" s="193">
        <v>0</v>
      </c>
      <c r="X213" s="125">
        <f>ROUND(W213*Valores!$C$2,2)</f>
        <v>0</v>
      </c>
      <c r="Y213" s="125">
        <v>0</v>
      </c>
      <c r="Z213" s="125">
        <f>IF(Valores!$C$93*B213&gt;Valores!$C$92,Valores!$C$92,Valores!$C$93*B213)</f>
        <v>5786.11</v>
      </c>
      <c r="AA213" s="125">
        <f>IF((Valores!$C$28)*B213&gt;Valores!$F$28,Valores!$F$28,(Valores!$C$28)*B213)</f>
        <v>412.62</v>
      </c>
      <c r="AB213" s="215">
        <v>0</v>
      </c>
      <c r="AC213" s="125">
        <f t="shared" si="31"/>
        <v>0</v>
      </c>
      <c r="AD213" s="125">
        <f>IF(Valores!$C$29*B213&gt;Valores!$F$29,Valores!$F$29,Valores!$C$29*B213)</f>
        <v>343.62</v>
      </c>
      <c r="AE213" s="193">
        <v>0</v>
      </c>
      <c r="AF213" s="125">
        <f>ROUND(AE213*Valores!$C$2,2)</f>
        <v>0</v>
      </c>
      <c r="AG213" s="125">
        <f>IF($F$4="NO",IF(Valores!$D$59*'Escala Docente'!B213&gt;Valores!$F$59,Valores!$F$59,Valores!$D$59*'Escala Docente'!B213),IF(Valores!$D$59*'Escala Docente'!B213&gt;Valores!$F$59,Valores!$F$59,Valores!$D$59*'Escala Docente'!B213)/2)</f>
        <v>4862.43</v>
      </c>
      <c r="AH213" s="125">
        <f t="shared" si="34"/>
        <v>105234.28</v>
      </c>
      <c r="AI213" s="125">
        <f>IF(Valores!$C$32*B213&gt;Valores!$F$32,Valores!$F$32,Valores!$C$32*B213)</f>
        <v>7636.23</v>
      </c>
      <c r="AJ213" s="125">
        <f>IF(Valores!$C$86*B213&gt;Valores!$C$85,Valores!$C$85,Valores!$C$86*B213)</f>
        <v>2616.2499999999995</v>
      </c>
      <c r="AK213" s="125">
        <f>Valores!C$39*B213</f>
        <v>0</v>
      </c>
      <c r="AL213" s="125">
        <f>IF($F$3="NO",0,IF(Valores!$C$57*B213&gt;Valores!$F$57,Valores!$F$57,Valores!$C$57*B213))</f>
        <v>0</v>
      </c>
      <c r="AM213" s="125">
        <f t="shared" si="32"/>
        <v>10252.48</v>
      </c>
      <c r="AN213" s="125">
        <f>AH213*Valores!$C$67</f>
        <v>-11575.7708</v>
      </c>
      <c r="AO213" s="125">
        <f>AH213*-Valores!$C$68</f>
        <v>0</v>
      </c>
      <c r="AP213" s="125">
        <f>AH213*Valores!$C$69</f>
        <v>-4735.5426</v>
      </c>
      <c r="AQ213" s="125">
        <f>Valores!$C$96</f>
        <v>-280.91</v>
      </c>
      <c r="AR213" s="125">
        <f>IF($F$5=0,Valores!$C$97,(Valores!$C$97+$F$5*(Valores!$C$97)))</f>
        <v>-658</v>
      </c>
      <c r="AS213" s="125">
        <f t="shared" si="35"/>
        <v>98236.53659999999</v>
      </c>
      <c r="AT213" s="125">
        <f t="shared" si="29"/>
        <v>-11575.7708</v>
      </c>
      <c r="AU213" s="125">
        <f>AH213*Valores!$C$70</f>
        <v>-2841.3255599999998</v>
      </c>
      <c r="AV213" s="125">
        <f>AH213*Valores!$C$71</f>
        <v>-315.70284</v>
      </c>
      <c r="AW213" s="125">
        <f t="shared" si="33"/>
        <v>100753.9608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3">
        <f t="shared" si="27"/>
        <v>2376</v>
      </c>
      <c r="F214" s="125">
        <f>ROUND(E214*Valores!$C$2,2)</f>
        <v>50891.07</v>
      </c>
      <c r="G214" s="193">
        <v>0</v>
      </c>
      <c r="H214" s="125">
        <f>ROUND(G214*Valores!$C$2,2)</f>
        <v>0</v>
      </c>
      <c r="I214" s="193">
        <v>0</v>
      </c>
      <c r="J214" s="125">
        <f>ROUND(I214*Valores!$C$2,2)</f>
        <v>0</v>
      </c>
      <c r="K214" s="193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9006.63</v>
      </c>
      <c r="N214" s="125">
        <f t="shared" si="30"/>
        <v>0</v>
      </c>
      <c r="O214" s="125">
        <f>Valores!$C$7*B214</f>
        <v>17432.88</v>
      </c>
      <c r="P214" s="125">
        <f>ROUND(IF(B214&lt;15,(Valores!$E$5*B214),Valores!$D$5),2)</f>
        <v>10949.29</v>
      </c>
      <c r="Q214" s="125">
        <v>0</v>
      </c>
      <c r="R214" s="125">
        <f>IF($F$4="NO",IF(Valores!$C$45*B214&gt;Valores!$C$44,Valores!$C$44,Valores!$C$45*B214),IF(Valores!$C$45*B214&gt;Valores!$C$44,Valores!$C$44,Valores!$C$45*B214)/2)</f>
        <v>3670.08</v>
      </c>
      <c r="S214" s="125">
        <f>Valores!$C$18*B214</f>
        <v>5483.04</v>
      </c>
      <c r="T214" s="125">
        <f t="shared" si="36"/>
        <v>5483.04</v>
      </c>
      <c r="U214" s="125">
        <v>0</v>
      </c>
      <c r="V214" s="125">
        <v>0</v>
      </c>
      <c r="W214" s="193">
        <v>0</v>
      </c>
      <c r="X214" s="125">
        <f>ROUND(W214*Valores!$C$2,2)</f>
        <v>0</v>
      </c>
      <c r="Y214" s="125">
        <v>0</v>
      </c>
      <c r="Z214" s="125">
        <f>IF(Valores!$C$93*B214&gt;Valores!$C$92,Valores!$C$92,Valores!$C$93*B214)</f>
        <v>6037.68</v>
      </c>
      <c r="AA214" s="125">
        <f>IF((Valores!$C$28)*B214&gt;Valores!$F$28,Valores!$F$28,(Valores!$C$28)*B214)</f>
        <v>430.56000000000006</v>
      </c>
      <c r="AB214" s="215">
        <v>0</v>
      </c>
      <c r="AC214" s="125">
        <f t="shared" si="31"/>
        <v>0</v>
      </c>
      <c r="AD214" s="125">
        <f>IF(Valores!$C$29*B214&gt;Valores!$F$29,Valores!$F$29,Valores!$C$29*B214)</f>
        <v>358.56</v>
      </c>
      <c r="AE214" s="193">
        <v>0</v>
      </c>
      <c r="AF214" s="125">
        <f>ROUND(AE214*Valores!$C$2,2)</f>
        <v>0</v>
      </c>
      <c r="AG214" s="125">
        <f>IF($F$4="NO",IF(Valores!$D$59*'Escala Docente'!B214&gt;Valores!$F$59,Valores!$F$59,Valores!$D$59*'Escala Docente'!B214),IF(Valores!$D$59*'Escala Docente'!B214&gt;Valores!$F$59,Valores!$F$59,Valores!$D$59*'Escala Docente'!B214)/2)</f>
        <v>5073.84</v>
      </c>
      <c r="AH214" s="125">
        <f t="shared" si="34"/>
        <v>109333.62999999998</v>
      </c>
      <c r="AI214" s="125">
        <f>IF(Valores!$C$32*B214&gt;Valores!$F$32,Valores!$F$32,Valores!$C$32*B214)</f>
        <v>7968.24</v>
      </c>
      <c r="AJ214" s="125">
        <f>IF(Valores!$C$86*B214&gt;Valores!$C$85,Valores!$C$85,Valores!$C$86*B214)</f>
        <v>2729.9999999999995</v>
      </c>
      <c r="AK214" s="125">
        <f>Valores!C$39*B214</f>
        <v>0</v>
      </c>
      <c r="AL214" s="125">
        <f>IF($F$3="NO",0,IF(Valores!$C$57*B214&gt;Valores!$F$57,Valores!$F$57,Valores!$C$57*B214))</f>
        <v>0</v>
      </c>
      <c r="AM214" s="125">
        <f t="shared" si="32"/>
        <v>10698.24</v>
      </c>
      <c r="AN214" s="125">
        <f>AH214*Valores!$C$67</f>
        <v>-12026.699299999997</v>
      </c>
      <c r="AO214" s="125">
        <f>AH214*-Valores!$C$68</f>
        <v>0</v>
      </c>
      <c r="AP214" s="125">
        <f>AH214*Valores!$C$69</f>
        <v>-4920.013349999998</v>
      </c>
      <c r="AQ214" s="125">
        <f>Valores!$C$96</f>
        <v>-280.91</v>
      </c>
      <c r="AR214" s="125">
        <f>IF($F$5=0,Valores!$C$97,(Valores!$C$97+$F$5*(Valores!$C$97)))</f>
        <v>-658</v>
      </c>
      <c r="AS214" s="125">
        <f t="shared" si="35"/>
        <v>102146.24734999998</v>
      </c>
      <c r="AT214" s="125">
        <f t="shared" si="29"/>
        <v>-12026.699299999997</v>
      </c>
      <c r="AU214" s="125">
        <f>AH214*Valores!$C$70</f>
        <v>-2952.008009999999</v>
      </c>
      <c r="AV214" s="125">
        <f>AH214*Valores!$C$71</f>
        <v>-328.0008899999999</v>
      </c>
      <c r="AW214" s="125">
        <f t="shared" si="33"/>
        <v>104725.16179999999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3">
        <f t="shared" si="27"/>
        <v>2475</v>
      </c>
      <c r="F215" s="125">
        <f>ROUND(E215*Valores!$C$2,2)</f>
        <v>53011.53</v>
      </c>
      <c r="G215" s="193">
        <v>0</v>
      </c>
      <c r="H215" s="125">
        <f>ROUND(G215*Valores!$C$2,2)</f>
        <v>0</v>
      </c>
      <c r="I215" s="193">
        <v>0</v>
      </c>
      <c r="J215" s="125">
        <f>ROUND(I215*Valores!$C$2,2)</f>
        <v>0</v>
      </c>
      <c r="K215" s="193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9381.9</v>
      </c>
      <c r="N215" s="125">
        <f t="shared" si="30"/>
        <v>0</v>
      </c>
      <c r="O215" s="125">
        <f>Valores!$C$7*B215</f>
        <v>18159.25</v>
      </c>
      <c r="P215" s="125">
        <f>ROUND(IF(B215&lt;15,(Valores!$E$5*B215),Valores!$D$5),2)</f>
        <v>10949.29</v>
      </c>
      <c r="Q215" s="125">
        <v>0</v>
      </c>
      <c r="R215" s="125">
        <f>IF($F$4="NO",IF(Valores!$C$45*B215&gt;Valores!$C$44,Valores!$C$44,Valores!$C$45*B215),IF(Valores!$C$45*B215&gt;Valores!$C$44,Valores!$C$44,Valores!$C$45*B215)/2)</f>
        <v>3822.9999999999995</v>
      </c>
      <c r="S215" s="125">
        <f>Valores!$C$18*B215</f>
        <v>5711.5</v>
      </c>
      <c r="T215" s="125">
        <f t="shared" si="36"/>
        <v>5711.5</v>
      </c>
      <c r="U215" s="125">
        <v>0</v>
      </c>
      <c r="V215" s="125">
        <v>0</v>
      </c>
      <c r="W215" s="193">
        <v>0</v>
      </c>
      <c r="X215" s="125">
        <f>ROUND(W215*Valores!$C$2,2)</f>
        <v>0</v>
      </c>
      <c r="Y215" s="125">
        <v>0</v>
      </c>
      <c r="Z215" s="125">
        <f>IF(Valores!$C$93*B215&gt;Valores!$C$92,Valores!$C$92,Valores!$C$93*B215)</f>
        <v>6289.25</v>
      </c>
      <c r="AA215" s="125">
        <f>IF((Valores!$C$28)*B215&gt;Valores!$F$28,Valores!$F$28,(Valores!$C$28)*B215)</f>
        <v>448.50000000000006</v>
      </c>
      <c r="AB215" s="215">
        <v>0</v>
      </c>
      <c r="AC215" s="125">
        <f t="shared" si="31"/>
        <v>0</v>
      </c>
      <c r="AD215" s="125">
        <f>IF(Valores!$C$29*B215&gt;Valores!$F$29,Valores!$F$29,Valores!$C$29*B215)</f>
        <v>373.5</v>
      </c>
      <c r="AE215" s="193">
        <v>0</v>
      </c>
      <c r="AF215" s="125">
        <f>ROUND(AE215*Valores!$C$2,2)</f>
        <v>0</v>
      </c>
      <c r="AG215" s="125">
        <f>IF($F$4="NO",IF(Valores!$D$59*'Escala Docente'!B215&gt;Valores!$F$59,Valores!$F$59,Valores!$D$59*'Escala Docente'!B215),IF(Valores!$D$59*'Escala Docente'!B215&gt;Valores!$F$59,Valores!$F$59,Valores!$D$59*'Escala Docente'!B215)/2)</f>
        <v>5285.25</v>
      </c>
      <c r="AH215" s="125">
        <f t="shared" si="34"/>
        <v>113432.97</v>
      </c>
      <c r="AI215" s="125">
        <f>IF(Valores!$C$32*B215&gt;Valores!$F$32,Valores!$F$32,Valores!$C$32*B215)</f>
        <v>8300.25</v>
      </c>
      <c r="AJ215" s="125">
        <f>IF(Valores!$C$86*B215&gt;Valores!$C$85,Valores!$C$85,Valores!$C$86*B215)</f>
        <v>2843.7499999999995</v>
      </c>
      <c r="AK215" s="125">
        <f>Valores!C$39*B215</f>
        <v>0</v>
      </c>
      <c r="AL215" s="125">
        <f>IF($F$3="NO",0,IF(Valores!$C$57*B215&gt;Valores!$F$57,Valores!$F$57,Valores!$C$57*B215))</f>
        <v>0</v>
      </c>
      <c r="AM215" s="125">
        <f t="shared" si="32"/>
        <v>11144</v>
      </c>
      <c r="AN215" s="125">
        <f>AH215*Valores!$C$67</f>
        <v>-12477.6267</v>
      </c>
      <c r="AO215" s="125">
        <f>AH215*-Valores!$C$68</f>
        <v>0</v>
      </c>
      <c r="AP215" s="125">
        <f>AH215*Valores!$C$69</f>
        <v>-5104.48365</v>
      </c>
      <c r="AQ215" s="125">
        <f>Valores!$C$96</f>
        <v>-280.91</v>
      </c>
      <c r="AR215" s="125">
        <f>IF($F$5=0,Valores!$C$97,(Valores!$C$97+$F$5*(Valores!$C$97)))</f>
        <v>-658</v>
      </c>
      <c r="AS215" s="125">
        <f t="shared" si="35"/>
        <v>106055.94965</v>
      </c>
      <c r="AT215" s="125">
        <f t="shared" si="29"/>
        <v>-12477.6267</v>
      </c>
      <c r="AU215" s="125">
        <f>AH215*Valores!$C$70</f>
        <v>-3062.69019</v>
      </c>
      <c r="AV215" s="125">
        <f>AH215*Valores!$C$71</f>
        <v>-340.29891000000003</v>
      </c>
      <c r="AW215" s="125">
        <f t="shared" si="33"/>
        <v>108696.3542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3">
        <f t="shared" si="27"/>
        <v>2574</v>
      </c>
      <c r="F216" s="125">
        <f>ROUND(E216*Valores!$C$2,2)</f>
        <v>55131.99</v>
      </c>
      <c r="G216" s="193">
        <v>0</v>
      </c>
      <c r="H216" s="125">
        <f>ROUND(G216*Valores!$C$2,2)</f>
        <v>0</v>
      </c>
      <c r="I216" s="193">
        <v>0</v>
      </c>
      <c r="J216" s="125">
        <f>ROUND(I216*Valores!$C$2,2)</f>
        <v>0</v>
      </c>
      <c r="K216" s="193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9757.18</v>
      </c>
      <c r="N216" s="125">
        <f t="shared" si="30"/>
        <v>0</v>
      </c>
      <c r="O216" s="125">
        <f>Valores!$C$7*B216</f>
        <v>18885.62</v>
      </c>
      <c r="P216" s="125">
        <f>ROUND(IF(B216&lt;15,(Valores!$E$5*B216),Valores!$D$5),2)</f>
        <v>10949.29</v>
      </c>
      <c r="Q216" s="125">
        <v>0</v>
      </c>
      <c r="R216" s="125">
        <f>IF($F$4="NO",IF(Valores!$C$45*B216&gt;Valores!$C$44,Valores!$C$44,Valores!$C$45*B216),IF(Valores!$C$45*B216&gt;Valores!$C$44,Valores!$C$44,Valores!$C$45*B216)/2)</f>
        <v>3975.9199999999996</v>
      </c>
      <c r="S216" s="125">
        <f>Valores!$C$18*B216</f>
        <v>5939.96</v>
      </c>
      <c r="T216" s="125">
        <f t="shared" si="36"/>
        <v>5939.96</v>
      </c>
      <c r="U216" s="125">
        <v>0</v>
      </c>
      <c r="V216" s="125">
        <v>0</v>
      </c>
      <c r="W216" s="193">
        <v>0</v>
      </c>
      <c r="X216" s="125">
        <f>ROUND(W216*Valores!$C$2,2)</f>
        <v>0</v>
      </c>
      <c r="Y216" s="125">
        <v>0</v>
      </c>
      <c r="Z216" s="125">
        <f>IF(Valores!$C$93*B216&gt;Valores!$C$92,Valores!$C$92,Valores!$C$93*B216)</f>
        <v>6540.82</v>
      </c>
      <c r="AA216" s="125">
        <f>IF((Valores!$C$28)*B216&gt;Valores!$F$28,Valores!$F$28,(Valores!$C$28)*B216)</f>
        <v>466.44000000000005</v>
      </c>
      <c r="AB216" s="215">
        <v>0</v>
      </c>
      <c r="AC216" s="125">
        <f t="shared" si="31"/>
        <v>0</v>
      </c>
      <c r="AD216" s="125">
        <f>IF(Valores!$C$29*B216&gt;Valores!$F$29,Valores!$F$29,Valores!$C$29*B216)</f>
        <v>388.44</v>
      </c>
      <c r="AE216" s="193">
        <v>0</v>
      </c>
      <c r="AF216" s="125">
        <f>ROUND(AE216*Valores!$C$2,2)</f>
        <v>0</v>
      </c>
      <c r="AG216" s="125">
        <f>IF($F$4="NO",IF(Valores!$D$59*'Escala Docente'!B216&gt;Valores!$F$59,Valores!$F$59,Valores!$D$59*'Escala Docente'!B216),IF(Valores!$D$59*'Escala Docente'!B216&gt;Valores!$F$59,Valores!$F$59,Valores!$D$59*'Escala Docente'!B216)/2)</f>
        <v>5496.66</v>
      </c>
      <c r="AH216" s="125">
        <f t="shared" si="34"/>
        <v>117532.32</v>
      </c>
      <c r="AI216" s="125">
        <f>IF(Valores!$C$32*B216&gt;Valores!$F$32,Valores!$F$32,Valores!$C$32*B216)</f>
        <v>8632.26</v>
      </c>
      <c r="AJ216" s="125">
        <f>IF(Valores!$C$86*B216&gt;Valores!$C$85,Valores!$C$85,Valores!$C$86*B216)</f>
        <v>2957.4999999999995</v>
      </c>
      <c r="AK216" s="125">
        <f>Valores!C$39*B216</f>
        <v>0</v>
      </c>
      <c r="AL216" s="125">
        <f>IF($F$3="NO",0,IF(Valores!$C$57*B216&gt;Valores!$F$57,Valores!$F$57,Valores!$C$57*B216))</f>
        <v>0</v>
      </c>
      <c r="AM216" s="125">
        <f t="shared" si="32"/>
        <v>11589.76</v>
      </c>
      <c r="AN216" s="125">
        <f>AH216*Valores!$C$67</f>
        <v>-12928.5552</v>
      </c>
      <c r="AO216" s="125">
        <f>AH216*-Valores!$C$68</f>
        <v>0</v>
      </c>
      <c r="AP216" s="125">
        <f>AH216*Valores!$C$69</f>
        <v>-5288.9544000000005</v>
      </c>
      <c r="AQ216" s="125">
        <f>Valores!$C$96</f>
        <v>-280.91</v>
      </c>
      <c r="AR216" s="125">
        <f>IF($F$5=0,Valores!$C$97,(Valores!$C$97+$F$5*(Valores!$C$97)))</f>
        <v>-658</v>
      </c>
      <c r="AS216" s="125">
        <f t="shared" si="35"/>
        <v>109965.66040000001</v>
      </c>
      <c r="AT216" s="125">
        <f t="shared" si="29"/>
        <v>-12928.5552</v>
      </c>
      <c r="AU216" s="125">
        <f>AH216*Valores!$C$70</f>
        <v>-3173.37264</v>
      </c>
      <c r="AV216" s="125">
        <f>AH216*Valores!$C$71</f>
        <v>-352.59696</v>
      </c>
      <c r="AW216" s="125">
        <f t="shared" si="33"/>
        <v>112667.5552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3">
        <f t="shared" si="27"/>
        <v>2673</v>
      </c>
      <c r="F217" s="125">
        <f>ROUND(E217*Valores!$C$2,2)</f>
        <v>57252.45</v>
      </c>
      <c r="G217" s="193">
        <v>0</v>
      </c>
      <c r="H217" s="125">
        <f>ROUND(G217*Valores!$C$2,2)</f>
        <v>0</v>
      </c>
      <c r="I217" s="193">
        <v>0</v>
      </c>
      <c r="J217" s="125">
        <f>ROUND(I217*Valores!$C$2,2)</f>
        <v>0</v>
      </c>
      <c r="K217" s="193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10132.46</v>
      </c>
      <c r="N217" s="125">
        <f t="shared" si="30"/>
        <v>0</v>
      </c>
      <c r="O217" s="125">
        <f>Valores!$C$7*B217</f>
        <v>19611.99</v>
      </c>
      <c r="P217" s="125">
        <f>ROUND(IF(B217&lt;15,(Valores!$E$5*B217),Valores!$D$5),2)</f>
        <v>10949.29</v>
      </c>
      <c r="Q217" s="125">
        <v>0</v>
      </c>
      <c r="R217" s="125">
        <f>IF($F$4="NO",IF(Valores!$C$45*B217&gt;Valores!$C$44,Valores!$C$44,Valores!$C$45*B217),IF(Valores!$C$45*B217&gt;Valores!$C$44,Valores!$C$44,Valores!$C$45*B217)/2)</f>
        <v>4128.839999999999</v>
      </c>
      <c r="S217" s="125">
        <f>Valores!$C$18*B217</f>
        <v>6168.42</v>
      </c>
      <c r="T217" s="125">
        <f t="shared" si="36"/>
        <v>6168.42</v>
      </c>
      <c r="U217" s="125">
        <v>0</v>
      </c>
      <c r="V217" s="125">
        <v>0</v>
      </c>
      <c r="W217" s="193">
        <v>0</v>
      </c>
      <c r="X217" s="125">
        <f>ROUND(W217*Valores!$C$2,2)</f>
        <v>0</v>
      </c>
      <c r="Y217" s="125">
        <v>0</v>
      </c>
      <c r="Z217" s="125">
        <f>IF(Valores!$C$93*B217&gt;Valores!$C$92,Valores!$C$92,Valores!$C$93*B217)</f>
        <v>6792.389999999999</v>
      </c>
      <c r="AA217" s="125">
        <f>IF((Valores!$C$28)*B217&gt;Valores!$F$28,Valores!$F$28,(Valores!$C$28)*B217)</f>
        <v>484.38000000000005</v>
      </c>
      <c r="AB217" s="215">
        <v>0</v>
      </c>
      <c r="AC217" s="125">
        <f t="shared" si="31"/>
        <v>0</v>
      </c>
      <c r="AD217" s="125">
        <f>IF(Valores!$C$29*B217&gt;Valores!$F$29,Valores!$F$29,Valores!$C$29*B217)</f>
        <v>403.38</v>
      </c>
      <c r="AE217" s="193">
        <v>0</v>
      </c>
      <c r="AF217" s="125">
        <f>ROUND(AE217*Valores!$C$2,2)</f>
        <v>0</v>
      </c>
      <c r="AG217" s="125">
        <f>IF($F$4="NO",IF(Valores!$D$59*'Escala Docente'!B217&gt;Valores!$F$59,Valores!$F$59,Valores!$D$59*'Escala Docente'!B217),IF(Valores!$D$59*'Escala Docente'!B217&gt;Valores!$F$59,Valores!$F$59,Valores!$D$59*'Escala Docente'!B217)/2)</f>
        <v>5708.07</v>
      </c>
      <c r="AH217" s="125">
        <f t="shared" si="34"/>
        <v>121631.67000000001</v>
      </c>
      <c r="AI217" s="125">
        <f>IF(Valores!$C$32*B217&gt;Valores!$F$32,Valores!$F$32,Valores!$C$32*B217)</f>
        <v>8964.27</v>
      </c>
      <c r="AJ217" s="125">
        <f>IF(Valores!$C$86*B217&gt;Valores!$C$85,Valores!$C$85,Valores!$C$86*B217)</f>
        <v>3071.2499999999995</v>
      </c>
      <c r="AK217" s="125">
        <f>Valores!C$39*B217</f>
        <v>0</v>
      </c>
      <c r="AL217" s="125">
        <f>IF($F$3="NO",0,IF(Valores!$C$57*B217&gt;Valores!$F$57,Valores!$F$57,Valores!$C$57*B217))</f>
        <v>0</v>
      </c>
      <c r="AM217" s="125">
        <f t="shared" si="32"/>
        <v>12035.52</v>
      </c>
      <c r="AN217" s="125">
        <f>AH217*Valores!$C$67</f>
        <v>-13379.4837</v>
      </c>
      <c r="AO217" s="125">
        <f>AH217*-Valores!$C$68</f>
        <v>0</v>
      </c>
      <c r="AP217" s="125">
        <f>AH217*Valores!$C$69</f>
        <v>-5473.42515</v>
      </c>
      <c r="AQ217" s="125">
        <f>Valores!$C$96</f>
        <v>-280.91</v>
      </c>
      <c r="AR217" s="125">
        <f>IF($F$5=0,Valores!$C$97,(Valores!$C$97+$F$5*(Valores!$C$97)))</f>
        <v>-658</v>
      </c>
      <c r="AS217" s="125">
        <f t="shared" si="35"/>
        <v>113875.37115</v>
      </c>
      <c r="AT217" s="125">
        <f t="shared" si="29"/>
        <v>-13379.4837</v>
      </c>
      <c r="AU217" s="125">
        <f>AH217*Valores!$C$70</f>
        <v>-3284.0550900000003</v>
      </c>
      <c r="AV217" s="125">
        <f>AH217*Valores!$C$71</f>
        <v>-364.89501000000007</v>
      </c>
      <c r="AW217" s="125">
        <f t="shared" si="33"/>
        <v>116638.7562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3">
        <f t="shared" si="27"/>
        <v>2772</v>
      </c>
      <c r="F218" s="125">
        <f>ROUND(E218*Valores!$C$2,2)</f>
        <v>59372.91</v>
      </c>
      <c r="G218" s="193">
        <v>0</v>
      </c>
      <c r="H218" s="125">
        <f>ROUND(G218*Valores!$C$2,2)</f>
        <v>0</v>
      </c>
      <c r="I218" s="193">
        <v>0</v>
      </c>
      <c r="J218" s="125">
        <f>ROUND(I218*Valores!$C$2,2)</f>
        <v>0</v>
      </c>
      <c r="K218" s="193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10507.73</v>
      </c>
      <c r="N218" s="125">
        <f t="shared" si="30"/>
        <v>0</v>
      </c>
      <c r="O218" s="125">
        <f>Valores!$C$7*B218</f>
        <v>20338.36</v>
      </c>
      <c r="P218" s="125">
        <f>ROUND(IF(B218&lt;15,(Valores!$E$5*B218),Valores!$D$5),2)</f>
        <v>10949.29</v>
      </c>
      <c r="Q218" s="125">
        <v>0</v>
      </c>
      <c r="R218" s="125">
        <f>IF($F$4="NO",IF(Valores!$C$45*B218&gt;Valores!$C$44,Valores!$C$44,Valores!$C$45*B218),IF(Valores!$C$45*B218&gt;Valores!$C$44,Valores!$C$44,Valores!$C$45*B218)/2)</f>
        <v>4281.759999999999</v>
      </c>
      <c r="S218" s="125">
        <f>Valores!$C$18*B218</f>
        <v>6396.88</v>
      </c>
      <c r="T218" s="125">
        <f t="shared" si="36"/>
        <v>6396.88</v>
      </c>
      <c r="U218" s="125">
        <v>0</v>
      </c>
      <c r="V218" s="125">
        <v>0</v>
      </c>
      <c r="W218" s="193">
        <v>0</v>
      </c>
      <c r="X218" s="125">
        <f>ROUND(W218*Valores!$C$2,2)</f>
        <v>0</v>
      </c>
      <c r="Y218" s="125">
        <v>0</v>
      </c>
      <c r="Z218" s="125">
        <f>IF(Valores!$C$93*B218&gt;Valores!$C$92,Valores!$C$92,Valores!$C$93*B218)</f>
        <v>7043.96</v>
      </c>
      <c r="AA218" s="125">
        <f>IF((Valores!$C$28)*B218&gt;Valores!$F$28,Valores!$F$28,(Valores!$C$28)*B218)</f>
        <v>502.32000000000005</v>
      </c>
      <c r="AB218" s="215">
        <v>0</v>
      </c>
      <c r="AC218" s="125">
        <f t="shared" si="31"/>
        <v>0</v>
      </c>
      <c r="AD218" s="125">
        <f>IF(Valores!$C$29*B218&gt;Valores!$F$29,Valores!$F$29,Valores!$C$29*B218)</f>
        <v>418.32</v>
      </c>
      <c r="AE218" s="193">
        <v>0</v>
      </c>
      <c r="AF218" s="125">
        <f>ROUND(AE218*Valores!$C$2,2)</f>
        <v>0</v>
      </c>
      <c r="AG218" s="125">
        <f>IF($F$4="NO",IF(Valores!$D$59*'Escala Docente'!B218&gt;Valores!$F$59,Valores!$F$59,Valores!$D$59*'Escala Docente'!B218),IF(Valores!$D$59*'Escala Docente'!B218&gt;Valores!$F$59,Valores!$F$59,Valores!$D$59*'Escala Docente'!B218)/2)</f>
        <v>5919.48</v>
      </c>
      <c r="AH218" s="125">
        <f t="shared" si="34"/>
        <v>125731.01000000002</v>
      </c>
      <c r="AI218" s="125">
        <f>IF(Valores!$C$32*B218&gt;Valores!$F$32,Valores!$F$32,Valores!$C$32*B218)</f>
        <v>9296.279999999999</v>
      </c>
      <c r="AJ218" s="125">
        <f>IF(Valores!$C$86*B218&gt;Valores!$C$85,Valores!$C$85,Valores!$C$86*B218)</f>
        <v>3184.9999999999995</v>
      </c>
      <c r="AK218" s="125">
        <f>Valores!C$39*B218</f>
        <v>0</v>
      </c>
      <c r="AL218" s="125">
        <f>IF($F$3="NO",0,IF(Valores!$C$57*B218&gt;Valores!$F$57,Valores!$F$57,Valores!$C$57*B218))</f>
        <v>0</v>
      </c>
      <c r="AM218" s="125">
        <f t="shared" si="32"/>
        <v>12481.279999999999</v>
      </c>
      <c r="AN218" s="125">
        <f>AH218*Valores!$C$67</f>
        <v>-13830.411100000003</v>
      </c>
      <c r="AO218" s="125">
        <f>AH218*-Valores!$C$68</f>
        <v>0</v>
      </c>
      <c r="AP218" s="125">
        <f>AH218*Valores!$C$69</f>
        <v>-5657.895450000001</v>
      </c>
      <c r="AQ218" s="125">
        <f>Valores!$C$96</f>
        <v>-280.91</v>
      </c>
      <c r="AR218" s="125">
        <f>IF($F$5=0,Valores!$C$97,(Valores!$C$97+$F$5*(Valores!$C$97)))</f>
        <v>-658</v>
      </c>
      <c r="AS218" s="125">
        <f t="shared" si="35"/>
        <v>117785.07345000003</v>
      </c>
      <c r="AT218" s="125">
        <f t="shared" si="29"/>
        <v>-13830.411100000003</v>
      </c>
      <c r="AU218" s="125">
        <f>AH218*Valores!$C$70</f>
        <v>-3394.7372700000005</v>
      </c>
      <c r="AV218" s="125">
        <f>AH218*Valores!$C$71</f>
        <v>-377.1930300000001</v>
      </c>
      <c r="AW218" s="125">
        <f t="shared" si="33"/>
        <v>120609.94860000003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3">
        <f t="shared" si="27"/>
        <v>2871</v>
      </c>
      <c r="F219" s="125">
        <f>ROUND(E219*Valores!$C$2,2)</f>
        <v>61493.37</v>
      </c>
      <c r="G219" s="193">
        <v>0</v>
      </c>
      <c r="H219" s="125">
        <f>ROUND(G219*Valores!$C$2,2)</f>
        <v>0</v>
      </c>
      <c r="I219" s="193">
        <v>0</v>
      </c>
      <c r="J219" s="125">
        <f>ROUND(I219*Valores!$C$2,2)</f>
        <v>0</v>
      </c>
      <c r="K219" s="193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10883.01</v>
      </c>
      <c r="N219" s="125">
        <f t="shared" si="30"/>
        <v>0</v>
      </c>
      <c r="O219" s="125">
        <f>Valores!$C$7*B219</f>
        <v>21064.73</v>
      </c>
      <c r="P219" s="125">
        <f>ROUND(IF(B219&lt;15,(Valores!$E$5*B219),Valores!$D$5),2)</f>
        <v>10949.29</v>
      </c>
      <c r="Q219" s="125">
        <v>0</v>
      </c>
      <c r="R219" s="125">
        <f>IF($F$4="NO",IF(Valores!$C$45*B219&gt;Valores!$C$44,Valores!$C$44,Valores!$C$45*B219),IF(Valores!$C$45*B219&gt;Valores!$C$44,Valores!$C$44,Valores!$C$45*B219)/2)</f>
        <v>4434.679999999999</v>
      </c>
      <c r="S219" s="125">
        <f>Valores!$C$18*B219</f>
        <v>6625.34</v>
      </c>
      <c r="T219" s="125">
        <f t="shared" si="36"/>
        <v>6625.34</v>
      </c>
      <c r="U219" s="125">
        <v>0</v>
      </c>
      <c r="V219" s="125">
        <v>0</v>
      </c>
      <c r="W219" s="193">
        <v>0</v>
      </c>
      <c r="X219" s="125">
        <f>ROUND(W219*Valores!$C$2,2)</f>
        <v>0</v>
      </c>
      <c r="Y219" s="125">
        <v>0</v>
      </c>
      <c r="Z219" s="125">
        <f>IF(Valores!$C$93*B219&gt;Valores!$C$92,Valores!$C$92,Valores!$C$93*B219)</f>
        <v>7295.53</v>
      </c>
      <c r="AA219" s="125">
        <f>IF((Valores!$C$28)*B219&gt;Valores!$F$28,Valores!$F$28,(Valores!$C$28)*B219)</f>
        <v>520.26</v>
      </c>
      <c r="AB219" s="215">
        <v>0</v>
      </c>
      <c r="AC219" s="125">
        <f t="shared" si="31"/>
        <v>0</v>
      </c>
      <c r="AD219" s="125">
        <f>IF(Valores!$C$29*B219&gt;Valores!$F$29,Valores!$F$29,Valores!$C$29*B219)</f>
        <v>433.26</v>
      </c>
      <c r="AE219" s="193">
        <v>0</v>
      </c>
      <c r="AF219" s="125">
        <f>ROUND(AE219*Valores!$C$2,2)</f>
        <v>0</v>
      </c>
      <c r="AG219" s="125">
        <f>IF($F$4="NO",IF(Valores!$D$59*'Escala Docente'!B219&gt;Valores!$F$59,Valores!$F$59,Valores!$D$59*'Escala Docente'!B219),IF(Valores!$D$59*'Escala Docente'!B219&gt;Valores!$F$59,Valores!$F$59,Valores!$D$59*'Escala Docente'!B219)/2)</f>
        <v>6130.89</v>
      </c>
      <c r="AH219" s="125">
        <f t="shared" si="34"/>
        <v>129830.35999999997</v>
      </c>
      <c r="AI219" s="125">
        <f>IF(Valores!$C$32*B219&gt;Valores!$F$32,Valores!$F$32,Valores!$C$32*B219)</f>
        <v>9628.289999999999</v>
      </c>
      <c r="AJ219" s="125">
        <f>IF(Valores!$C$86*B219&gt;Valores!$C$85,Valores!$C$85,Valores!$C$86*B219)</f>
        <v>3298.7499999999995</v>
      </c>
      <c r="AK219" s="125">
        <f>Valores!C$39*B219</f>
        <v>0</v>
      </c>
      <c r="AL219" s="125">
        <f>IF($F$3="NO",0,IF(Valores!$C$57*B219&gt;Valores!$F$57,Valores!$F$57,Valores!$C$57*B219))</f>
        <v>0</v>
      </c>
      <c r="AM219" s="125">
        <f t="shared" si="32"/>
        <v>12927.039999999999</v>
      </c>
      <c r="AN219" s="125">
        <f>AH219*Valores!$C$67</f>
        <v>-14281.339599999998</v>
      </c>
      <c r="AO219" s="125">
        <f>AH219*-Valores!$C$68</f>
        <v>0</v>
      </c>
      <c r="AP219" s="125">
        <f>AH219*Valores!$C$69</f>
        <v>-5842.366199999999</v>
      </c>
      <c r="AQ219" s="125">
        <f>Valores!$C$96</f>
        <v>-280.91</v>
      </c>
      <c r="AR219" s="125">
        <f>IF($F$5=0,Valores!$C$97,(Valores!$C$97+$F$5*(Valores!$C$97)))</f>
        <v>-658</v>
      </c>
      <c r="AS219" s="125">
        <f t="shared" si="35"/>
        <v>121694.78419999998</v>
      </c>
      <c r="AT219" s="125">
        <f t="shared" si="29"/>
        <v>-14281.339599999998</v>
      </c>
      <c r="AU219" s="125">
        <f>AH219*Valores!$C$70</f>
        <v>-3505.4197199999994</v>
      </c>
      <c r="AV219" s="125">
        <f>AH219*Valores!$C$71</f>
        <v>-389.4910799999999</v>
      </c>
      <c r="AW219" s="125">
        <f t="shared" si="33"/>
        <v>124581.14959999998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3">
        <f t="shared" si="27"/>
        <v>2970</v>
      </c>
      <c r="F220" s="125">
        <f>ROUND(E220*Valores!$C$2,2)</f>
        <v>63613.84</v>
      </c>
      <c r="G220" s="193">
        <v>0</v>
      </c>
      <c r="H220" s="125">
        <f>ROUND(G220*Valores!$C$2,2)</f>
        <v>0</v>
      </c>
      <c r="I220" s="193">
        <v>0</v>
      </c>
      <c r="J220" s="125">
        <f>ROUND(I220*Valores!$C$2,2)</f>
        <v>0</v>
      </c>
      <c r="K220" s="193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11258.29</v>
      </c>
      <c r="N220" s="125">
        <f t="shared" si="30"/>
        <v>0</v>
      </c>
      <c r="O220" s="125">
        <f>Valores!$C$7*B220</f>
        <v>21791.1</v>
      </c>
      <c r="P220" s="125">
        <f>ROUND(IF(B220&lt;15,(Valores!$E$5*B220),Valores!$D$5),2)</f>
        <v>10949.29</v>
      </c>
      <c r="Q220" s="125">
        <v>0</v>
      </c>
      <c r="R220" s="125">
        <f>IF($F$4="NO",IF(Valores!$C$45*B220&gt;Valores!$C$44,Valores!$C$44,Valores!$C$45*B220),IF(Valores!$C$45*B220&gt;Valores!$C$44,Valores!$C$44,Valores!$C$45*B220)/2)</f>
        <v>4587.599999999999</v>
      </c>
      <c r="S220" s="125">
        <f>Valores!$C$18*B220</f>
        <v>6853.8</v>
      </c>
      <c r="T220" s="125">
        <f t="shared" si="36"/>
        <v>6853.8</v>
      </c>
      <c r="U220" s="125">
        <v>0</v>
      </c>
      <c r="V220" s="125">
        <v>0</v>
      </c>
      <c r="W220" s="193">
        <v>0</v>
      </c>
      <c r="X220" s="125">
        <f>ROUND(W220*Valores!$C$2,2)</f>
        <v>0</v>
      </c>
      <c r="Y220" s="125">
        <v>0</v>
      </c>
      <c r="Z220" s="125">
        <f>IF(Valores!$C$93*B220&gt;Valores!$C$92,Valores!$C$92,Valores!$C$93*B220)</f>
        <v>7547.099999999999</v>
      </c>
      <c r="AA220" s="125">
        <f>IF((Valores!$C$28)*B220&gt;Valores!$F$28,Valores!$F$28,(Valores!$C$28)*B220)</f>
        <v>538.2</v>
      </c>
      <c r="AB220" s="215">
        <v>0</v>
      </c>
      <c r="AC220" s="125">
        <f t="shared" si="31"/>
        <v>0</v>
      </c>
      <c r="AD220" s="125">
        <f>IF(Valores!$C$29*B220&gt;Valores!$F$29,Valores!$F$29,Valores!$C$29*B220)</f>
        <v>447.83</v>
      </c>
      <c r="AE220" s="193">
        <v>0</v>
      </c>
      <c r="AF220" s="125">
        <f>ROUND(AE220*Valores!$C$2,2)</f>
        <v>0</v>
      </c>
      <c r="AG220" s="125">
        <f>IF($F$4="NO",IF(Valores!$D$59*'Escala Docente'!B220&gt;Valores!$F$59,Valores!$F$59,Valores!$D$59*'Escala Docente'!B220),IF(Valores!$D$59*'Escala Docente'!B220&gt;Valores!$F$59,Valores!$F$59,Valores!$D$59*'Escala Docente'!B220)/2)</f>
        <v>6342.3</v>
      </c>
      <c r="AH220" s="125">
        <f t="shared" si="34"/>
        <v>133929.35000000003</v>
      </c>
      <c r="AI220" s="125">
        <f>IF(Valores!$C$32*B220&gt;Valores!$F$32,Valores!$F$32,Valores!$C$32*B220)</f>
        <v>9960.16</v>
      </c>
      <c r="AJ220" s="125">
        <f>IF(Valores!$C$86*B220&gt;Valores!$C$85,Valores!$C$85,Valores!$C$86*B220)</f>
        <v>3412.4999999999995</v>
      </c>
      <c r="AK220" s="125">
        <f>Valores!C$39*B220</f>
        <v>0</v>
      </c>
      <c r="AL220" s="125">
        <f>IF($F$3="NO",0,IF(Valores!$C$57*B220&gt;Valores!$F$57,Valores!$F$57,Valores!$C$57*B220))</f>
        <v>0</v>
      </c>
      <c r="AM220" s="125">
        <f t="shared" si="32"/>
        <v>13372.66</v>
      </c>
      <c r="AN220" s="125">
        <f>AH220*Valores!$C$67</f>
        <v>-14732.228500000005</v>
      </c>
      <c r="AO220" s="125">
        <f>AH220*-Valores!$C$68</f>
        <v>0</v>
      </c>
      <c r="AP220" s="125">
        <f>AH220*Valores!$C$69</f>
        <v>-6026.820750000002</v>
      </c>
      <c r="AQ220" s="125">
        <f>Valores!$C$96</f>
        <v>-280.91</v>
      </c>
      <c r="AR220" s="125">
        <f>IF($F$5=0,Valores!$C$97,(Valores!$C$97+$F$5*(Valores!$C$97)))</f>
        <v>-658</v>
      </c>
      <c r="AS220" s="125">
        <f t="shared" si="35"/>
        <v>125604.05075000002</v>
      </c>
      <c r="AT220" s="125">
        <f t="shared" si="29"/>
        <v>-14732.228500000005</v>
      </c>
      <c r="AU220" s="125">
        <f>AH220*Valores!$C$70</f>
        <v>-3616.092450000001</v>
      </c>
      <c r="AV220" s="125">
        <f>AH220*Valores!$C$71</f>
        <v>-401.7880500000001</v>
      </c>
      <c r="AW220" s="125">
        <f t="shared" si="33"/>
        <v>128551.90100000004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3">
        <f t="shared" si="27"/>
        <v>3069</v>
      </c>
      <c r="F221" s="125">
        <f>ROUND(E221*Valores!$C$2,2)</f>
        <v>65734.3</v>
      </c>
      <c r="G221" s="193">
        <v>0</v>
      </c>
      <c r="H221" s="125">
        <f>ROUND(G221*Valores!$C$2,2)</f>
        <v>0</v>
      </c>
      <c r="I221" s="193">
        <v>0</v>
      </c>
      <c r="J221" s="125">
        <f>ROUND(I221*Valores!$C$2,2)</f>
        <v>0</v>
      </c>
      <c r="K221" s="193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11633.56</v>
      </c>
      <c r="N221" s="125">
        <f t="shared" si="30"/>
        <v>0</v>
      </c>
      <c r="O221" s="125">
        <f>Valores!$C$7*B221</f>
        <v>22517.47</v>
      </c>
      <c r="P221" s="125">
        <f>ROUND(IF(B221&lt;15,(Valores!$E$5*B221),Valores!$D$5),2)</f>
        <v>10949.29</v>
      </c>
      <c r="Q221" s="125">
        <v>0</v>
      </c>
      <c r="R221" s="125">
        <f>IF($F$4="NO",IF(Valores!$C$45*B221&gt;Valores!$C$44,Valores!$C$44,Valores!$C$45*B221),IF(Valores!$C$45*B221&gt;Valores!$C$44,Valores!$C$44,Valores!$C$45*B221)/2)</f>
        <v>4740.5199999999995</v>
      </c>
      <c r="S221" s="125">
        <f>Valores!$C$18*B221</f>
        <v>7082.26</v>
      </c>
      <c r="T221" s="125">
        <f t="shared" si="36"/>
        <v>7082.26</v>
      </c>
      <c r="U221" s="125">
        <v>0</v>
      </c>
      <c r="V221" s="125">
        <v>0</v>
      </c>
      <c r="W221" s="193">
        <v>0</v>
      </c>
      <c r="X221" s="125">
        <f>ROUND(W221*Valores!$C$2,2)</f>
        <v>0</v>
      </c>
      <c r="Y221" s="125">
        <v>0</v>
      </c>
      <c r="Z221" s="125">
        <f>IF(Valores!$C$93*B221&gt;Valores!$C$92,Valores!$C$92,Valores!$C$93*B221)</f>
        <v>7798.67</v>
      </c>
      <c r="AA221" s="125">
        <f>IF((Valores!$C$28)*B221&gt;Valores!$F$28,Valores!$F$28,(Valores!$C$28)*B221)</f>
        <v>556.14</v>
      </c>
      <c r="AB221" s="215">
        <v>0</v>
      </c>
      <c r="AC221" s="125">
        <f t="shared" si="31"/>
        <v>0</v>
      </c>
      <c r="AD221" s="125">
        <f>IF(Valores!$C$29*B221&gt;Valores!$F$29,Valores!$F$29,Valores!$C$29*B221)</f>
        <v>447.83</v>
      </c>
      <c r="AE221" s="193">
        <v>0</v>
      </c>
      <c r="AF221" s="125">
        <f>ROUND(AE221*Valores!$C$2,2)</f>
        <v>0</v>
      </c>
      <c r="AG221" s="125">
        <f>IF($F$4="NO",IF(Valores!$D$59*'Escala Docente'!B221&gt;Valores!$F$59,Valores!$F$59,Valores!$D$59*'Escala Docente'!B221),IF(Valores!$D$59*'Escala Docente'!B221&gt;Valores!$F$59,Valores!$F$59,Valores!$D$59*'Escala Docente'!B221)/2)</f>
        <v>6342.34</v>
      </c>
      <c r="AH221" s="125">
        <f t="shared" si="34"/>
        <v>137802.37999999998</v>
      </c>
      <c r="AI221" s="125">
        <f>IF(Valores!$C$32*B221&gt;Valores!$F$32,Valores!$F$32,Valores!$C$32*B221)</f>
        <v>9960.16</v>
      </c>
      <c r="AJ221" s="125">
        <f>IF(Valores!$C$86*B221&gt;Valores!$C$85,Valores!$C$85,Valores!$C$86*B221)</f>
        <v>3526.2499999999995</v>
      </c>
      <c r="AK221" s="125">
        <f>Valores!C$39*B221</f>
        <v>0</v>
      </c>
      <c r="AL221" s="125">
        <f>IF($F$3="NO",0,IF(Valores!$C$57*B221&gt;Valores!$F$57,Valores!$F$57,Valores!$C$57*B221))</f>
        <v>0</v>
      </c>
      <c r="AM221" s="125">
        <f t="shared" si="32"/>
        <v>13486.41</v>
      </c>
      <c r="AN221" s="125">
        <f>AH221*Valores!$C$67</f>
        <v>-15158.261799999997</v>
      </c>
      <c r="AO221" s="125">
        <f>AH221*-Valores!$C$68</f>
        <v>0</v>
      </c>
      <c r="AP221" s="125">
        <f>AH221*Valores!$C$69</f>
        <v>-6201.107099999998</v>
      </c>
      <c r="AQ221" s="125">
        <f>Valores!$C$96</f>
        <v>-280.91</v>
      </c>
      <c r="AR221" s="125">
        <f>IF($F$5=0,Valores!$C$97,(Valores!$C$97+$F$5*(Valores!$C$97)))</f>
        <v>-658</v>
      </c>
      <c r="AS221" s="125">
        <f t="shared" si="35"/>
        <v>128990.51109999997</v>
      </c>
      <c r="AT221" s="125">
        <f t="shared" si="29"/>
        <v>-15158.261799999997</v>
      </c>
      <c r="AU221" s="125">
        <f>AH221*Valores!$C$70</f>
        <v>-3720.664259999999</v>
      </c>
      <c r="AV221" s="125">
        <f>AH221*Valores!$C$71</f>
        <v>-413.4071399999999</v>
      </c>
      <c r="AW221" s="125">
        <f t="shared" si="33"/>
        <v>131996.45679999999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3">
        <f t="shared" si="27"/>
        <v>3168</v>
      </c>
      <c r="F222" s="125">
        <f>ROUND(E222*Valores!$C$2,2)</f>
        <v>67854.76</v>
      </c>
      <c r="G222" s="193">
        <v>0</v>
      </c>
      <c r="H222" s="125">
        <f>ROUND(G222*Valores!$C$2,2)</f>
        <v>0</v>
      </c>
      <c r="I222" s="193">
        <v>0</v>
      </c>
      <c r="J222" s="125">
        <f>ROUND(I222*Valores!$C$2,2)</f>
        <v>0</v>
      </c>
      <c r="K222" s="193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12008.84</v>
      </c>
      <c r="N222" s="125">
        <f t="shared" si="30"/>
        <v>0</v>
      </c>
      <c r="O222" s="125">
        <f>Valores!$C$7*B222</f>
        <v>23243.84</v>
      </c>
      <c r="P222" s="125">
        <f>ROUND(IF(B222&lt;15,(Valores!$E$5*B222),Valores!$D$5),2)</f>
        <v>10949.29</v>
      </c>
      <c r="Q222" s="125">
        <v>0</v>
      </c>
      <c r="R222" s="125">
        <f>IF($F$4="NO",IF(Valores!$C$45*B222&gt;Valores!$C$44,Valores!$C$44,Valores!$C$45*B222),IF(Valores!$C$45*B222&gt;Valores!$C$44,Valores!$C$44,Valores!$C$45*B222)/2)</f>
        <v>4893.44</v>
      </c>
      <c r="S222" s="125">
        <f>Valores!$C$18*B222</f>
        <v>7310.72</v>
      </c>
      <c r="T222" s="125">
        <f t="shared" si="36"/>
        <v>7310.72</v>
      </c>
      <c r="U222" s="125">
        <v>0</v>
      </c>
      <c r="V222" s="125">
        <v>0</v>
      </c>
      <c r="W222" s="193">
        <v>0</v>
      </c>
      <c r="X222" s="125">
        <f>ROUND(W222*Valores!$C$2,2)</f>
        <v>0</v>
      </c>
      <c r="Y222" s="125">
        <v>0</v>
      </c>
      <c r="Z222" s="125">
        <f>IF(Valores!$C$93*B222&gt;Valores!$C$92,Valores!$C$92,Valores!$C$93*B222)</f>
        <v>8050.24</v>
      </c>
      <c r="AA222" s="125">
        <f>IF((Valores!$C$28)*B222&gt;Valores!$F$28,Valores!$F$28,(Valores!$C$28)*B222)</f>
        <v>574.08</v>
      </c>
      <c r="AB222" s="215">
        <v>0</v>
      </c>
      <c r="AC222" s="125">
        <f t="shared" si="31"/>
        <v>0</v>
      </c>
      <c r="AD222" s="125">
        <f>IF(Valores!$C$29*B222&gt;Valores!$F$29,Valores!$F$29,Valores!$C$29*B222)</f>
        <v>447.83</v>
      </c>
      <c r="AE222" s="193">
        <v>0</v>
      </c>
      <c r="AF222" s="125">
        <f>ROUND(AE222*Valores!$C$2,2)</f>
        <v>0</v>
      </c>
      <c r="AG222" s="125">
        <f>IF($F$4="NO",IF(Valores!$D$59*'Escala Docente'!B222&gt;Valores!$F$59,Valores!$F$59,Valores!$D$59*'Escala Docente'!B222),IF(Valores!$D$59*'Escala Docente'!B222&gt;Valores!$F$59,Valores!$F$59,Valores!$D$59*'Escala Docente'!B222)/2)</f>
        <v>6342.34</v>
      </c>
      <c r="AH222" s="125">
        <f t="shared" si="34"/>
        <v>141675.37999999995</v>
      </c>
      <c r="AI222" s="125">
        <f>IF(Valores!$C$32*B222&gt;Valores!$F$32,Valores!$F$32,Valores!$C$32*B222)</f>
        <v>9960.16</v>
      </c>
      <c r="AJ222" s="125">
        <f>IF(Valores!$C$86*B222&gt;Valores!$C$85,Valores!$C$85,Valores!$C$86*B222)</f>
        <v>3639.9999999999995</v>
      </c>
      <c r="AK222" s="125">
        <f>Valores!C$39*B222</f>
        <v>0</v>
      </c>
      <c r="AL222" s="125">
        <f>IF($F$3="NO",0,IF(Valores!$C$57*B222&gt;Valores!$F$57,Valores!$F$57,Valores!$C$57*B222))</f>
        <v>0</v>
      </c>
      <c r="AM222" s="125">
        <f t="shared" si="32"/>
        <v>13600.16</v>
      </c>
      <c r="AN222" s="125">
        <f>AH222*Valores!$C$67</f>
        <v>-15584.291799999994</v>
      </c>
      <c r="AO222" s="125">
        <f>AH222*-Valores!$C$68</f>
        <v>0</v>
      </c>
      <c r="AP222" s="125">
        <f>AH222*Valores!$C$69</f>
        <v>-6375.392099999997</v>
      </c>
      <c r="AQ222" s="125">
        <f>Valores!$C$96</f>
        <v>-280.91</v>
      </c>
      <c r="AR222" s="125">
        <f>IF($F$5=0,Valores!$C$97,(Valores!$C$97+$F$5*(Valores!$C$97)))</f>
        <v>-658</v>
      </c>
      <c r="AS222" s="125">
        <f t="shared" si="35"/>
        <v>132376.94609999994</v>
      </c>
      <c r="AT222" s="125">
        <f t="shared" si="29"/>
        <v>-15584.291799999994</v>
      </c>
      <c r="AU222" s="125">
        <f>AH222*Valores!$C$70</f>
        <v>-3825.2352599999986</v>
      </c>
      <c r="AV222" s="125">
        <f>AH222*Valores!$C$71</f>
        <v>-425.0261399999998</v>
      </c>
      <c r="AW222" s="125">
        <f t="shared" si="33"/>
        <v>135440.98679999996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3">
        <f t="shared" si="27"/>
        <v>3267</v>
      </c>
      <c r="F223" s="125">
        <f>ROUND(E223*Valores!$C$2,2)</f>
        <v>69975.22</v>
      </c>
      <c r="G223" s="193">
        <v>0</v>
      </c>
      <c r="H223" s="125">
        <f>ROUND(G223*Valores!$C$2,2)</f>
        <v>0</v>
      </c>
      <c r="I223" s="193">
        <v>0</v>
      </c>
      <c r="J223" s="125">
        <f>ROUND(I223*Valores!$C$2,2)</f>
        <v>0</v>
      </c>
      <c r="K223" s="193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12384.11</v>
      </c>
      <c r="N223" s="125">
        <f t="shared" si="30"/>
        <v>0</v>
      </c>
      <c r="O223" s="125">
        <f>Valores!$C$7*B223</f>
        <v>23970.21</v>
      </c>
      <c r="P223" s="125">
        <f>ROUND(IF(B223&lt;15,(Valores!$E$5*B223),Valores!$D$5),2)</f>
        <v>10949.29</v>
      </c>
      <c r="Q223" s="125">
        <v>0</v>
      </c>
      <c r="R223" s="125">
        <f>IF($F$4="NO",IF(Valores!$C$45*B223&gt;Valores!$C$44,Valores!$C$44,Valores!$C$45*B223),IF(Valores!$C$45*B223&gt;Valores!$C$44,Valores!$C$44,Valores!$C$45*B223)/2)</f>
        <v>5046.36</v>
      </c>
      <c r="S223" s="125">
        <f>Valores!$C$18*B223</f>
        <v>7539.18</v>
      </c>
      <c r="T223" s="125">
        <f t="shared" si="36"/>
        <v>7539.18</v>
      </c>
      <c r="U223" s="125">
        <v>0</v>
      </c>
      <c r="V223" s="125">
        <v>0</v>
      </c>
      <c r="W223" s="193">
        <v>0</v>
      </c>
      <c r="X223" s="125">
        <f>ROUND(W223*Valores!$C$2,2)</f>
        <v>0</v>
      </c>
      <c r="Y223" s="125">
        <v>0</v>
      </c>
      <c r="Z223" s="125">
        <f>IF(Valores!$C$93*B223&gt;Valores!$C$92,Valores!$C$92,Valores!$C$93*B223)</f>
        <v>8301.81</v>
      </c>
      <c r="AA223" s="125">
        <f>IF((Valores!$C$28)*B223&gt;Valores!$F$28,Valores!$F$28,(Valores!$C$28)*B223)</f>
        <v>592.0200000000001</v>
      </c>
      <c r="AB223" s="215">
        <v>0</v>
      </c>
      <c r="AC223" s="125">
        <f t="shared" si="31"/>
        <v>0</v>
      </c>
      <c r="AD223" s="125">
        <f>IF(Valores!$C$29*B223&gt;Valores!$F$29,Valores!$F$29,Valores!$C$29*B223)</f>
        <v>447.83</v>
      </c>
      <c r="AE223" s="193">
        <v>0</v>
      </c>
      <c r="AF223" s="125">
        <f>ROUND(AE223*Valores!$C$2,2)</f>
        <v>0</v>
      </c>
      <c r="AG223" s="125">
        <f>IF($F$4="NO",IF(Valores!$D$59*'Escala Docente'!B223&gt;Valores!$F$59,Valores!$F$59,Valores!$D$59*'Escala Docente'!B223),IF(Valores!$D$59*'Escala Docente'!B223&gt;Valores!$F$59,Valores!$F$59,Valores!$D$59*'Escala Docente'!B223)/2)</f>
        <v>6342.34</v>
      </c>
      <c r="AH223" s="125">
        <f t="shared" si="34"/>
        <v>145548.37</v>
      </c>
      <c r="AI223" s="125">
        <f>IF(Valores!$C$32*B223&gt;Valores!$F$32,Valores!$F$32,Valores!$C$32*B223)</f>
        <v>9960.16</v>
      </c>
      <c r="AJ223" s="125">
        <f>IF(Valores!$C$86*B223&gt;Valores!$C$85,Valores!$C$85,Valores!$C$86*B223)</f>
        <v>3753.7499999999995</v>
      </c>
      <c r="AK223" s="125">
        <f>Valores!C$39*B223</f>
        <v>0</v>
      </c>
      <c r="AL223" s="125">
        <f>IF($F$3="NO",0,IF(Valores!$C$57*B223&gt;Valores!$F$57,Valores!$F$57,Valores!$C$57*B223))</f>
        <v>0</v>
      </c>
      <c r="AM223" s="125">
        <f t="shared" si="32"/>
        <v>13713.91</v>
      </c>
      <c r="AN223" s="125">
        <f>AH223*Valores!$C$67</f>
        <v>-16010.3207</v>
      </c>
      <c r="AO223" s="125">
        <f>AH223*-Valores!$C$68</f>
        <v>0</v>
      </c>
      <c r="AP223" s="125">
        <f>AH223*Valores!$C$69</f>
        <v>-6549.676649999999</v>
      </c>
      <c r="AQ223" s="125">
        <f>Valores!$C$96</f>
        <v>-280.91</v>
      </c>
      <c r="AR223" s="125">
        <f>IF($F$5=0,Valores!$C$97,(Valores!$C$97+$F$5*(Valores!$C$97)))</f>
        <v>-658</v>
      </c>
      <c r="AS223" s="125">
        <f t="shared" si="35"/>
        <v>135763.37265</v>
      </c>
      <c r="AT223" s="125">
        <f t="shared" si="29"/>
        <v>-16010.3207</v>
      </c>
      <c r="AU223" s="125">
        <f>AH223*Valores!$C$70</f>
        <v>-3929.80599</v>
      </c>
      <c r="AV223" s="125">
        <f>AH223*Valores!$C$71</f>
        <v>-436.64511</v>
      </c>
      <c r="AW223" s="125">
        <f t="shared" si="33"/>
        <v>138885.50819999998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3">
        <f t="shared" si="27"/>
        <v>3366</v>
      </c>
      <c r="F224" s="125">
        <f>ROUND(E224*Valores!$C$2,2)</f>
        <v>72095.68</v>
      </c>
      <c r="G224" s="193">
        <v>0</v>
      </c>
      <c r="H224" s="125">
        <f>ROUND(G224*Valores!$C$2,2)</f>
        <v>0</v>
      </c>
      <c r="I224" s="193">
        <v>0</v>
      </c>
      <c r="J224" s="125">
        <f>ROUND(I224*Valores!$C$2,2)</f>
        <v>0</v>
      </c>
      <c r="K224" s="193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12759.39</v>
      </c>
      <c r="N224" s="125">
        <f t="shared" si="30"/>
        <v>0</v>
      </c>
      <c r="O224" s="125">
        <f>Valores!$C$7*B224</f>
        <v>24696.58</v>
      </c>
      <c r="P224" s="125">
        <f>ROUND(IF(B224&lt;15,(Valores!$E$5*B224),Valores!$D$5),2)</f>
        <v>10949.29</v>
      </c>
      <c r="Q224" s="125">
        <v>0</v>
      </c>
      <c r="R224" s="125">
        <f>IF($F$4="NO",IF(Valores!$C$45*B224&gt;Valores!$C$44,Valores!$C$44,Valores!$C$45*B224),IF(Valores!$C$45*B224&gt;Valores!$C$44,Valores!$C$44,Valores!$C$45*B224)/2)</f>
        <v>5199.28</v>
      </c>
      <c r="S224" s="125">
        <f>Valores!$C$18*B224</f>
        <v>7767.64</v>
      </c>
      <c r="T224" s="125">
        <f t="shared" si="36"/>
        <v>7767.64</v>
      </c>
      <c r="U224" s="125">
        <v>0</v>
      </c>
      <c r="V224" s="125">
        <v>0</v>
      </c>
      <c r="W224" s="193">
        <v>0</v>
      </c>
      <c r="X224" s="125">
        <f>ROUND(W224*Valores!$C$2,2)</f>
        <v>0</v>
      </c>
      <c r="Y224" s="125">
        <v>0</v>
      </c>
      <c r="Z224" s="125">
        <f>IF(Valores!$C$93*B224&gt;Valores!$C$92,Valores!$C$92,Valores!$C$93*B224)</f>
        <v>8553.38</v>
      </c>
      <c r="AA224" s="125">
        <f>IF((Valores!$C$28)*B224&gt;Valores!$F$28,Valores!$F$28,(Valores!$C$28)*B224)</f>
        <v>609.96</v>
      </c>
      <c r="AB224" s="215">
        <v>0</v>
      </c>
      <c r="AC224" s="125">
        <f t="shared" si="31"/>
        <v>0</v>
      </c>
      <c r="AD224" s="125">
        <f>IF(Valores!$C$29*B224&gt;Valores!$F$29,Valores!$F$29,Valores!$C$29*B224)</f>
        <v>447.83</v>
      </c>
      <c r="AE224" s="193">
        <v>0</v>
      </c>
      <c r="AF224" s="125">
        <f>ROUND(AE224*Valores!$C$2,2)</f>
        <v>0</v>
      </c>
      <c r="AG224" s="125">
        <f>IF($F$4="NO",IF(Valores!$D$59*'Escala Docente'!B224&gt;Valores!$F$59,Valores!$F$59,Valores!$D$59*'Escala Docente'!B224),IF(Valores!$D$59*'Escala Docente'!B224&gt;Valores!$F$59,Valores!$F$59,Valores!$D$59*'Escala Docente'!B224)/2)</f>
        <v>6342.34</v>
      </c>
      <c r="AH224" s="125">
        <f t="shared" si="34"/>
        <v>149421.37</v>
      </c>
      <c r="AI224" s="125">
        <f>IF(Valores!$C$32*B224&gt;Valores!$F$32,Valores!$F$32,Valores!$C$32*B224)</f>
        <v>9960.16</v>
      </c>
      <c r="AJ224" s="125">
        <f>IF(Valores!$C$86*B224&gt;Valores!$C$85,Valores!$C$85,Valores!$C$86*B224)</f>
        <v>3867.4999999999995</v>
      </c>
      <c r="AK224" s="125">
        <f>Valores!C$39*B224</f>
        <v>0</v>
      </c>
      <c r="AL224" s="125">
        <f>IF($F$3="NO",0,IF(Valores!$C$57*B224&gt;Valores!$F$57,Valores!$F$57,Valores!$C$57*B224))</f>
        <v>0</v>
      </c>
      <c r="AM224" s="125">
        <f t="shared" si="32"/>
        <v>13827.66</v>
      </c>
      <c r="AN224" s="125">
        <f>AH224*Valores!$C$67</f>
        <v>-16436.3507</v>
      </c>
      <c r="AO224" s="125">
        <f>AH224*-Valores!$C$68</f>
        <v>0</v>
      </c>
      <c r="AP224" s="125">
        <f>AH224*Valores!$C$69</f>
        <v>-6723.961649999999</v>
      </c>
      <c r="AQ224" s="125">
        <f>Valores!$C$96</f>
        <v>-280.91</v>
      </c>
      <c r="AR224" s="125">
        <f>IF($F$5=0,Valores!$C$97,(Valores!$C$97+$F$5*(Valores!$C$97)))</f>
        <v>-658</v>
      </c>
      <c r="AS224" s="125">
        <f t="shared" si="35"/>
        <v>139149.80765</v>
      </c>
      <c r="AT224" s="125">
        <f t="shared" si="29"/>
        <v>-16436.3507</v>
      </c>
      <c r="AU224" s="125">
        <f>AH224*Valores!$C$70</f>
        <v>-4034.3769899999998</v>
      </c>
      <c r="AV224" s="125">
        <f>AH224*Valores!$C$71</f>
        <v>-448.26411</v>
      </c>
      <c r="AW224" s="125">
        <f t="shared" si="33"/>
        <v>142330.0382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3">
        <f t="shared" si="27"/>
        <v>3465</v>
      </c>
      <c r="F225" s="125">
        <f>ROUND(E225*Valores!$C$2,2)</f>
        <v>74216.14</v>
      </c>
      <c r="G225" s="193">
        <v>0</v>
      </c>
      <c r="H225" s="125">
        <f>ROUND(G225*Valores!$C$2,2)</f>
        <v>0</v>
      </c>
      <c r="I225" s="193">
        <v>0</v>
      </c>
      <c r="J225" s="125">
        <f>ROUND(I225*Valores!$C$2,2)</f>
        <v>0</v>
      </c>
      <c r="K225" s="193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13133.34</v>
      </c>
      <c r="N225" s="125">
        <f t="shared" si="30"/>
        <v>0</v>
      </c>
      <c r="O225" s="125">
        <f>Valores!$C$7*B225</f>
        <v>25422.95</v>
      </c>
      <c r="P225" s="125">
        <f>ROUND(IF(B225&lt;15,(Valores!$E$5*B225),Valores!$D$5),2)</f>
        <v>10949.29</v>
      </c>
      <c r="Q225" s="125">
        <v>0</v>
      </c>
      <c r="R225" s="125">
        <f>IF($F$4="NO",IF(Valores!$C$45*B225&gt;Valores!$C$44,Valores!$C$44,Valores!$C$45*B225),IF(Valores!$C$45*B225&gt;Valores!$C$44,Valores!$C$44,Valores!$C$45*B225)/2)</f>
        <v>5343.37</v>
      </c>
      <c r="S225" s="125">
        <f>Valores!$C$18*B225</f>
        <v>7996.1</v>
      </c>
      <c r="T225" s="125">
        <f t="shared" si="36"/>
        <v>7996.1</v>
      </c>
      <c r="U225" s="125">
        <v>0</v>
      </c>
      <c r="V225" s="125">
        <v>0</v>
      </c>
      <c r="W225" s="193">
        <v>0</v>
      </c>
      <c r="X225" s="125">
        <f>ROUND(W225*Valores!$C$2,2)</f>
        <v>0</v>
      </c>
      <c r="Y225" s="125">
        <v>0</v>
      </c>
      <c r="Z225" s="125">
        <f>IF(Valores!$C$93*B225&gt;Valores!$C$92,Valores!$C$92,Valores!$C$93*B225)</f>
        <v>8804.949999999999</v>
      </c>
      <c r="AA225" s="125">
        <f>IF((Valores!$C$28)*B225&gt;Valores!$F$28,Valores!$F$28,(Valores!$C$28)*B225)</f>
        <v>627.9000000000001</v>
      </c>
      <c r="AB225" s="215">
        <v>0</v>
      </c>
      <c r="AC225" s="125">
        <f t="shared" si="31"/>
        <v>0</v>
      </c>
      <c r="AD225" s="125">
        <f>IF(Valores!$C$29*B225&gt;Valores!$F$29,Valores!$F$29,Valores!$C$29*B225)</f>
        <v>447.83</v>
      </c>
      <c r="AE225" s="193">
        <v>0</v>
      </c>
      <c r="AF225" s="125">
        <f>ROUND(AE225*Valores!$C$2,2)</f>
        <v>0</v>
      </c>
      <c r="AG225" s="125">
        <f>IF($F$4="NO",IF(Valores!$D$59*'Escala Docente'!B225&gt;Valores!$F$59,Valores!$F$59,Valores!$D$59*'Escala Docente'!B225),IF(Valores!$D$59*'Escala Docente'!B225&gt;Valores!$F$59,Valores!$F$59,Valores!$D$59*'Escala Docente'!B225)/2)</f>
        <v>6342.34</v>
      </c>
      <c r="AH225" s="125">
        <f t="shared" si="34"/>
        <v>153284.21</v>
      </c>
      <c r="AI225" s="125">
        <f>IF(Valores!$C$32*B225&gt;Valores!$F$32,Valores!$F$32,Valores!$C$32*B225)</f>
        <v>9960.16</v>
      </c>
      <c r="AJ225" s="125">
        <f>IF(Valores!$C$86*B225&gt;Valores!$C$85,Valores!$C$85,Valores!$C$86*B225)</f>
        <v>3981.2499999999995</v>
      </c>
      <c r="AK225" s="125">
        <f>Valores!C$39*B225</f>
        <v>0</v>
      </c>
      <c r="AL225" s="125">
        <f>IF($F$3="NO",0,IF(Valores!$C$57*B225&gt;Valores!$F$57,Valores!$F$57,Valores!$C$57*B225))</f>
        <v>0</v>
      </c>
      <c r="AM225" s="125">
        <f t="shared" si="32"/>
        <v>13941.41</v>
      </c>
      <c r="AN225" s="125">
        <f>AH225*Valores!$C$67</f>
        <v>-16861.2631</v>
      </c>
      <c r="AO225" s="125">
        <f>AH225*-Valores!$C$68</f>
        <v>0</v>
      </c>
      <c r="AP225" s="125">
        <f>AH225*Valores!$C$69</f>
        <v>-6897.789449999999</v>
      </c>
      <c r="AQ225" s="125">
        <f>Valores!$C$96</f>
        <v>-280.91</v>
      </c>
      <c r="AR225" s="125">
        <f>IF($F$5=0,Valores!$C$97,(Valores!$C$97+$F$5*(Valores!$C$97)))</f>
        <v>-658</v>
      </c>
      <c r="AS225" s="125">
        <f t="shared" si="35"/>
        <v>142527.65745</v>
      </c>
      <c r="AT225" s="125">
        <f t="shared" si="29"/>
        <v>-16861.2631</v>
      </c>
      <c r="AU225" s="125">
        <f>AH225*Valores!$C$70</f>
        <v>-4138.67367</v>
      </c>
      <c r="AV225" s="125">
        <f>AH225*Valores!$C$71</f>
        <v>-459.85263</v>
      </c>
      <c r="AW225" s="125">
        <f t="shared" si="33"/>
        <v>145765.8306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3">
        <f t="shared" si="27"/>
        <v>3564</v>
      </c>
      <c r="F226" s="125">
        <f>ROUND(E226*Valores!$C$2,2)</f>
        <v>76336.6</v>
      </c>
      <c r="G226" s="193">
        <v>0</v>
      </c>
      <c r="H226" s="125">
        <f>ROUND(G226*Valores!$C$2,2)</f>
        <v>0</v>
      </c>
      <c r="I226" s="193">
        <v>0</v>
      </c>
      <c r="J226" s="125">
        <f>ROUND(I226*Valores!$C$2,2)</f>
        <v>0</v>
      </c>
      <c r="K226" s="193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13485.68</v>
      </c>
      <c r="N226" s="125">
        <f t="shared" si="30"/>
        <v>0</v>
      </c>
      <c r="O226" s="125">
        <f>Valores!$C$7*B226</f>
        <v>26149.32</v>
      </c>
      <c r="P226" s="125">
        <f>ROUND(IF(B226&lt;15,(Valores!$E$5*B226),Valores!$D$5),2)</f>
        <v>10949.29</v>
      </c>
      <c r="Q226" s="125">
        <v>0</v>
      </c>
      <c r="R226" s="125">
        <f>IF($F$4="NO",IF(Valores!$C$45*B226&gt;Valores!$C$44,Valores!$C$44,Valores!$C$45*B226),IF(Valores!$C$45*B226&gt;Valores!$C$44,Valores!$C$44,Valores!$C$45*B226)/2)</f>
        <v>5343.37</v>
      </c>
      <c r="S226" s="125">
        <f>Valores!$C$18*B226</f>
        <v>8224.56</v>
      </c>
      <c r="T226" s="125">
        <f t="shared" si="36"/>
        <v>8224.56</v>
      </c>
      <c r="U226" s="125">
        <v>0</v>
      </c>
      <c r="V226" s="125">
        <v>0</v>
      </c>
      <c r="W226" s="193">
        <v>0</v>
      </c>
      <c r="X226" s="125">
        <f>ROUND(W226*Valores!$C$2,2)</f>
        <v>0</v>
      </c>
      <c r="Y226" s="125">
        <v>0</v>
      </c>
      <c r="Z226" s="125">
        <f>IF(Valores!$C$93*B226&gt;Valores!$C$92,Valores!$C$92,Valores!$C$93*B226)</f>
        <v>9056.52</v>
      </c>
      <c r="AA226" s="125">
        <f>IF((Valores!$C$28)*B226&gt;Valores!$F$28,Valores!$F$28,(Valores!$C$28)*B226)</f>
        <v>645.84</v>
      </c>
      <c r="AB226" s="215">
        <v>0</v>
      </c>
      <c r="AC226" s="125">
        <f t="shared" si="31"/>
        <v>0</v>
      </c>
      <c r="AD226" s="125">
        <f>IF(Valores!$C$29*B226&gt;Valores!$F$29,Valores!$F$29,Valores!$C$29*B226)</f>
        <v>447.83</v>
      </c>
      <c r="AE226" s="193">
        <v>0</v>
      </c>
      <c r="AF226" s="125">
        <f>ROUND(AE226*Valores!$C$2,2)</f>
        <v>0</v>
      </c>
      <c r="AG226" s="125">
        <f>IF($F$4="NO",IF(Valores!$D$59*'Escala Docente'!B226&gt;Valores!$F$59,Valores!$F$59,Valores!$D$59*'Escala Docente'!B226),IF(Valores!$D$59*'Escala Docente'!B226&gt;Valores!$F$59,Valores!$F$59,Valores!$D$59*'Escala Docente'!B226)/2)</f>
        <v>6342.34</v>
      </c>
      <c r="AH226" s="125">
        <f t="shared" si="34"/>
        <v>156981.34999999998</v>
      </c>
      <c r="AI226" s="125">
        <f>IF(Valores!$C$32*B226&gt;Valores!$F$32,Valores!$F$32,Valores!$C$32*B226)</f>
        <v>9960.16</v>
      </c>
      <c r="AJ226" s="125">
        <f>IF(Valores!$C$86*B226&gt;Valores!$C$85,Valores!$C$85,Valores!$C$86*B226)</f>
        <v>4094.9999999999995</v>
      </c>
      <c r="AK226" s="125">
        <f>Valores!C$39*B226</f>
        <v>0</v>
      </c>
      <c r="AL226" s="125">
        <f>IF($F$3="NO",0,IF(Valores!$C$57*B226&gt;Valores!$F$57,Valores!$F$57,Valores!$C$57*B226))</f>
        <v>0</v>
      </c>
      <c r="AM226" s="125">
        <f t="shared" si="32"/>
        <v>14055.16</v>
      </c>
      <c r="AN226" s="125">
        <f>AH226*Valores!$C$67</f>
        <v>-17267.9485</v>
      </c>
      <c r="AO226" s="125">
        <f>AH226*-Valores!$C$68</f>
        <v>0</v>
      </c>
      <c r="AP226" s="125">
        <f>AH226*Valores!$C$69</f>
        <v>-7064.160749999999</v>
      </c>
      <c r="AQ226" s="125">
        <f>Valores!$C$96</f>
        <v>-280.91</v>
      </c>
      <c r="AR226" s="125">
        <f>IF($F$5=0,Valores!$C$97,(Valores!$C$97+$F$5*(Valores!$C$97)))</f>
        <v>-658</v>
      </c>
      <c r="AS226" s="125">
        <f t="shared" si="35"/>
        <v>145765.49074999997</v>
      </c>
      <c r="AT226" s="125">
        <f t="shared" si="29"/>
        <v>-17267.9485</v>
      </c>
      <c r="AU226" s="125">
        <f>AH226*Valores!$C$70</f>
        <v>-4238.49645</v>
      </c>
      <c r="AV226" s="125">
        <f>AH226*Valores!$C$71</f>
        <v>-470.94404999999995</v>
      </c>
      <c r="AW226" s="125">
        <f t="shared" si="33"/>
        <v>149059.12099999998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3">
        <f aca="true" t="shared" si="38" ref="E227:E258">79*B227</f>
        <v>79</v>
      </c>
      <c r="F227" s="125">
        <f>ROUND(E227*Valores!$C$2,2)</f>
        <v>1692.09</v>
      </c>
      <c r="G227" s="193">
        <v>0</v>
      </c>
      <c r="H227" s="125">
        <f>ROUND(G227*Valores!$C$2,2)</f>
        <v>0</v>
      </c>
      <c r="I227" s="193">
        <v>0</v>
      </c>
      <c r="J227" s="125">
        <f>ROUND(I227*Valores!$C$2,2)</f>
        <v>0</v>
      </c>
      <c r="K227" s="193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311.02</v>
      </c>
      <c r="N227" s="125">
        <f t="shared" si="30"/>
        <v>0</v>
      </c>
      <c r="O227" s="125">
        <f>Valores!$C$7*B227</f>
        <v>726.37</v>
      </c>
      <c r="P227" s="125">
        <f>ROUND(IF(B227&lt;15,(Valores!$E$5*B227),Valores!$D$5),2)</f>
        <v>729.95</v>
      </c>
      <c r="Q227" s="125">
        <v>0</v>
      </c>
      <c r="R227" s="125">
        <f>IF($F$4="NO",IF(Valores!$C$45*B227&gt;Valores!$C$44,Valores!$C$44,Valores!$C$45*B227),IF(Valores!$C$45*B227&gt;Valores!$C$44,Valores!$C$44,Valores!$C$45*B227)/2)</f>
        <v>152.92</v>
      </c>
      <c r="S227" s="125">
        <f>Valores!$C$18*B227</f>
        <v>228.46</v>
      </c>
      <c r="T227" s="125">
        <f t="shared" si="36"/>
        <v>228.46</v>
      </c>
      <c r="U227" s="125">
        <v>0</v>
      </c>
      <c r="V227" s="125">
        <v>0</v>
      </c>
      <c r="W227" s="193">
        <v>0</v>
      </c>
      <c r="X227" s="125">
        <f>ROUND(W227*Valores!$C$2,2)</f>
        <v>0</v>
      </c>
      <c r="Y227" s="125">
        <v>0</v>
      </c>
      <c r="Z227" s="125">
        <f>IF(Valores!$C$93*B227&gt;Valores!$C$92,Valores!$C$92,Valores!$C$93*B227)</f>
        <v>251.57</v>
      </c>
      <c r="AA227" s="125">
        <f>IF((Valores!$C$28)*B227&gt;Valores!$F$28,Valores!$F$28,(Valores!$C$28)*B227)</f>
        <v>17.94</v>
      </c>
      <c r="AB227" s="215">
        <v>0</v>
      </c>
      <c r="AC227" s="125">
        <f t="shared" si="31"/>
        <v>0</v>
      </c>
      <c r="AD227" s="125">
        <f>IF(Valores!$C$29*B227&gt;Valores!$F$29,Valores!$F$29,Valores!$C$29*B227)</f>
        <v>14.94</v>
      </c>
      <c r="AE227" s="193">
        <v>0</v>
      </c>
      <c r="AF227" s="125">
        <f>ROUND(AE227*Valores!$C$2,2)</f>
        <v>0</v>
      </c>
      <c r="AG227" s="125">
        <f>IF($F$4="NO",IF(Valores!$D$59*'Escala Docente'!B227&gt;Valores!$F$59,Valores!$F$59,Valores!$D$59*'Escala Docente'!B227),IF(Valores!$D$59*'Escala Docente'!B227&gt;Valores!$F$59,Valores!$F$59,Valores!$D$59*'Escala Docente'!B227)/2)</f>
        <v>211.41</v>
      </c>
      <c r="AH227" s="125">
        <f t="shared" si="34"/>
        <v>4336.67</v>
      </c>
      <c r="AI227" s="125">
        <f>IF(Valores!$C$32*B227&gt;Valores!$F$32,Valores!$F$32,Valores!$C$32*B227)</f>
        <v>332.01</v>
      </c>
      <c r="AJ227" s="125">
        <f>IF(Valores!$C$86*B227&gt;Valores!$C$85,Valores!$C$85,Valores!$C$86*B227)</f>
        <v>113.74999999999999</v>
      </c>
      <c r="AK227" s="125">
        <f>Valores!C$39*B227</f>
        <v>0</v>
      </c>
      <c r="AL227" s="125">
        <f>IF($F$3="NO",0,IF(Valores!$C$58*B227&gt;Valores!$F$58,Valores!$F$58,Valores!$C$58*B227))</f>
        <v>0</v>
      </c>
      <c r="AM227" s="125">
        <f t="shared" si="32"/>
        <v>445.76</v>
      </c>
      <c r="AN227" s="125">
        <f>AH227*Valores!$C$67</f>
        <v>-477.0337</v>
      </c>
      <c r="AO227" s="125">
        <f>AH227*-Valores!$C$68</f>
        <v>0</v>
      </c>
      <c r="AP227" s="125">
        <f>AH227*Valores!$C$69</f>
        <v>-195.15015</v>
      </c>
      <c r="AQ227" s="125">
        <f>Valores!$C$96</f>
        <v>-280.91</v>
      </c>
      <c r="AR227" s="125">
        <f>IF($F$5=0,Valores!$C$97,(Valores!$C$97+$F$5*(Valores!$C$97)))</f>
        <v>-658</v>
      </c>
      <c r="AS227" s="125">
        <f t="shared" si="35"/>
        <v>3171.33615</v>
      </c>
      <c r="AT227" s="125">
        <f t="shared" si="29"/>
        <v>-477.0337</v>
      </c>
      <c r="AU227" s="125">
        <f>AH227*Valores!$C$70</f>
        <v>-117.09009</v>
      </c>
      <c r="AV227" s="125">
        <f>AH227*Valores!$C$71</f>
        <v>-13.010010000000001</v>
      </c>
      <c r="AW227" s="125">
        <f t="shared" si="33"/>
        <v>4175.296200000001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3">
        <f t="shared" si="38"/>
        <v>79</v>
      </c>
      <c r="F228" s="125">
        <f>ROUND(E228*Valores!$C$2,2)</f>
        <v>1692.09</v>
      </c>
      <c r="G228" s="193">
        <v>0</v>
      </c>
      <c r="H228" s="125">
        <f>ROUND(G228*Valores!$C$2,2)</f>
        <v>0</v>
      </c>
      <c r="I228" s="193">
        <v>0</v>
      </c>
      <c r="J228" s="125">
        <f>ROUND(I228*Valores!$C$2,2)</f>
        <v>0</v>
      </c>
      <c r="K228" s="193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311.02</v>
      </c>
      <c r="N228" s="125">
        <f t="shared" si="30"/>
        <v>0</v>
      </c>
      <c r="O228" s="125">
        <f>Valores!$C$7*B228</f>
        <v>726.37</v>
      </c>
      <c r="P228" s="125">
        <f>ROUND(IF(B228&lt;15,(Valores!$E$5*B228),Valores!$D$5),2)</f>
        <v>729.95</v>
      </c>
      <c r="Q228" s="125">
        <v>0</v>
      </c>
      <c r="R228" s="125">
        <f>IF($F$4="NO",IF(Valores!$C$45*B228&gt;Valores!$C$44,Valores!$C$44,Valores!$C$45*B228),IF(Valores!$C$45*B228&gt;Valores!$C$44,Valores!$C$44,Valores!$C$45*B228)/2)</f>
        <v>152.92</v>
      </c>
      <c r="S228" s="125">
        <f>Valores!$C$18*B228</f>
        <v>228.46</v>
      </c>
      <c r="T228" s="125">
        <f t="shared" si="36"/>
        <v>228.46</v>
      </c>
      <c r="U228" s="125">
        <v>0</v>
      </c>
      <c r="V228" s="125">
        <v>0</v>
      </c>
      <c r="W228" s="193">
        <v>0</v>
      </c>
      <c r="X228" s="125">
        <f>ROUND(W228*Valores!$C$2,2)</f>
        <v>0</v>
      </c>
      <c r="Y228" s="125">
        <v>0</v>
      </c>
      <c r="Z228" s="125">
        <f>IF(Valores!$C$93*B228&gt;Valores!$C$92,Valores!$C$92,Valores!$C$93*B228)</f>
        <v>251.57</v>
      </c>
      <c r="AA228" s="125">
        <f>IF((Valores!$C$28)*B228&gt;Valores!$F$28,Valores!$F$28,(Valores!$C$28)*B228)</f>
        <v>17.94</v>
      </c>
      <c r="AB228" s="215">
        <v>0</v>
      </c>
      <c r="AC228" s="125">
        <f t="shared" si="31"/>
        <v>0</v>
      </c>
      <c r="AD228" s="125">
        <f>IF(Valores!$C$29*B228&gt;Valores!$F$29,Valores!$F$29,Valores!$C$29*B228)</f>
        <v>14.94</v>
      </c>
      <c r="AE228" s="193">
        <v>94</v>
      </c>
      <c r="AF228" s="125">
        <f>ROUND(AE228*Valores!$C$2,2)</f>
        <v>2013.37</v>
      </c>
      <c r="AG228" s="125">
        <f>IF($F$4="NO",IF(Valores!$D$59*'Escala Docente'!B228&gt;Valores!$F$59,Valores!$F$59,Valores!$D$59*'Escala Docente'!B228),IF(Valores!$D$59*'Escala Docente'!B228&gt;Valores!$F$59,Valores!$F$59,Valores!$D$59*'Escala Docente'!B228)/2)</f>
        <v>211.41</v>
      </c>
      <c r="AH228" s="125">
        <f t="shared" si="34"/>
        <v>6350.04</v>
      </c>
      <c r="AI228" s="125">
        <f>IF(Valores!$C$32*B228&gt;Valores!$F$32,Valores!$F$32,Valores!$C$32*B228)</f>
        <v>332.01</v>
      </c>
      <c r="AJ228" s="125">
        <f>IF(Valores!$C$86*B228&gt;Valores!$C$85,Valores!$C$85,Valores!$C$86*B228)</f>
        <v>113.74999999999999</v>
      </c>
      <c r="AK228" s="125">
        <f>Valores!C$39*B228</f>
        <v>0</v>
      </c>
      <c r="AL228" s="125">
        <f>IF($F$3="NO",0,IF(Valores!$C$58*B228&gt;Valores!$F$58,Valores!$F$58,Valores!$C$58*B228))</f>
        <v>0</v>
      </c>
      <c r="AM228" s="125">
        <f t="shared" si="32"/>
        <v>445.76</v>
      </c>
      <c r="AN228" s="125">
        <f>AH228*Valores!$C$67</f>
        <v>-698.5044</v>
      </c>
      <c r="AO228" s="125">
        <f>AH228*-Valores!$C$68</f>
        <v>0</v>
      </c>
      <c r="AP228" s="125">
        <f>AH228*Valores!$C$69</f>
        <v>-285.7518</v>
      </c>
      <c r="AQ228" s="125">
        <f>Valores!$C$96</f>
        <v>-280.91</v>
      </c>
      <c r="AR228" s="125">
        <f>IF($F$5=0,Valores!$C$97,(Valores!$C$97+$F$5*(Valores!$C$97)))</f>
        <v>-658</v>
      </c>
      <c r="AS228" s="125">
        <f t="shared" si="35"/>
        <v>4872.6338</v>
      </c>
      <c r="AT228" s="125">
        <f t="shared" si="29"/>
        <v>-698.5044</v>
      </c>
      <c r="AU228" s="125">
        <f>AH228*Valores!$C$70</f>
        <v>-171.45108</v>
      </c>
      <c r="AV228" s="125">
        <f>AH228*Valores!$C$71</f>
        <v>-19.05012</v>
      </c>
      <c r="AW228" s="125">
        <f t="shared" si="33"/>
        <v>5906.7944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3">
        <f t="shared" si="38"/>
        <v>158</v>
      </c>
      <c r="F229" s="125">
        <f>ROUND(E229*Valores!$C$2,2)</f>
        <v>3384.17</v>
      </c>
      <c r="G229" s="193">
        <v>0</v>
      </c>
      <c r="H229" s="125">
        <f>ROUND(G229*Valores!$C$2,2)</f>
        <v>0</v>
      </c>
      <c r="I229" s="193">
        <v>0</v>
      </c>
      <c r="J229" s="125">
        <f>ROUND(I229*Valores!$C$2,2)</f>
        <v>0</v>
      </c>
      <c r="K229" s="193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622.04</v>
      </c>
      <c r="N229" s="125">
        <f t="shared" si="30"/>
        <v>0</v>
      </c>
      <c r="O229" s="125">
        <f>Valores!$C$7*B229</f>
        <v>1452.74</v>
      </c>
      <c r="P229" s="125">
        <f>ROUND(IF(B229&lt;15,(Valores!$E$5*B229),Valores!$D$5),2)</f>
        <v>1459.9</v>
      </c>
      <c r="Q229" s="125">
        <v>0</v>
      </c>
      <c r="R229" s="125">
        <f>IF($F$4="NO",IF(Valores!$C$45*B229&gt;Valores!$C$44,Valores!$C$44,Valores!$C$45*B229),IF(Valores!$C$45*B229&gt;Valores!$C$44,Valores!$C$44,Valores!$C$45*B229)/2)</f>
        <v>305.84</v>
      </c>
      <c r="S229" s="125">
        <f>Valores!$C$18*B229</f>
        <v>456.92</v>
      </c>
      <c r="T229" s="125">
        <f t="shared" si="36"/>
        <v>456.92</v>
      </c>
      <c r="U229" s="125">
        <v>0</v>
      </c>
      <c r="V229" s="125">
        <v>0</v>
      </c>
      <c r="W229" s="193">
        <v>0</v>
      </c>
      <c r="X229" s="125">
        <f>ROUND(W229*Valores!$C$2,2)</f>
        <v>0</v>
      </c>
      <c r="Y229" s="125">
        <v>0</v>
      </c>
      <c r="Z229" s="125">
        <f>IF(Valores!$C$93*B229&gt;Valores!$C$92,Valores!$C$92,Valores!$C$93*B229)</f>
        <v>503.14</v>
      </c>
      <c r="AA229" s="125">
        <f>IF((Valores!$C$28)*B229&gt;Valores!$F$28,Valores!$F$28,(Valores!$C$28)*B229)</f>
        <v>35.88</v>
      </c>
      <c r="AB229" s="215">
        <v>0</v>
      </c>
      <c r="AC229" s="125">
        <f t="shared" si="31"/>
        <v>0</v>
      </c>
      <c r="AD229" s="125">
        <f>IF(Valores!$C$29*B229&gt;Valores!$F$29,Valores!$F$29,Valores!$C$29*B229)</f>
        <v>29.88</v>
      </c>
      <c r="AE229" s="193">
        <v>0</v>
      </c>
      <c r="AF229" s="125">
        <f>ROUND(AE229*Valores!$C$2,2)</f>
        <v>0</v>
      </c>
      <c r="AG229" s="125">
        <f>IF($F$4="NO",IF(Valores!$D$59*'Escala Docente'!B229&gt;Valores!$F$59,Valores!$F$59,Valores!$D$59*'Escala Docente'!B229),IF(Valores!$D$59*'Escala Docente'!B229&gt;Valores!$F$59,Valores!$F$59,Valores!$D$59*'Escala Docente'!B229)/2)</f>
        <v>422.82</v>
      </c>
      <c r="AH229" s="125">
        <f t="shared" si="34"/>
        <v>8673.33</v>
      </c>
      <c r="AI229" s="125">
        <f>IF(Valores!$C$32*B229&gt;Valores!$F$32,Valores!$F$32,Valores!$C$32*B229)</f>
        <v>664.02</v>
      </c>
      <c r="AJ229" s="125">
        <f>IF(Valores!$C$86*B229&gt;Valores!$C$85,Valores!$C$85,Valores!$C$86*B229)</f>
        <v>227.49999999999997</v>
      </c>
      <c r="AK229" s="125">
        <f>Valores!C$39*B229</f>
        <v>0</v>
      </c>
      <c r="AL229" s="125">
        <f>IF($F$3="NO",0,IF(Valores!$C$58*B229&gt;Valores!$F$58,Valores!$F$58,Valores!$C$58*B229))</f>
        <v>0</v>
      </c>
      <c r="AM229" s="125">
        <f t="shared" si="32"/>
        <v>891.52</v>
      </c>
      <c r="AN229" s="125">
        <f>AH229*Valores!$C$67</f>
        <v>-954.0663</v>
      </c>
      <c r="AO229" s="125">
        <f>AH229*-Valores!$C$68</f>
        <v>0</v>
      </c>
      <c r="AP229" s="125">
        <f>AH229*Valores!$C$69</f>
        <v>-390.29985</v>
      </c>
      <c r="AQ229" s="125">
        <f>Valores!$C$96</f>
        <v>-280.91</v>
      </c>
      <c r="AR229" s="125">
        <f>IF($F$5=0,Valores!$C$97,(Valores!$C$97+$F$5*(Valores!$C$97)))</f>
        <v>-658</v>
      </c>
      <c r="AS229" s="125">
        <f t="shared" si="35"/>
        <v>7281.57385</v>
      </c>
      <c r="AT229" s="125">
        <f t="shared" si="29"/>
        <v>-954.0663</v>
      </c>
      <c r="AU229" s="125">
        <f>AH229*Valores!$C$70</f>
        <v>-234.17991</v>
      </c>
      <c r="AV229" s="125">
        <f>AH229*Valores!$C$71</f>
        <v>-26.01999</v>
      </c>
      <c r="AW229" s="125">
        <f t="shared" si="33"/>
        <v>8350.5838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3">
        <f t="shared" si="38"/>
        <v>158</v>
      </c>
      <c r="F230" s="125">
        <f>ROUND(E230*Valores!$C$2,2)</f>
        <v>3384.17</v>
      </c>
      <c r="G230" s="193">
        <v>0</v>
      </c>
      <c r="H230" s="125">
        <f>ROUND(G230*Valores!$C$2,2)</f>
        <v>0</v>
      </c>
      <c r="I230" s="193">
        <v>0</v>
      </c>
      <c r="J230" s="125">
        <f>ROUND(I230*Valores!$C$2,2)</f>
        <v>0</v>
      </c>
      <c r="K230" s="193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622.04</v>
      </c>
      <c r="N230" s="125">
        <f t="shared" si="30"/>
        <v>0</v>
      </c>
      <c r="O230" s="125">
        <f>Valores!$C$7*B230</f>
        <v>1452.74</v>
      </c>
      <c r="P230" s="125">
        <f>ROUND(IF(B230&lt;15,(Valores!$E$5*B230),Valores!$D$5),2)</f>
        <v>1459.9</v>
      </c>
      <c r="Q230" s="125">
        <v>0</v>
      </c>
      <c r="R230" s="125">
        <f>IF($F$4="NO",IF(Valores!$C$45*B230&gt;Valores!$C$44,Valores!$C$44,Valores!$C$45*B230),IF(Valores!$C$45*B230&gt;Valores!$C$44,Valores!$C$44,Valores!$C$45*B230)/2)</f>
        <v>305.84</v>
      </c>
      <c r="S230" s="125">
        <f>Valores!$C$18*B230</f>
        <v>456.92</v>
      </c>
      <c r="T230" s="125">
        <f t="shared" si="36"/>
        <v>456.92</v>
      </c>
      <c r="U230" s="125">
        <v>0</v>
      </c>
      <c r="V230" s="125">
        <v>0</v>
      </c>
      <c r="W230" s="193">
        <v>0</v>
      </c>
      <c r="X230" s="125">
        <f>ROUND(W230*Valores!$C$2,2)</f>
        <v>0</v>
      </c>
      <c r="Y230" s="125">
        <v>0</v>
      </c>
      <c r="Z230" s="125">
        <f>IF(Valores!$C$93*B230&gt;Valores!$C$92,Valores!$C$92,Valores!$C$93*B230)</f>
        <v>503.14</v>
      </c>
      <c r="AA230" s="125">
        <f>IF((Valores!$C$28)*B230&gt;Valores!$F$28,Valores!$F$28,(Valores!$C$28)*B230)</f>
        <v>35.88</v>
      </c>
      <c r="AB230" s="215">
        <v>0</v>
      </c>
      <c r="AC230" s="125">
        <f t="shared" si="31"/>
        <v>0</v>
      </c>
      <c r="AD230" s="125">
        <f>IF(Valores!$C$29*B230&gt;Valores!$F$29,Valores!$F$29,Valores!$C$29*B230)</f>
        <v>29.88</v>
      </c>
      <c r="AE230" s="193">
        <v>94</v>
      </c>
      <c r="AF230" s="125">
        <f>ROUND(AE230*Valores!$C$2,2)</f>
        <v>2013.37</v>
      </c>
      <c r="AG230" s="125">
        <f>IF($F$4="NO",IF(Valores!$D$59*'Escala Docente'!B230&gt;Valores!$F$59,Valores!$F$59,Valores!$D$59*'Escala Docente'!B230),IF(Valores!$D$59*'Escala Docente'!B230&gt;Valores!$F$59,Valores!$F$59,Valores!$D$59*'Escala Docente'!B230)/2)</f>
        <v>422.82</v>
      </c>
      <c r="AH230" s="125">
        <f t="shared" si="34"/>
        <v>10686.7</v>
      </c>
      <c r="AI230" s="125">
        <f>IF(Valores!$C$32*B230&gt;Valores!$F$32,Valores!$F$32,Valores!$C$32*B230)</f>
        <v>664.02</v>
      </c>
      <c r="AJ230" s="125">
        <f>IF(Valores!$C$86*B230&gt;Valores!$C$85,Valores!$C$85,Valores!$C$86*B230)</f>
        <v>227.49999999999997</v>
      </c>
      <c r="AK230" s="125">
        <f>Valores!C$39*B230</f>
        <v>0</v>
      </c>
      <c r="AL230" s="125">
        <f>IF($F$3="NO",0,IF(Valores!$C$58*B230&gt;Valores!$F$58,Valores!$F$58,Valores!$C$58*B230))</f>
        <v>0</v>
      </c>
      <c r="AM230" s="125">
        <f t="shared" si="32"/>
        <v>891.52</v>
      </c>
      <c r="AN230" s="125">
        <f>AH230*Valores!$C$67</f>
        <v>-1175.537</v>
      </c>
      <c r="AO230" s="125">
        <f>AH230*-Valores!$C$68</f>
        <v>0</v>
      </c>
      <c r="AP230" s="125">
        <f>AH230*Valores!$C$69</f>
        <v>-480.9015</v>
      </c>
      <c r="AQ230" s="125">
        <f>Valores!$C$96</f>
        <v>-280.91</v>
      </c>
      <c r="AR230" s="125">
        <f>IF($F$5=0,Valores!$C$97,(Valores!$C$97+$F$5*(Valores!$C$97)))</f>
        <v>-658</v>
      </c>
      <c r="AS230" s="125">
        <f t="shared" si="35"/>
        <v>8982.871500000001</v>
      </c>
      <c r="AT230" s="125">
        <f t="shared" si="29"/>
        <v>-1175.537</v>
      </c>
      <c r="AU230" s="125">
        <f>AH230*Valores!$C$70</f>
        <v>-288.5409</v>
      </c>
      <c r="AV230" s="125">
        <f>AH230*Valores!$C$71</f>
        <v>-32.060100000000006</v>
      </c>
      <c r="AW230" s="125">
        <f t="shared" si="33"/>
        <v>10082.082000000002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3">
        <f t="shared" si="38"/>
        <v>237</v>
      </c>
      <c r="F231" s="125">
        <f>ROUND(E231*Valores!$C$2,2)</f>
        <v>5076.26</v>
      </c>
      <c r="G231" s="193">
        <v>0</v>
      </c>
      <c r="H231" s="125">
        <f>ROUND(G231*Valores!$C$2,2)</f>
        <v>0</v>
      </c>
      <c r="I231" s="193">
        <v>0</v>
      </c>
      <c r="J231" s="125">
        <f>ROUND(I231*Valores!$C$2,2)</f>
        <v>0</v>
      </c>
      <c r="K231" s="193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933.06</v>
      </c>
      <c r="N231" s="125">
        <f t="shared" si="30"/>
        <v>0</v>
      </c>
      <c r="O231" s="125">
        <f>Valores!$C$7*B231</f>
        <v>2179.11</v>
      </c>
      <c r="P231" s="125">
        <f>ROUND(IF(B231&lt;15,(Valores!$E$5*B231),Valores!$D$5),2)</f>
        <v>2189.85</v>
      </c>
      <c r="Q231" s="125">
        <v>0</v>
      </c>
      <c r="R231" s="125">
        <f>IF($F$4="NO",IF(Valores!$C$45*B231&gt;Valores!$C$44,Valores!$C$44,Valores!$C$45*B231),IF(Valores!$C$45*B231&gt;Valores!$C$44,Valores!$C$44,Valores!$C$45*B231)/2)</f>
        <v>458.76</v>
      </c>
      <c r="S231" s="125">
        <f>Valores!$C$18*B231</f>
        <v>685.38</v>
      </c>
      <c r="T231" s="125">
        <f t="shared" si="36"/>
        <v>685.38</v>
      </c>
      <c r="U231" s="125">
        <v>0</v>
      </c>
      <c r="V231" s="125">
        <v>0</v>
      </c>
      <c r="W231" s="193">
        <v>0</v>
      </c>
      <c r="X231" s="125">
        <f>ROUND(W231*Valores!$C$2,2)</f>
        <v>0</v>
      </c>
      <c r="Y231" s="125">
        <v>0</v>
      </c>
      <c r="Z231" s="125">
        <f>IF(Valores!$C$93*B231&gt;Valores!$C$92,Valores!$C$92,Valores!$C$93*B231)</f>
        <v>754.71</v>
      </c>
      <c r="AA231" s="125">
        <f>IF((Valores!$C$28)*B231&gt;Valores!$F$28,Valores!$F$28,(Valores!$C$28)*B231)</f>
        <v>53.82000000000001</v>
      </c>
      <c r="AB231" s="215">
        <v>0</v>
      </c>
      <c r="AC231" s="125">
        <f t="shared" si="31"/>
        <v>0</v>
      </c>
      <c r="AD231" s="125">
        <f>IF(Valores!$C$29*B231&gt;Valores!$F$29,Valores!$F$29,Valores!$C$29*B231)</f>
        <v>44.82</v>
      </c>
      <c r="AE231" s="193">
        <v>0</v>
      </c>
      <c r="AF231" s="125">
        <f>ROUND(AE231*Valores!$C$2,2)</f>
        <v>0</v>
      </c>
      <c r="AG231" s="125">
        <f>IF($F$4="NO",IF(Valores!$D$59*'Escala Docente'!B231&gt;Valores!$F$59,Valores!$F$59,Valores!$D$59*'Escala Docente'!B231),IF(Valores!$D$59*'Escala Docente'!B231&gt;Valores!$F$59,Valores!$F$59,Valores!$D$59*'Escala Docente'!B231)/2)</f>
        <v>634.23</v>
      </c>
      <c r="AH231" s="125">
        <f t="shared" si="34"/>
        <v>13010</v>
      </c>
      <c r="AI231" s="125">
        <f>IF(Valores!$C$32*B231&gt;Valores!$F$32,Valores!$F$32,Valores!$C$32*B231)</f>
        <v>996.03</v>
      </c>
      <c r="AJ231" s="125">
        <f>IF(Valores!$C$86*B231&gt;Valores!$C$85,Valores!$C$85,Valores!$C$86*B231)</f>
        <v>341.24999999999994</v>
      </c>
      <c r="AK231" s="125">
        <f>Valores!C$39*B231</f>
        <v>0</v>
      </c>
      <c r="AL231" s="125">
        <f>IF($F$3="NO",0,IF(Valores!$C$58*B231&gt;Valores!$F$58,Valores!$F$58,Valores!$C$58*B231))</f>
        <v>0</v>
      </c>
      <c r="AM231" s="125">
        <f t="shared" si="32"/>
        <v>1337.28</v>
      </c>
      <c r="AN231" s="125">
        <f>AH231*Valores!$C$67</f>
        <v>-1431.1</v>
      </c>
      <c r="AO231" s="125">
        <f>AH231*-Valores!$C$68</f>
        <v>0</v>
      </c>
      <c r="AP231" s="125">
        <f>AH231*Valores!$C$69</f>
        <v>-585.4499999999999</v>
      </c>
      <c r="AQ231" s="125">
        <f>Valores!$C$96</f>
        <v>-280.91</v>
      </c>
      <c r="AR231" s="125">
        <f>IF($F$5=0,Valores!$C$97,(Valores!$C$97+$F$5*(Valores!$C$97)))</f>
        <v>-658</v>
      </c>
      <c r="AS231" s="125">
        <f t="shared" si="35"/>
        <v>11391.82</v>
      </c>
      <c r="AT231" s="125">
        <f t="shared" si="29"/>
        <v>-1431.1</v>
      </c>
      <c r="AU231" s="125">
        <f>AH231*Valores!$C$70</f>
        <v>-351.27</v>
      </c>
      <c r="AV231" s="125">
        <f>AH231*Valores!$C$71</f>
        <v>-39.03</v>
      </c>
      <c r="AW231" s="125">
        <f t="shared" si="33"/>
        <v>12525.880000000001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3">
        <f t="shared" si="38"/>
        <v>237</v>
      </c>
      <c r="F232" s="125">
        <f>ROUND(E232*Valores!$C$2,2)</f>
        <v>5076.26</v>
      </c>
      <c r="G232" s="193">
        <v>0</v>
      </c>
      <c r="H232" s="125">
        <f>ROUND(G232*Valores!$C$2,2)</f>
        <v>0</v>
      </c>
      <c r="I232" s="193">
        <v>0</v>
      </c>
      <c r="J232" s="125">
        <f>ROUND(I232*Valores!$C$2,2)</f>
        <v>0</v>
      </c>
      <c r="K232" s="193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933.06</v>
      </c>
      <c r="N232" s="125">
        <f t="shared" si="30"/>
        <v>0</v>
      </c>
      <c r="O232" s="125">
        <f>Valores!$C$7*B232</f>
        <v>2179.11</v>
      </c>
      <c r="P232" s="125">
        <f>ROUND(IF(B232&lt;15,(Valores!$E$5*B232),Valores!$D$5),2)</f>
        <v>2189.85</v>
      </c>
      <c r="Q232" s="125">
        <v>0</v>
      </c>
      <c r="R232" s="125">
        <f>IF($F$4="NO",IF(Valores!$C$45*B232&gt;Valores!$C$44,Valores!$C$44,Valores!$C$45*B232),IF(Valores!$C$45*B232&gt;Valores!$C$44,Valores!$C$44,Valores!$C$45*B232)/2)</f>
        <v>458.76</v>
      </c>
      <c r="S232" s="125">
        <f>Valores!$C$18*B232</f>
        <v>685.38</v>
      </c>
      <c r="T232" s="125">
        <f t="shared" si="36"/>
        <v>685.38</v>
      </c>
      <c r="U232" s="125">
        <v>0</v>
      </c>
      <c r="V232" s="125">
        <v>0</v>
      </c>
      <c r="W232" s="193">
        <v>0</v>
      </c>
      <c r="X232" s="125">
        <f>ROUND(W232*Valores!$C$2,2)</f>
        <v>0</v>
      </c>
      <c r="Y232" s="125">
        <v>0</v>
      </c>
      <c r="Z232" s="125">
        <f>IF(Valores!$C$93*B232&gt;Valores!$C$92,Valores!$C$92,Valores!$C$93*B232)</f>
        <v>754.71</v>
      </c>
      <c r="AA232" s="125">
        <f>IF((Valores!$C$28)*B232&gt;Valores!$F$28,Valores!$F$28,(Valores!$C$28)*B232)</f>
        <v>53.82000000000001</v>
      </c>
      <c r="AB232" s="215">
        <v>0</v>
      </c>
      <c r="AC232" s="125">
        <f t="shared" si="31"/>
        <v>0</v>
      </c>
      <c r="AD232" s="125">
        <f>IF(Valores!$C$29*B232&gt;Valores!$F$29,Valores!$F$29,Valores!$C$29*B232)</f>
        <v>44.82</v>
      </c>
      <c r="AE232" s="193">
        <v>94</v>
      </c>
      <c r="AF232" s="125">
        <f>ROUND(AE232*Valores!$C$2,2)</f>
        <v>2013.37</v>
      </c>
      <c r="AG232" s="125">
        <f>IF($F$4="NO",IF(Valores!$D$59*'Escala Docente'!B232&gt;Valores!$F$59,Valores!$F$59,Valores!$D$59*'Escala Docente'!B232),IF(Valores!$D$59*'Escala Docente'!B232&gt;Valores!$F$59,Valores!$F$59,Valores!$D$59*'Escala Docente'!B232)/2)</f>
        <v>634.23</v>
      </c>
      <c r="AH232" s="125">
        <f t="shared" si="34"/>
        <v>15023.369999999999</v>
      </c>
      <c r="AI232" s="125">
        <f>IF(Valores!$C$32*B232&gt;Valores!$F$32,Valores!$F$32,Valores!$C$32*B232)</f>
        <v>996.03</v>
      </c>
      <c r="AJ232" s="125">
        <f>IF(Valores!$C$86*B232&gt;Valores!$C$85,Valores!$C$85,Valores!$C$86*B232)</f>
        <v>341.24999999999994</v>
      </c>
      <c r="AK232" s="125">
        <f>Valores!C$39*B232</f>
        <v>0</v>
      </c>
      <c r="AL232" s="125">
        <f>IF($F$3="NO",0,IF(Valores!$C$58*B232&gt;Valores!$F$58,Valores!$F$58,Valores!$C$58*B232))</f>
        <v>0</v>
      </c>
      <c r="AM232" s="125">
        <f t="shared" si="32"/>
        <v>1337.28</v>
      </c>
      <c r="AN232" s="125">
        <f>AH232*Valores!$C$67</f>
        <v>-1652.5707</v>
      </c>
      <c r="AO232" s="125">
        <f>AH232*-Valores!$C$68</f>
        <v>0</v>
      </c>
      <c r="AP232" s="125">
        <f>AH232*Valores!$C$69</f>
        <v>-676.0516499999999</v>
      </c>
      <c r="AQ232" s="125">
        <f>Valores!$C$96</f>
        <v>-280.91</v>
      </c>
      <c r="AR232" s="125">
        <f>IF($F$5=0,Valores!$C$97,(Valores!$C$97+$F$5*(Valores!$C$97)))</f>
        <v>-658</v>
      </c>
      <c r="AS232" s="125">
        <f t="shared" si="35"/>
        <v>13093.117649999998</v>
      </c>
      <c r="AT232" s="125">
        <f t="shared" si="29"/>
        <v>-1652.5707</v>
      </c>
      <c r="AU232" s="125">
        <f>AH232*Valores!$C$70</f>
        <v>-405.63098999999994</v>
      </c>
      <c r="AV232" s="125">
        <f>AH232*Valores!$C$71</f>
        <v>-45.07011</v>
      </c>
      <c r="AW232" s="125">
        <f t="shared" si="33"/>
        <v>14257.3782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3">
        <f t="shared" si="38"/>
        <v>316</v>
      </c>
      <c r="F233" s="125">
        <f>ROUND(E233*Valores!$C$2,2)</f>
        <v>6768.34</v>
      </c>
      <c r="G233" s="193">
        <v>0</v>
      </c>
      <c r="H233" s="125">
        <f>ROUND(G233*Valores!$C$2,2)</f>
        <v>0</v>
      </c>
      <c r="I233" s="193">
        <v>0</v>
      </c>
      <c r="J233" s="125">
        <f>ROUND(I233*Valores!$C$2,2)</f>
        <v>0</v>
      </c>
      <c r="K233" s="193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1244.08</v>
      </c>
      <c r="N233" s="125">
        <f t="shared" si="30"/>
        <v>0</v>
      </c>
      <c r="O233" s="125">
        <f>Valores!$C$7*B233</f>
        <v>2905.48</v>
      </c>
      <c r="P233" s="125">
        <f>ROUND(IF(B233&lt;15,(Valores!$E$5*B233),Valores!$D$5),2)</f>
        <v>2919.8</v>
      </c>
      <c r="Q233" s="125">
        <v>0</v>
      </c>
      <c r="R233" s="125">
        <f>IF($F$4="NO",IF(Valores!$C$45*B233&gt;Valores!$C$44,Valores!$C$44,Valores!$C$45*B233),IF(Valores!$C$45*B233&gt;Valores!$C$44,Valores!$C$44,Valores!$C$45*B233)/2)</f>
        <v>611.68</v>
      </c>
      <c r="S233" s="125">
        <f>Valores!$C$18*B233</f>
        <v>913.84</v>
      </c>
      <c r="T233" s="125">
        <f t="shared" si="36"/>
        <v>913.84</v>
      </c>
      <c r="U233" s="125">
        <v>0</v>
      </c>
      <c r="V233" s="125">
        <v>0</v>
      </c>
      <c r="W233" s="193">
        <v>0</v>
      </c>
      <c r="X233" s="125">
        <f>ROUND(W233*Valores!$C$2,2)</f>
        <v>0</v>
      </c>
      <c r="Y233" s="125">
        <v>0</v>
      </c>
      <c r="Z233" s="125">
        <f>IF(Valores!$C$93*B233&gt;Valores!$C$92,Valores!$C$92,Valores!$C$93*B233)</f>
        <v>1006.28</v>
      </c>
      <c r="AA233" s="125">
        <f>IF((Valores!$C$28)*B233&gt;Valores!$F$28,Valores!$F$28,(Valores!$C$28)*B233)</f>
        <v>71.76</v>
      </c>
      <c r="AB233" s="215">
        <v>0</v>
      </c>
      <c r="AC233" s="125">
        <f t="shared" si="31"/>
        <v>0</v>
      </c>
      <c r="AD233" s="125">
        <f>IF(Valores!$C$29*B233&gt;Valores!$F$29,Valores!$F$29,Valores!$C$29*B233)</f>
        <v>59.76</v>
      </c>
      <c r="AE233" s="193">
        <v>0</v>
      </c>
      <c r="AF233" s="125">
        <f>ROUND(AE233*Valores!$C$2,2)</f>
        <v>0</v>
      </c>
      <c r="AG233" s="125">
        <f>IF($F$4="NO",IF(Valores!$D$59*'Escala Docente'!B233&gt;Valores!$F$59,Valores!$F$59,Valores!$D$59*'Escala Docente'!B233),IF(Valores!$D$59*'Escala Docente'!B233&gt;Valores!$F$59,Valores!$F$59,Valores!$D$59*'Escala Docente'!B233)/2)</f>
        <v>845.64</v>
      </c>
      <c r="AH233" s="125">
        <f t="shared" si="34"/>
        <v>17346.66</v>
      </c>
      <c r="AI233" s="125">
        <f>IF(Valores!$C$32*B233&gt;Valores!$F$32,Valores!$F$32,Valores!$C$32*B233)</f>
        <v>1328.04</v>
      </c>
      <c r="AJ233" s="125">
        <f>IF(Valores!$C$86*B233&gt;Valores!$C$85,Valores!$C$85,Valores!$C$86*B233)</f>
        <v>454.99999999999994</v>
      </c>
      <c r="AK233" s="125">
        <f>Valores!C$39*B233</f>
        <v>0</v>
      </c>
      <c r="AL233" s="125">
        <f>IF($F$3="NO",0,IF(Valores!$C$58*B233&gt;Valores!$F$58,Valores!$F$58,Valores!$C$58*B233))</f>
        <v>0</v>
      </c>
      <c r="AM233" s="125">
        <f t="shared" si="32"/>
        <v>1783.04</v>
      </c>
      <c r="AN233" s="125">
        <f>AH233*Valores!$C$67</f>
        <v>-1908.1326</v>
      </c>
      <c r="AO233" s="125">
        <f>AH233*-Valores!$C$68</f>
        <v>0</v>
      </c>
      <c r="AP233" s="125">
        <f>AH233*Valores!$C$69</f>
        <v>-780.5997</v>
      </c>
      <c r="AQ233" s="125">
        <f>Valores!$C$96</f>
        <v>-280.91</v>
      </c>
      <c r="AR233" s="125">
        <f>IF($F$5=0,Valores!$C$97,(Valores!$C$97+$F$5*(Valores!$C$97)))</f>
        <v>-658</v>
      </c>
      <c r="AS233" s="125">
        <f t="shared" si="35"/>
        <v>15502.0577</v>
      </c>
      <c r="AT233" s="125">
        <f t="shared" si="29"/>
        <v>-1908.1326</v>
      </c>
      <c r="AU233" s="125">
        <f>AH233*Valores!$C$70</f>
        <v>-468.35982</v>
      </c>
      <c r="AV233" s="125">
        <f>AH233*Valores!$C$71</f>
        <v>-52.03998</v>
      </c>
      <c r="AW233" s="125">
        <f t="shared" si="33"/>
        <v>16701.1676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3">
        <f t="shared" si="38"/>
        <v>316</v>
      </c>
      <c r="F234" s="125">
        <f>ROUND(E234*Valores!$C$2,2)</f>
        <v>6768.34</v>
      </c>
      <c r="G234" s="193">
        <v>0</v>
      </c>
      <c r="H234" s="125">
        <f>ROUND(G234*Valores!$C$2,2)</f>
        <v>0</v>
      </c>
      <c r="I234" s="193">
        <v>0</v>
      </c>
      <c r="J234" s="125">
        <f>ROUND(I234*Valores!$C$2,2)</f>
        <v>0</v>
      </c>
      <c r="K234" s="193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1244.08</v>
      </c>
      <c r="N234" s="125">
        <f t="shared" si="30"/>
        <v>0</v>
      </c>
      <c r="O234" s="125">
        <f>Valores!$C$7*B234</f>
        <v>2905.48</v>
      </c>
      <c r="P234" s="125">
        <f>ROUND(IF(B234&lt;15,(Valores!$E$5*B234),Valores!$D$5),2)</f>
        <v>2919.8</v>
      </c>
      <c r="Q234" s="125">
        <v>0</v>
      </c>
      <c r="R234" s="125">
        <f>IF($F$4="NO",IF(Valores!$C$45*B234&gt;Valores!$C$44,Valores!$C$44,Valores!$C$45*B234),IF(Valores!$C$45*B234&gt;Valores!$C$44,Valores!$C$44,Valores!$C$45*B234)/2)</f>
        <v>611.68</v>
      </c>
      <c r="S234" s="125">
        <f>Valores!$C$18*B234</f>
        <v>913.84</v>
      </c>
      <c r="T234" s="125">
        <f t="shared" si="36"/>
        <v>913.84</v>
      </c>
      <c r="U234" s="125">
        <v>0</v>
      </c>
      <c r="V234" s="125">
        <v>0</v>
      </c>
      <c r="W234" s="193">
        <v>0</v>
      </c>
      <c r="X234" s="125">
        <f>ROUND(W234*Valores!$C$2,2)</f>
        <v>0</v>
      </c>
      <c r="Y234" s="125">
        <v>0</v>
      </c>
      <c r="Z234" s="125">
        <f>IF(Valores!$C$93*B234&gt;Valores!$C$92,Valores!$C$92,Valores!$C$93*B234)</f>
        <v>1006.28</v>
      </c>
      <c r="AA234" s="125">
        <f>IF((Valores!$C$28)*B234&gt;Valores!$F$28,Valores!$F$28,(Valores!$C$28)*B234)</f>
        <v>71.76</v>
      </c>
      <c r="AB234" s="215">
        <v>0</v>
      </c>
      <c r="AC234" s="125">
        <f t="shared" si="31"/>
        <v>0</v>
      </c>
      <c r="AD234" s="125">
        <f>IF(Valores!$C$29*B234&gt;Valores!$F$29,Valores!$F$29,Valores!$C$29*B234)</f>
        <v>59.76</v>
      </c>
      <c r="AE234" s="193">
        <v>94</v>
      </c>
      <c r="AF234" s="125">
        <f>ROUND(AE234*Valores!$C$2,2)</f>
        <v>2013.37</v>
      </c>
      <c r="AG234" s="125">
        <f>IF($F$4="NO",IF(Valores!$D$59*'Escala Docente'!B234&gt;Valores!$F$59,Valores!$F$59,Valores!$D$59*'Escala Docente'!B234),IF(Valores!$D$59*'Escala Docente'!B234&gt;Valores!$F$59,Valores!$F$59,Valores!$D$59*'Escala Docente'!B234)/2)</f>
        <v>845.64</v>
      </c>
      <c r="AH234" s="125">
        <f t="shared" si="34"/>
        <v>19360.03</v>
      </c>
      <c r="AI234" s="125">
        <f>IF(Valores!$C$32*B234&gt;Valores!$F$32,Valores!$F$32,Valores!$C$32*B234)</f>
        <v>1328.04</v>
      </c>
      <c r="AJ234" s="125">
        <f>IF(Valores!$C$86*B234&gt;Valores!$C$85,Valores!$C$85,Valores!$C$86*B234)</f>
        <v>454.99999999999994</v>
      </c>
      <c r="AK234" s="125">
        <f>Valores!C$39*B234</f>
        <v>0</v>
      </c>
      <c r="AL234" s="125">
        <f>IF($F$3="NO",0,IF(Valores!$C$58*B234&gt;Valores!$F$58,Valores!$F$58,Valores!$C$58*B234))</f>
        <v>0</v>
      </c>
      <c r="AM234" s="125">
        <f t="shared" si="32"/>
        <v>1783.04</v>
      </c>
      <c r="AN234" s="125">
        <f>AH234*Valores!$C$67</f>
        <v>-2129.6032999999998</v>
      </c>
      <c r="AO234" s="125">
        <f>AH234*-Valores!$C$68</f>
        <v>0</v>
      </c>
      <c r="AP234" s="125">
        <f>AH234*Valores!$C$69</f>
        <v>-871.2013499999999</v>
      </c>
      <c r="AQ234" s="125">
        <f>Valores!$C$96</f>
        <v>-280.91</v>
      </c>
      <c r="AR234" s="125">
        <f>IF($F$5=0,Valores!$C$97,(Valores!$C$97+$F$5*(Valores!$C$97)))</f>
        <v>-658</v>
      </c>
      <c r="AS234" s="125">
        <f t="shared" si="35"/>
        <v>17203.355349999998</v>
      </c>
      <c r="AT234" s="125">
        <f t="shared" si="29"/>
        <v>-2129.6032999999998</v>
      </c>
      <c r="AU234" s="125">
        <f>AH234*Valores!$C$70</f>
        <v>-522.7208099999999</v>
      </c>
      <c r="AV234" s="125">
        <f>AH234*Valores!$C$71</f>
        <v>-58.08009</v>
      </c>
      <c r="AW234" s="125">
        <f t="shared" si="33"/>
        <v>18432.6658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3">
        <f t="shared" si="38"/>
        <v>395</v>
      </c>
      <c r="F235" s="125">
        <f>ROUND(E235*Valores!$C$2,2)</f>
        <v>8460.43</v>
      </c>
      <c r="G235" s="193">
        <v>0</v>
      </c>
      <c r="H235" s="125">
        <f>ROUND(G235*Valores!$C$2,2)</f>
        <v>0</v>
      </c>
      <c r="I235" s="193">
        <v>0</v>
      </c>
      <c r="J235" s="125">
        <f>ROUND(I235*Valores!$C$2,2)</f>
        <v>0</v>
      </c>
      <c r="K235" s="193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1555.1</v>
      </c>
      <c r="N235" s="125">
        <f t="shared" si="30"/>
        <v>0</v>
      </c>
      <c r="O235" s="125">
        <f>Valores!$C$7*B235</f>
        <v>3631.85</v>
      </c>
      <c r="P235" s="125">
        <f>ROUND(IF(B235&lt;15,(Valores!$E$5*B235),Valores!$D$5),2)</f>
        <v>3649.75</v>
      </c>
      <c r="Q235" s="125">
        <v>0</v>
      </c>
      <c r="R235" s="125">
        <f>IF($F$4="NO",IF(Valores!$C$45*B235&gt;Valores!$C$44,Valores!$C$44,Valores!$C$45*B235),IF(Valores!$C$45*B235&gt;Valores!$C$44,Valores!$C$44,Valores!$C$45*B235)/2)</f>
        <v>764.5999999999999</v>
      </c>
      <c r="S235" s="125">
        <f>Valores!$C$18*B235</f>
        <v>1142.3</v>
      </c>
      <c r="T235" s="125">
        <f t="shared" si="36"/>
        <v>1142.3</v>
      </c>
      <c r="U235" s="125">
        <v>0</v>
      </c>
      <c r="V235" s="125">
        <v>0</v>
      </c>
      <c r="W235" s="193">
        <v>0</v>
      </c>
      <c r="X235" s="125">
        <f>ROUND(W235*Valores!$C$2,2)</f>
        <v>0</v>
      </c>
      <c r="Y235" s="125">
        <v>0</v>
      </c>
      <c r="Z235" s="125">
        <f>IF(Valores!$C$93*B235&gt;Valores!$C$92,Valores!$C$92,Valores!$C$93*B235)</f>
        <v>1257.85</v>
      </c>
      <c r="AA235" s="125">
        <f>IF((Valores!$C$28)*B235&gt;Valores!$F$28,Valores!$F$28,(Valores!$C$28)*B235)</f>
        <v>89.7</v>
      </c>
      <c r="AB235" s="215">
        <v>0</v>
      </c>
      <c r="AC235" s="125">
        <f t="shared" si="31"/>
        <v>0</v>
      </c>
      <c r="AD235" s="125">
        <f>IF(Valores!$C$29*B235&gt;Valores!$F$29,Valores!$F$29,Valores!$C$29*B235)</f>
        <v>74.7</v>
      </c>
      <c r="AE235" s="193">
        <v>0</v>
      </c>
      <c r="AF235" s="125">
        <f>ROUND(AE235*Valores!$C$2,2)</f>
        <v>0</v>
      </c>
      <c r="AG235" s="125">
        <f>IF($F$4="NO",IF(Valores!$D$59*'Escala Docente'!B235&gt;Valores!$F$59,Valores!$F$59,Valores!$D$59*'Escala Docente'!B235),IF(Valores!$D$59*'Escala Docente'!B235&gt;Valores!$F$59,Valores!$F$59,Valores!$D$59*'Escala Docente'!B235)/2)</f>
        <v>1057.05</v>
      </c>
      <c r="AH235" s="125">
        <f t="shared" si="34"/>
        <v>21683.329999999998</v>
      </c>
      <c r="AI235" s="125">
        <f>IF(Valores!$C$32*B235&gt;Valores!$F$32,Valores!$F$32,Valores!$C$32*B235)</f>
        <v>1660.05</v>
      </c>
      <c r="AJ235" s="125">
        <f>IF(Valores!$C$86*B235&gt;Valores!$C$85,Valores!$C$85,Valores!$C$86*B235)</f>
        <v>568.7499999999999</v>
      </c>
      <c r="AK235" s="125">
        <f>Valores!C$39*B235</f>
        <v>0</v>
      </c>
      <c r="AL235" s="125">
        <f>IF($F$3="NO",0,IF(Valores!$C$58*B235&gt;Valores!$F$58,Valores!$F$58,Valores!$C$58*B235))</f>
        <v>0</v>
      </c>
      <c r="AM235" s="125">
        <f t="shared" si="32"/>
        <v>2228.7999999999997</v>
      </c>
      <c r="AN235" s="125">
        <f>AH235*Valores!$C$67</f>
        <v>-2385.1663</v>
      </c>
      <c r="AO235" s="125">
        <f>AH235*-Valores!$C$68</f>
        <v>0</v>
      </c>
      <c r="AP235" s="125">
        <f>AH235*Valores!$C$69</f>
        <v>-975.7498499999999</v>
      </c>
      <c r="AQ235" s="125">
        <f>Valores!$C$96</f>
        <v>-280.91</v>
      </c>
      <c r="AR235" s="125">
        <f>IF($F$5=0,Valores!$C$97,(Valores!$C$97+$F$5*(Valores!$C$97)))</f>
        <v>-658</v>
      </c>
      <c r="AS235" s="125">
        <f t="shared" si="35"/>
        <v>19612.303849999997</v>
      </c>
      <c r="AT235" s="125">
        <f t="shared" si="29"/>
        <v>-2385.1663</v>
      </c>
      <c r="AU235" s="125">
        <f>AH235*Valores!$C$70</f>
        <v>-585.4499099999999</v>
      </c>
      <c r="AV235" s="125">
        <f>AH235*Valores!$C$71</f>
        <v>-65.04999</v>
      </c>
      <c r="AW235" s="125">
        <f t="shared" si="33"/>
        <v>20876.463799999998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3">
        <f t="shared" si="38"/>
        <v>395</v>
      </c>
      <c r="F236" s="125">
        <f>ROUND(E236*Valores!$C$2,2)</f>
        <v>8460.43</v>
      </c>
      <c r="G236" s="193">
        <v>0</v>
      </c>
      <c r="H236" s="125">
        <f>ROUND(G236*Valores!$C$2,2)</f>
        <v>0</v>
      </c>
      <c r="I236" s="193">
        <v>0</v>
      </c>
      <c r="J236" s="125">
        <f>ROUND(I236*Valores!$C$2,2)</f>
        <v>0</v>
      </c>
      <c r="K236" s="193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1555.1</v>
      </c>
      <c r="N236" s="125">
        <f t="shared" si="30"/>
        <v>0</v>
      </c>
      <c r="O236" s="125">
        <f>Valores!$C$7*B236</f>
        <v>3631.85</v>
      </c>
      <c r="P236" s="125">
        <f>ROUND(IF(B236&lt;15,(Valores!$E$5*B236),Valores!$D$5),2)</f>
        <v>3649.75</v>
      </c>
      <c r="Q236" s="125">
        <v>0</v>
      </c>
      <c r="R236" s="125">
        <f>IF($F$4="NO",IF(Valores!$C$45*B236&gt;Valores!$C$44,Valores!$C$44,Valores!$C$45*B236),IF(Valores!$C$45*B236&gt;Valores!$C$44,Valores!$C$44,Valores!$C$45*B236)/2)</f>
        <v>764.5999999999999</v>
      </c>
      <c r="S236" s="125">
        <f>Valores!$C$18*B236</f>
        <v>1142.3</v>
      </c>
      <c r="T236" s="125">
        <f t="shared" si="36"/>
        <v>1142.3</v>
      </c>
      <c r="U236" s="125">
        <v>0</v>
      </c>
      <c r="V236" s="125">
        <v>0</v>
      </c>
      <c r="W236" s="193">
        <v>0</v>
      </c>
      <c r="X236" s="125">
        <f>ROUND(W236*Valores!$C$2,2)</f>
        <v>0</v>
      </c>
      <c r="Y236" s="125">
        <v>0</v>
      </c>
      <c r="Z236" s="125">
        <f>IF(Valores!$C$93*B236&gt;Valores!$C$92,Valores!$C$92,Valores!$C$93*B236)</f>
        <v>1257.85</v>
      </c>
      <c r="AA236" s="125">
        <f>IF((Valores!$C$28)*B236&gt;Valores!$F$28,Valores!$F$28,(Valores!$C$28)*B236)</f>
        <v>89.7</v>
      </c>
      <c r="AB236" s="215">
        <v>0</v>
      </c>
      <c r="AC236" s="125">
        <f t="shared" si="31"/>
        <v>0</v>
      </c>
      <c r="AD236" s="125">
        <f>IF(Valores!$C$29*B236&gt;Valores!$F$29,Valores!$F$29,Valores!$C$29*B236)</f>
        <v>74.7</v>
      </c>
      <c r="AE236" s="193">
        <v>94</v>
      </c>
      <c r="AF236" s="125">
        <f>ROUND(AE236*Valores!$C$2,2)</f>
        <v>2013.37</v>
      </c>
      <c r="AG236" s="125">
        <f>IF($F$4="NO",IF(Valores!$D$59*'Escala Docente'!B236&gt;Valores!$F$59,Valores!$F$59,Valores!$D$59*'Escala Docente'!B236),IF(Valores!$D$59*'Escala Docente'!B236&gt;Valores!$F$59,Valores!$F$59,Valores!$D$59*'Escala Docente'!B236)/2)</f>
        <v>1057.05</v>
      </c>
      <c r="AH236" s="125">
        <f t="shared" si="34"/>
        <v>23696.699999999997</v>
      </c>
      <c r="AI236" s="125">
        <f>IF(Valores!$C$32*B236&gt;Valores!$F$32,Valores!$F$32,Valores!$C$32*B236)</f>
        <v>1660.05</v>
      </c>
      <c r="AJ236" s="125">
        <f>IF(Valores!$C$86*B236&gt;Valores!$C$85,Valores!$C$85,Valores!$C$86*B236)</f>
        <v>568.7499999999999</v>
      </c>
      <c r="AK236" s="125">
        <f>Valores!C$39*B236</f>
        <v>0</v>
      </c>
      <c r="AL236" s="125">
        <f>IF($F$3="NO",0,IF(Valores!$C$58*B236&gt;Valores!$F$58,Valores!$F$58,Valores!$C$58*B236))</f>
        <v>0</v>
      </c>
      <c r="AM236" s="125">
        <f t="shared" si="32"/>
        <v>2228.7999999999997</v>
      </c>
      <c r="AN236" s="125">
        <f>AH236*Valores!$C$67</f>
        <v>-2606.6369999999997</v>
      </c>
      <c r="AO236" s="125">
        <f>AH236*-Valores!$C$68</f>
        <v>0</v>
      </c>
      <c r="AP236" s="125">
        <f>AH236*Valores!$C$69</f>
        <v>-1066.3514999999998</v>
      </c>
      <c r="AQ236" s="125">
        <f>Valores!$C$96</f>
        <v>-280.91</v>
      </c>
      <c r="AR236" s="125">
        <f>IF($F$5=0,Valores!$C$97,(Valores!$C$97+$F$5*(Valores!$C$97)))</f>
        <v>-658</v>
      </c>
      <c r="AS236" s="125">
        <f t="shared" si="35"/>
        <v>21313.601499999997</v>
      </c>
      <c r="AT236" s="125">
        <f t="shared" si="29"/>
        <v>-2606.6369999999997</v>
      </c>
      <c r="AU236" s="125">
        <f>AH236*Valores!$C$70</f>
        <v>-639.8109</v>
      </c>
      <c r="AV236" s="125">
        <f>AH236*Valores!$C$71</f>
        <v>-71.09009999999999</v>
      </c>
      <c r="AW236" s="125">
        <f t="shared" si="33"/>
        <v>22607.961999999996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3">
        <f t="shared" si="38"/>
        <v>474</v>
      </c>
      <c r="F237" s="125">
        <f>ROUND(E237*Valores!$C$2,2)</f>
        <v>10152.51</v>
      </c>
      <c r="G237" s="193">
        <v>0</v>
      </c>
      <c r="H237" s="125">
        <f>ROUND(G237*Valores!$C$2,2)</f>
        <v>0</v>
      </c>
      <c r="I237" s="193">
        <v>0</v>
      </c>
      <c r="J237" s="125">
        <f>ROUND(I237*Valores!$C$2,2)</f>
        <v>0</v>
      </c>
      <c r="K237" s="193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1866.12</v>
      </c>
      <c r="N237" s="125">
        <f t="shared" si="30"/>
        <v>0</v>
      </c>
      <c r="O237" s="125">
        <f>Valores!$C$7*B237</f>
        <v>4358.22</v>
      </c>
      <c r="P237" s="125">
        <f>ROUND(IF(B237&lt;15,(Valores!$E$5*B237),Valores!$D$5),2)</f>
        <v>4379.7</v>
      </c>
      <c r="Q237" s="125">
        <v>0</v>
      </c>
      <c r="R237" s="125">
        <f>IF($F$4="NO",IF(Valores!$C$45*B237&gt;Valores!$C$44,Valores!$C$44,Valores!$C$45*B237),IF(Valores!$C$45*B237&gt;Valores!$C$44,Valores!$C$44,Valores!$C$45*B237)/2)</f>
        <v>917.52</v>
      </c>
      <c r="S237" s="125">
        <f>Valores!$C$18*B237</f>
        <v>1370.76</v>
      </c>
      <c r="T237" s="125">
        <f t="shared" si="36"/>
        <v>1370.76</v>
      </c>
      <c r="U237" s="125">
        <v>0</v>
      </c>
      <c r="V237" s="125">
        <v>0</v>
      </c>
      <c r="W237" s="193">
        <v>0</v>
      </c>
      <c r="X237" s="125">
        <f>ROUND(W237*Valores!$C$2,2)</f>
        <v>0</v>
      </c>
      <c r="Y237" s="125">
        <v>0</v>
      </c>
      <c r="Z237" s="125">
        <f>IF(Valores!$C$93*B237&gt;Valores!$C$92,Valores!$C$92,Valores!$C$93*B237)</f>
        <v>1509.42</v>
      </c>
      <c r="AA237" s="125">
        <f>IF((Valores!$C$28)*B237&gt;Valores!$F$28,Valores!$F$28,(Valores!$C$28)*B237)</f>
        <v>107.64000000000001</v>
      </c>
      <c r="AB237" s="215">
        <v>0</v>
      </c>
      <c r="AC237" s="125">
        <f t="shared" si="31"/>
        <v>0</v>
      </c>
      <c r="AD237" s="125">
        <f>IF(Valores!$C$29*B237&gt;Valores!$F$29,Valores!$F$29,Valores!$C$29*B237)</f>
        <v>89.64</v>
      </c>
      <c r="AE237" s="193">
        <v>0</v>
      </c>
      <c r="AF237" s="125">
        <f>ROUND(AE237*Valores!$C$2,2)</f>
        <v>0</v>
      </c>
      <c r="AG237" s="125">
        <f>IF($F$4="NO",IF(Valores!$D$59*'Escala Docente'!B237&gt;Valores!$F$59,Valores!$F$59,Valores!$D$59*'Escala Docente'!B237),IF(Valores!$D$59*'Escala Docente'!B237&gt;Valores!$F$59,Valores!$F$59,Valores!$D$59*'Escala Docente'!B237)/2)</f>
        <v>1268.46</v>
      </c>
      <c r="AH237" s="125">
        <f t="shared" si="34"/>
        <v>26019.989999999998</v>
      </c>
      <c r="AI237" s="125">
        <f>IF(Valores!$C$32*B237&gt;Valores!$F$32,Valores!$F$32,Valores!$C$32*B237)</f>
        <v>1992.06</v>
      </c>
      <c r="AJ237" s="125">
        <f>IF(Valores!$C$86*B237&gt;Valores!$C$85,Valores!$C$85,Valores!$C$86*B237)</f>
        <v>682.4999999999999</v>
      </c>
      <c r="AK237" s="125">
        <f>Valores!C$39*B237</f>
        <v>0</v>
      </c>
      <c r="AL237" s="125">
        <f>IF($F$3="NO",0,IF(Valores!$C$58*B237&gt;Valores!$F$58,Valores!$F$58,Valores!$C$58*B237))</f>
        <v>0</v>
      </c>
      <c r="AM237" s="125">
        <f t="shared" si="32"/>
        <v>2674.56</v>
      </c>
      <c r="AN237" s="125">
        <f>AH237*Valores!$C$67</f>
        <v>-2862.1989</v>
      </c>
      <c r="AO237" s="125">
        <f>AH237*-Valores!$C$68</f>
        <v>0</v>
      </c>
      <c r="AP237" s="125">
        <f>AH237*Valores!$C$69</f>
        <v>-1170.8995499999999</v>
      </c>
      <c r="AQ237" s="125">
        <f>Valores!$C$96</f>
        <v>-280.91</v>
      </c>
      <c r="AR237" s="125">
        <f>IF($F$5=0,Valores!$C$97,(Valores!$C$97+$F$5*(Valores!$C$97)))</f>
        <v>-658</v>
      </c>
      <c r="AS237" s="125">
        <f t="shared" si="35"/>
        <v>23722.541549999998</v>
      </c>
      <c r="AT237" s="125">
        <f t="shared" si="29"/>
        <v>-2862.1989</v>
      </c>
      <c r="AU237" s="125">
        <f>AH237*Valores!$C$70</f>
        <v>-702.53973</v>
      </c>
      <c r="AV237" s="125">
        <f>AH237*Valores!$C$71</f>
        <v>-78.05996999999999</v>
      </c>
      <c r="AW237" s="125">
        <f t="shared" si="33"/>
        <v>25051.7514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3">
        <f t="shared" si="38"/>
        <v>474</v>
      </c>
      <c r="F238" s="125">
        <f>ROUND(E238*Valores!$C$2,2)</f>
        <v>10152.51</v>
      </c>
      <c r="G238" s="193">
        <v>0</v>
      </c>
      <c r="H238" s="125">
        <f>ROUND(G238*Valores!$C$2,2)</f>
        <v>0</v>
      </c>
      <c r="I238" s="193">
        <v>0</v>
      </c>
      <c r="J238" s="125">
        <f>ROUND(I238*Valores!$C$2,2)</f>
        <v>0</v>
      </c>
      <c r="K238" s="193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1866.12</v>
      </c>
      <c r="N238" s="125">
        <f t="shared" si="30"/>
        <v>0</v>
      </c>
      <c r="O238" s="125">
        <f>Valores!$C$7*B238</f>
        <v>4358.22</v>
      </c>
      <c r="P238" s="125">
        <f>ROUND(IF(B238&lt;15,(Valores!$E$5*B238),Valores!$D$5),2)</f>
        <v>4379.7</v>
      </c>
      <c r="Q238" s="125">
        <v>0</v>
      </c>
      <c r="R238" s="125">
        <f>IF($F$4="NO",IF(Valores!$C$45*B238&gt;Valores!$C$44,Valores!$C$44,Valores!$C$45*B238),IF(Valores!$C$45*B238&gt;Valores!$C$44,Valores!$C$44,Valores!$C$45*B238)/2)</f>
        <v>917.52</v>
      </c>
      <c r="S238" s="125">
        <f>Valores!$C$18*B238</f>
        <v>1370.76</v>
      </c>
      <c r="T238" s="125">
        <f t="shared" si="36"/>
        <v>1370.76</v>
      </c>
      <c r="U238" s="125">
        <v>0</v>
      </c>
      <c r="V238" s="125">
        <v>0</v>
      </c>
      <c r="W238" s="193">
        <v>0</v>
      </c>
      <c r="X238" s="125">
        <f>ROUND(W238*Valores!$C$2,2)</f>
        <v>0</v>
      </c>
      <c r="Y238" s="125">
        <v>0</v>
      </c>
      <c r="Z238" s="125">
        <f>IF(Valores!$C$93*B238&gt;Valores!$C$92,Valores!$C$92,Valores!$C$93*B238)</f>
        <v>1509.42</v>
      </c>
      <c r="AA238" s="125">
        <f>IF((Valores!$C$28)*B238&gt;Valores!$F$28,Valores!$F$28,(Valores!$C$28)*B238)</f>
        <v>107.64000000000001</v>
      </c>
      <c r="AB238" s="215">
        <v>0</v>
      </c>
      <c r="AC238" s="125">
        <f t="shared" si="31"/>
        <v>0</v>
      </c>
      <c r="AD238" s="125">
        <f>IF(Valores!$C$29*B238&gt;Valores!$F$29,Valores!$F$29,Valores!$C$29*B238)</f>
        <v>89.64</v>
      </c>
      <c r="AE238" s="193">
        <v>94</v>
      </c>
      <c r="AF238" s="125">
        <f>ROUND(AE238*Valores!$C$2,2)</f>
        <v>2013.37</v>
      </c>
      <c r="AG238" s="125">
        <f>IF($F$4="NO",IF(Valores!$D$59*'Escala Docente'!B238&gt;Valores!$F$59,Valores!$F$59,Valores!$D$59*'Escala Docente'!B238),IF(Valores!$D$59*'Escala Docente'!B238&gt;Valores!$F$59,Valores!$F$59,Valores!$D$59*'Escala Docente'!B238)/2)</f>
        <v>1268.46</v>
      </c>
      <c r="AH238" s="125">
        <f t="shared" si="34"/>
        <v>28033.359999999997</v>
      </c>
      <c r="AI238" s="125">
        <f>IF(Valores!$C$32*B238&gt;Valores!$F$32,Valores!$F$32,Valores!$C$32*B238)</f>
        <v>1992.06</v>
      </c>
      <c r="AJ238" s="125">
        <f>IF(Valores!$C$86*B238&gt;Valores!$C$85,Valores!$C$85,Valores!$C$86*B238)</f>
        <v>682.4999999999999</v>
      </c>
      <c r="AK238" s="125">
        <f>Valores!C$39*B238</f>
        <v>0</v>
      </c>
      <c r="AL238" s="125">
        <f>IF($F$3="NO",0,IF(Valores!$C$58*B238&gt;Valores!$F$58,Valores!$F$58,Valores!$C$58*B238))</f>
        <v>0</v>
      </c>
      <c r="AM238" s="125">
        <f t="shared" si="32"/>
        <v>2674.56</v>
      </c>
      <c r="AN238" s="125">
        <f>AH238*Valores!$C$67</f>
        <v>-3083.6695999999997</v>
      </c>
      <c r="AO238" s="125">
        <f>AH238*-Valores!$C$68</f>
        <v>0</v>
      </c>
      <c r="AP238" s="125">
        <f>AH238*Valores!$C$69</f>
        <v>-1261.5012</v>
      </c>
      <c r="AQ238" s="125">
        <f>Valores!$C$96</f>
        <v>-280.91</v>
      </c>
      <c r="AR238" s="125">
        <f>IF($F$5=0,Valores!$C$97,(Valores!$C$97+$F$5*(Valores!$C$97)))</f>
        <v>-658</v>
      </c>
      <c r="AS238" s="125">
        <f t="shared" si="35"/>
        <v>25423.8392</v>
      </c>
      <c r="AT238" s="125">
        <f t="shared" si="29"/>
        <v>-3083.6695999999997</v>
      </c>
      <c r="AU238" s="125">
        <f>AH238*Valores!$C$70</f>
        <v>-756.9007199999999</v>
      </c>
      <c r="AV238" s="125">
        <f>AH238*Valores!$C$71</f>
        <v>-84.10007999999999</v>
      </c>
      <c r="AW238" s="125">
        <f t="shared" si="33"/>
        <v>26783.2496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3">
        <f t="shared" si="38"/>
        <v>553</v>
      </c>
      <c r="F239" s="125">
        <f>ROUND(E239*Valores!$C$2,2)</f>
        <v>11844.6</v>
      </c>
      <c r="G239" s="193">
        <v>0</v>
      </c>
      <c r="H239" s="125">
        <f>ROUND(G239*Valores!$C$2,2)</f>
        <v>0</v>
      </c>
      <c r="I239" s="193">
        <v>0</v>
      </c>
      <c r="J239" s="125">
        <f>ROUND(I239*Valores!$C$2,2)</f>
        <v>0</v>
      </c>
      <c r="K239" s="193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2177.14</v>
      </c>
      <c r="N239" s="125">
        <f t="shared" si="30"/>
        <v>0</v>
      </c>
      <c r="O239" s="125">
        <f>Valores!$C$7*B239</f>
        <v>5084.59</v>
      </c>
      <c r="P239" s="125">
        <f>ROUND(IF(B239&lt;15,(Valores!$E$5*B239),Valores!$D$5),2)</f>
        <v>5109.65</v>
      </c>
      <c r="Q239" s="125">
        <v>0</v>
      </c>
      <c r="R239" s="125">
        <f>IF($F$4="NO",IF(Valores!$C$45*B239&gt;Valores!$C$44,Valores!$C$44,Valores!$C$45*B239),IF(Valores!$C$45*B239&gt;Valores!$C$44,Valores!$C$44,Valores!$C$45*B239)/2)</f>
        <v>1070.4399999999998</v>
      </c>
      <c r="S239" s="125">
        <f>Valores!$C$18*B239</f>
        <v>1599.22</v>
      </c>
      <c r="T239" s="125">
        <f t="shared" si="36"/>
        <v>1599.22</v>
      </c>
      <c r="U239" s="125">
        <v>0</v>
      </c>
      <c r="V239" s="125">
        <v>0</v>
      </c>
      <c r="W239" s="193">
        <v>0</v>
      </c>
      <c r="X239" s="125">
        <f>ROUND(W239*Valores!$C$2,2)</f>
        <v>0</v>
      </c>
      <c r="Y239" s="125">
        <v>0</v>
      </c>
      <c r="Z239" s="125">
        <f>IF(Valores!$C$93*B239&gt;Valores!$C$92,Valores!$C$92,Valores!$C$93*B239)</f>
        <v>1760.99</v>
      </c>
      <c r="AA239" s="125">
        <f>IF((Valores!$C$28)*B239&gt;Valores!$F$28,Valores!$F$28,(Valores!$C$28)*B239)</f>
        <v>125.58000000000001</v>
      </c>
      <c r="AB239" s="215">
        <v>0</v>
      </c>
      <c r="AC239" s="125">
        <f t="shared" si="31"/>
        <v>0</v>
      </c>
      <c r="AD239" s="125">
        <f>IF(Valores!$C$29*B239&gt;Valores!$F$29,Valores!$F$29,Valores!$C$29*B239)</f>
        <v>104.58</v>
      </c>
      <c r="AE239" s="193">
        <v>0</v>
      </c>
      <c r="AF239" s="125">
        <f>ROUND(AE239*Valores!$C$2,2)</f>
        <v>0</v>
      </c>
      <c r="AG239" s="125">
        <f>IF($F$4="NO",IF(Valores!$D$59*'Escala Docente'!B239&gt;Valores!$F$59,Valores!$F$59,Valores!$D$59*'Escala Docente'!B239),IF(Valores!$D$59*'Escala Docente'!B239&gt;Valores!$F$59,Valores!$F$59,Valores!$D$59*'Escala Docente'!B239)/2)</f>
        <v>1479.87</v>
      </c>
      <c r="AH239" s="125">
        <f t="shared" si="34"/>
        <v>30356.660000000007</v>
      </c>
      <c r="AI239" s="125">
        <f>IF(Valores!$C$32*B239&gt;Valores!$F$32,Valores!$F$32,Valores!$C$32*B239)</f>
        <v>2324.0699999999997</v>
      </c>
      <c r="AJ239" s="125">
        <f>IF(Valores!$C$86*B239&gt;Valores!$C$85,Valores!$C$85,Valores!$C$86*B239)</f>
        <v>796.2499999999999</v>
      </c>
      <c r="AK239" s="125">
        <f>Valores!C$39*B239</f>
        <v>0</v>
      </c>
      <c r="AL239" s="125">
        <f>IF($F$3="NO",0,IF(Valores!$C$58*B239&gt;Valores!$F$58,Valores!$F$58,Valores!$C$58*B239))</f>
        <v>0</v>
      </c>
      <c r="AM239" s="125">
        <f t="shared" si="32"/>
        <v>3120.3199999999997</v>
      </c>
      <c r="AN239" s="125">
        <f>AH239*Valores!$C$67</f>
        <v>-3339.2326000000007</v>
      </c>
      <c r="AO239" s="125">
        <f>AH239*-Valores!$C$68</f>
        <v>0</v>
      </c>
      <c r="AP239" s="125">
        <f>AH239*Valores!$C$69</f>
        <v>-1366.0497000000003</v>
      </c>
      <c r="AQ239" s="125">
        <f>Valores!$C$96</f>
        <v>-280.91</v>
      </c>
      <c r="AR239" s="125">
        <f>IF($F$5=0,Valores!$C$97,(Valores!$C$97+$F$5*(Valores!$C$97)))</f>
        <v>-658</v>
      </c>
      <c r="AS239" s="125">
        <f t="shared" si="35"/>
        <v>27832.787700000004</v>
      </c>
      <c r="AT239" s="125">
        <f t="shared" si="29"/>
        <v>-3339.2326000000007</v>
      </c>
      <c r="AU239" s="125">
        <f>AH239*Valores!$C$70</f>
        <v>-819.6298200000002</v>
      </c>
      <c r="AV239" s="125">
        <f>AH239*Valores!$C$71</f>
        <v>-91.06998000000003</v>
      </c>
      <c r="AW239" s="125">
        <f t="shared" si="33"/>
        <v>29227.04760000001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3">
        <f t="shared" si="38"/>
        <v>553</v>
      </c>
      <c r="F240" s="125">
        <f>ROUND(E240*Valores!$C$2,2)</f>
        <v>11844.6</v>
      </c>
      <c r="G240" s="193">
        <v>0</v>
      </c>
      <c r="H240" s="125">
        <f>ROUND(G240*Valores!$C$2,2)</f>
        <v>0</v>
      </c>
      <c r="I240" s="193">
        <v>0</v>
      </c>
      <c r="J240" s="125">
        <f>ROUND(I240*Valores!$C$2,2)</f>
        <v>0</v>
      </c>
      <c r="K240" s="193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2177.14</v>
      </c>
      <c r="N240" s="125">
        <f t="shared" si="30"/>
        <v>0</v>
      </c>
      <c r="O240" s="125">
        <f>Valores!$C$7*B240</f>
        <v>5084.59</v>
      </c>
      <c r="P240" s="125">
        <f>ROUND(IF(B240&lt;15,(Valores!$E$5*B240),Valores!$D$5),2)</f>
        <v>5109.65</v>
      </c>
      <c r="Q240" s="125">
        <v>0</v>
      </c>
      <c r="R240" s="125">
        <f>IF($F$4="NO",IF(Valores!$C$45*B240&gt;Valores!$C$44,Valores!$C$44,Valores!$C$45*B240),IF(Valores!$C$45*B240&gt;Valores!$C$44,Valores!$C$44,Valores!$C$45*B240)/2)</f>
        <v>1070.4399999999998</v>
      </c>
      <c r="S240" s="125">
        <f>Valores!$C$18*B240</f>
        <v>1599.22</v>
      </c>
      <c r="T240" s="125">
        <f t="shared" si="36"/>
        <v>1599.22</v>
      </c>
      <c r="U240" s="125">
        <v>0</v>
      </c>
      <c r="V240" s="125">
        <v>0</v>
      </c>
      <c r="W240" s="193">
        <v>0</v>
      </c>
      <c r="X240" s="125">
        <f>ROUND(W240*Valores!$C$2,2)</f>
        <v>0</v>
      </c>
      <c r="Y240" s="125">
        <v>0</v>
      </c>
      <c r="Z240" s="125">
        <f>IF(Valores!$C$93*B240&gt;Valores!$C$92,Valores!$C$92,Valores!$C$93*B240)</f>
        <v>1760.99</v>
      </c>
      <c r="AA240" s="125">
        <f>IF((Valores!$C$28)*B240&gt;Valores!$F$28,Valores!$F$28,(Valores!$C$28)*B240)</f>
        <v>125.58000000000001</v>
      </c>
      <c r="AB240" s="215">
        <v>0</v>
      </c>
      <c r="AC240" s="125">
        <f t="shared" si="31"/>
        <v>0</v>
      </c>
      <c r="AD240" s="125">
        <f>IF(Valores!$C$29*B240&gt;Valores!$F$29,Valores!$F$29,Valores!$C$29*B240)</f>
        <v>104.58</v>
      </c>
      <c r="AE240" s="193">
        <v>94</v>
      </c>
      <c r="AF240" s="125">
        <f>ROUND(AE240*Valores!$C$2,2)</f>
        <v>2013.37</v>
      </c>
      <c r="AG240" s="125">
        <f>IF($F$4="NO",IF(Valores!$D$59*'Escala Docente'!B240&gt;Valores!$F$59,Valores!$F$59,Valores!$D$59*'Escala Docente'!B240),IF(Valores!$D$59*'Escala Docente'!B240&gt;Valores!$F$59,Valores!$F$59,Valores!$D$59*'Escala Docente'!B240)/2)</f>
        <v>1479.87</v>
      </c>
      <c r="AH240" s="125">
        <f t="shared" si="34"/>
        <v>32370.030000000006</v>
      </c>
      <c r="AI240" s="125">
        <f>IF(Valores!$C$32*B240&gt;Valores!$F$32,Valores!$F$32,Valores!$C$32*B240)</f>
        <v>2324.0699999999997</v>
      </c>
      <c r="AJ240" s="125">
        <f>IF(Valores!$C$86*B240&gt;Valores!$C$85,Valores!$C$85,Valores!$C$86*B240)</f>
        <v>796.2499999999999</v>
      </c>
      <c r="AK240" s="125">
        <f>Valores!C$39*B240</f>
        <v>0</v>
      </c>
      <c r="AL240" s="125">
        <f>IF($F$3="NO",0,IF(Valores!$C$58*B240&gt;Valores!$F$58,Valores!$F$58,Valores!$C$58*B240))</f>
        <v>0</v>
      </c>
      <c r="AM240" s="125">
        <f t="shared" si="32"/>
        <v>3120.3199999999997</v>
      </c>
      <c r="AN240" s="125">
        <f>AH240*Valores!$C$67</f>
        <v>-3560.7033000000006</v>
      </c>
      <c r="AO240" s="125">
        <f>AH240*-Valores!$C$68</f>
        <v>0</v>
      </c>
      <c r="AP240" s="125">
        <f>AH240*Valores!$C$69</f>
        <v>-1456.6513500000003</v>
      </c>
      <c r="AQ240" s="125">
        <f>Valores!$C$96</f>
        <v>-280.91</v>
      </c>
      <c r="AR240" s="125">
        <f>IF($F$5=0,Valores!$C$97,(Valores!$C$97+$F$5*(Valores!$C$97)))</f>
        <v>-658</v>
      </c>
      <c r="AS240" s="125">
        <f t="shared" si="35"/>
        <v>29534.085350000005</v>
      </c>
      <c r="AT240" s="125">
        <f t="shared" si="29"/>
        <v>-3560.7033000000006</v>
      </c>
      <c r="AU240" s="125">
        <f>AH240*Valores!$C$70</f>
        <v>-873.9908100000001</v>
      </c>
      <c r="AV240" s="125">
        <f>AH240*Valores!$C$71</f>
        <v>-97.11009000000001</v>
      </c>
      <c r="AW240" s="125">
        <f t="shared" si="33"/>
        <v>30958.545800000007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3">
        <f t="shared" si="38"/>
        <v>632</v>
      </c>
      <c r="F241" s="125">
        <f>ROUND(E241*Valores!$C$2,2)</f>
        <v>13536.68</v>
      </c>
      <c r="G241" s="193">
        <v>0</v>
      </c>
      <c r="H241" s="125">
        <f>ROUND(G241*Valores!$C$2,2)</f>
        <v>0</v>
      </c>
      <c r="I241" s="193">
        <v>0</v>
      </c>
      <c r="J241" s="125">
        <f>ROUND(I241*Valores!$C$2,2)</f>
        <v>0</v>
      </c>
      <c r="K241" s="193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2488.16</v>
      </c>
      <c r="N241" s="125">
        <f t="shared" si="30"/>
        <v>0</v>
      </c>
      <c r="O241" s="125">
        <f>Valores!$C$7*B241</f>
        <v>5810.96</v>
      </c>
      <c r="P241" s="125">
        <f>ROUND(IF(B241&lt;15,(Valores!$E$5*B241),Valores!$D$5),2)</f>
        <v>5839.6</v>
      </c>
      <c r="Q241" s="125">
        <v>0</v>
      </c>
      <c r="R241" s="125">
        <f>IF($F$4="NO",IF(Valores!$C$45*B241&gt;Valores!$C$44,Valores!$C$44,Valores!$C$45*B241),IF(Valores!$C$45*B241&gt;Valores!$C$44,Valores!$C$44,Valores!$C$45*B241)/2)</f>
        <v>1223.36</v>
      </c>
      <c r="S241" s="125">
        <f>Valores!$C$18*B241</f>
        <v>1827.68</v>
      </c>
      <c r="T241" s="125">
        <f t="shared" si="36"/>
        <v>1827.68</v>
      </c>
      <c r="U241" s="125">
        <v>0</v>
      </c>
      <c r="V241" s="125">
        <v>0</v>
      </c>
      <c r="W241" s="193">
        <v>0</v>
      </c>
      <c r="X241" s="125">
        <f>ROUND(W241*Valores!$C$2,2)</f>
        <v>0</v>
      </c>
      <c r="Y241" s="125">
        <v>0</v>
      </c>
      <c r="Z241" s="125">
        <f>IF(Valores!$C$93*B241&gt;Valores!$C$92,Valores!$C$92,Valores!$C$93*B241)</f>
        <v>2012.56</v>
      </c>
      <c r="AA241" s="125">
        <f>IF((Valores!$C$28)*B241&gt;Valores!$F$28,Valores!$F$28,(Valores!$C$28)*B241)</f>
        <v>143.52</v>
      </c>
      <c r="AB241" s="215">
        <v>0</v>
      </c>
      <c r="AC241" s="125">
        <f t="shared" si="31"/>
        <v>0</v>
      </c>
      <c r="AD241" s="125">
        <f>IF(Valores!$C$29*B241&gt;Valores!$F$29,Valores!$F$29,Valores!$C$29*B241)</f>
        <v>119.52</v>
      </c>
      <c r="AE241" s="193">
        <v>0</v>
      </c>
      <c r="AF241" s="125">
        <f>ROUND(AE241*Valores!$C$2,2)</f>
        <v>0</v>
      </c>
      <c r="AG241" s="125">
        <f>IF($F$4="NO",IF(Valores!$D$59*'Escala Docente'!B241&gt;Valores!$F$59,Valores!$F$59,Valores!$D$59*'Escala Docente'!B241),IF(Valores!$D$59*'Escala Docente'!B241&gt;Valores!$F$59,Valores!$F$59,Valores!$D$59*'Escala Docente'!B241)/2)</f>
        <v>1691.28</v>
      </c>
      <c r="AH241" s="125">
        <f t="shared" si="34"/>
        <v>34693.32</v>
      </c>
      <c r="AI241" s="125">
        <f>IF(Valores!$C$32*B241&gt;Valores!$F$32,Valores!$F$32,Valores!$C$32*B241)</f>
        <v>2656.08</v>
      </c>
      <c r="AJ241" s="125">
        <f>IF(Valores!$C$86*B241&gt;Valores!$C$85,Valores!$C$85,Valores!$C$86*B241)</f>
        <v>909.9999999999999</v>
      </c>
      <c r="AK241" s="125">
        <f>Valores!C$39*B241</f>
        <v>0</v>
      </c>
      <c r="AL241" s="125">
        <f>IF($F$3="NO",0,IF(Valores!$C$58*B241&gt;Valores!$F$58,Valores!$F$58,Valores!$C$58*B241))</f>
        <v>0</v>
      </c>
      <c r="AM241" s="125">
        <f t="shared" si="32"/>
        <v>3566.08</v>
      </c>
      <c r="AN241" s="125">
        <f>AH241*Valores!$C$67</f>
        <v>-3816.2652</v>
      </c>
      <c r="AO241" s="125">
        <f>AH241*-Valores!$C$68</f>
        <v>0</v>
      </c>
      <c r="AP241" s="125">
        <f>AH241*Valores!$C$69</f>
        <v>-1561.1994</v>
      </c>
      <c r="AQ241" s="125">
        <f>Valores!$C$96</f>
        <v>-280.91</v>
      </c>
      <c r="AR241" s="125">
        <f>IF($F$5=0,Valores!$C$97,(Valores!$C$97+$F$5*(Valores!$C$97)))</f>
        <v>-658</v>
      </c>
      <c r="AS241" s="125">
        <f t="shared" si="35"/>
        <v>31943.0254</v>
      </c>
      <c r="AT241" s="125">
        <f t="shared" si="29"/>
        <v>-3816.2652</v>
      </c>
      <c r="AU241" s="125">
        <f>AH241*Valores!$C$70</f>
        <v>-936.71964</v>
      </c>
      <c r="AV241" s="125">
        <f>AH241*Valores!$C$71</f>
        <v>-104.07996</v>
      </c>
      <c r="AW241" s="125">
        <f t="shared" si="33"/>
        <v>33402.3352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3">
        <f t="shared" si="38"/>
        <v>632</v>
      </c>
      <c r="F242" s="125">
        <f>ROUND(E242*Valores!$C$2,2)</f>
        <v>13536.68</v>
      </c>
      <c r="G242" s="193">
        <v>0</v>
      </c>
      <c r="H242" s="125">
        <f>ROUND(G242*Valores!$C$2,2)</f>
        <v>0</v>
      </c>
      <c r="I242" s="193">
        <v>0</v>
      </c>
      <c r="J242" s="125">
        <f>ROUND(I242*Valores!$C$2,2)</f>
        <v>0</v>
      </c>
      <c r="K242" s="193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2488.16</v>
      </c>
      <c r="N242" s="125">
        <f t="shared" si="30"/>
        <v>0</v>
      </c>
      <c r="O242" s="125">
        <f>Valores!$C$7*B242</f>
        <v>5810.96</v>
      </c>
      <c r="P242" s="125">
        <f>ROUND(IF(B242&lt;15,(Valores!$E$5*B242),Valores!$D$5),2)</f>
        <v>5839.6</v>
      </c>
      <c r="Q242" s="125">
        <v>0</v>
      </c>
      <c r="R242" s="125">
        <f>IF($F$4="NO",IF(Valores!$C$45*B242&gt;Valores!$C$44,Valores!$C$44,Valores!$C$45*B242),IF(Valores!$C$45*B242&gt;Valores!$C$44,Valores!$C$44,Valores!$C$45*B242)/2)</f>
        <v>1223.36</v>
      </c>
      <c r="S242" s="125">
        <f>Valores!$C$18*B242</f>
        <v>1827.68</v>
      </c>
      <c r="T242" s="125">
        <f t="shared" si="36"/>
        <v>1827.68</v>
      </c>
      <c r="U242" s="125">
        <v>0</v>
      </c>
      <c r="V242" s="125">
        <v>0</v>
      </c>
      <c r="W242" s="193">
        <v>0</v>
      </c>
      <c r="X242" s="125">
        <f>ROUND(W242*Valores!$C$2,2)</f>
        <v>0</v>
      </c>
      <c r="Y242" s="125">
        <v>0</v>
      </c>
      <c r="Z242" s="125">
        <f>IF(Valores!$C$93*B242&gt;Valores!$C$92,Valores!$C$92,Valores!$C$93*B242)</f>
        <v>2012.56</v>
      </c>
      <c r="AA242" s="125">
        <f>IF((Valores!$C$28)*B242&gt;Valores!$F$28,Valores!$F$28,(Valores!$C$28)*B242)</f>
        <v>143.52</v>
      </c>
      <c r="AB242" s="215">
        <v>0</v>
      </c>
      <c r="AC242" s="125">
        <f t="shared" si="31"/>
        <v>0</v>
      </c>
      <c r="AD242" s="125">
        <f>IF(Valores!$C$29*B242&gt;Valores!$F$29,Valores!$F$29,Valores!$C$29*B242)</f>
        <v>119.52</v>
      </c>
      <c r="AE242" s="193">
        <v>94</v>
      </c>
      <c r="AF242" s="125">
        <f>ROUND(AE242*Valores!$C$2,2)</f>
        <v>2013.37</v>
      </c>
      <c r="AG242" s="125">
        <f>IF($F$4="NO",IF(Valores!$D$59*'Escala Docente'!B242&gt;Valores!$F$59,Valores!$F$59,Valores!$D$59*'Escala Docente'!B242),IF(Valores!$D$59*'Escala Docente'!B242&gt;Valores!$F$59,Valores!$F$59,Valores!$D$59*'Escala Docente'!B242)/2)</f>
        <v>1691.28</v>
      </c>
      <c r="AH242" s="125">
        <f t="shared" si="34"/>
        <v>36706.69</v>
      </c>
      <c r="AI242" s="125">
        <f>IF(Valores!$C$32*B242&gt;Valores!$F$32,Valores!$F$32,Valores!$C$32*B242)</f>
        <v>2656.08</v>
      </c>
      <c r="AJ242" s="125">
        <f>IF(Valores!$C$86*B242&gt;Valores!$C$85,Valores!$C$85,Valores!$C$86*B242)</f>
        <v>909.9999999999999</v>
      </c>
      <c r="AK242" s="125">
        <f>Valores!C$39*B242</f>
        <v>0</v>
      </c>
      <c r="AL242" s="125">
        <f>IF($F$3="NO",0,IF(Valores!$C$58*B242&gt;Valores!$F$58,Valores!$F$58,Valores!$C$58*B242))</f>
        <v>0</v>
      </c>
      <c r="AM242" s="125">
        <f t="shared" si="32"/>
        <v>3566.08</v>
      </c>
      <c r="AN242" s="125">
        <f>AH242*Valores!$C$67</f>
        <v>-4037.7359</v>
      </c>
      <c r="AO242" s="125">
        <f>AH242*-Valores!$C$68</f>
        <v>0</v>
      </c>
      <c r="AP242" s="125">
        <f>AH242*Valores!$C$69</f>
        <v>-1651.80105</v>
      </c>
      <c r="AQ242" s="125">
        <f>Valores!$C$96</f>
        <v>-280.91</v>
      </c>
      <c r="AR242" s="125">
        <f>IF($F$5=0,Valores!$C$97,(Valores!$C$97+$F$5*(Valores!$C$97)))</f>
        <v>-658</v>
      </c>
      <c r="AS242" s="125">
        <f t="shared" si="35"/>
        <v>33644.32305</v>
      </c>
      <c r="AT242" s="125">
        <f t="shared" si="29"/>
        <v>-4037.7359</v>
      </c>
      <c r="AU242" s="125">
        <f>AH242*Valores!$C$70</f>
        <v>-991.08063</v>
      </c>
      <c r="AV242" s="125">
        <f>AH242*Valores!$C$71</f>
        <v>-110.12007000000001</v>
      </c>
      <c r="AW242" s="125">
        <f t="shared" si="33"/>
        <v>35133.8334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3">
        <f t="shared" si="38"/>
        <v>711</v>
      </c>
      <c r="F243" s="125">
        <f>ROUND(E243*Valores!$C$2,2)</f>
        <v>15228.77</v>
      </c>
      <c r="G243" s="193">
        <v>0</v>
      </c>
      <c r="H243" s="125">
        <f>ROUND(G243*Valores!$C$2,2)</f>
        <v>0</v>
      </c>
      <c r="I243" s="193">
        <v>0</v>
      </c>
      <c r="J243" s="125">
        <f>ROUND(I243*Valores!$C$2,2)</f>
        <v>0</v>
      </c>
      <c r="K243" s="193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2799.18</v>
      </c>
      <c r="N243" s="125">
        <f t="shared" si="30"/>
        <v>0</v>
      </c>
      <c r="O243" s="125">
        <f>Valores!$C$7*B243</f>
        <v>6537.33</v>
      </c>
      <c r="P243" s="125">
        <f>ROUND(IF(B243&lt;15,(Valores!$E$5*B243),Valores!$D$5),2)</f>
        <v>6569.55</v>
      </c>
      <c r="Q243" s="125">
        <v>0</v>
      </c>
      <c r="R243" s="125">
        <f>IF($F$4="NO",IF(Valores!$C$45*B243&gt;Valores!$C$44,Valores!$C$44,Valores!$C$45*B243),IF(Valores!$C$45*B243&gt;Valores!$C$44,Valores!$C$44,Valores!$C$45*B243)/2)</f>
        <v>1376.28</v>
      </c>
      <c r="S243" s="125">
        <f>Valores!$C$18*B243</f>
        <v>2056.14</v>
      </c>
      <c r="T243" s="125">
        <f t="shared" si="36"/>
        <v>2056.14</v>
      </c>
      <c r="U243" s="125">
        <v>0</v>
      </c>
      <c r="V243" s="125">
        <v>0</v>
      </c>
      <c r="W243" s="193">
        <v>0</v>
      </c>
      <c r="X243" s="125">
        <f>ROUND(W243*Valores!$C$2,2)</f>
        <v>0</v>
      </c>
      <c r="Y243" s="125">
        <v>0</v>
      </c>
      <c r="Z243" s="125">
        <f>IF(Valores!$C$93*B243&gt;Valores!$C$92,Valores!$C$92,Valores!$C$93*B243)</f>
        <v>2264.13</v>
      </c>
      <c r="AA243" s="125">
        <f>IF((Valores!$C$28)*B243&gt;Valores!$F$28,Valores!$F$28,(Valores!$C$28)*B243)</f>
        <v>161.46</v>
      </c>
      <c r="AB243" s="215">
        <v>0</v>
      </c>
      <c r="AC243" s="125">
        <f t="shared" si="31"/>
        <v>0</v>
      </c>
      <c r="AD243" s="125">
        <f>IF(Valores!$C$29*B243&gt;Valores!$F$29,Valores!$F$29,Valores!$C$29*B243)</f>
        <v>134.46</v>
      </c>
      <c r="AE243" s="193">
        <v>0</v>
      </c>
      <c r="AF243" s="125">
        <f>ROUND(AE243*Valores!$C$2,2)</f>
        <v>0</v>
      </c>
      <c r="AG243" s="125">
        <f>IF($F$4="NO",IF(Valores!$D$59*'Escala Docente'!B243&gt;Valores!$F$59,Valores!$F$59,Valores!$D$59*'Escala Docente'!B243),IF(Valores!$D$59*'Escala Docente'!B243&gt;Valores!$F$59,Valores!$F$59,Valores!$D$59*'Escala Docente'!B243)/2)</f>
        <v>1902.69</v>
      </c>
      <c r="AH243" s="125">
        <f t="shared" si="34"/>
        <v>39029.99</v>
      </c>
      <c r="AI243" s="125">
        <f>IF(Valores!$C$32*B243&gt;Valores!$F$32,Valores!$F$32,Valores!$C$32*B243)</f>
        <v>2988.09</v>
      </c>
      <c r="AJ243" s="125">
        <f>IF(Valores!$C$86*B243&gt;Valores!$C$85,Valores!$C$85,Valores!$C$86*B243)</f>
        <v>1023.7499999999999</v>
      </c>
      <c r="AK243" s="125">
        <f>Valores!C$39*B243</f>
        <v>0</v>
      </c>
      <c r="AL243" s="125">
        <f>IF($F$3="NO",0,IF(Valores!$C$58*B243&gt;Valores!$F$58,Valores!$F$58,Valores!$C$58*B243))</f>
        <v>0</v>
      </c>
      <c r="AM243" s="125">
        <f t="shared" si="32"/>
        <v>4011.84</v>
      </c>
      <c r="AN243" s="125">
        <f>AH243*Valores!$C$67</f>
        <v>-4293.2989</v>
      </c>
      <c r="AO243" s="125">
        <f>AH243*-Valores!$C$68</f>
        <v>0</v>
      </c>
      <c r="AP243" s="125">
        <f>AH243*Valores!$C$69</f>
        <v>-1756.34955</v>
      </c>
      <c r="AQ243" s="125">
        <f>Valores!$C$96</f>
        <v>-280.91</v>
      </c>
      <c r="AR243" s="125">
        <f>IF($F$5=0,Valores!$C$97,(Valores!$C$97+$F$5*(Valores!$C$97)))</f>
        <v>-658</v>
      </c>
      <c r="AS243" s="125">
        <f t="shared" si="35"/>
        <v>36053.27155</v>
      </c>
      <c r="AT243" s="125">
        <f t="shared" si="29"/>
        <v>-4293.2989</v>
      </c>
      <c r="AU243" s="125">
        <f>AH243*Valores!$C$70</f>
        <v>-1053.80973</v>
      </c>
      <c r="AV243" s="125">
        <f>AH243*Valores!$C$71</f>
        <v>-117.08997</v>
      </c>
      <c r="AW243" s="125">
        <f t="shared" si="33"/>
        <v>37577.6314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3">
        <f t="shared" si="38"/>
        <v>711</v>
      </c>
      <c r="F244" s="125">
        <f>ROUND(E244*Valores!$C$2,2)</f>
        <v>15228.77</v>
      </c>
      <c r="G244" s="193">
        <v>0</v>
      </c>
      <c r="H244" s="125">
        <f>ROUND(G244*Valores!$C$2,2)</f>
        <v>0</v>
      </c>
      <c r="I244" s="193">
        <v>0</v>
      </c>
      <c r="J244" s="125">
        <f>ROUND(I244*Valores!$C$2,2)</f>
        <v>0</v>
      </c>
      <c r="K244" s="193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2799.18</v>
      </c>
      <c r="N244" s="125">
        <f t="shared" si="30"/>
        <v>0</v>
      </c>
      <c r="O244" s="125">
        <f>Valores!$C$7*B244</f>
        <v>6537.33</v>
      </c>
      <c r="P244" s="125">
        <f>ROUND(IF(B244&lt;15,(Valores!$E$5*B244),Valores!$D$5),2)</f>
        <v>6569.55</v>
      </c>
      <c r="Q244" s="125">
        <v>0</v>
      </c>
      <c r="R244" s="125">
        <f>IF($F$4="NO",IF(Valores!$C$45*B244&gt;Valores!$C$44,Valores!$C$44,Valores!$C$45*B244),IF(Valores!$C$45*B244&gt;Valores!$C$44,Valores!$C$44,Valores!$C$45*B244)/2)</f>
        <v>1376.28</v>
      </c>
      <c r="S244" s="125">
        <f>Valores!$C$18*B244</f>
        <v>2056.14</v>
      </c>
      <c r="T244" s="125">
        <f t="shared" si="36"/>
        <v>2056.14</v>
      </c>
      <c r="U244" s="125">
        <v>0</v>
      </c>
      <c r="V244" s="125">
        <v>0</v>
      </c>
      <c r="W244" s="193">
        <v>0</v>
      </c>
      <c r="X244" s="125">
        <f>ROUND(W244*Valores!$C$2,2)</f>
        <v>0</v>
      </c>
      <c r="Y244" s="125">
        <v>0</v>
      </c>
      <c r="Z244" s="125">
        <f>IF(Valores!$C$93*B244&gt;Valores!$C$92,Valores!$C$92,Valores!$C$93*B244)</f>
        <v>2264.13</v>
      </c>
      <c r="AA244" s="125">
        <f>IF((Valores!$C$28)*B244&gt;Valores!$F$28,Valores!$F$28,(Valores!$C$28)*B244)</f>
        <v>161.46</v>
      </c>
      <c r="AB244" s="215">
        <v>0</v>
      </c>
      <c r="AC244" s="125">
        <f t="shared" si="31"/>
        <v>0</v>
      </c>
      <c r="AD244" s="125">
        <f>IF(Valores!$C$29*B244&gt;Valores!$F$29,Valores!$F$29,Valores!$C$29*B244)</f>
        <v>134.46</v>
      </c>
      <c r="AE244" s="193">
        <v>94</v>
      </c>
      <c r="AF244" s="125">
        <f>ROUND(AE244*Valores!$C$2,2)</f>
        <v>2013.37</v>
      </c>
      <c r="AG244" s="125">
        <f>IF($F$4="NO",IF(Valores!$D$59*'Escala Docente'!B244&gt;Valores!$F$59,Valores!$F$59,Valores!$D$59*'Escala Docente'!B244),IF(Valores!$D$59*'Escala Docente'!B244&gt;Valores!$F$59,Valores!$F$59,Valores!$D$59*'Escala Docente'!B244)/2)</f>
        <v>1902.69</v>
      </c>
      <c r="AH244" s="125">
        <f t="shared" si="34"/>
        <v>41043.36</v>
      </c>
      <c r="AI244" s="125">
        <f>IF(Valores!$C$32*B244&gt;Valores!$F$32,Valores!$F$32,Valores!$C$32*B244)</f>
        <v>2988.09</v>
      </c>
      <c r="AJ244" s="125">
        <f>IF(Valores!$C$86*B244&gt;Valores!$C$85,Valores!$C$85,Valores!$C$86*B244)</f>
        <v>1023.7499999999999</v>
      </c>
      <c r="AK244" s="125">
        <f>Valores!C$39*B244</f>
        <v>0</v>
      </c>
      <c r="AL244" s="125">
        <f>IF($F$3="NO",0,IF(Valores!$C$58*B244&gt;Valores!$F$58,Valores!$F$58,Valores!$C$58*B244))</f>
        <v>0</v>
      </c>
      <c r="AM244" s="125">
        <f t="shared" si="32"/>
        <v>4011.84</v>
      </c>
      <c r="AN244" s="125">
        <f>AH244*Valores!$C$67</f>
        <v>-4514.7696000000005</v>
      </c>
      <c r="AO244" s="125">
        <f>AH244*-Valores!$C$68</f>
        <v>0</v>
      </c>
      <c r="AP244" s="125">
        <f>AH244*Valores!$C$69</f>
        <v>-1846.9512</v>
      </c>
      <c r="AQ244" s="125">
        <f>Valores!$C$96</f>
        <v>-280.91</v>
      </c>
      <c r="AR244" s="125">
        <f>IF($F$5=0,Valores!$C$97,(Valores!$C$97+$F$5*(Valores!$C$97)))</f>
        <v>-658</v>
      </c>
      <c r="AS244" s="125">
        <f t="shared" si="35"/>
        <v>37754.5692</v>
      </c>
      <c r="AT244" s="125">
        <f t="shared" si="29"/>
        <v>-4514.7696000000005</v>
      </c>
      <c r="AU244" s="125">
        <f>AH244*Valores!$C$70</f>
        <v>-1108.17072</v>
      </c>
      <c r="AV244" s="125">
        <f>AH244*Valores!$C$71</f>
        <v>-123.13008</v>
      </c>
      <c r="AW244" s="125">
        <f t="shared" si="33"/>
        <v>39309.1296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3">
        <f t="shared" si="38"/>
        <v>790</v>
      </c>
      <c r="F245" s="125">
        <f>ROUND(E245*Valores!$C$2,2)</f>
        <v>16920.85</v>
      </c>
      <c r="G245" s="193">
        <v>0</v>
      </c>
      <c r="H245" s="125">
        <f>ROUND(G245*Valores!$C$2,2)</f>
        <v>0</v>
      </c>
      <c r="I245" s="193">
        <v>0</v>
      </c>
      <c r="J245" s="125">
        <f>ROUND(I245*Valores!$C$2,2)</f>
        <v>0</v>
      </c>
      <c r="K245" s="193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3110.2</v>
      </c>
      <c r="N245" s="125">
        <f t="shared" si="30"/>
        <v>0</v>
      </c>
      <c r="O245" s="125">
        <f>Valores!$C$7*B245</f>
        <v>7263.7</v>
      </c>
      <c r="P245" s="125">
        <f>ROUND(IF(B245&lt;15,(Valores!$E$5*B245),Valores!$D$5),2)</f>
        <v>7299.5</v>
      </c>
      <c r="Q245" s="125">
        <v>0</v>
      </c>
      <c r="R245" s="125">
        <f>IF($F$4="NO",IF(Valores!$C$45*B245&gt;Valores!$C$44,Valores!$C$44,Valores!$C$45*B245),IF(Valores!$C$45*B245&gt;Valores!$C$44,Valores!$C$44,Valores!$C$45*B245)/2)</f>
        <v>1529.1999999999998</v>
      </c>
      <c r="S245" s="125">
        <f>Valores!$C$18*B245</f>
        <v>2284.6</v>
      </c>
      <c r="T245" s="125">
        <f t="shared" si="36"/>
        <v>2284.6</v>
      </c>
      <c r="U245" s="125">
        <v>0</v>
      </c>
      <c r="V245" s="125">
        <v>0</v>
      </c>
      <c r="W245" s="193">
        <v>0</v>
      </c>
      <c r="X245" s="125">
        <f>ROUND(W245*Valores!$C$2,2)</f>
        <v>0</v>
      </c>
      <c r="Y245" s="125">
        <v>0</v>
      </c>
      <c r="Z245" s="125">
        <f>IF(Valores!$C$93*B245&gt;Valores!$C$92,Valores!$C$92,Valores!$C$93*B245)</f>
        <v>2515.7</v>
      </c>
      <c r="AA245" s="125">
        <f>IF((Valores!$C$28)*B245&gt;Valores!$F$28,Valores!$F$28,(Valores!$C$28)*B245)</f>
        <v>179.4</v>
      </c>
      <c r="AB245" s="215">
        <v>0</v>
      </c>
      <c r="AC245" s="125">
        <f t="shared" si="31"/>
        <v>0</v>
      </c>
      <c r="AD245" s="125">
        <f>IF(Valores!$C$29*B245&gt;Valores!$F$29,Valores!$F$29,Valores!$C$29*B245)</f>
        <v>149.4</v>
      </c>
      <c r="AE245" s="193">
        <v>0</v>
      </c>
      <c r="AF245" s="125">
        <f>ROUND(AE245*Valores!$C$2,2)</f>
        <v>0</v>
      </c>
      <c r="AG245" s="125">
        <f>IF($F$4="NO",IF(Valores!$D$59*'Escala Docente'!B245&gt;Valores!$F$59,Valores!$F$59,Valores!$D$59*'Escala Docente'!B245),IF(Valores!$D$59*'Escala Docente'!B245&gt;Valores!$F$59,Valores!$F$59,Valores!$D$59*'Escala Docente'!B245)/2)</f>
        <v>2114.1</v>
      </c>
      <c r="AH245" s="125">
        <f t="shared" si="34"/>
        <v>43366.649999999994</v>
      </c>
      <c r="AI245" s="125">
        <f>IF(Valores!$C$32*B245&gt;Valores!$F$32,Valores!$F$32,Valores!$C$32*B245)</f>
        <v>3320.1</v>
      </c>
      <c r="AJ245" s="125">
        <f>IF(Valores!$C$86*B245&gt;Valores!$C$85,Valores!$C$85,Valores!$C$86*B245)</f>
        <v>1137.4999999999998</v>
      </c>
      <c r="AK245" s="125">
        <f>Valores!C$39*B245</f>
        <v>0</v>
      </c>
      <c r="AL245" s="125">
        <f>IF($F$3="NO",0,IF(Valores!$C$58*B245&gt;Valores!$F$58,Valores!$F$58,Valores!$C$58*B245))</f>
        <v>0</v>
      </c>
      <c r="AM245" s="125">
        <f t="shared" si="32"/>
        <v>4457.599999999999</v>
      </c>
      <c r="AN245" s="125">
        <f>AH245*Valores!$C$67</f>
        <v>-4770.331499999999</v>
      </c>
      <c r="AO245" s="125">
        <f>AH245*-Valores!$C$68</f>
        <v>0</v>
      </c>
      <c r="AP245" s="125">
        <f>AH245*Valores!$C$69</f>
        <v>-1951.4992499999996</v>
      </c>
      <c r="AQ245" s="125">
        <f>Valores!$C$96</f>
        <v>-280.91</v>
      </c>
      <c r="AR245" s="125">
        <f>IF($F$5=0,Valores!$C$97,(Valores!$C$97+$F$5*(Valores!$C$97)))</f>
        <v>-658</v>
      </c>
      <c r="AS245" s="125">
        <f t="shared" si="35"/>
        <v>40163.509249999996</v>
      </c>
      <c r="AT245" s="125">
        <f t="shared" si="29"/>
        <v>-4770.331499999999</v>
      </c>
      <c r="AU245" s="125">
        <f>AH245*Valores!$C$70</f>
        <v>-1170.8995499999999</v>
      </c>
      <c r="AV245" s="125">
        <f>AH245*Valores!$C$71</f>
        <v>-130.09994999999998</v>
      </c>
      <c r="AW245" s="125">
        <f t="shared" si="33"/>
        <v>41752.918999999994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3">
        <f t="shared" si="38"/>
        <v>790</v>
      </c>
      <c r="F246" s="125">
        <f>ROUND(E246*Valores!$C$2,2)</f>
        <v>16920.85</v>
      </c>
      <c r="G246" s="193">
        <v>0</v>
      </c>
      <c r="H246" s="125">
        <f>ROUND(G246*Valores!$C$2,2)</f>
        <v>0</v>
      </c>
      <c r="I246" s="193">
        <v>0</v>
      </c>
      <c r="J246" s="125">
        <f>ROUND(I246*Valores!$C$2,2)</f>
        <v>0</v>
      </c>
      <c r="K246" s="193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3110.2</v>
      </c>
      <c r="N246" s="125">
        <f t="shared" si="30"/>
        <v>0</v>
      </c>
      <c r="O246" s="125">
        <f>Valores!$C$7*B246</f>
        <v>7263.7</v>
      </c>
      <c r="P246" s="125">
        <f>ROUND(IF(B246&lt;15,(Valores!$E$5*B246),Valores!$D$5),2)</f>
        <v>7299.5</v>
      </c>
      <c r="Q246" s="125">
        <v>0</v>
      </c>
      <c r="R246" s="125">
        <f>IF($F$4="NO",IF(Valores!$C$45*B246&gt;Valores!$C$44,Valores!$C$44,Valores!$C$45*B246),IF(Valores!$C$45*B246&gt;Valores!$C$44,Valores!$C$44,Valores!$C$45*B246)/2)</f>
        <v>1529.1999999999998</v>
      </c>
      <c r="S246" s="125">
        <f>Valores!$C$18*B246</f>
        <v>2284.6</v>
      </c>
      <c r="T246" s="125">
        <f t="shared" si="36"/>
        <v>2284.6</v>
      </c>
      <c r="U246" s="125">
        <v>0</v>
      </c>
      <c r="V246" s="125">
        <v>0</v>
      </c>
      <c r="W246" s="193">
        <v>0</v>
      </c>
      <c r="X246" s="125">
        <f>ROUND(W246*Valores!$C$2,2)</f>
        <v>0</v>
      </c>
      <c r="Y246" s="125">
        <v>0</v>
      </c>
      <c r="Z246" s="125">
        <f>IF(Valores!$C$93*B246&gt;Valores!$C$92,Valores!$C$92,Valores!$C$93*B246)</f>
        <v>2515.7</v>
      </c>
      <c r="AA246" s="125">
        <f>IF((Valores!$C$28)*B246&gt;Valores!$F$28,Valores!$F$28,(Valores!$C$28)*B246)</f>
        <v>179.4</v>
      </c>
      <c r="AB246" s="215">
        <v>0</v>
      </c>
      <c r="AC246" s="125">
        <f t="shared" si="31"/>
        <v>0</v>
      </c>
      <c r="AD246" s="125">
        <f>IF(Valores!$C$29*B246&gt;Valores!$F$29,Valores!$F$29,Valores!$C$29*B246)</f>
        <v>149.4</v>
      </c>
      <c r="AE246" s="193">
        <v>94</v>
      </c>
      <c r="AF246" s="125">
        <f>ROUND(AE246*Valores!$C$2,2)</f>
        <v>2013.37</v>
      </c>
      <c r="AG246" s="125">
        <f>IF($F$4="NO",IF(Valores!$D$59*'Escala Docente'!B246&gt;Valores!$F$59,Valores!$F$59,Valores!$D$59*'Escala Docente'!B246),IF(Valores!$D$59*'Escala Docente'!B246&gt;Valores!$F$59,Valores!$F$59,Valores!$D$59*'Escala Docente'!B246)/2)</f>
        <v>2114.1</v>
      </c>
      <c r="AH246" s="125">
        <f t="shared" si="34"/>
        <v>45380.02</v>
      </c>
      <c r="AI246" s="125">
        <f>IF(Valores!$C$32*B246&gt;Valores!$F$32,Valores!$F$32,Valores!$C$32*B246)</f>
        <v>3320.1</v>
      </c>
      <c r="AJ246" s="125">
        <f>IF(Valores!$C$86*B246&gt;Valores!$C$85,Valores!$C$85,Valores!$C$86*B246)</f>
        <v>1137.4999999999998</v>
      </c>
      <c r="AK246" s="125">
        <f>Valores!C$39*B246</f>
        <v>0</v>
      </c>
      <c r="AL246" s="125">
        <f>IF($F$3="NO",0,IF(Valores!$C$58*B246&gt;Valores!$F$58,Valores!$F$58,Valores!$C$58*B246))</f>
        <v>0</v>
      </c>
      <c r="AM246" s="125">
        <f t="shared" si="32"/>
        <v>4457.599999999999</v>
      </c>
      <c r="AN246" s="125">
        <f>AH246*Valores!$C$67</f>
        <v>-4991.8022</v>
      </c>
      <c r="AO246" s="125">
        <f>AH246*-Valores!$C$68</f>
        <v>0</v>
      </c>
      <c r="AP246" s="125">
        <f>AH246*Valores!$C$69</f>
        <v>-2042.1008999999997</v>
      </c>
      <c r="AQ246" s="125">
        <f>Valores!$C$96</f>
        <v>-280.91</v>
      </c>
      <c r="AR246" s="125">
        <f>IF($F$5=0,Valores!$C$97,(Valores!$C$97+$F$5*(Valores!$C$97)))</f>
        <v>-658</v>
      </c>
      <c r="AS246" s="125">
        <f t="shared" si="35"/>
        <v>41864.806899999996</v>
      </c>
      <c r="AT246" s="125">
        <f t="shared" si="29"/>
        <v>-4991.8022</v>
      </c>
      <c r="AU246" s="125">
        <f>AH246*Valores!$C$70</f>
        <v>-1225.26054</v>
      </c>
      <c r="AV246" s="125">
        <f>AH246*Valores!$C$71</f>
        <v>-136.14006</v>
      </c>
      <c r="AW246" s="125">
        <f t="shared" si="33"/>
        <v>43484.417199999996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3">
        <f t="shared" si="38"/>
        <v>869</v>
      </c>
      <c r="F247" s="125">
        <f>ROUND(E247*Valores!$C$2,2)</f>
        <v>18612.94</v>
      </c>
      <c r="G247" s="193">
        <v>0</v>
      </c>
      <c r="H247" s="125">
        <f>ROUND(G247*Valores!$C$2,2)</f>
        <v>0</v>
      </c>
      <c r="I247" s="193">
        <v>0</v>
      </c>
      <c r="J247" s="125">
        <f>ROUND(I247*Valores!$C$2,2)</f>
        <v>0</v>
      </c>
      <c r="K247" s="193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3421.22</v>
      </c>
      <c r="N247" s="125">
        <f t="shared" si="30"/>
        <v>0</v>
      </c>
      <c r="O247" s="125">
        <f>Valores!$C$7*B247</f>
        <v>7990.07</v>
      </c>
      <c r="P247" s="125">
        <f>ROUND(IF(B247&lt;15,(Valores!$E$5*B247),Valores!$D$5),2)</f>
        <v>8029.45</v>
      </c>
      <c r="Q247" s="125">
        <v>0</v>
      </c>
      <c r="R247" s="125">
        <f>IF($F$4="NO",IF(Valores!$C$45*B247&gt;Valores!$C$44,Valores!$C$44,Valores!$C$45*B247),IF(Valores!$C$45*B247&gt;Valores!$C$44,Valores!$C$44,Valores!$C$45*B247)/2)</f>
        <v>1682.12</v>
      </c>
      <c r="S247" s="125">
        <f>Valores!$C$18*B247</f>
        <v>2513.06</v>
      </c>
      <c r="T247" s="125">
        <f t="shared" si="36"/>
        <v>2513.06</v>
      </c>
      <c r="U247" s="125">
        <v>0</v>
      </c>
      <c r="V247" s="125">
        <v>0</v>
      </c>
      <c r="W247" s="193">
        <v>0</v>
      </c>
      <c r="X247" s="125">
        <f>ROUND(W247*Valores!$C$2,2)</f>
        <v>0</v>
      </c>
      <c r="Y247" s="125">
        <v>0</v>
      </c>
      <c r="Z247" s="125">
        <f>IF(Valores!$C$93*B247&gt;Valores!$C$92,Valores!$C$92,Valores!$C$93*B247)</f>
        <v>2767.27</v>
      </c>
      <c r="AA247" s="125">
        <f>IF((Valores!$C$28)*B247&gt;Valores!$F$28,Valores!$F$28,(Valores!$C$28)*B247)</f>
        <v>197.34</v>
      </c>
      <c r="AB247" s="215">
        <v>0</v>
      </c>
      <c r="AC247" s="125">
        <f t="shared" si="31"/>
        <v>0</v>
      </c>
      <c r="AD247" s="125">
        <f>IF(Valores!$C$29*B247&gt;Valores!$F$29,Valores!$F$29,Valores!$C$29*B247)</f>
        <v>164.34</v>
      </c>
      <c r="AE247" s="193">
        <v>0</v>
      </c>
      <c r="AF247" s="125">
        <f>ROUND(AE247*Valores!$C$2,2)</f>
        <v>0</v>
      </c>
      <c r="AG247" s="125">
        <f>IF($F$4="NO",IF(Valores!$D$59*'Escala Docente'!B247&gt;Valores!$F$59,Valores!$F$59,Valores!$D$59*'Escala Docente'!B247),IF(Valores!$D$59*'Escala Docente'!B247&gt;Valores!$F$59,Valores!$F$59,Valores!$D$59*'Escala Docente'!B247)/2)</f>
        <v>2325.5099999999998</v>
      </c>
      <c r="AH247" s="125">
        <f t="shared" si="34"/>
        <v>47703.31999999999</v>
      </c>
      <c r="AI247" s="125">
        <f>IF(Valores!$C$32*B247&gt;Valores!$F$32,Valores!$F$32,Valores!$C$32*B247)</f>
        <v>3652.1099999999997</v>
      </c>
      <c r="AJ247" s="125">
        <f>IF(Valores!$C$86*B247&gt;Valores!$C$85,Valores!$C$85,Valores!$C$86*B247)</f>
        <v>1251.2499999999998</v>
      </c>
      <c r="AK247" s="125">
        <f>Valores!C$39*B247</f>
        <v>0</v>
      </c>
      <c r="AL247" s="125">
        <f>IF($F$3="NO",0,IF(Valores!$C$58*B247&gt;Valores!$F$58,Valores!$F$58,Valores!$C$58*B247))</f>
        <v>0</v>
      </c>
      <c r="AM247" s="125">
        <f t="shared" si="32"/>
        <v>4903.36</v>
      </c>
      <c r="AN247" s="125">
        <f>AH247*Valores!$C$67</f>
        <v>-5247.365199999999</v>
      </c>
      <c r="AO247" s="125">
        <f>AH247*-Valores!$C$68</f>
        <v>0</v>
      </c>
      <c r="AP247" s="125">
        <f>AH247*Valores!$C$69</f>
        <v>-2146.6494</v>
      </c>
      <c r="AQ247" s="125">
        <f>Valores!$C$96</f>
        <v>-280.91</v>
      </c>
      <c r="AR247" s="125">
        <f>IF($F$5=0,Valores!$C$97,(Valores!$C$97+$F$5*(Valores!$C$97)))</f>
        <v>-658</v>
      </c>
      <c r="AS247" s="125">
        <f t="shared" si="35"/>
        <v>44273.755399999995</v>
      </c>
      <c r="AT247" s="125">
        <f t="shared" si="29"/>
        <v>-5247.365199999999</v>
      </c>
      <c r="AU247" s="125">
        <f>AH247*Valores!$C$70</f>
        <v>-1287.9896399999998</v>
      </c>
      <c r="AV247" s="125">
        <f>AH247*Valores!$C$71</f>
        <v>-143.10995999999997</v>
      </c>
      <c r="AW247" s="125">
        <f t="shared" si="33"/>
        <v>45928.21519999999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3">
        <f t="shared" si="38"/>
        <v>869</v>
      </c>
      <c r="F248" s="125">
        <f>ROUND(E248*Valores!$C$2,2)</f>
        <v>18612.94</v>
      </c>
      <c r="G248" s="193">
        <v>0</v>
      </c>
      <c r="H248" s="125">
        <f>ROUND(G248*Valores!$C$2,2)</f>
        <v>0</v>
      </c>
      <c r="I248" s="193">
        <v>0</v>
      </c>
      <c r="J248" s="125">
        <f>ROUND(I248*Valores!$C$2,2)</f>
        <v>0</v>
      </c>
      <c r="K248" s="193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3421.22</v>
      </c>
      <c r="N248" s="125">
        <f t="shared" si="30"/>
        <v>0</v>
      </c>
      <c r="O248" s="125">
        <f>Valores!$C$7*B248</f>
        <v>7990.07</v>
      </c>
      <c r="P248" s="125">
        <f>ROUND(IF(B248&lt;15,(Valores!$E$5*B248),Valores!$D$5),2)</f>
        <v>8029.45</v>
      </c>
      <c r="Q248" s="125">
        <v>0</v>
      </c>
      <c r="R248" s="125">
        <f>IF($F$4="NO",IF(Valores!$C$45*B248&gt;Valores!$C$44,Valores!$C$44,Valores!$C$45*B248),IF(Valores!$C$45*B248&gt;Valores!$C$44,Valores!$C$44,Valores!$C$45*B248)/2)</f>
        <v>1682.12</v>
      </c>
      <c r="S248" s="125">
        <f>Valores!$C$18*B248</f>
        <v>2513.06</v>
      </c>
      <c r="T248" s="125">
        <f t="shared" si="36"/>
        <v>2513.06</v>
      </c>
      <c r="U248" s="125">
        <v>0</v>
      </c>
      <c r="V248" s="125">
        <v>0</v>
      </c>
      <c r="W248" s="193">
        <v>0</v>
      </c>
      <c r="X248" s="125">
        <f>ROUND(W248*Valores!$C$2,2)</f>
        <v>0</v>
      </c>
      <c r="Y248" s="125">
        <v>0</v>
      </c>
      <c r="Z248" s="125">
        <f>IF(Valores!$C$93*B248&gt;Valores!$C$92,Valores!$C$92,Valores!$C$93*B248)</f>
        <v>2767.27</v>
      </c>
      <c r="AA248" s="125">
        <f>IF((Valores!$C$28)*B248&gt;Valores!$F$28,Valores!$F$28,(Valores!$C$28)*B248)</f>
        <v>197.34</v>
      </c>
      <c r="AB248" s="215">
        <v>0</v>
      </c>
      <c r="AC248" s="125">
        <f t="shared" si="31"/>
        <v>0</v>
      </c>
      <c r="AD248" s="125">
        <f>IF(Valores!$C$29*B248&gt;Valores!$F$29,Valores!$F$29,Valores!$C$29*B248)</f>
        <v>164.34</v>
      </c>
      <c r="AE248" s="193">
        <v>94</v>
      </c>
      <c r="AF248" s="125">
        <f>ROUND(AE248*Valores!$C$2,2)</f>
        <v>2013.37</v>
      </c>
      <c r="AG248" s="125">
        <f>IF($F$4="NO",IF(Valores!$D$59*'Escala Docente'!B248&gt;Valores!$F$59,Valores!$F$59,Valores!$D$59*'Escala Docente'!B248),IF(Valores!$D$59*'Escala Docente'!B248&gt;Valores!$F$59,Valores!$F$59,Valores!$D$59*'Escala Docente'!B248)/2)</f>
        <v>2325.5099999999998</v>
      </c>
      <c r="AH248" s="125">
        <f t="shared" si="34"/>
        <v>49716.689999999995</v>
      </c>
      <c r="AI248" s="125">
        <f>IF(Valores!$C$32*B248&gt;Valores!$F$32,Valores!$F$32,Valores!$C$32*B248)</f>
        <v>3652.1099999999997</v>
      </c>
      <c r="AJ248" s="125">
        <f>IF(Valores!$C$86*B248&gt;Valores!$C$85,Valores!$C$85,Valores!$C$86*B248)</f>
        <v>1251.2499999999998</v>
      </c>
      <c r="AK248" s="125">
        <f>Valores!C$39*B248</f>
        <v>0</v>
      </c>
      <c r="AL248" s="125">
        <f>IF($F$3="NO",0,IF(Valores!$C$58*B248&gt;Valores!$F$58,Valores!$F$58,Valores!$C$58*B248))</f>
        <v>0</v>
      </c>
      <c r="AM248" s="125">
        <f t="shared" si="32"/>
        <v>4903.36</v>
      </c>
      <c r="AN248" s="125">
        <f>AH248*Valores!$C$67</f>
        <v>-5468.835899999999</v>
      </c>
      <c r="AO248" s="125">
        <f>AH248*-Valores!$C$68</f>
        <v>0</v>
      </c>
      <c r="AP248" s="125">
        <f>AH248*Valores!$C$69</f>
        <v>-2237.25105</v>
      </c>
      <c r="AQ248" s="125">
        <f>Valores!$C$96</f>
        <v>-280.91</v>
      </c>
      <c r="AR248" s="125">
        <f>IF($F$5=0,Valores!$C$97,(Valores!$C$97+$F$5*(Valores!$C$97)))</f>
        <v>-658</v>
      </c>
      <c r="AS248" s="125">
        <f t="shared" si="35"/>
        <v>45975.053049999995</v>
      </c>
      <c r="AT248" s="125">
        <f t="shared" si="29"/>
        <v>-5468.835899999999</v>
      </c>
      <c r="AU248" s="125">
        <f>AH248*Valores!$C$70</f>
        <v>-1342.35063</v>
      </c>
      <c r="AV248" s="125">
        <f>AH248*Valores!$C$71</f>
        <v>-149.15007</v>
      </c>
      <c r="AW248" s="125">
        <f t="shared" si="33"/>
        <v>47659.71339999999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3">
        <f t="shared" si="38"/>
        <v>948</v>
      </c>
      <c r="F249" s="125">
        <f>ROUND(E249*Valores!$C$2,2)</f>
        <v>20305.02</v>
      </c>
      <c r="G249" s="193">
        <v>0</v>
      </c>
      <c r="H249" s="125">
        <f>ROUND(G249*Valores!$C$2,2)</f>
        <v>0</v>
      </c>
      <c r="I249" s="193">
        <v>0</v>
      </c>
      <c r="J249" s="125">
        <f>ROUND(I249*Valores!$C$2,2)</f>
        <v>0</v>
      </c>
      <c r="K249" s="193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3732.24</v>
      </c>
      <c r="N249" s="125">
        <f t="shared" si="30"/>
        <v>0</v>
      </c>
      <c r="O249" s="125">
        <f>Valores!$C$7*B249</f>
        <v>8716.44</v>
      </c>
      <c r="P249" s="125">
        <f>ROUND(IF(B249&lt;15,(Valores!$E$5*B249),Valores!$D$5),2)</f>
        <v>8759.4</v>
      </c>
      <c r="Q249" s="125">
        <v>0</v>
      </c>
      <c r="R249" s="125">
        <f>IF($F$4="NO",IF(Valores!$C$45*B249&gt;Valores!$C$44,Valores!$C$44,Valores!$C$45*B249),IF(Valores!$C$45*B249&gt;Valores!$C$44,Valores!$C$44,Valores!$C$45*B249)/2)</f>
        <v>1835.04</v>
      </c>
      <c r="S249" s="125">
        <f>Valores!$C$18*B249</f>
        <v>2741.52</v>
      </c>
      <c r="T249" s="125">
        <f t="shared" si="36"/>
        <v>2741.52</v>
      </c>
      <c r="U249" s="125">
        <v>0</v>
      </c>
      <c r="V249" s="125">
        <v>0</v>
      </c>
      <c r="W249" s="193">
        <v>0</v>
      </c>
      <c r="X249" s="125">
        <f>ROUND(W249*Valores!$C$2,2)</f>
        <v>0</v>
      </c>
      <c r="Y249" s="125">
        <v>0</v>
      </c>
      <c r="Z249" s="125">
        <f>IF(Valores!$C$93*B249&gt;Valores!$C$92,Valores!$C$92,Valores!$C$93*B249)</f>
        <v>3018.84</v>
      </c>
      <c r="AA249" s="125">
        <f>IF((Valores!$C$28)*B249&gt;Valores!$F$28,Valores!$F$28,(Valores!$C$28)*B249)</f>
        <v>215.28000000000003</v>
      </c>
      <c r="AB249" s="215">
        <v>0</v>
      </c>
      <c r="AC249" s="125">
        <f t="shared" si="31"/>
        <v>0</v>
      </c>
      <c r="AD249" s="125">
        <f>IF(Valores!$C$29*B249&gt;Valores!$F$29,Valores!$F$29,Valores!$C$29*B249)</f>
        <v>179.28</v>
      </c>
      <c r="AE249" s="193">
        <v>0</v>
      </c>
      <c r="AF249" s="125">
        <f>ROUND(AE249*Valores!$C$2,2)</f>
        <v>0</v>
      </c>
      <c r="AG249" s="125">
        <f>IF($F$4="NO",IF(Valores!$D$59*'Escala Docente'!B249&gt;Valores!$F$59,Valores!$F$59,Valores!$D$59*'Escala Docente'!B249),IF(Valores!$D$59*'Escala Docente'!B249&gt;Valores!$F$59,Valores!$F$59,Valores!$D$59*'Escala Docente'!B249)/2)</f>
        <v>2536.92</v>
      </c>
      <c r="AH249" s="125">
        <f t="shared" si="34"/>
        <v>52039.979999999996</v>
      </c>
      <c r="AI249" s="125">
        <f>IF(Valores!$C$32*B249&gt;Valores!$F$32,Valores!$F$32,Valores!$C$32*B249)</f>
        <v>3984.12</v>
      </c>
      <c r="AJ249" s="125">
        <f>IF(Valores!$C$86*B249&gt;Valores!$C$85,Valores!$C$85,Valores!$C$86*B249)</f>
        <v>1364.9999999999998</v>
      </c>
      <c r="AK249" s="125">
        <f>Valores!C$39*B249</f>
        <v>0</v>
      </c>
      <c r="AL249" s="125">
        <f>IF($F$3="NO",0,IF(Valores!$C$58*B249&gt;Valores!$F$58,Valores!$F$58,Valores!$C$58*B249))</f>
        <v>0</v>
      </c>
      <c r="AM249" s="125">
        <f t="shared" si="32"/>
        <v>5349.12</v>
      </c>
      <c r="AN249" s="125">
        <f>AH249*Valores!$C$67</f>
        <v>-5724.3978</v>
      </c>
      <c r="AO249" s="125">
        <f>AH249*-Valores!$C$68</f>
        <v>0</v>
      </c>
      <c r="AP249" s="125">
        <f>AH249*Valores!$C$69</f>
        <v>-2341.7990999999997</v>
      </c>
      <c r="AQ249" s="125">
        <f>Valores!$C$96</f>
        <v>-280.91</v>
      </c>
      <c r="AR249" s="125">
        <f>IF($F$5=0,Valores!$C$97,(Valores!$C$97+$F$5*(Valores!$C$97)))</f>
        <v>-658</v>
      </c>
      <c r="AS249" s="125">
        <f t="shared" si="35"/>
        <v>48383.9931</v>
      </c>
      <c r="AT249" s="125">
        <f t="shared" si="29"/>
        <v>-5724.3978</v>
      </c>
      <c r="AU249" s="125">
        <f>AH249*Valores!$C$70</f>
        <v>-1405.07946</v>
      </c>
      <c r="AV249" s="125">
        <f>AH249*Valores!$C$71</f>
        <v>-156.11993999999999</v>
      </c>
      <c r="AW249" s="125">
        <f t="shared" si="33"/>
        <v>50103.5028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3">
        <f t="shared" si="38"/>
        <v>948</v>
      </c>
      <c r="F250" s="125">
        <f>ROUND(E250*Valores!$C$2,2)</f>
        <v>20305.02</v>
      </c>
      <c r="G250" s="193">
        <v>0</v>
      </c>
      <c r="H250" s="125">
        <f>ROUND(G250*Valores!$C$2,2)</f>
        <v>0</v>
      </c>
      <c r="I250" s="193">
        <v>0</v>
      </c>
      <c r="J250" s="125">
        <f>ROUND(I250*Valores!$C$2,2)</f>
        <v>0</v>
      </c>
      <c r="K250" s="193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3732.24</v>
      </c>
      <c r="N250" s="125">
        <f t="shared" si="30"/>
        <v>0</v>
      </c>
      <c r="O250" s="125">
        <f>Valores!$C$7*B250</f>
        <v>8716.44</v>
      </c>
      <c r="P250" s="125">
        <f>ROUND(IF(B250&lt;15,(Valores!$E$5*B250),Valores!$D$5),2)</f>
        <v>8759.4</v>
      </c>
      <c r="Q250" s="125">
        <v>0</v>
      </c>
      <c r="R250" s="125">
        <f>IF($F$4="NO",IF(Valores!$C$45*B250&gt;Valores!$C$44,Valores!$C$44,Valores!$C$45*B250),IF(Valores!$C$45*B250&gt;Valores!$C$44,Valores!$C$44,Valores!$C$45*B250)/2)</f>
        <v>1835.04</v>
      </c>
      <c r="S250" s="125">
        <f>Valores!$C$18*B250</f>
        <v>2741.52</v>
      </c>
      <c r="T250" s="125">
        <f t="shared" si="36"/>
        <v>2741.52</v>
      </c>
      <c r="U250" s="125">
        <v>0</v>
      </c>
      <c r="V250" s="125">
        <v>0</v>
      </c>
      <c r="W250" s="193">
        <v>0</v>
      </c>
      <c r="X250" s="125">
        <f>ROUND(W250*Valores!$C$2,2)</f>
        <v>0</v>
      </c>
      <c r="Y250" s="125">
        <v>0</v>
      </c>
      <c r="Z250" s="125">
        <f>IF(Valores!$C$93*B250&gt;Valores!$C$92,Valores!$C$92,Valores!$C$93*B250)</f>
        <v>3018.84</v>
      </c>
      <c r="AA250" s="125">
        <f>IF((Valores!$C$28)*B250&gt;Valores!$F$28,Valores!$F$28,(Valores!$C$28)*B250)</f>
        <v>215.28000000000003</v>
      </c>
      <c r="AB250" s="215">
        <v>0</v>
      </c>
      <c r="AC250" s="125">
        <f t="shared" si="31"/>
        <v>0</v>
      </c>
      <c r="AD250" s="125">
        <f>IF(Valores!$C$29*B250&gt;Valores!$F$29,Valores!$F$29,Valores!$C$29*B250)</f>
        <v>179.28</v>
      </c>
      <c r="AE250" s="193">
        <v>94</v>
      </c>
      <c r="AF250" s="125">
        <f>ROUND(AE250*Valores!$C$2,2)</f>
        <v>2013.37</v>
      </c>
      <c r="AG250" s="125">
        <f>IF($F$4="NO",IF(Valores!$D$59*'Escala Docente'!B250&gt;Valores!$F$59,Valores!$F$59,Valores!$D$59*'Escala Docente'!B250),IF(Valores!$D$59*'Escala Docente'!B250&gt;Valores!$F$59,Valores!$F$59,Valores!$D$59*'Escala Docente'!B250)/2)</f>
        <v>2536.92</v>
      </c>
      <c r="AH250" s="125">
        <f t="shared" si="34"/>
        <v>54053.35</v>
      </c>
      <c r="AI250" s="125">
        <f>IF(Valores!$C$32*B250&gt;Valores!$F$32,Valores!$F$32,Valores!$C$32*B250)</f>
        <v>3984.12</v>
      </c>
      <c r="AJ250" s="125">
        <f>IF(Valores!$C$86*B250&gt;Valores!$C$85,Valores!$C$85,Valores!$C$86*B250)</f>
        <v>1364.9999999999998</v>
      </c>
      <c r="AK250" s="125">
        <f>Valores!C$39*B250</f>
        <v>0</v>
      </c>
      <c r="AL250" s="125">
        <f>IF($F$3="NO",0,IF(Valores!$C$58*B250&gt;Valores!$F$58,Valores!$F$58,Valores!$C$58*B250))</f>
        <v>0</v>
      </c>
      <c r="AM250" s="125">
        <f t="shared" si="32"/>
        <v>5349.12</v>
      </c>
      <c r="AN250" s="125">
        <f>AH250*Valores!$C$67</f>
        <v>-5945.8685</v>
      </c>
      <c r="AO250" s="125">
        <f>AH250*-Valores!$C$68</f>
        <v>0</v>
      </c>
      <c r="AP250" s="125">
        <f>AH250*Valores!$C$69</f>
        <v>-2432.40075</v>
      </c>
      <c r="AQ250" s="125">
        <f>Valores!$C$96</f>
        <v>-280.91</v>
      </c>
      <c r="AR250" s="125">
        <f>IF($F$5=0,Valores!$C$97,(Valores!$C$97+$F$5*(Valores!$C$97)))</f>
        <v>-658</v>
      </c>
      <c r="AS250" s="125">
        <f t="shared" si="35"/>
        <v>50085.29075</v>
      </c>
      <c r="AT250" s="125">
        <f t="shared" si="29"/>
        <v>-5945.8685</v>
      </c>
      <c r="AU250" s="125">
        <f>AH250*Valores!$C$70</f>
        <v>-1459.44045</v>
      </c>
      <c r="AV250" s="125">
        <f>AH250*Valores!$C$71</f>
        <v>-162.16005</v>
      </c>
      <c r="AW250" s="125">
        <f t="shared" si="33"/>
        <v>51835.001000000004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3">
        <f t="shared" si="38"/>
        <v>1027</v>
      </c>
      <c r="F251" s="125">
        <f>ROUND(E251*Valores!$C$2,2)</f>
        <v>21997.11</v>
      </c>
      <c r="G251" s="193">
        <v>0</v>
      </c>
      <c r="H251" s="125">
        <f>ROUND(G251*Valores!$C$2,2)</f>
        <v>0</v>
      </c>
      <c r="I251" s="193">
        <v>0</v>
      </c>
      <c r="J251" s="125">
        <f>ROUND(I251*Valores!$C$2,2)</f>
        <v>0</v>
      </c>
      <c r="K251" s="193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4043.26</v>
      </c>
      <c r="N251" s="125">
        <f t="shared" si="30"/>
        <v>0</v>
      </c>
      <c r="O251" s="125">
        <f>Valores!$C$7*B251</f>
        <v>9442.81</v>
      </c>
      <c r="P251" s="125">
        <f>ROUND(IF(B251&lt;15,(Valores!$E$5*B251),Valores!$D$5),2)</f>
        <v>9489.35</v>
      </c>
      <c r="Q251" s="125">
        <v>0</v>
      </c>
      <c r="R251" s="125">
        <f>IF($F$4="NO",IF(Valores!$C$45*B251&gt;Valores!$C$44,Valores!$C$44,Valores!$C$45*B251),IF(Valores!$C$45*B251&gt;Valores!$C$44,Valores!$C$44,Valores!$C$45*B251)/2)</f>
        <v>1987.9599999999998</v>
      </c>
      <c r="S251" s="125">
        <f>Valores!$C$18*B251</f>
        <v>2969.98</v>
      </c>
      <c r="T251" s="125">
        <f t="shared" si="36"/>
        <v>2969.98</v>
      </c>
      <c r="U251" s="125">
        <v>0</v>
      </c>
      <c r="V251" s="125">
        <v>0</v>
      </c>
      <c r="W251" s="193">
        <v>0</v>
      </c>
      <c r="X251" s="125">
        <f>ROUND(W251*Valores!$C$2,2)</f>
        <v>0</v>
      </c>
      <c r="Y251" s="125">
        <v>0</v>
      </c>
      <c r="Z251" s="125">
        <f>IF(Valores!$C$93*B251&gt;Valores!$C$92,Valores!$C$92,Valores!$C$93*B251)</f>
        <v>3270.41</v>
      </c>
      <c r="AA251" s="125">
        <f>IF((Valores!$C$28)*B251&gt;Valores!$F$28,Valores!$F$28,(Valores!$C$28)*B251)</f>
        <v>233.22000000000003</v>
      </c>
      <c r="AB251" s="215">
        <v>0</v>
      </c>
      <c r="AC251" s="125">
        <f t="shared" si="31"/>
        <v>0</v>
      </c>
      <c r="AD251" s="125">
        <f>IF(Valores!$C$29*B251&gt;Valores!$F$29,Valores!$F$29,Valores!$C$29*B251)</f>
        <v>194.22</v>
      </c>
      <c r="AE251" s="193">
        <v>0</v>
      </c>
      <c r="AF251" s="125">
        <f>ROUND(AE251*Valores!$C$2,2)</f>
        <v>0</v>
      </c>
      <c r="AG251" s="125">
        <f>IF($F$4="NO",IF(Valores!$D$59*'Escala Docente'!B251&gt;Valores!$F$59,Valores!$F$59,Valores!$D$59*'Escala Docente'!B251),IF(Valores!$D$59*'Escala Docente'!B251&gt;Valores!$F$59,Valores!$F$59,Valores!$D$59*'Escala Docente'!B251)/2)</f>
        <v>2748.33</v>
      </c>
      <c r="AH251" s="125">
        <f t="shared" si="34"/>
        <v>56376.65000000001</v>
      </c>
      <c r="AI251" s="125">
        <f>IF(Valores!$C$32*B251&gt;Valores!$F$32,Valores!$F$32,Valores!$C$32*B251)</f>
        <v>4316.13</v>
      </c>
      <c r="AJ251" s="125">
        <f>IF(Valores!$C$86*B251&gt;Valores!$C$85,Valores!$C$85,Valores!$C$86*B251)</f>
        <v>1478.7499999999998</v>
      </c>
      <c r="AK251" s="125">
        <f>Valores!C$39*B251</f>
        <v>0</v>
      </c>
      <c r="AL251" s="125">
        <f>IF($F$3="NO",0,IF(Valores!$C$58*B251&gt;Valores!$F$58,Valores!$F$58,Valores!$C$58*B251))</f>
        <v>0</v>
      </c>
      <c r="AM251" s="125">
        <f t="shared" si="32"/>
        <v>5794.88</v>
      </c>
      <c r="AN251" s="125">
        <f>AH251*Valores!$C$67</f>
        <v>-6201.431500000001</v>
      </c>
      <c r="AO251" s="125">
        <f>AH251*-Valores!$C$68</f>
        <v>0</v>
      </c>
      <c r="AP251" s="125">
        <f>AH251*Valores!$C$69</f>
        <v>-2536.94925</v>
      </c>
      <c r="AQ251" s="125">
        <f>Valores!$C$96</f>
        <v>-280.91</v>
      </c>
      <c r="AR251" s="125">
        <f>IF($F$5=0,Valores!$C$97,(Valores!$C$97+$F$5*(Valores!$C$97)))</f>
        <v>-658</v>
      </c>
      <c r="AS251" s="125">
        <f t="shared" si="35"/>
        <v>52494.239250000006</v>
      </c>
      <c r="AT251" s="125">
        <f t="shared" si="29"/>
        <v>-6201.431500000001</v>
      </c>
      <c r="AU251" s="125">
        <f>AH251*Valores!$C$70</f>
        <v>-1522.1695500000003</v>
      </c>
      <c r="AV251" s="125">
        <f>AH251*Valores!$C$71</f>
        <v>-169.12995000000004</v>
      </c>
      <c r="AW251" s="125">
        <f t="shared" si="33"/>
        <v>54278.799000000006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3">
        <f t="shared" si="38"/>
        <v>1027</v>
      </c>
      <c r="F252" s="125">
        <f>ROUND(E252*Valores!$C$2,2)</f>
        <v>21997.11</v>
      </c>
      <c r="G252" s="193">
        <v>0</v>
      </c>
      <c r="H252" s="125">
        <f>ROUND(G252*Valores!$C$2,2)</f>
        <v>0</v>
      </c>
      <c r="I252" s="193">
        <v>0</v>
      </c>
      <c r="J252" s="125">
        <f>ROUND(I252*Valores!$C$2,2)</f>
        <v>0</v>
      </c>
      <c r="K252" s="193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4043.26</v>
      </c>
      <c r="N252" s="125">
        <f t="shared" si="30"/>
        <v>0</v>
      </c>
      <c r="O252" s="125">
        <f>Valores!$C$7*B252</f>
        <v>9442.81</v>
      </c>
      <c r="P252" s="125">
        <f>ROUND(IF(B252&lt;15,(Valores!$E$5*B252),Valores!$D$5),2)</f>
        <v>9489.35</v>
      </c>
      <c r="Q252" s="125">
        <v>0</v>
      </c>
      <c r="R252" s="125">
        <f>IF($F$4="NO",IF(Valores!$C$45*B252&gt;Valores!$C$44,Valores!$C$44,Valores!$C$45*B252),IF(Valores!$C$45*B252&gt;Valores!$C$44,Valores!$C$44,Valores!$C$45*B252)/2)</f>
        <v>1987.9599999999998</v>
      </c>
      <c r="S252" s="125">
        <f>Valores!$C$18*B252</f>
        <v>2969.98</v>
      </c>
      <c r="T252" s="125">
        <f t="shared" si="36"/>
        <v>2969.98</v>
      </c>
      <c r="U252" s="125">
        <v>0</v>
      </c>
      <c r="V252" s="125">
        <v>0</v>
      </c>
      <c r="W252" s="193">
        <v>0</v>
      </c>
      <c r="X252" s="125">
        <f>ROUND(W252*Valores!$C$2,2)</f>
        <v>0</v>
      </c>
      <c r="Y252" s="125">
        <v>0</v>
      </c>
      <c r="Z252" s="125">
        <f>IF(Valores!$C$93*B252&gt;Valores!$C$92,Valores!$C$92,Valores!$C$93*B252)</f>
        <v>3270.41</v>
      </c>
      <c r="AA252" s="125">
        <f>IF((Valores!$C$28)*B252&gt;Valores!$F$28,Valores!$F$28,(Valores!$C$28)*B252)</f>
        <v>233.22000000000003</v>
      </c>
      <c r="AB252" s="215">
        <v>0</v>
      </c>
      <c r="AC252" s="125">
        <f t="shared" si="31"/>
        <v>0</v>
      </c>
      <c r="AD252" s="125">
        <f>IF(Valores!$C$29*B252&gt;Valores!$F$29,Valores!$F$29,Valores!$C$29*B252)</f>
        <v>194.22</v>
      </c>
      <c r="AE252" s="193">
        <v>94</v>
      </c>
      <c r="AF252" s="125">
        <f>ROUND(AE252*Valores!$C$2,2)</f>
        <v>2013.37</v>
      </c>
      <c r="AG252" s="125">
        <f>IF($F$4="NO",IF(Valores!$D$59*'Escala Docente'!B252&gt;Valores!$F$59,Valores!$F$59,Valores!$D$59*'Escala Docente'!B252),IF(Valores!$D$59*'Escala Docente'!B252&gt;Valores!$F$59,Valores!$F$59,Valores!$D$59*'Escala Docente'!B252)/2)</f>
        <v>2748.33</v>
      </c>
      <c r="AH252" s="125">
        <f t="shared" si="34"/>
        <v>58390.02000000001</v>
      </c>
      <c r="AI252" s="125">
        <f>IF(Valores!$C$32*B252&gt;Valores!$F$32,Valores!$F$32,Valores!$C$32*B252)</f>
        <v>4316.13</v>
      </c>
      <c r="AJ252" s="125">
        <f>IF(Valores!$C$86*B252&gt;Valores!$C$85,Valores!$C$85,Valores!$C$86*B252)</f>
        <v>1478.7499999999998</v>
      </c>
      <c r="AK252" s="125">
        <f>Valores!C$39*B252</f>
        <v>0</v>
      </c>
      <c r="AL252" s="125">
        <f>IF($F$3="NO",0,IF(Valores!$C$58*B252&gt;Valores!$F$58,Valores!$F$58,Valores!$C$58*B252))</f>
        <v>0</v>
      </c>
      <c r="AM252" s="125">
        <f t="shared" si="32"/>
        <v>5794.88</v>
      </c>
      <c r="AN252" s="125">
        <f>AH252*Valores!$C$67</f>
        <v>-6422.902200000001</v>
      </c>
      <c r="AO252" s="125">
        <f>AH252*-Valores!$C$68</f>
        <v>0</v>
      </c>
      <c r="AP252" s="125">
        <f>AH252*Valores!$C$69</f>
        <v>-2627.5509000000006</v>
      </c>
      <c r="AQ252" s="125">
        <f>Valores!$C$96</f>
        <v>-280.91</v>
      </c>
      <c r="AR252" s="125">
        <f>IF($F$5=0,Valores!$C$97,(Valores!$C$97+$F$5*(Valores!$C$97)))</f>
        <v>-658</v>
      </c>
      <c r="AS252" s="125">
        <f t="shared" si="35"/>
        <v>54195.53690000001</v>
      </c>
      <c r="AT252" s="125">
        <f t="shared" si="29"/>
        <v>-6422.902200000001</v>
      </c>
      <c r="AU252" s="125">
        <f>AH252*Valores!$C$70</f>
        <v>-1576.5305400000002</v>
      </c>
      <c r="AV252" s="125">
        <f>AH252*Valores!$C$71</f>
        <v>-175.17006000000003</v>
      </c>
      <c r="AW252" s="125">
        <f t="shared" si="33"/>
        <v>56010.29720000001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3">
        <f t="shared" si="38"/>
        <v>1106</v>
      </c>
      <c r="F253" s="125">
        <f>ROUND(E253*Valores!$C$2,2)</f>
        <v>23689.19</v>
      </c>
      <c r="G253" s="193">
        <v>0</v>
      </c>
      <c r="H253" s="125">
        <f>ROUND(G253*Valores!$C$2,2)</f>
        <v>0</v>
      </c>
      <c r="I253" s="193">
        <v>0</v>
      </c>
      <c r="J253" s="125">
        <f>ROUND(I253*Valores!$C$2,2)</f>
        <v>0</v>
      </c>
      <c r="K253" s="193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4354.28</v>
      </c>
      <c r="N253" s="125">
        <f t="shared" si="30"/>
        <v>0</v>
      </c>
      <c r="O253" s="125">
        <f>Valores!$C$7*B253</f>
        <v>10169.18</v>
      </c>
      <c r="P253" s="125">
        <f>ROUND(IF(B253&lt;15,(Valores!$E$5*B253),Valores!$D$5),2)</f>
        <v>10219.3</v>
      </c>
      <c r="Q253" s="125">
        <v>0</v>
      </c>
      <c r="R253" s="125">
        <f>IF($F$4="NO",IF(Valores!$C$45*B253&gt;Valores!$C$44,Valores!$C$44,Valores!$C$45*B253),IF(Valores!$C$45*B253&gt;Valores!$C$44,Valores!$C$44,Valores!$C$45*B253)/2)</f>
        <v>2140.8799999999997</v>
      </c>
      <c r="S253" s="125">
        <f>Valores!$C$18*B253</f>
        <v>3198.44</v>
      </c>
      <c r="T253" s="125">
        <f t="shared" si="36"/>
        <v>3198.44</v>
      </c>
      <c r="U253" s="125">
        <v>0</v>
      </c>
      <c r="V253" s="125">
        <v>0</v>
      </c>
      <c r="W253" s="193">
        <v>0</v>
      </c>
      <c r="X253" s="125">
        <f>ROUND(W253*Valores!$C$2,2)</f>
        <v>0</v>
      </c>
      <c r="Y253" s="125">
        <v>0</v>
      </c>
      <c r="Z253" s="125">
        <f>IF(Valores!$C$93*B253&gt;Valores!$C$92,Valores!$C$92,Valores!$C$93*B253)</f>
        <v>3521.98</v>
      </c>
      <c r="AA253" s="125">
        <f>IF((Valores!$C$28)*B253&gt;Valores!$F$28,Valores!$F$28,(Valores!$C$28)*B253)</f>
        <v>251.16000000000003</v>
      </c>
      <c r="AB253" s="215">
        <v>0</v>
      </c>
      <c r="AC253" s="125">
        <f t="shared" si="31"/>
        <v>0</v>
      </c>
      <c r="AD253" s="125">
        <f>IF(Valores!$C$29*B253&gt;Valores!$F$29,Valores!$F$29,Valores!$C$29*B253)</f>
        <v>209.16</v>
      </c>
      <c r="AE253" s="193">
        <v>0</v>
      </c>
      <c r="AF253" s="125">
        <f>ROUND(AE253*Valores!$C$2,2)</f>
        <v>0</v>
      </c>
      <c r="AG253" s="125">
        <f>IF($F$4="NO",IF(Valores!$D$59*'Escala Docente'!B253&gt;Valores!$F$59,Valores!$F$59,Valores!$D$59*'Escala Docente'!B253),IF(Valores!$D$59*'Escala Docente'!B253&gt;Valores!$F$59,Valores!$F$59,Valores!$D$59*'Escala Docente'!B253)/2)</f>
        <v>2959.74</v>
      </c>
      <c r="AH253" s="125">
        <f t="shared" si="34"/>
        <v>60713.310000000005</v>
      </c>
      <c r="AI253" s="125">
        <f>IF(Valores!$C$32*B253&gt;Valores!$F$32,Valores!$F$32,Valores!$C$32*B253)</f>
        <v>4648.139999999999</v>
      </c>
      <c r="AJ253" s="125">
        <f>IF(Valores!$C$86*B253&gt;Valores!$C$85,Valores!$C$85,Valores!$C$86*B253)</f>
        <v>1592.4999999999998</v>
      </c>
      <c r="AK253" s="125">
        <f>Valores!C$39*B253</f>
        <v>0</v>
      </c>
      <c r="AL253" s="125">
        <f>IF($F$3="NO",0,IF(Valores!$C$58*B253&gt;Valores!$F$58,Valores!$F$58,Valores!$C$58*B253))</f>
        <v>0</v>
      </c>
      <c r="AM253" s="125">
        <f t="shared" si="32"/>
        <v>6240.639999999999</v>
      </c>
      <c r="AN253" s="125">
        <f>AH253*Valores!$C$67</f>
        <v>-6678.4641</v>
      </c>
      <c r="AO253" s="125">
        <f>AH253*-Valores!$C$68</f>
        <v>0</v>
      </c>
      <c r="AP253" s="125">
        <f>AH253*Valores!$C$69</f>
        <v>-2732.09895</v>
      </c>
      <c r="AQ253" s="125">
        <f>Valores!$C$96</f>
        <v>-280.91</v>
      </c>
      <c r="AR253" s="125">
        <f>IF($F$5=0,Valores!$C$97,(Valores!$C$97+$F$5*(Valores!$C$97)))</f>
        <v>-658</v>
      </c>
      <c r="AS253" s="125">
        <f t="shared" si="35"/>
        <v>56604.476950000004</v>
      </c>
      <c r="AT253" s="125">
        <f t="shared" si="29"/>
        <v>-6678.4641</v>
      </c>
      <c r="AU253" s="125">
        <f>AH253*Valores!$C$70</f>
        <v>-1639.2593700000002</v>
      </c>
      <c r="AV253" s="125">
        <f>AH253*Valores!$C$71</f>
        <v>-182.13993000000002</v>
      </c>
      <c r="AW253" s="125">
        <f t="shared" si="33"/>
        <v>58454.08660000001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3">
        <f t="shared" si="38"/>
        <v>1106</v>
      </c>
      <c r="F254" s="125">
        <f>ROUND(E254*Valores!$C$2,2)</f>
        <v>23689.19</v>
      </c>
      <c r="G254" s="193">
        <v>0</v>
      </c>
      <c r="H254" s="125">
        <f>ROUND(G254*Valores!$C$2,2)</f>
        <v>0</v>
      </c>
      <c r="I254" s="193">
        <v>0</v>
      </c>
      <c r="J254" s="125">
        <f>ROUND(I254*Valores!$C$2,2)</f>
        <v>0</v>
      </c>
      <c r="K254" s="193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4354.28</v>
      </c>
      <c r="N254" s="125">
        <f t="shared" si="30"/>
        <v>0</v>
      </c>
      <c r="O254" s="125">
        <f>Valores!$C$7*B254</f>
        <v>10169.18</v>
      </c>
      <c r="P254" s="125">
        <f>ROUND(IF(B254&lt;15,(Valores!$E$5*B254),Valores!$D$5),2)</f>
        <v>10219.3</v>
      </c>
      <c r="Q254" s="125">
        <v>0</v>
      </c>
      <c r="R254" s="125">
        <f>IF($F$4="NO",IF(Valores!$C$45*B254&gt;Valores!$C$44,Valores!$C$44,Valores!$C$45*B254),IF(Valores!$C$45*B254&gt;Valores!$C$44,Valores!$C$44,Valores!$C$45*B254)/2)</f>
        <v>2140.8799999999997</v>
      </c>
      <c r="S254" s="125">
        <f>Valores!$C$18*B254</f>
        <v>3198.44</v>
      </c>
      <c r="T254" s="125">
        <f t="shared" si="36"/>
        <v>3198.44</v>
      </c>
      <c r="U254" s="125">
        <v>0</v>
      </c>
      <c r="V254" s="125">
        <v>0</v>
      </c>
      <c r="W254" s="193">
        <v>0</v>
      </c>
      <c r="X254" s="125">
        <f>ROUND(W254*Valores!$C$2,2)</f>
        <v>0</v>
      </c>
      <c r="Y254" s="125">
        <v>0</v>
      </c>
      <c r="Z254" s="125">
        <f>IF(Valores!$C$93*B254&gt;Valores!$C$92,Valores!$C$92,Valores!$C$93*B254)</f>
        <v>3521.98</v>
      </c>
      <c r="AA254" s="125">
        <f>IF((Valores!$C$28)*B254&gt;Valores!$F$28,Valores!$F$28,(Valores!$C$28)*B254)</f>
        <v>251.16000000000003</v>
      </c>
      <c r="AB254" s="215">
        <v>0</v>
      </c>
      <c r="AC254" s="125">
        <f t="shared" si="31"/>
        <v>0</v>
      </c>
      <c r="AD254" s="125">
        <f>IF(Valores!$C$29*B254&gt;Valores!$F$29,Valores!$F$29,Valores!$C$29*B254)</f>
        <v>209.16</v>
      </c>
      <c r="AE254" s="193">
        <v>94</v>
      </c>
      <c r="AF254" s="125">
        <f>ROUND(AE254*Valores!$C$2,2)</f>
        <v>2013.37</v>
      </c>
      <c r="AG254" s="125">
        <f>IF($F$4="NO",IF(Valores!$D$59*'Escala Docente'!B254&gt;Valores!$F$59,Valores!$F$59,Valores!$D$59*'Escala Docente'!B254),IF(Valores!$D$59*'Escala Docente'!B254&gt;Valores!$F$59,Valores!$F$59,Valores!$D$59*'Escala Docente'!B254)/2)</f>
        <v>2959.74</v>
      </c>
      <c r="AH254" s="125">
        <f t="shared" si="34"/>
        <v>62726.68000000001</v>
      </c>
      <c r="AI254" s="125">
        <f>IF(Valores!$C$32*B254&gt;Valores!$F$32,Valores!$F$32,Valores!$C$32*B254)</f>
        <v>4648.139999999999</v>
      </c>
      <c r="AJ254" s="125">
        <f>IF(Valores!$C$86*B254&gt;Valores!$C$85,Valores!$C$85,Valores!$C$86*B254)</f>
        <v>1592.4999999999998</v>
      </c>
      <c r="AK254" s="125">
        <f>Valores!C$39*B254</f>
        <v>0</v>
      </c>
      <c r="AL254" s="125">
        <f>IF($F$3="NO",0,IF(Valores!$C$58*B254&gt;Valores!$F$58,Valores!$F$58,Valores!$C$58*B254))</f>
        <v>0</v>
      </c>
      <c r="AM254" s="125">
        <f t="shared" si="32"/>
        <v>6240.639999999999</v>
      </c>
      <c r="AN254" s="125">
        <f>AH254*Valores!$C$67</f>
        <v>-6899.934800000001</v>
      </c>
      <c r="AO254" s="125">
        <f>AH254*-Valores!$C$68</f>
        <v>0</v>
      </c>
      <c r="AP254" s="125">
        <f>AH254*Valores!$C$69</f>
        <v>-2822.7006</v>
      </c>
      <c r="AQ254" s="125">
        <f>Valores!$C$96</f>
        <v>-280.91</v>
      </c>
      <c r="AR254" s="125">
        <f>IF($F$5=0,Valores!$C$97,(Valores!$C$97+$F$5*(Valores!$C$97)))</f>
        <v>-658</v>
      </c>
      <c r="AS254" s="125">
        <f t="shared" si="35"/>
        <v>58305.774600000004</v>
      </c>
      <c r="AT254" s="125">
        <f t="shared" si="29"/>
        <v>-6899.934800000001</v>
      </c>
      <c r="AU254" s="125">
        <f>AH254*Valores!$C$70</f>
        <v>-1693.6203600000001</v>
      </c>
      <c r="AV254" s="125">
        <f>AH254*Valores!$C$71</f>
        <v>-188.18004000000002</v>
      </c>
      <c r="AW254" s="125">
        <f t="shared" si="33"/>
        <v>60185.584800000004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3">
        <f t="shared" si="38"/>
        <v>1185</v>
      </c>
      <c r="F255" s="125">
        <f>ROUND(E255*Valores!$C$2,2)</f>
        <v>25381.28</v>
      </c>
      <c r="G255" s="193">
        <v>0</v>
      </c>
      <c r="H255" s="125">
        <f>ROUND(G255*Valores!$C$2,2)</f>
        <v>0</v>
      </c>
      <c r="I255" s="193">
        <v>0</v>
      </c>
      <c r="J255" s="125">
        <f>ROUND(I255*Valores!$C$2,2)</f>
        <v>0</v>
      </c>
      <c r="K255" s="193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4665.3</v>
      </c>
      <c r="N255" s="125">
        <f t="shared" si="30"/>
        <v>0</v>
      </c>
      <c r="O255" s="125">
        <f>Valores!$C$7*B255</f>
        <v>10895.55</v>
      </c>
      <c r="P255" s="125">
        <f>ROUND(IF(B255&lt;15,(Valores!$E$5*B255),Valores!$D$5),2)</f>
        <v>10949.29</v>
      </c>
      <c r="Q255" s="125">
        <v>0</v>
      </c>
      <c r="R255" s="125">
        <f>IF($F$4="NO",IF(Valores!$C$45*B255&gt;Valores!$C$44,Valores!$C$44,Valores!$C$45*B255),IF(Valores!$C$45*B255&gt;Valores!$C$44,Valores!$C$44,Valores!$C$45*B255)/2)</f>
        <v>2293.7999999999997</v>
      </c>
      <c r="S255" s="125">
        <f>Valores!$C$18*B255</f>
        <v>3426.9</v>
      </c>
      <c r="T255" s="125">
        <f t="shared" si="36"/>
        <v>3426.9</v>
      </c>
      <c r="U255" s="125">
        <v>0</v>
      </c>
      <c r="V255" s="125">
        <v>0</v>
      </c>
      <c r="W255" s="193">
        <v>0</v>
      </c>
      <c r="X255" s="125">
        <f>ROUND(W255*Valores!$C$2,2)</f>
        <v>0</v>
      </c>
      <c r="Y255" s="125">
        <v>0</v>
      </c>
      <c r="Z255" s="125">
        <f>IF(Valores!$C$93*B255&gt;Valores!$C$92,Valores!$C$92,Valores!$C$93*B255)</f>
        <v>3773.5499999999997</v>
      </c>
      <c r="AA255" s="125">
        <f>IF((Valores!$C$28)*B255&gt;Valores!$F$28,Valores!$F$28,(Valores!$C$28)*B255)</f>
        <v>269.1</v>
      </c>
      <c r="AB255" s="215">
        <v>0</v>
      </c>
      <c r="AC255" s="125">
        <f t="shared" si="31"/>
        <v>0</v>
      </c>
      <c r="AD255" s="125">
        <f>IF(Valores!$C$29*B255&gt;Valores!$F$29,Valores!$F$29,Valores!$C$29*B255)</f>
        <v>224.1</v>
      </c>
      <c r="AE255" s="193">
        <v>0</v>
      </c>
      <c r="AF255" s="125">
        <f>ROUND(AE255*Valores!$C$2,2)</f>
        <v>0</v>
      </c>
      <c r="AG255" s="125">
        <f>IF($F$4="NO",IF(Valores!$D$59*'Escala Docente'!B255&gt;Valores!$F$59,Valores!$F$59,Valores!$D$59*'Escala Docente'!B255),IF(Valores!$D$59*'Escala Docente'!B255&gt;Valores!$F$59,Valores!$F$59,Valores!$D$59*'Escala Docente'!B255)/2)</f>
        <v>3171.15</v>
      </c>
      <c r="AH255" s="125">
        <f t="shared" si="34"/>
        <v>65050.020000000004</v>
      </c>
      <c r="AI255" s="125">
        <f>IF(Valores!$C$32*B255&gt;Valores!$F$32,Valores!$F$32,Valores!$C$32*B255)</f>
        <v>4980.15</v>
      </c>
      <c r="AJ255" s="125">
        <f>IF(Valores!$C$86*B255&gt;Valores!$C$85,Valores!$C$85,Valores!$C$86*B255)</f>
        <v>1706.2499999999998</v>
      </c>
      <c r="AK255" s="125">
        <f>Valores!C$39*B255</f>
        <v>0</v>
      </c>
      <c r="AL255" s="125">
        <f>IF($F$3="NO",0,IF(Valores!$C$58*B255&gt;Valores!$F$58,Valores!$F$58,Valores!$C$58*B255))</f>
        <v>0</v>
      </c>
      <c r="AM255" s="125">
        <f t="shared" si="32"/>
        <v>6686.4</v>
      </c>
      <c r="AN255" s="125">
        <f>AH255*Valores!$C$67</f>
        <v>-7155.502200000001</v>
      </c>
      <c r="AO255" s="125">
        <f>AH255*-Valores!$C$68</f>
        <v>0</v>
      </c>
      <c r="AP255" s="125">
        <f>AH255*Valores!$C$69</f>
        <v>-2927.2509</v>
      </c>
      <c r="AQ255" s="125">
        <f>Valores!$C$96</f>
        <v>-280.91</v>
      </c>
      <c r="AR255" s="125">
        <f>IF($F$5=0,Valores!$C$97,(Valores!$C$97+$F$5*(Valores!$C$97)))</f>
        <v>-658</v>
      </c>
      <c r="AS255" s="125">
        <f t="shared" si="35"/>
        <v>60714.7569</v>
      </c>
      <c r="AT255" s="125">
        <f t="shared" si="29"/>
        <v>-7155.502200000001</v>
      </c>
      <c r="AU255" s="125">
        <f>AH255*Valores!$C$70</f>
        <v>-1756.3505400000001</v>
      </c>
      <c r="AV255" s="125">
        <f>AH255*Valores!$C$71</f>
        <v>-195.15006000000002</v>
      </c>
      <c r="AW255" s="125">
        <f t="shared" si="33"/>
        <v>62629.417199999996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3">
        <f t="shared" si="38"/>
        <v>1185</v>
      </c>
      <c r="F256" s="125">
        <f>ROUND(E256*Valores!$C$2,2)</f>
        <v>25381.28</v>
      </c>
      <c r="G256" s="193">
        <v>0</v>
      </c>
      <c r="H256" s="125">
        <f>ROUND(G256*Valores!$C$2,2)</f>
        <v>0</v>
      </c>
      <c r="I256" s="193">
        <v>0</v>
      </c>
      <c r="J256" s="125">
        <f>ROUND(I256*Valores!$C$2,2)</f>
        <v>0</v>
      </c>
      <c r="K256" s="193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4665.3</v>
      </c>
      <c r="N256" s="125">
        <f t="shared" si="30"/>
        <v>0</v>
      </c>
      <c r="O256" s="125">
        <f>Valores!$C$7*B256</f>
        <v>10895.55</v>
      </c>
      <c r="P256" s="125">
        <f>ROUND(IF(B256&lt;15,(Valores!$E$5*B256),Valores!$D$5),2)</f>
        <v>10949.29</v>
      </c>
      <c r="Q256" s="125">
        <v>0</v>
      </c>
      <c r="R256" s="125">
        <f>IF($F$4="NO",IF(Valores!$C$45*B256&gt;Valores!$C$44,Valores!$C$44,Valores!$C$45*B256),IF(Valores!$C$45*B256&gt;Valores!$C$44,Valores!$C$44,Valores!$C$45*B256)/2)</f>
        <v>2293.7999999999997</v>
      </c>
      <c r="S256" s="125">
        <f>Valores!$C$18*B256</f>
        <v>3426.9</v>
      </c>
      <c r="T256" s="125">
        <f t="shared" si="36"/>
        <v>3426.9</v>
      </c>
      <c r="U256" s="125">
        <v>0</v>
      </c>
      <c r="V256" s="125">
        <v>0</v>
      </c>
      <c r="W256" s="193">
        <v>0</v>
      </c>
      <c r="X256" s="125">
        <f>ROUND(W256*Valores!$C$2,2)</f>
        <v>0</v>
      </c>
      <c r="Y256" s="125">
        <v>0</v>
      </c>
      <c r="Z256" s="125">
        <f>IF(Valores!$C$93*B256&gt;Valores!$C$92,Valores!$C$92,Valores!$C$93*B256)</f>
        <v>3773.5499999999997</v>
      </c>
      <c r="AA256" s="125">
        <f>IF((Valores!$C$28)*B256&gt;Valores!$F$28,Valores!$F$28,(Valores!$C$28)*B256)</f>
        <v>269.1</v>
      </c>
      <c r="AB256" s="215">
        <v>0</v>
      </c>
      <c r="AC256" s="125">
        <f t="shared" si="31"/>
        <v>0</v>
      </c>
      <c r="AD256" s="125">
        <f>IF(Valores!$C$29*B256&gt;Valores!$F$29,Valores!$F$29,Valores!$C$29*B256)</f>
        <v>224.1</v>
      </c>
      <c r="AE256" s="193">
        <v>94</v>
      </c>
      <c r="AF256" s="125">
        <f>ROUND(AE256*Valores!$C$2,2)</f>
        <v>2013.37</v>
      </c>
      <c r="AG256" s="125">
        <f>IF($F$4="NO",IF(Valores!$D$59*'Escala Docente'!B256&gt;Valores!$F$59,Valores!$F$59,Valores!$D$59*'Escala Docente'!B256),IF(Valores!$D$59*'Escala Docente'!B256&gt;Valores!$F$59,Valores!$F$59,Valores!$D$59*'Escala Docente'!B256)/2)</f>
        <v>3171.15</v>
      </c>
      <c r="AH256" s="125">
        <f t="shared" si="34"/>
        <v>67063.39</v>
      </c>
      <c r="AI256" s="125">
        <f>IF(Valores!$C$32*B256&gt;Valores!$F$32,Valores!$F$32,Valores!$C$32*B256)</f>
        <v>4980.15</v>
      </c>
      <c r="AJ256" s="125">
        <f>IF(Valores!$C$86*B256&gt;Valores!$C$85,Valores!$C$85,Valores!$C$86*B256)</f>
        <v>1706.2499999999998</v>
      </c>
      <c r="AK256" s="125">
        <f>Valores!C$39*B256</f>
        <v>0</v>
      </c>
      <c r="AL256" s="125">
        <f>IF($F$3="NO",0,IF(Valores!$C$58*B256&gt;Valores!$F$58,Valores!$F$58,Valores!$C$58*B256))</f>
        <v>0</v>
      </c>
      <c r="AM256" s="125">
        <f t="shared" si="32"/>
        <v>6686.4</v>
      </c>
      <c r="AN256" s="125">
        <f>AH256*Valores!$C$67</f>
        <v>-7376.9729</v>
      </c>
      <c r="AO256" s="125">
        <f>AH256*-Valores!$C$68</f>
        <v>0</v>
      </c>
      <c r="AP256" s="125">
        <f>AH256*Valores!$C$69</f>
        <v>-3017.85255</v>
      </c>
      <c r="AQ256" s="125">
        <f>Valores!$C$96</f>
        <v>-280.91</v>
      </c>
      <c r="AR256" s="125">
        <f>IF($F$5=0,Valores!$C$97,(Valores!$C$97+$F$5*(Valores!$C$97)))</f>
        <v>-658</v>
      </c>
      <c r="AS256" s="125">
        <f t="shared" si="35"/>
        <v>62416.05455</v>
      </c>
      <c r="AT256" s="125">
        <f t="shared" si="29"/>
        <v>-7376.9729</v>
      </c>
      <c r="AU256" s="125">
        <f>AH256*Valores!$C$70</f>
        <v>-1810.71153</v>
      </c>
      <c r="AV256" s="125">
        <f>AH256*Valores!$C$71</f>
        <v>-201.19017</v>
      </c>
      <c r="AW256" s="125">
        <f t="shared" si="33"/>
        <v>64360.9154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3">
        <f t="shared" si="38"/>
        <v>1264</v>
      </c>
      <c r="F257" s="125">
        <f>ROUND(E257*Valores!$C$2,2)</f>
        <v>27073.36</v>
      </c>
      <c r="G257" s="193">
        <v>0</v>
      </c>
      <c r="H257" s="125">
        <f>ROUND(G257*Valores!$C$2,2)</f>
        <v>0</v>
      </c>
      <c r="I257" s="193">
        <v>0</v>
      </c>
      <c r="J257" s="125">
        <f>ROUND(I257*Valores!$C$2,2)</f>
        <v>0</v>
      </c>
      <c r="K257" s="193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4976.32</v>
      </c>
      <c r="N257" s="125">
        <f t="shared" si="30"/>
        <v>0</v>
      </c>
      <c r="O257" s="125">
        <f>Valores!$C$7*B257</f>
        <v>11621.92</v>
      </c>
      <c r="P257" s="125">
        <f>ROUND(IF(B257&lt;15,(Valores!$E$5*B257),Valores!$D$5),2)</f>
        <v>10949.29</v>
      </c>
      <c r="Q257" s="125">
        <v>0</v>
      </c>
      <c r="R257" s="125">
        <f>IF($F$4="NO",IF(Valores!$C$45*B257&gt;Valores!$C$44,Valores!$C$44,Valores!$C$45*B257),IF(Valores!$C$45*B257&gt;Valores!$C$44,Valores!$C$44,Valores!$C$45*B257)/2)</f>
        <v>2446.72</v>
      </c>
      <c r="S257" s="125">
        <f>Valores!$C$18*B257</f>
        <v>3655.36</v>
      </c>
      <c r="T257" s="125">
        <f t="shared" si="36"/>
        <v>3655.36</v>
      </c>
      <c r="U257" s="125">
        <v>0</v>
      </c>
      <c r="V257" s="125">
        <v>0</v>
      </c>
      <c r="W257" s="193">
        <v>0</v>
      </c>
      <c r="X257" s="125">
        <f>ROUND(W257*Valores!$C$2,2)</f>
        <v>0</v>
      </c>
      <c r="Y257" s="125">
        <v>0</v>
      </c>
      <c r="Z257" s="125">
        <f>IF(Valores!$C$93*B257&gt;Valores!$C$92,Valores!$C$92,Valores!$C$93*B257)</f>
        <v>4025.12</v>
      </c>
      <c r="AA257" s="125">
        <f>IF((Valores!$C$28)*B257&gt;Valores!$F$28,Valores!$F$28,(Valores!$C$28)*B257)</f>
        <v>287.04</v>
      </c>
      <c r="AB257" s="215">
        <v>0</v>
      </c>
      <c r="AC257" s="125">
        <f t="shared" si="31"/>
        <v>0</v>
      </c>
      <c r="AD257" s="125">
        <f>IF(Valores!$C$29*B257&gt;Valores!$F$29,Valores!$F$29,Valores!$C$29*B257)</f>
        <v>239.04</v>
      </c>
      <c r="AE257" s="193">
        <v>0</v>
      </c>
      <c r="AF257" s="125">
        <f>ROUND(AE257*Valores!$C$2,2)</f>
        <v>0</v>
      </c>
      <c r="AG257" s="125">
        <f>IF($F$4="NO",IF(Valores!$D$59*'Escala Docente'!B257&gt;Valores!$F$59,Valores!$F$59,Valores!$D$59*'Escala Docente'!B257),IF(Valores!$D$59*'Escala Docente'!B257&gt;Valores!$F$59,Valores!$F$59,Valores!$D$59*'Escala Docente'!B257)/2)</f>
        <v>3382.56</v>
      </c>
      <c r="AH257" s="125">
        <f t="shared" si="34"/>
        <v>68656.73000000001</v>
      </c>
      <c r="AI257" s="125">
        <f>IF(Valores!$C$32*B257&gt;Valores!$F$32,Valores!$F$32,Valores!$C$32*B257)</f>
        <v>5312.16</v>
      </c>
      <c r="AJ257" s="125">
        <f>IF(Valores!$C$86*B257&gt;Valores!$C$85,Valores!$C$85,Valores!$C$86*B257)</f>
        <v>1819.9999999999998</v>
      </c>
      <c r="AK257" s="125">
        <f>Valores!C$39*B257</f>
        <v>0</v>
      </c>
      <c r="AL257" s="125">
        <f>IF($F$3="NO",0,IF(Valores!$C$58*B257&gt;Valores!$F$58,Valores!$F$58,Valores!$C$58*B257))</f>
        <v>0</v>
      </c>
      <c r="AM257" s="125">
        <f t="shared" si="32"/>
        <v>7132.16</v>
      </c>
      <c r="AN257" s="125">
        <f>AH257*Valores!$C$67</f>
        <v>-7552.240300000001</v>
      </c>
      <c r="AO257" s="125">
        <f>AH257*-Valores!$C$68</f>
        <v>0</v>
      </c>
      <c r="AP257" s="125">
        <f>AH257*Valores!$C$69</f>
        <v>-3089.5528500000005</v>
      </c>
      <c r="AQ257" s="125">
        <f>Valores!$C$96</f>
        <v>-280.91</v>
      </c>
      <c r="AR257" s="125">
        <f>IF($F$5=0,Valores!$C$97,(Valores!$C$97+$F$5*(Valores!$C$97)))</f>
        <v>-658</v>
      </c>
      <c r="AS257" s="125">
        <f t="shared" si="35"/>
        <v>64208.18685000001</v>
      </c>
      <c r="AT257" s="125">
        <f t="shared" si="29"/>
        <v>-7552.240300000001</v>
      </c>
      <c r="AU257" s="125">
        <f>AH257*Valores!$C$70</f>
        <v>-1853.7317100000002</v>
      </c>
      <c r="AV257" s="125">
        <f>AH257*Valores!$C$71</f>
        <v>-205.97019000000003</v>
      </c>
      <c r="AW257" s="125">
        <f t="shared" si="33"/>
        <v>66176.94780000001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3">
        <f t="shared" si="38"/>
        <v>1264</v>
      </c>
      <c r="F258" s="125">
        <f>ROUND(E258*Valores!$C$2,2)</f>
        <v>27073.36</v>
      </c>
      <c r="G258" s="193">
        <v>0</v>
      </c>
      <c r="H258" s="125">
        <f>ROUND(G258*Valores!$C$2,2)</f>
        <v>0</v>
      </c>
      <c r="I258" s="193">
        <v>0</v>
      </c>
      <c r="J258" s="125">
        <f>ROUND(I258*Valores!$C$2,2)</f>
        <v>0</v>
      </c>
      <c r="K258" s="193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4976.32</v>
      </c>
      <c r="N258" s="125">
        <f t="shared" si="30"/>
        <v>0</v>
      </c>
      <c r="O258" s="125">
        <f>Valores!$C$7*B258</f>
        <v>11621.92</v>
      </c>
      <c r="P258" s="125">
        <f>ROUND(IF(B258&lt;15,(Valores!$E$5*B258),Valores!$D$5),2)</f>
        <v>10949.29</v>
      </c>
      <c r="Q258" s="125">
        <v>0</v>
      </c>
      <c r="R258" s="125">
        <f>IF($F$4="NO",IF(Valores!$C$45*B258&gt;Valores!$C$44,Valores!$C$44,Valores!$C$45*B258),IF(Valores!$C$45*B258&gt;Valores!$C$44,Valores!$C$44,Valores!$C$45*B258)/2)</f>
        <v>2446.72</v>
      </c>
      <c r="S258" s="125">
        <f>Valores!$C$18*B258</f>
        <v>3655.36</v>
      </c>
      <c r="T258" s="125">
        <f t="shared" si="36"/>
        <v>3655.36</v>
      </c>
      <c r="U258" s="125">
        <v>0</v>
      </c>
      <c r="V258" s="125">
        <v>0</v>
      </c>
      <c r="W258" s="193">
        <v>0</v>
      </c>
      <c r="X258" s="125">
        <f>ROUND(W258*Valores!$C$2,2)</f>
        <v>0</v>
      </c>
      <c r="Y258" s="125">
        <v>0</v>
      </c>
      <c r="Z258" s="125">
        <f>IF(Valores!$C$93*B258&gt;Valores!$C$92,Valores!$C$92,Valores!$C$93*B258)</f>
        <v>4025.12</v>
      </c>
      <c r="AA258" s="125">
        <f>IF((Valores!$C$28)*B258&gt;Valores!$F$28,Valores!$F$28,(Valores!$C$28)*B258)</f>
        <v>287.04</v>
      </c>
      <c r="AB258" s="215">
        <v>0</v>
      </c>
      <c r="AC258" s="125">
        <f t="shared" si="31"/>
        <v>0</v>
      </c>
      <c r="AD258" s="125">
        <f>IF(Valores!$C$29*B258&gt;Valores!$F$29,Valores!$F$29,Valores!$C$29*B258)</f>
        <v>239.04</v>
      </c>
      <c r="AE258" s="193">
        <v>94</v>
      </c>
      <c r="AF258" s="125">
        <f>ROUND(AE258*Valores!$C$2,2)</f>
        <v>2013.37</v>
      </c>
      <c r="AG258" s="125">
        <f>IF($F$4="NO",IF(Valores!$D$59*'Escala Docente'!B258&gt;Valores!$F$59,Valores!$F$59,Valores!$D$59*'Escala Docente'!B258),IF(Valores!$D$59*'Escala Docente'!B258&gt;Valores!$F$59,Valores!$F$59,Valores!$D$59*'Escala Docente'!B258)/2)</f>
        <v>3382.56</v>
      </c>
      <c r="AH258" s="125">
        <f t="shared" si="34"/>
        <v>70670.1</v>
      </c>
      <c r="AI258" s="125">
        <f>IF(Valores!$C$32*B258&gt;Valores!$F$32,Valores!$F$32,Valores!$C$32*B258)</f>
        <v>5312.16</v>
      </c>
      <c r="AJ258" s="125">
        <f>IF(Valores!$C$86*B258&gt;Valores!$C$85,Valores!$C$85,Valores!$C$86*B258)</f>
        <v>1819.9999999999998</v>
      </c>
      <c r="AK258" s="125">
        <f>Valores!C$39*B258</f>
        <v>0</v>
      </c>
      <c r="AL258" s="125">
        <f>IF($F$3="NO",0,IF(Valores!$C$58*B258&gt;Valores!$F$58,Valores!$F$58,Valores!$C$58*B258))</f>
        <v>0</v>
      </c>
      <c r="AM258" s="125">
        <f t="shared" si="32"/>
        <v>7132.16</v>
      </c>
      <c r="AN258" s="125">
        <f>AH258*Valores!$C$67</f>
        <v>-7773.711</v>
      </c>
      <c r="AO258" s="125">
        <f>AH258*-Valores!$C$68</f>
        <v>0</v>
      </c>
      <c r="AP258" s="125">
        <f>AH258*Valores!$C$69</f>
        <v>-3180.1545</v>
      </c>
      <c r="AQ258" s="125">
        <f>Valores!$C$96</f>
        <v>-280.91</v>
      </c>
      <c r="AR258" s="125">
        <f>IF($F$5=0,Valores!$C$97,(Valores!$C$97+$F$5*(Valores!$C$97)))</f>
        <v>-658</v>
      </c>
      <c r="AS258" s="125">
        <f t="shared" si="35"/>
        <v>65909.4845</v>
      </c>
      <c r="AT258" s="125">
        <f t="shared" si="29"/>
        <v>-7773.711</v>
      </c>
      <c r="AU258" s="125">
        <f>AH258*Valores!$C$70</f>
        <v>-1908.0927000000001</v>
      </c>
      <c r="AV258" s="125">
        <f>AH258*Valores!$C$71</f>
        <v>-212.01030000000003</v>
      </c>
      <c r="AW258" s="125">
        <f t="shared" si="33"/>
        <v>67908.44600000001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3">
        <f aca="true" t="shared" si="40" ref="E259:E290">79*B259</f>
        <v>1343</v>
      </c>
      <c r="F259" s="125">
        <f>ROUND(E259*Valores!$C$2,2)</f>
        <v>28765.45</v>
      </c>
      <c r="G259" s="193">
        <v>0</v>
      </c>
      <c r="H259" s="125">
        <f>ROUND(G259*Valores!$C$2,2)</f>
        <v>0</v>
      </c>
      <c r="I259" s="193">
        <v>0</v>
      </c>
      <c r="J259" s="125">
        <f>ROUND(I259*Valores!$C$2,2)</f>
        <v>0</v>
      </c>
      <c r="K259" s="193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5287.34</v>
      </c>
      <c r="N259" s="125">
        <f t="shared" si="30"/>
        <v>0</v>
      </c>
      <c r="O259" s="125">
        <f>Valores!$C$7*B259</f>
        <v>12348.29</v>
      </c>
      <c r="P259" s="125">
        <f>ROUND(IF(B259&lt;15,(Valores!$E$5*B259),Valores!$D$5),2)</f>
        <v>10949.29</v>
      </c>
      <c r="Q259" s="125">
        <v>0</v>
      </c>
      <c r="R259" s="125">
        <f>IF($F$4="NO",IF(Valores!$C$45*B259&gt;Valores!$C$44,Valores!$C$44,Valores!$C$45*B259),IF(Valores!$C$45*B259&gt;Valores!$C$44,Valores!$C$44,Valores!$C$45*B259)/2)</f>
        <v>2599.64</v>
      </c>
      <c r="S259" s="125">
        <f>Valores!$C$18*B259</f>
        <v>3883.82</v>
      </c>
      <c r="T259" s="125">
        <f t="shared" si="36"/>
        <v>3883.82</v>
      </c>
      <c r="U259" s="125">
        <v>0</v>
      </c>
      <c r="V259" s="125">
        <v>0</v>
      </c>
      <c r="W259" s="193">
        <v>0</v>
      </c>
      <c r="X259" s="125">
        <f>ROUND(W259*Valores!$C$2,2)</f>
        <v>0</v>
      </c>
      <c r="Y259" s="125">
        <v>0</v>
      </c>
      <c r="Z259" s="125">
        <f>IF(Valores!$C$93*B259&gt;Valores!$C$92,Valores!$C$92,Valores!$C$93*B259)</f>
        <v>4276.69</v>
      </c>
      <c r="AA259" s="125">
        <f>IF((Valores!$C$28)*B259&gt;Valores!$F$28,Valores!$F$28,(Valores!$C$28)*B259)</f>
        <v>304.98</v>
      </c>
      <c r="AB259" s="215">
        <v>0</v>
      </c>
      <c r="AC259" s="125">
        <f t="shared" si="31"/>
        <v>0</v>
      </c>
      <c r="AD259" s="125">
        <f>IF(Valores!$C$29*B259&gt;Valores!$F$29,Valores!$F$29,Valores!$C$29*B259)</f>
        <v>253.98</v>
      </c>
      <c r="AE259" s="193">
        <v>0</v>
      </c>
      <c r="AF259" s="125">
        <f>ROUND(AE259*Valores!$C$2,2)</f>
        <v>0</v>
      </c>
      <c r="AG259" s="125">
        <f>IF($F$4="NO",IF(Valores!$D$59*'Escala Docente'!B259&gt;Valores!$F$59,Valores!$F$59,Valores!$D$59*'Escala Docente'!B259),IF(Valores!$D$59*'Escala Docente'!B259&gt;Valores!$F$59,Valores!$F$59,Valores!$D$59*'Escala Docente'!B259)/2)</f>
        <v>3593.97</v>
      </c>
      <c r="AH259" s="125">
        <f t="shared" si="34"/>
        <v>72263.45</v>
      </c>
      <c r="AI259" s="125">
        <f>IF(Valores!$C$32*B259&gt;Valores!$F$32,Valores!$F$32,Valores!$C$32*B259)</f>
        <v>5644.17</v>
      </c>
      <c r="AJ259" s="125">
        <f>IF(Valores!$C$86*B259&gt;Valores!$C$85,Valores!$C$85,Valores!$C$86*B259)</f>
        <v>1933.7499999999998</v>
      </c>
      <c r="AK259" s="125">
        <f>Valores!C$39*B259</f>
        <v>0</v>
      </c>
      <c r="AL259" s="125">
        <f>IF($F$3="NO",0,IF(Valores!$C$58*B259&gt;Valores!$F$58,Valores!$F$58,Valores!$C$58*B259))</f>
        <v>0</v>
      </c>
      <c r="AM259" s="125">
        <f t="shared" si="32"/>
        <v>7577.92</v>
      </c>
      <c r="AN259" s="125">
        <f>AH259*Valores!$C$67</f>
        <v>-7948.9794999999995</v>
      </c>
      <c r="AO259" s="125">
        <f>AH259*-Valores!$C$68</f>
        <v>0</v>
      </c>
      <c r="AP259" s="125">
        <f>AH259*Valores!$C$69</f>
        <v>-3251.8552499999996</v>
      </c>
      <c r="AQ259" s="125">
        <f>Valores!$C$96</f>
        <v>-280.91</v>
      </c>
      <c r="AR259" s="125">
        <f>IF($F$5=0,Valores!$C$97,(Valores!$C$97+$F$5*(Valores!$C$97)))</f>
        <v>-658</v>
      </c>
      <c r="AS259" s="125">
        <f t="shared" si="35"/>
        <v>67701.62525</v>
      </c>
      <c r="AT259" s="125">
        <f t="shared" si="29"/>
        <v>-7948.9794999999995</v>
      </c>
      <c r="AU259" s="125">
        <f>AH259*Valores!$C$70</f>
        <v>-1951.11315</v>
      </c>
      <c r="AV259" s="125">
        <f>AH259*Valores!$C$71</f>
        <v>-216.79035</v>
      </c>
      <c r="AW259" s="125">
        <f t="shared" si="33"/>
        <v>69724.487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3">
        <f t="shared" si="40"/>
        <v>1343</v>
      </c>
      <c r="F260" s="125">
        <f>ROUND(E260*Valores!$C$2,2)</f>
        <v>28765.45</v>
      </c>
      <c r="G260" s="193">
        <v>0</v>
      </c>
      <c r="H260" s="125">
        <f>ROUND(G260*Valores!$C$2,2)</f>
        <v>0</v>
      </c>
      <c r="I260" s="193">
        <v>0</v>
      </c>
      <c r="J260" s="125">
        <f>ROUND(I260*Valores!$C$2,2)</f>
        <v>0</v>
      </c>
      <c r="K260" s="193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5287.34</v>
      </c>
      <c r="N260" s="125">
        <f t="shared" si="30"/>
        <v>0</v>
      </c>
      <c r="O260" s="125">
        <f>Valores!$C$7*B260</f>
        <v>12348.29</v>
      </c>
      <c r="P260" s="125">
        <f>ROUND(IF(B260&lt;15,(Valores!$E$5*B260),Valores!$D$5),2)</f>
        <v>10949.29</v>
      </c>
      <c r="Q260" s="125">
        <v>0</v>
      </c>
      <c r="R260" s="125">
        <f>IF($F$4="NO",IF(Valores!$C$45*B260&gt;Valores!$C$44,Valores!$C$44,Valores!$C$45*B260),IF(Valores!$C$45*B260&gt;Valores!$C$44,Valores!$C$44,Valores!$C$45*B260)/2)</f>
        <v>2599.64</v>
      </c>
      <c r="S260" s="125">
        <f>Valores!$C$18*B260</f>
        <v>3883.82</v>
      </c>
      <c r="T260" s="125">
        <f t="shared" si="36"/>
        <v>3883.82</v>
      </c>
      <c r="U260" s="125">
        <v>0</v>
      </c>
      <c r="V260" s="125">
        <v>0</v>
      </c>
      <c r="W260" s="193">
        <v>0</v>
      </c>
      <c r="X260" s="125">
        <f>ROUND(W260*Valores!$C$2,2)</f>
        <v>0</v>
      </c>
      <c r="Y260" s="125">
        <v>0</v>
      </c>
      <c r="Z260" s="125">
        <f>IF(Valores!$C$93*B260&gt;Valores!$C$92,Valores!$C$92,Valores!$C$93*B260)</f>
        <v>4276.69</v>
      </c>
      <c r="AA260" s="125">
        <f>IF((Valores!$C$28)*B260&gt;Valores!$F$28,Valores!$F$28,(Valores!$C$28)*B260)</f>
        <v>304.98</v>
      </c>
      <c r="AB260" s="215">
        <v>0</v>
      </c>
      <c r="AC260" s="125">
        <f t="shared" si="31"/>
        <v>0</v>
      </c>
      <c r="AD260" s="125">
        <f>IF(Valores!$C$29*B260&gt;Valores!$F$29,Valores!$F$29,Valores!$C$29*B260)</f>
        <v>253.98</v>
      </c>
      <c r="AE260" s="193">
        <v>94</v>
      </c>
      <c r="AF260" s="125">
        <f>ROUND(AE260*Valores!$C$2,2)</f>
        <v>2013.37</v>
      </c>
      <c r="AG260" s="125">
        <f>IF($F$4="NO",IF(Valores!$D$59*'Escala Docente'!B260&gt;Valores!$F$59,Valores!$F$59,Valores!$D$59*'Escala Docente'!B260),IF(Valores!$D$59*'Escala Docente'!B260&gt;Valores!$F$59,Valores!$F$59,Valores!$D$59*'Escala Docente'!B260)/2)</f>
        <v>3593.97</v>
      </c>
      <c r="AH260" s="125">
        <f t="shared" si="34"/>
        <v>74276.81999999999</v>
      </c>
      <c r="AI260" s="125">
        <f>IF(Valores!$C$32*B260&gt;Valores!$F$32,Valores!$F$32,Valores!$C$32*B260)</f>
        <v>5644.17</v>
      </c>
      <c r="AJ260" s="125">
        <f>IF(Valores!$C$86*B260&gt;Valores!$C$85,Valores!$C$85,Valores!$C$86*B260)</f>
        <v>1933.7499999999998</v>
      </c>
      <c r="AK260" s="125">
        <f>Valores!C$39*B260</f>
        <v>0</v>
      </c>
      <c r="AL260" s="125">
        <f>IF($F$3="NO",0,IF(Valores!$C$58*B260&gt;Valores!$F$58,Valores!$F$58,Valores!$C$58*B260))</f>
        <v>0</v>
      </c>
      <c r="AM260" s="125">
        <f t="shared" si="32"/>
        <v>7577.92</v>
      </c>
      <c r="AN260" s="125">
        <f>AH260*Valores!$C$67</f>
        <v>-8170.450199999999</v>
      </c>
      <c r="AO260" s="125">
        <f>AH260*-Valores!$C$68</f>
        <v>0</v>
      </c>
      <c r="AP260" s="125">
        <f>AH260*Valores!$C$69</f>
        <v>-3342.4568999999997</v>
      </c>
      <c r="AQ260" s="125">
        <f>Valores!$C$96</f>
        <v>-280.91</v>
      </c>
      <c r="AR260" s="125">
        <f>IF($F$5=0,Valores!$C$97,(Valores!$C$97+$F$5*(Valores!$C$97)))</f>
        <v>-658</v>
      </c>
      <c r="AS260" s="125">
        <f t="shared" si="35"/>
        <v>69402.92289999999</v>
      </c>
      <c r="AT260" s="125">
        <f t="shared" si="29"/>
        <v>-8170.450199999999</v>
      </c>
      <c r="AU260" s="125">
        <f>AH260*Valores!$C$70</f>
        <v>-2005.4741399999998</v>
      </c>
      <c r="AV260" s="125">
        <f>AH260*Valores!$C$71</f>
        <v>-222.83046</v>
      </c>
      <c r="AW260" s="125">
        <f t="shared" si="33"/>
        <v>71455.9852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3">
        <f t="shared" si="40"/>
        <v>1422</v>
      </c>
      <c r="F261" s="125">
        <f>ROUND(E261*Valores!$C$2,2)</f>
        <v>30457.53</v>
      </c>
      <c r="G261" s="193">
        <v>0</v>
      </c>
      <c r="H261" s="125">
        <f>ROUND(G261*Valores!$C$2,2)</f>
        <v>0</v>
      </c>
      <c r="I261" s="193">
        <v>0</v>
      </c>
      <c r="J261" s="125">
        <f>ROUND(I261*Valores!$C$2,2)</f>
        <v>0</v>
      </c>
      <c r="K261" s="193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5598.36</v>
      </c>
      <c r="N261" s="125">
        <f t="shared" si="30"/>
        <v>0</v>
      </c>
      <c r="O261" s="125">
        <f>Valores!$C$7*B261</f>
        <v>13074.66</v>
      </c>
      <c r="P261" s="125">
        <f>ROUND(IF(B261&lt;15,(Valores!$E$5*B261),Valores!$D$5),2)</f>
        <v>10949.29</v>
      </c>
      <c r="Q261" s="125">
        <v>0</v>
      </c>
      <c r="R261" s="125">
        <f>IF($F$4="NO",IF(Valores!$C$45*B261&gt;Valores!$C$44,Valores!$C$44,Valores!$C$45*B261),IF(Valores!$C$45*B261&gt;Valores!$C$44,Valores!$C$44,Valores!$C$45*B261)/2)</f>
        <v>2752.56</v>
      </c>
      <c r="S261" s="125">
        <f>Valores!$C$18*B261</f>
        <v>4112.28</v>
      </c>
      <c r="T261" s="125">
        <f t="shared" si="36"/>
        <v>4112.28</v>
      </c>
      <c r="U261" s="125">
        <v>0</v>
      </c>
      <c r="V261" s="125">
        <v>0</v>
      </c>
      <c r="W261" s="193">
        <v>0</v>
      </c>
      <c r="X261" s="125">
        <f>ROUND(W261*Valores!$C$2,2)</f>
        <v>0</v>
      </c>
      <c r="Y261" s="125">
        <v>0</v>
      </c>
      <c r="Z261" s="125">
        <f>IF(Valores!$C$93*B261&gt;Valores!$C$92,Valores!$C$92,Valores!$C$93*B261)</f>
        <v>4528.26</v>
      </c>
      <c r="AA261" s="125">
        <f>IF((Valores!$C$28)*B261&gt;Valores!$F$28,Valores!$F$28,(Valores!$C$28)*B261)</f>
        <v>322.92</v>
      </c>
      <c r="AB261" s="215">
        <v>0</v>
      </c>
      <c r="AC261" s="125">
        <f t="shared" si="31"/>
        <v>0</v>
      </c>
      <c r="AD261" s="125">
        <f>IF(Valores!$C$29*B261&gt;Valores!$F$29,Valores!$F$29,Valores!$C$29*B261)</f>
        <v>268.92</v>
      </c>
      <c r="AE261" s="193">
        <v>0</v>
      </c>
      <c r="AF261" s="125">
        <f>ROUND(AE261*Valores!$C$2,2)</f>
        <v>0</v>
      </c>
      <c r="AG261" s="125">
        <f>IF($F$4="NO",IF(Valores!$D$59*'Escala Docente'!B261&gt;Valores!$F$59,Valores!$F$59,Valores!$D$59*'Escala Docente'!B261),IF(Valores!$D$59*'Escala Docente'!B261&gt;Valores!$F$59,Valores!$F$59,Valores!$D$59*'Escala Docente'!B261)/2)</f>
        <v>3805.38</v>
      </c>
      <c r="AH261" s="125">
        <f t="shared" si="34"/>
        <v>75870.16</v>
      </c>
      <c r="AI261" s="125">
        <f>IF(Valores!$C$32*B261&gt;Valores!$F$32,Valores!$F$32,Valores!$C$32*B261)</f>
        <v>5976.18</v>
      </c>
      <c r="AJ261" s="125">
        <f>IF(Valores!$C$86*B261&gt;Valores!$C$85,Valores!$C$85,Valores!$C$86*B261)</f>
        <v>2047.4999999999998</v>
      </c>
      <c r="AK261" s="125">
        <f>Valores!C$39*B261</f>
        <v>0</v>
      </c>
      <c r="AL261" s="125">
        <f>IF($F$3="NO",0,IF(Valores!$C$58*B261&gt;Valores!$F$58,Valores!$F$58,Valores!$C$58*B261))</f>
        <v>0</v>
      </c>
      <c r="AM261" s="125">
        <f t="shared" si="32"/>
        <v>8023.68</v>
      </c>
      <c r="AN261" s="125">
        <f>AH261*Valores!$C$67</f>
        <v>-8345.7176</v>
      </c>
      <c r="AO261" s="125">
        <f>AH261*-Valores!$C$68</f>
        <v>0</v>
      </c>
      <c r="AP261" s="125">
        <f>AH261*Valores!$C$69</f>
        <v>-3414.1572</v>
      </c>
      <c r="AQ261" s="125">
        <f>Valores!$C$96</f>
        <v>-280.91</v>
      </c>
      <c r="AR261" s="125">
        <f>IF($F$5=0,Valores!$C$97,(Valores!$C$97+$F$5*(Valores!$C$97)))</f>
        <v>-658</v>
      </c>
      <c r="AS261" s="125">
        <f t="shared" si="35"/>
        <v>71195.0552</v>
      </c>
      <c r="AT261" s="125">
        <f aca="true" t="shared" si="41" ref="AT261:AT325">AN261</f>
        <v>-8345.7176</v>
      </c>
      <c r="AU261" s="125">
        <f>AH261*Valores!$C$70</f>
        <v>-2048.4943200000002</v>
      </c>
      <c r="AV261" s="125">
        <f>AH261*Valores!$C$71</f>
        <v>-227.61048000000002</v>
      </c>
      <c r="AW261" s="125">
        <f t="shared" si="33"/>
        <v>73272.01759999999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3">
        <f t="shared" si="40"/>
        <v>1422</v>
      </c>
      <c r="F262" s="125">
        <f>ROUND(E262*Valores!$C$2,2)</f>
        <v>30457.53</v>
      </c>
      <c r="G262" s="193">
        <v>0</v>
      </c>
      <c r="H262" s="125">
        <f>ROUND(G262*Valores!$C$2,2)</f>
        <v>0</v>
      </c>
      <c r="I262" s="193">
        <v>0</v>
      </c>
      <c r="J262" s="125">
        <f>ROUND(I262*Valores!$C$2,2)</f>
        <v>0</v>
      </c>
      <c r="K262" s="193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5598.36</v>
      </c>
      <c r="N262" s="125">
        <f t="shared" si="30"/>
        <v>0</v>
      </c>
      <c r="O262" s="125">
        <f>Valores!$C$7*B262</f>
        <v>13074.66</v>
      </c>
      <c r="P262" s="125">
        <f>ROUND(IF(B262&lt;15,(Valores!$E$5*B262),Valores!$D$5),2)</f>
        <v>10949.29</v>
      </c>
      <c r="Q262" s="125">
        <v>0</v>
      </c>
      <c r="R262" s="125">
        <f>IF($F$4="NO",IF(Valores!$C$45*B262&gt;Valores!$C$44,Valores!$C$44,Valores!$C$45*B262),IF(Valores!$C$45*B262&gt;Valores!$C$44,Valores!$C$44,Valores!$C$45*B262)/2)</f>
        <v>2752.56</v>
      </c>
      <c r="S262" s="125">
        <f>Valores!$C$18*B262</f>
        <v>4112.28</v>
      </c>
      <c r="T262" s="125">
        <f t="shared" si="36"/>
        <v>4112.28</v>
      </c>
      <c r="U262" s="125">
        <v>0</v>
      </c>
      <c r="V262" s="125">
        <v>0</v>
      </c>
      <c r="W262" s="193">
        <v>0</v>
      </c>
      <c r="X262" s="125">
        <f>ROUND(W262*Valores!$C$2,2)</f>
        <v>0</v>
      </c>
      <c r="Y262" s="125">
        <v>0</v>
      </c>
      <c r="Z262" s="125">
        <f>IF(Valores!$C$93*B262&gt;Valores!$C$92,Valores!$C$92,Valores!$C$93*B262)</f>
        <v>4528.26</v>
      </c>
      <c r="AA262" s="125">
        <f>IF((Valores!$C$28)*B262&gt;Valores!$F$28,Valores!$F$28,(Valores!$C$28)*B262)</f>
        <v>322.92</v>
      </c>
      <c r="AB262" s="215">
        <v>0</v>
      </c>
      <c r="AC262" s="125">
        <f t="shared" si="31"/>
        <v>0</v>
      </c>
      <c r="AD262" s="125">
        <f>IF(Valores!$C$29*B262&gt;Valores!$F$29,Valores!$F$29,Valores!$C$29*B262)</f>
        <v>268.92</v>
      </c>
      <c r="AE262" s="193">
        <v>94</v>
      </c>
      <c r="AF262" s="125">
        <f>ROUND(AE262*Valores!$C$2,2)</f>
        <v>2013.37</v>
      </c>
      <c r="AG262" s="125">
        <f>IF($F$4="NO",IF(Valores!$D$59*'Escala Docente'!B262&gt;Valores!$F$59,Valores!$F$59,Valores!$D$59*'Escala Docente'!B262),IF(Valores!$D$59*'Escala Docente'!B262&gt;Valores!$F$59,Valores!$F$59,Valores!$D$59*'Escala Docente'!B262)/2)</f>
        <v>3805.38</v>
      </c>
      <c r="AH262" s="125">
        <f t="shared" si="34"/>
        <v>77883.53</v>
      </c>
      <c r="AI262" s="125">
        <f>IF(Valores!$C$32*B262&gt;Valores!$F$32,Valores!$F$32,Valores!$C$32*B262)</f>
        <v>5976.18</v>
      </c>
      <c r="AJ262" s="125">
        <f>IF(Valores!$C$86*B262&gt;Valores!$C$85,Valores!$C$85,Valores!$C$86*B262)</f>
        <v>2047.4999999999998</v>
      </c>
      <c r="AK262" s="125">
        <f>Valores!C$39*B262</f>
        <v>0</v>
      </c>
      <c r="AL262" s="125">
        <f>IF($F$3="NO",0,IF(Valores!$C$58*B262&gt;Valores!$F$58,Valores!$F$58,Valores!$C$58*B262))</f>
        <v>0</v>
      </c>
      <c r="AM262" s="125">
        <f t="shared" si="32"/>
        <v>8023.68</v>
      </c>
      <c r="AN262" s="125">
        <f>AH262*Valores!$C$67</f>
        <v>-8567.1883</v>
      </c>
      <c r="AO262" s="125">
        <f>AH262*-Valores!$C$68</f>
        <v>0</v>
      </c>
      <c r="AP262" s="125">
        <f>AH262*Valores!$C$69</f>
        <v>-3504.7588499999997</v>
      </c>
      <c r="AQ262" s="125">
        <f>Valores!$C$96</f>
        <v>-280.91</v>
      </c>
      <c r="AR262" s="125">
        <f>IF($F$5=0,Valores!$C$97,(Valores!$C$97+$F$5*(Valores!$C$97)))</f>
        <v>-658</v>
      </c>
      <c r="AS262" s="125">
        <f t="shared" si="35"/>
        <v>72896.35285</v>
      </c>
      <c r="AT262" s="125">
        <f t="shared" si="41"/>
        <v>-8567.1883</v>
      </c>
      <c r="AU262" s="125">
        <f>AH262*Valores!$C$70</f>
        <v>-2102.85531</v>
      </c>
      <c r="AV262" s="125">
        <f>AH262*Valores!$C$71</f>
        <v>-233.65059</v>
      </c>
      <c r="AW262" s="125">
        <f t="shared" si="33"/>
        <v>75003.5158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3">
        <f t="shared" si="40"/>
        <v>1501</v>
      </c>
      <c r="F263" s="125">
        <f>ROUND(E263*Valores!$C$2,2)</f>
        <v>32149.62</v>
      </c>
      <c r="G263" s="193">
        <v>0</v>
      </c>
      <c r="H263" s="125">
        <f>ROUND(G263*Valores!$C$2,2)</f>
        <v>0</v>
      </c>
      <c r="I263" s="193">
        <v>0</v>
      </c>
      <c r="J263" s="125">
        <f>ROUND(I263*Valores!$C$2,2)</f>
        <v>0</v>
      </c>
      <c r="K263" s="193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5909.38</v>
      </c>
      <c r="N263" s="125">
        <f t="shared" si="30"/>
        <v>0</v>
      </c>
      <c r="O263" s="125">
        <f>Valores!$C$7*B263</f>
        <v>13801.03</v>
      </c>
      <c r="P263" s="125">
        <f>ROUND(IF(B263&lt;15,(Valores!$E$5*B263),Valores!$D$5),2)</f>
        <v>10949.29</v>
      </c>
      <c r="Q263" s="125">
        <v>0</v>
      </c>
      <c r="R263" s="125">
        <f>IF($F$4="NO",IF(Valores!$C$45*B263&gt;Valores!$C$44,Valores!$C$44,Valores!$C$45*B263),IF(Valores!$C$45*B263&gt;Valores!$C$44,Valores!$C$44,Valores!$C$45*B263)/2)</f>
        <v>2905.4799999999996</v>
      </c>
      <c r="S263" s="125">
        <f>Valores!$C$18*B263</f>
        <v>4340.74</v>
      </c>
      <c r="T263" s="125">
        <f t="shared" si="36"/>
        <v>4340.74</v>
      </c>
      <c r="U263" s="125">
        <v>0</v>
      </c>
      <c r="V263" s="125">
        <v>0</v>
      </c>
      <c r="W263" s="193">
        <v>0</v>
      </c>
      <c r="X263" s="125">
        <f>ROUND(W263*Valores!$C$2,2)</f>
        <v>0</v>
      </c>
      <c r="Y263" s="125">
        <v>0</v>
      </c>
      <c r="Z263" s="125">
        <f>IF(Valores!$C$93*B263&gt;Valores!$C$92,Valores!$C$92,Valores!$C$93*B263)</f>
        <v>4779.83</v>
      </c>
      <c r="AA263" s="125">
        <f>IF((Valores!$C$28)*B263&gt;Valores!$F$28,Valores!$F$28,(Valores!$C$28)*B263)</f>
        <v>340.86</v>
      </c>
      <c r="AB263" s="215">
        <v>0</v>
      </c>
      <c r="AC263" s="125">
        <f t="shared" si="31"/>
        <v>0</v>
      </c>
      <c r="AD263" s="125">
        <f>IF(Valores!$C$29*B263&gt;Valores!$F$29,Valores!$F$29,Valores!$C$29*B263)</f>
        <v>283.86</v>
      </c>
      <c r="AE263" s="193">
        <v>0</v>
      </c>
      <c r="AF263" s="125">
        <f>ROUND(AE263*Valores!$C$2,2)</f>
        <v>0</v>
      </c>
      <c r="AG263" s="125">
        <f>IF($F$4="NO",IF(Valores!$D$59*'Escala Docente'!B263&gt;Valores!$F$59,Valores!$F$59,Valores!$D$59*'Escala Docente'!B263),IF(Valores!$D$59*'Escala Docente'!B263&gt;Valores!$F$59,Valores!$F$59,Valores!$D$59*'Escala Docente'!B263)/2)</f>
        <v>4016.79</v>
      </c>
      <c r="AH263" s="125">
        <f t="shared" si="34"/>
        <v>79476.88</v>
      </c>
      <c r="AI263" s="125">
        <f>IF(Valores!$C$32*B263&gt;Valores!$F$32,Valores!$F$32,Valores!$C$32*B263)</f>
        <v>6308.19</v>
      </c>
      <c r="AJ263" s="125">
        <f>IF(Valores!$C$86*B263&gt;Valores!$C$85,Valores!$C$85,Valores!$C$86*B263)</f>
        <v>2161.2499999999995</v>
      </c>
      <c r="AK263" s="125">
        <f>Valores!C$39*B263</f>
        <v>0</v>
      </c>
      <c r="AL263" s="125">
        <f>IF($F$3="NO",0,IF(Valores!$C$58*B263&gt;Valores!$F$58,Valores!$F$58,Valores!$C$58*B263))</f>
        <v>0</v>
      </c>
      <c r="AM263" s="125">
        <f t="shared" si="32"/>
        <v>8469.439999999999</v>
      </c>
      <c r="AN263" s="125">
        <f>AH263*Valores!$C$67</f>
        <v>-8742.4568</v>
      </c>
      <c r="AO263" s="125">
        <f>AH263*-Valores!$C$68</f>
        <v>0</v>
      </c>
      <c r="AP263" s="125">
        <f>AH263*Valores!$C$69</f>
        <v>-3576.4596</v>
      </c>
      <c r="AQ263" s="125">
        <f>Valores!$C$96</f>
        <v>-280.91</v>
      </c>
      <c r="AR263" s="125">
        <f>IF($F$5=0,Valores!$C$97,(Valores!$C$97+$F$5*(Valores!$C$97)))</f>
        <v>-658</v>
      </c>
      <c r="AS263" s="125">
        <f t="shared" si="35"/>
        <v>74688.4936</v>
      </c>
      <c r="AT263" s="125">
        <f t="shared" si="41"/>
        <v>-8742.4568</v>
      </c>
      <c r="AU263" s="125">
        <f>AH263*Valores!$C$70</f>
        <v>-2145.87576</v>
      </c>
      <c r="AV263" s="125">
        <f>AH263*Valores!$C$71</f>
        <v>-238.43064</v>
      </c>
      <c r="AW263" s="125">
        <f t="shared" si="33"/>
        <v>76819.5568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3">
        <f t="shared" si="40"/>
        <v>1501</v>
      </c>
      <c r="F264" s="125">
        <f>ROUND(E264*Valores!$C$2,2)</f>
        <v>32149.62</v>
      </c>
      <c r="G264" s="193">
        <v>0</v>
      </c>
      <c r="H264" s="125">
        <f>ROUND(G264*Valores!$C$2,2)</f>
        <v>0</v>
      </c>
      <c r="I264" s="193">
        <v>0</v>
      </c>
      <c r="J264" s="125">
        <f>ROUND(I264*Valores!$C$2,2)</f>
        <v>0</v>
      </c>
      <c r="K264" s="193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5909.38</v>
      </c>
      <c r="N264" s="125">
        <f aca="true" t="shared" si="42" ref="N264:N326">ROUND(SUM(F264,H264,J264,L264,X264,R264)*$H$2,2)</f>
        <v>0</v>
      </c>
      <c r="O264" s="125">
        <f>Valores!$C$7*B264</f>
        <v>13801.03</v>
      </c>
      <c r="P264" s="125">
        <f>ROUND(IF(B264&lt;15,(Valores!$E$5*B264),Valores!$D$5),2)</f>
        <v>10949.29</v>
      </c>
      <c r="Q264" s="125">
        <v>0</v>
      </c>
      <c r="R264" s="125">
        <f>IF($F$4="NO",IF(Valores!$C$45*B264&gt;Valores!$C$44,Valores!$C$44,Valores!$C$45*B264),IF(Valores!$C$45*B264&gt;Valores!$C$44,Valores!$C$44,Valores!$C$45*B264)/2)</f>
        <v>2905.4799999999996</v>
      </c>
      <c r="S264" s="125">
        <f>Valores!$C$18*B264</f>
        <v>4340.74</v>
      </c>
      <c r="T264" s="125">
        <f t="shared" si="36"/>
        <v>4340.74</v>
      </c>
      <c r="U264" s="125">
        <v>0</v>
      </c>
      <c r="V264" s="125">
        <v>0</v>
      </c>
      <c r="W264" s="193">
        <v>0</v>
      </c>
      <c r="X264" s="125">
        <f>ROUND(W264*Valores!$C$2,2)</f>
        <v>0</v>
      </c>
      <c r="Y264" s="125">
        <v>0</v>
      </c>
      <c r="Z264" s="125">
        <f>IF(Valores!$C$93*B264&gt;Valores!$C$92,Valores!$C$92,Valores!$C$93*B264)</f>
        <v>4779.83</v>
      </c>
      <c r="AA264" s="125">
        <f>IF((Valores!$C$28)*B264&gt;Valores!$F$28,Valores!$F$28,(Valores!$C$28)*B264)</f>
        <v>340.86</v>
      </c>
      <c r="AB264" s="215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283.86</v>
      </c>
      <c r="AE264" s="193">
        <v>94</v>
      </c>
      <c r="AF264" s="125">
        <f>ROUND(AE264*Valores!$C$2,2)</f>
        <v>2013.37</v>
      </c>
      <c r="AG264" s="125">
        <f>IF($F$4="NO",IF(Valores!$D$59*'Escala Docente'!B264&gt;Valores!$F$59,Valores!$F$59,Valores!$D$59*'Escala Docente'!B264),IF(Valores!$D$59*'Escala Docente'!B264&gt;Valores!$F$59,Valores!$F$59,Valores!$D$59*'Escala Docente'!B264)/2)</f>
        <v>4016.79</v>
      </c>
      <c r="AH264" s="125">
        <f t="shared" si="34"/>
        <v>81490.25</v>
      </c>
      <c r="AI264" s="125">
        <f>IF(Valores!$C$32*B264&gt;Valores!$F$32,Valores!$F$32,Valores!$C$32*B264)</f>
        <v>6308.19</v>
      </c>
      <c r="AJ264" s="125">
        <f>IF(Valores!$C$86*B264&gt;Valores!$C$85,Valores!$C$85,Valores!$C$86*B264)</f>
        <v>2161.2499999999995</v>
      </c>
      <c r="AK264" s="125">
        <f>Valores!C$39*B264</f>
        <v>0</v>
      </c>
      <c r="AL264" s="125">
        <f>IF($F$3="NO",0,IF(Valores!$C$58*B264&gt;Valores!$F$58,Valores!$F$58,Valores!$C$58*B264))</f>
        <v>0</v>
      </c>
      <c r="AM264" s="125">
        <f aca="true" t="shared" si="44" ref="AM264:AM326">SUM(AI264:AL264)</f>
        <v>8469.439999999999</v>
      </c>
      <c r="AN264" s="125">
        <f>AH264*Valores!$C$67</f>
        <v>-8963.9275</v>
      </c>
      <c r="AO264" s="125">
        <f>AH264*-Valores!$C$68</f>
        <v>0</v>
      </c>
      <c r="AP264" s="125">
        <f>AH264*Valores!$C$69</f>
        <v>-3667.0612499999997</v>
      </c>
      <c r="AQ264" s="125">
        <f>Valores!$C$96</f>
        <v>-280.91</v>
      </c>
      <c r="AR264" s="125">
        <f>IF($F$5=0,Valores!$C$97,(Valores!$C$97+$F$5*(Valores!$C$97)))</f>
        <v>-658</v>
      </c>
      <c r="AS264" s="125">
        <f t="shared" si="35"/>
        <v>76389.79125</v>
      </c>
      <c r="AT264" s="125">
        <f t="shared" si="41"/>
        <v>-8963.9275</v>
      </c>
      <c r="AU264" s="125">
        <f>AH264*Valores!$C$70</f>
        <v>-2200.23675</v>
      </c>
      <c r="AV264" s="125">
        <f>AH264*Valores!$C$71</f>
        <v>-244.47075</v>
      </c>
      <c r="AW264" s="125">
        <f aca="true" t="shared" si="45" ref="AW264:AW326">AH264+AM264+SUM(AT264:AV264)</f>
        <v>78551.05500000001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3">
        <f t="shared" si="40"/>
        <v>1580</v>
      </c>
      <c r="F265" s="125">
        <f>ROUND(E265*Valores!$C$2,2)</f>
        <v>33841.7</v>
      </c>
      <c r="G265" s="193">
        <v>0</v>
      </c>
      <c r="H265" s="125">
        <f>ROUND(G265*Valores!$C$2,2)</f>
        <v>0</v>
      </c>
      <c r="I265" s="193">
        <v>0</v>
      </c>
      <c r="J265" s="125">
        <f>ROUND(I265*Valores!$C$2,2)</f>
        <v>0</v>
      </c>
      <c r="K265" s="193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6220.4</v>
      </c>
      <c r="N265" s="125">
        <f t="shared" si="42"/>
        <v>0</v>
      </c>
      <c r="O265" s="125">
        <f>Valores!$C$7*B265</f>
        <v>14527.4</v>
      </c>
      <c r="P265" s="125">
        <f>ROUND(IF(B265&lt;15,(Valores!$E$5*B265),Valores!$D$5),2)</f>
        <v>10949.29</v>
      </c>
      <c r="Q265" s="125">
        <v>0</v>
      </c>
      <c r="R265" s="125">
        <f>IF($F$4="NO",IF(Valores!$C$45*B265&gt;Valores!$C$44,Valores!$C$44,Valores!$C$45*B265),IF(Valores!$C$45*B265&gt;Valores!$C$44,Valores!$C$44,Valores!$C$45*B265)/2)</f>
        <v>3058.3999999999996</v>
      </c>
      <c r="S265" s="125">
        <f>Valores!$C$18*B265</f>
        <v>4569.2</v>
      </c>
      <c r="T265" s="125">
        <f t="shared" si="36"/>
        <v>4569.2</v>
      </c>
      <c r="U265" s="125">
        <v>0</v>
      </c>
      <c r="V265" s="125">
        <v>0</v>
      </c>
      <c r="W265" s="193">
        <v>0</v>
      </c>
      <c r="X265" s="125">
        <f>ROUND(W265*Valores!$C$2,2)</f>
        <v>0</v>
      </c>
      <c r="Y265" s="125">
        <v>0</v>
      </c>
      <c r="Z265" s="125">
        <f>IF(Valores!$C$93*B265&gt;Valores!$C$92,Valores!$C$92,Valores!$C$93*B265)</f>
        <v>5031.4</v>
      </c>
      <c r="AA265" s="125">
        <f>IF((Valores!$C$28)*B265&gt;Valores!$F$28,Valores!$F$28,(Valores!$C$28)*B265)</f>
        <v>358.8</v>
      </c>
      <c r="AB265" s="215">
        <v>0</v>
      </c>
      <c r="AC265" s="125">
        <f t="shared" si="43"/>
        <v>0</v>
      </c>
      <c r="AD265" s="125">
        <f>IF(Valores!$C$29*B265&gt;Valores!$F$29,Valores!$F$29,Valores!$C$29*B265)</f>
        <v>298.8</v>
      </c>
      <c r="AE265" s="193">
        <v>0</v>
      </c>
      <c r="AF265" s="125">
        <f>ROUND(AE265*Valores!$C$2,2)</f>
        <v>0</v>
      </c>
      <c r="AG265" s="125">
        <f>IF($F$4="NO",IF(Valores!$D$59*'Escala Docente'!B265&gt;Valores!$F$59,Valores!$F$59,Valores!$D$59*'Escala Docente'!B265),IF(Valores!$D$59*'Escala Docente'!B265&gt;Valores!$F$59,Valores!$F$59,Valores!$D$59*'Escala Docente'!B265)/2)</f>
        <v>4228.2</v>
      </c>
      <c r="AH265" s="125">
        <f aca="true" t="shared" si="46" ref="AH265:AH326">SUM(F265,H265,J265,L265,M265,N265,O265,P265,Q265,R265,T265,U265,V265,X265,Y265,Z265,AA265,AC265,AD265,AF265,AG265)</f>
        <v>83083.59</v>
      </c>
      <c r="AI265" s="125">
        <f>IF(Valores!$C$32*B265&gt;Valores!$F$32,Valores!$F$32,Valores!$C$32*B265)</f>
        <v>6640.2</v>
      </c>
      <c r="AJ265" s="125">
        <f>IF(Valores!$C$86*B265&gt;Valores!$C$85,Valores!$C$85,Valores!$C$86*B265)</f>
        <v>2274.9999999999995</v>
      </c>
      <c r="AK265" s="125">
        <f>Valores!C$39*B265</f>
        <v>0</v>
      </c>
      <c r="AL265" s="125">
        <f>IF($F$3="NO",0,IF(Valores!$C$58*B265&gt;Valores!$F$58,Valores!$F$58,Valores!$C$58*B265))</f>
        <v>0</v>
      </c>
      <c r="AM265" s="125">
        <f t="shared" si="44"/>
        <v>8915.199999999999</v>
      </c>
      <c r="AN265" s="125">
        <f>AH265*Valores!$C$67</f>
        <v>-9139.1949</v>
      </c>
      <c r="AO265" s="125">
        <f>AH265*-Valores!$C$68</f>
        <v>0</v>
      </c>
      <c r="AP265" s="125">
        <f>AH265*Valores!$C$69</f>
        <v>-3738.7615499999997</v>
      </c>
      <c r="AQ265" s="125">
        <f>Valores!$C$96</f>
        <v>-280.91</v>
      </c>
      <c r="AR265" s="125">
        <f>IF($F$5=0,Valores!$C$97,(Valores!$C$97+$F$5*(Valores!$C$97)))</f>
        <v>-658</v>
      </c>
      <c r="AS265" s="125">
        <f aca="true" t="shared" si="47" ref="AS265:AS326">AH265+SUM(AM265:AR265)</f>
        <v>78181.92354999999</v>
      </c>
      <c r="AT265" s="125">
        <f t="shared" si="41"/>
        <v>-9139.1949</v>
      </c>
      <c r="AU265" s="125">
        <f>AH265*Valores!$C$70</f>
        <v>-2243.25693</v>
      </c>
      <c r="AV265" s="125">
        <f>AH265*Valores!$C$71</f>
        <v>-249.25077</v>
      </c>
      <c r="AW265" s="125">
        <f t="shared" si="45"/>
        <v>80367.08739999999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3">
        <f t="shared" si="40"/>
        <v>1580</v>
      </c>
      <c r="F266" s="125">
        <f>ROUND(E266*Valores!$C$2,2)</f>
        <v>33841.7</v>
      </c>
      <c r="G266" s="193">
        <v>0</v>
      </c>
      <c r="H266" s="125">
        <f>ROUND(G266*Valores!$C$2,2)</f>
        <v>0</v>
      </c>
      <c r="I266" s="193">
        <v>0</v>
      </c>
      <c r="J266" s="125">
        <f>ROUND(I266*Valores!$C$2,2)</f>
        <v>0</v>
      </c>
      <c r="K266" s="193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6220.4</v>
      </c>
      <c r="N266" s="125">
        <f t="shared" si="42"/>
        <v>0</v>
      </c>
      <c r="O266" s="125">
        <f>Valores!$C$7*B266</f>
        <v>14527.4</v>
      </c>
      <c r="P266" s="125">
        <f>ROUND(IF(B266&lt;15,(Valores!$E$5*B266),Valores!$D$5),2)</f>
        <v>10949.29</v>
      </c>
      <c r="Q266" s="125">
        <v>0</v>
      </c>
      <c r="R266" s="125">
        <f>IF($F$4="NO",IF(Valores!$C$45*B266&gt;Valores!$C$44,Valores!$C$44,Valores!$C$45*B266),IF(Valores!$C$45*B266&gt;Valores!$C$44,Valores!$C$44,Valores!$C$45*B266)/2)</f>
        <v>3058.3999999999996</v>
      </c>
      <c r="S266" s="125">
        <f>Valores!$C$18*B266</f>
        <v>4569.2</v>
      </c>
      <c r="T266" s="125">
        <f t="shared" si="36"/>
        <v>4569.2</v>
      </c>
      <c r="U266" s="125">
        <v>0</v>
      </c>
      <c r="V266" s="125">
        <v>0</v>
      </c>
      <c r="W266" s="193">
        <v>0</v>
      </c>
      <c r="X266" s="125">
        <f>ROUND(W266*Valores!$C$2,2)</f>
        <v>0</v>
      </c>
      <c r="Y266" s="125">
        <v>0</v>
      </c>
      <c r="Z266" s="125">
        <f>IF(Valores!$C$93*B266&gt;Valores!$C$92,Valores!$C$92,Valores!$C$93*B266)</f>
        <v>5031.4</v>
      </c>
      <c r="AA266" s="125">
        <f>IF((Valores!$C$28)*B266&gt;Valores!$F$28,Valores!$F$28,(Valores!$C$28)*B266)</f>
        <v>358.8</v>
      </c>
      <c r="AB266" s="215">
        <v>0</v>
      </c>
      <c r="AC266" s="125">
        <f t="shared" si="43"/>
        <v>0</v>
      </c>
      <c r="AD266" s="125">
        <f>IF(Valores!$C$29*B266&gt;Valores!$F$29,Valores!$F$29,Valores!$C$29*B266)</f>
        <v>298.8</v>
      </c>
      <c r="AE266" s="193">
        <v>94</v>
      </c>
      <c r="AF266" s="125">
        <f>ROUND(AE266*Valores!$C$2,2)</f>
        <v>2013.37</v>
      </c>
      <c r="AG266" s="125">
        <f>IF($F$4="NO",IF(Valores!$D$59*'Escala Docente'!B266&gt;Valores!$F$59,Valores!$F$59,Valores!$D$59*'Escala Docente'!B266),IF(Valores!$D$59*'Escala Docente'!B266&gt;Valores!$F$59,Valores!$F$59,Valores!$D$59*'Escala Docente'!B266)/2)</f>
        <v>4228.2</v>
      </c>
      <c r="AH266" s="125">
        <f t="shared" si="46"/>
        <v>85096.95999999999</v>
      </c>
      <c r="AI266" s="125">
        <f>IF(Valores!$C$32*B266&gt;Valores!$F$32,Valores!$F$32,Valores!$C$32*B266)</f>
        <v>6640.2</v>
      </c>
      <c r="AJ266" s="125">
        <f>IF(Valores!$C$86*B266&gt;Valores!$C$85,Valores!$C$85,Valores!$C$86*B266)</f>
        <v>2274.9999999999995</v>
      </c>
      <c r="AK266" s="125">
        <f>Valores!C$39*B266</f>
        <v>0</v>
      </c>
      <c r="AL266" s="125">
        <f>IF($F$3="NO",0,IF(Valores!$C$58*B266&gt;Valores!$F$58,Valores!$F$58,Valores!$C$58*B266))</f>
        <v>0</v>
      </c>
      <c r="AM266" s="125">
        <f t="shared" si="44"/>
        <v>8915.199999999999</v>
      </c>
      <c r="AN266" s="125">
        <f>AH266*Valores!$C$67</f>
        <v>-9360.665599999998</v>
      </c>
      <c r="AO266" s="125">
        <f>AH266*-Valores!$C$68</f>
        <v>0</v>
      </c>
      <c r="AP266" s="125">
        <f>AH266*Valores!$C$69</f>
        <v>-3829.3631999999993</v>
      </c>
      <c r="AQ266" s="125">
        <f>Valores!$C$96</f>
        <v>-280.91</v>
      </c>
      <c r="AR266" s="125">
        <f>IF($F$5=0,Valores!$C$97,(Valores!$C$97+$F$5*(Valores!$C$97)))</f>
        <v>-658</v>
      </c>
      <c r="AS266" s="125">
        <f t="shared" si="47"/>
        <v>79883.2212</v>
      </c>
      <c r="AT266" s="125">
        <f t="shared" si="41"/>
        <v>-9360.665599999998</v>
      </c>
      <c r="AU266" s="125">
        <f>AH266*Valores!$C$70</f>
        <v>-2297.6179199999997</v>
      </c>
      <c r="AV266" s="125">
        <f>AH266*Valores!$C$71</f>
        <v>-255.29088</v>
      </c>
      <c r="AW266" s="125">
        <f t="shared" si="45"/>
        <v>82098.58559999999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3">
        <f t="shared" si="40"/>
        <v>1659</v>
      </c>
      <c r="F267" s="125">
        <f>ROUND(E267*Valores!$C$2,2)</f>
        <v>35533.79</v>
      </c>
      <c r="G267" s="193">
        <v>0</v>
      </c>
      <c r="H267" s="125">
        <f>ROUND(G267*Valores!$C$2,2)</f>
        <v>0</v>
      </c>
      <c r="I267" s="193">
        <v>0</v>
      </c>
      <c r="J267" s="125">
        <f>ROUND(I267*Valores!$C$2,2)</f>
        <v>0</v>
      </c>
      <c r="K267" s="193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6531.42</v>
      </c>
      <c r="N267" s="125">
        <f t="shared" si="42"/>
        <v>0</v>
      </c>
      <c r="O267" s="125">
        <f>Valores!$C$7*B267</f>
        <v>15253.77</v>
      </c>
      <c r="P267" s="125">
        <f>ROUND(IF(B267&lt;15,(Valores!$E$5*B267),Valores!$D$5),2)</f>
        <v>10949.29</v>
      </c>
      <c r="Q267" s="125">
        <v>0</v>
      </c>
      <c r="R267" s="125">
        <f>IF($F$4="NO",IF(Valores!$C$45*B267&gt;Valores!$C$44,Valores!$C$44,Valores!$C$45*B267),IF(Valores!$C$45*B267&gt;Valores!$C$44,Valores!$C$44,Valores!$C$45*B267)/2)</f>
        <v>3211.3199999999997</v>
      </c>
      <c r="S267" s="125">
        <f>Valores!$C$18*B267</f>
        <v>4797.66</v>
      </c>
      <c r="T267" s="125">
        <f aca="true" t="shared" si="48" ref="T267:T299">ROUND(S267*(1+$H$2),2)</f>
        <v>4797.66</v>
      </c>
      <c r="U267" s="125">
        <v>0</v>
      </c>
      <c r="V267" s="125">
        <v>0</v>
      </c>
      <c r="W267" s="193">
        <v>0</v>
      </c>
      <c r="X267" s="125">
        <f>ROUND(W267*Valores!$C$2,2)</f>
        <v>0</v>
      </c>
      <c r="Y267" s="125">
        <v>0</v>
      </c>
      <c r="Z267" s="125">
        <f>IF(Valores!$C$93*B267&gt;Valores!$C$92,Valores!$C$92,Valores!$C$93*B267)</f>
        <v>5282.97</v>
      </c>
      <c r="AA267" s="125">
        <f>IF((Valores!$C$28)*B267&gt;Valores!$F$28,Valores!$F$28,(Valores!$C$28)*B267)</f>
        <v>376.74</v>
      </c>
      <c r="AB267" s="215">
        <v>0</v>
      </c>
      <c r="AC267" s="125">
        <f t="shared" si="43"/>
        <v>0</v>
      </c>
      <c r="AD267" s="125">
        <f>IF(Valores!$C$29*B267&gt;Valores!$F$29,Valores!$F$29,Valores!$C$29*B267)</f>
        <v>313.74</v>
      </c>
      <c r="AE267" s="193">
        <v>0</v>
      </c>
      <c r="AF267" s="125">
        <f>ROUND(AE267*Valores!$C$2,2)</f>
        <v>0</v>
      </c>
      <c r="AG267" s="125">
        <f>IF($F$4="NO",IF(Valores!$D$59*'Escala Docente'!B267&gt;Valores!$F$59,Valores!$F$59,Valores!$D$59*'Escala Docente'!B267),IF(Valores!$D$59*'Escala Docente'!B267&gt;Valores!$F$59,Valores!$F$59,Valores!$D$59*'Escala Docente'!B267)/2)</f>
        <v>4439.61</v>
      </c>
      <c r="AH267" s="125">
        <f t="shared" si="46"/>
        <v>86690.31000000001</v>
      </c>
      <c r="AI267" s="125">
        <f>IF(Valores!$C$32*B267&gt;Valores!$F$32,Valores!$F$32,Valores!$C$32*B267)</f>
        <v>6972.21</v>
      </c>
      <c r="AJ267" s="125">
        <f>IF(Valores!$C$86*B267&gt;Valores!$C$85,Valores!$C$85,Valores!$C$86*B267)</f>
        <v>2388.7499999999995</v>
      </c>
      <c r="AK267" s="125">
        <f>Valores!C$39*B267</f>
        <v>0</v>
      </c>
      <c r="AL267" s="125">
        <f>IF($F$3="NO",0,IF(Valores!$C$58*B267&gt;Valores!$F$58,Valores!$F$58,Valores!$C$58*B267))</f>
        <v>0</v>
      </c>
      <c r="AM267" s="125">
        <f t="shared" si="44"/>
        <v>9360.96</v>
      </c>
      <c r="AN267" s="125">
        <f>AH267*Valores!$C$67</f>
        <v>-9535.934100000002</v>
      </c>
      <c r="AO267" s="125">
        <f>AH267*-Valores!$C$68</f>
        <v>0</v>
      </c>
      <c r="AP267" s="125">
        <f>AH267*Valores!$C$69</f>
        <v>-3901.06395</v>
      </c>
      <c r="AQ267" s="125">
        <f>Valores!$C$96</f>
        <v>-280.91</v>
      </c>
      <c r="AR267" s="125">
        <f>IF($F$5=0,Valores!$C$97,(Valores!$C$97+$F$5*(Valores!$C$97)))</f>
        <v>-658</v>
      </c>
      <c r="AS267" s="125">
        <f t="shared" si="47"/>
        <v>81675.36195</v>
      </c>
      <c r="AT267" s="125">
        <f t="shared" si="41"/>
        <v>-9535.934100000002</v>
      </c>
      <c r="AU267" s="125">
        <f>AH267*Valores!$C$70</f>
        <v>-2340.63837</v>
      </c>
      <c r="AV267" s="125">
        <f>AH267*Valores!$C$71</f>
        <v>-260.07093000000003</v>
      </c>
      <c r="AW267" s="125">
        <f t="shared" si="45"/>
        <v>83914.62660000002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3">
        <f t="shared" si="40"/>
        <v>1659</v>
      </c>
      <c r="F268" s="125">
        <f>ROUND(E268*Valores!$C$2,2)</f>
        <v>35533.79</v>
      </c>
      <c r="G268" s="193">
        <v>0</v>
      </c>
      <c r="H268" s="125">
        <f>ROUND(G268*Valores!$C$2,2)</f>
        <v>0</v>
      </c>
      <c r="I268" s="193">
        <v>0</v>
      </c>
      <c r="J268" s="125">
        <f>ROUND(I268*Valores!$C$2,2)</f>
        <v>0</v>
      </c>
      <c r="K268" s="193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6531.42</v>
      </c>
      <c r="N268" s="125">
        <f t="shared" si="42"/>
        <v>0</v>
      </c>
      <c r="O268" s="125">
        <f>Valores!$C$7*B268</f>
        <v>15253.77</v>
      </c>
      <c r="P268" s="125">
        <f>ROUND(IF(B268&lt;15,(Valores!$E$5*B268),Valores!$D$5),2)</f>
        <v>10949.29</v>
      </c>
      <c r="Q268" s="125">
        <v>0</v>
      </c>
      <c r="R268" s="125">
        <f>IF($F$4="NO",IF(Valores!$C$45*B268&gt;Valores!$C$44,Valores!$C$44,Valores!$C$45*B268),IF(Valores!$C$45*B268&gt;Valores!$C$44,Valores!$C$44,Valores!$C$45*B268)/2)</f>
        <v>3211.3199999999997</v>
      </c>
      <c r="S268" s="125">
        <f>Valores!$C$18*B268</f>
        <v>4797.66</v>
      </c>
      <c r="T268" s="125">
        <f t="shared" si="48"/>
        <v>4797.66</v>
      </c>
      <c r="U268" s="125">
        <v>0</v>
      </c>
      <c r="V268" s="125">
        <v>0</v>
      </c>
      <c r="W268" s="193">
        <v>0</v>
      </c>
      <c r="X268" s="125">
        <f>ROUND(W268*Valores!$C$2,2)</f>
        <v>0</v>
      </c>
      <c r="Y268" s="125">
        <v>0</v>
      </c>
      <c r="Z268" s="125">
        <f>IF(Valores!$C$93*B268&gt;Valores!$C$92,Valores!$C$92,Valores!$C$93*B268)</f>
        <v>5282.97</v>
      </c>
      <c r="AA268" s="125">
        <f>IF((Valores!$C$28)*B268&gt;Valores!$F$28,Valores!$F$28,(Valores!$C$28)*B268)</f>
        <v>376.74</v>
      </c>
      <c r="AB268" s="215">
        <v>0</v>
      </c>
      <c r="AC268" s="125">
        <f t="shared" si="43"/>
        <v>0</v>
      </c>
      <c r="AD268" s="125">
        <f>IF(Valores!$C$29*B268&gt;Valores!$F$29,Valores!$F$29,Valores!$C$29*B268)</f>
        <v>313.74</v>
      </c>
      <c r="AE268" s="193">
        <v>94</v>
      </c>
      <c r="AF268" s="125">
        <f>ROUND(AE268*Valores!$C$2,2)</f>
        <v>2013.37</v>
      </c>
      <c r="AG268" s="125">
        <f>IF($F$4="NO",IF(Valores!$D$59*'Escala Docente'!B268&gt;Valores!$F$59,Valores!$F$59,Valores!$D$59*'Escala Docente'!B268),IF(Valores!$D$59*'Escala Docente'!B268&gt;Valores!$F$59,Valores!$F$59,Valores!$D$59*'Escala Docente'!B268)/2)</f>
        <v>4439.61</v>
      </c>
      <c r="AH268" s="125">
        <f t="shared" si="46"/>
        <v>88703.68000000001</v>
      </c>
      <c r="AI268" s="125">
        <f>IF(Valores!$C$32*B268&gt;Valores!$F$32,Valores!$F$32,Valores!$C$32*B268)</f>
        <v>6972.21</v>
      </c>
      <c r="AJ268" s="125">
        <f>IF(Valores!$C$86*B268&gt;Valores!$C$85,Valores!$C$85,Valores!$C$86*B268)</f>
        <v>2388.7499999999995</v>
      </c>
      <c r="AK268" s="125">
        <f>Valores!C$39*B268</f>
        <v>0</v>
      </c>
      <c r="AL268" s="125">
        <f>IF($F$3="NO",0,IF(Valores!$C$58*B268&gt;Valores!$F$58,Valores!$F$58,Valores!$C$58*B268))</f>
        <v>0</v>
      </c>
      <c r="AM268" s="125">
        <f t="shared" si="44"/>
        <v>9360.96</v>
      </c>
      <c r="AN268" s="125">
        <f>AH268*Valores!$C$67</f>
        <v>-9757.4048</v>
      </c>
      <c r="AO268" s="125">
        <f>AH268*-Valores!$C$68</f>
        <v>0</v>
      </c>
      <c r="AP268" s="125">
        <f>AH268*Valores!$C$69</f>
        <v>-3991.6656000000003</v>
      </c>
      <c r="AQ268" s="125">
        <f>Valores!$C$96</f>
        <v>-280.91</v>
      </c>
      <c r="AR268" s="125">
        <f>IF($F$5=0,Valores!$C$97,(Valores!$C$97+$F$5*(Valores!$C$97)))</f>
        <v>-658</v>
      </c>
      <c r="AS268" s="125">
        <f t="shared" si="47"/>
        <v>83376.65960000001</v>
      </c>
      <c r="AT268" s="125">
        <f t="shared" si="41"/>
        <v>-9757.4048</v>
      </c>
      <c r="AU268" s="125">
        <f>AH268*Valores!$C$70</f>
        <v>-2394.9993600000003</v>
      </c>
      <c r="AV268" s="125">
        <f>AH268*Valores!$C$71</f>
        <v>-266.11104</v>
      </c>
      <c r="AW268" s="125">
        <f t="shared" si="45"/>
        <v>85646.12480000002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3">
        <f t="shared" si="40"/>
        <v>1738</v>
      </c>
      <c r="F269" s="125">
        <f>ROUND(E269*Valores!$C$2,2)</f>
        <v>37225.87</v>
      </c>
      <c r="G269" s="193">
        <v>0</v>
      </c>
      <c r="H269" s="125">
        <f>ROUND(G269*Valores!$C$2,2)</f>
        <v>0</v>
      </c>
      <c r="I269" s="193">
        <v>0</v>
      </c>
      <c r="J269" s="125">
        <f>ROUND(I269*Valores!$C$2,2)</f>
        <v>0</v>
      </c>
      <c r="K269" s="193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6842.43</v>
      </c>
      <c r="N269" s="125">
        <f t="shared" si="42"/>
        <v>0</v>
      </c>
      <c r="O269" s="125">
        <f>Valores!$C$7*B269</f>
        <v>15980.14</v>
      </c>
      <c r="P269" s="125">
        <f>ROUND(IF(B269&lt;15,(Valores!$E$5*B269),Valores!$D$5),2)</f>
        <v>10949.29</v>
      </c>
      <c r="Q269" s="125">
        <v>0</v>
      </c>
      <c r="R269" s="125">
        <f>IF($F$4="NO",IF(Valores!$C$45*B269&gt;Valores!$C$44,Valores!$C$44,Valores!$C$45*B269),IF(Valores!$C$45*B269&gt;Valores!$C$44,Valores!$C$44,Valores!$C$45*B269)/2)</f>
        <v>3364.24</v>
      </c>
      <c r="S269" s="125">
        <f>Valores!$C$18*B269</f>
        <v>5026.12</v>
      </c>
      <c r="T269" s="125">
        <f t="shared" si="48"/>
        <v>5026.12</v>
      </c>
      <c r="U269" s="125">
        <v>0</v>
      </c>
      <c r="V269" s="125">
        <v>0</v>
      </c>
      <c r="W269" s="193">
        <v>0</v>
      </c>
      <c r="X269" s="125">
        <f>ROUND(W269*Valores!$C$2,2)</f>
        <v>0</v>
      </c>
      <c r="Y269" s="125">
        <v>0</v>
      </c>
      <c r="Z269" s="125">
        <f>IF(Valores!$C$93*B269&gt;Valores!$C$92,Valores!$C$92,Valores!$C$93*B269)</f>
        <v>5534.54</v>
      </c>
      <c r="AA269" s="125">
        <f>IF((Valores!$C$28)*B269&gt;Valores!$F$28,Valores!$F$28,(Valores!$C$28)*B269)</f>
        <v>394.68</v>
      </c>
      <c r="AB269" s="215">
        <v>0</v>
      </c>
      <c r="AC269" s="125">
        <f t="shared" si="43"/>
        <v>0</v>
      </c>
      <c r="AD269" s="125">
        <f>IF(Valores!$C$29*B269&gt;Valores!$F$29,Valores!$F$29,Valores!$C$29*B269)</f>
        <v>328.68</v>
      </c>
      <c r="AE269" s="193">
        <v>0</v>
      </c>
      <c r="AF269" s="125">
        <f>ROUND(AE269*Valores!$C$2,2)</f>
        <v>0</v>
      </c>
      <c r="AG269" s="125">
        <f>IF($F$4="NO",IF(Valores!$D$59*'Escala Docente'!B269&gt;Valores!$F$59,Valores!$F$59,Valores!$D$59*'Escala Docente'!B269),IF(Valores!$D$59*'Escala Docente'!B269&gt;Valores!$F$59,Valores!$F$59,Valores!$D$59*'Escala Docente'!B269)/2)</f>
        <v>4651.0199999999995</v>
      </c>
      <c r="AH269" s="125">
        <f t="shared" si="46"/>
        <v>90297.01</v>
      </c>
      <c r="AI269" s="125">
        <f>IF(Valores!$C$32*B269&gt;Valores!$F$32,Valores!$F$32,Valores!$C$32*B269)</f>
        <v>7304.219999999999</v>
      </c>
      <c r="AJ269" s="125">
        <f>IF(Valores!$C$86*B269&gt;Valores!$C$85,Valores!$C$85,Valores!$C$86*B269)</f>
        <v>2502.4999999999995</v>
      </c>
      <c r="AK269" s="125">
        <f>Valores!C$39*B269</f>
        <v>0</v>
      </c>
      <c r="AL269" s="125">
        <f>IF($F$3="NO",0,IF(Valores!$C$58*B269&gt;Valores!$F$58,Valores!$F$58,Valores!$C$58*B269))</f>
        <v>0</v>
      </c>
      <c r="AM269" s="125">
        <f t="shared" si="44"/>
        <v>9806.72</v>
      </c>
      <c r="AN269" s="125">
        <f>AH269*Valores!$C$67</f>
        <v>-9932.6711</v>
      </c>
      <c r="AO269" s="125">
        <f>AH269*-Valores!$C$68</f>
        <v>0</v>
      </c>
      <c r="AP269" s="125">
        <f>AH269*Valores!$C$69</f>
        <v>-4063.36545</v>
      </c>
      <c r="AQ269" s="125">
        <f>Valores!$C$96</f>
        <v>-280.91</v>
      </c>
      <c r="AR269" s="125">
        <f>IF($F$5=0,Valores!$C$97,(Valores!$C$97+$F$5*(Valores!$C$97)))</f>
        <v>-658</v>
      </c>
      <c r="AS269" s="125">
        <f t="shared" si="47"/>
        <v>85168.78344999999</v>
      </c>
      <c r="AT269" s="125">
        <f t="shared" si="41"/>
        <v>-9932.6711</v>
      </c>
      <c r="AU269" s="125">
        <f>AH269*Valores!$C$70</f>
        <v>-2438.01927</v>
      </c>
      <c r="AV269" s="125">
        <f>AH269*Valores!$C$71</f>
        <v>-270.89103</v>
      </c>
      <c r="AW269" s="125">
        <f t="shared" si="45"/>
        <v>87462.1486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3">
        <f t="shared" si="40"/>
        <v>1738</v>
      </c>
      <c r="F270" s="125">
        <f>ROUND(E270*Valores!$C$2,2)</f>
        <v>37225.87</v>
      </c>
      <c r="G270" s="193">
        <v>0</v>
      </c>
      <c r="H270" s="125">
        <f>ROUND(G270*Valores!$C$2,2)</f>
        <v>0</v>
      </c>
      <c r="I270" s="193">
        <v>0</v>
      </c>
      <c r="J270" s="125">
        <f>ROUND(I270*Valores!$C$2,2)</f>
        <v>0</v>
      </c>
      <c r="K270" s="193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6842.43</v>
      </c>
      <c r="N270" s="125">
        <f t="shared" si="42"/>
        <v>0</v>
      </c>
      <c r="O270" s="125">
        <f>Valores!$C$7*B270</f>
        <v>15980.14</v>
      </c>
      <c r="P270" s="125">
        <f>ROUND(IF(B270&lt;15,(Valores!$E$5*B270),Valores!$D$5),2)</f>
        <v>10949.29</v>
      </c>
      <c r="Q270" s="125">
        <v>0</v>
      </c>
      <c r="R270" s="125">
        <f>IF($F$4="NO",IF(Valores!$C$45*B270&gt;Valores!$C$44,Valores!$C$44,Valores!$C$45*B270),IF(Valores!$C$45*B270&gt;Valores!$C$44,Valores!$C$44,Valores!$C$45*B270)/2)</f>
        <v>3364.24</v>
      </c>
      <c r="S270" s="125">
        <f>Valores!$C$18*B270</f>
        <v>5026.12</v>
      </c>
      <c r="T270" s="125">
        <f t="shared" si="48"/>
        <v>5026.12</v>
      </c>
      <c r="U270" s="125">
        <v>0</v>
      </c>
      <c r="V270" s="125">
        <v>0</v>
      </c>
      <c r="W270" s="193">
        <v>0</v>
      </c>
      <c r="X270" s="125">
        <f>ROUND(W270*Valores!$C$2,2)</f>
        <v>0</v>
      </c>
      <c r="Y270" s="125">
        <v>0</v>
      </c>
      <c r="Z270" s="125">
        <f>IF(Valores!$C$93*B270&gt;Valores!$C$92,Valores!$C$92,Valores!$C$93*B270)</f>
        <v>5534.54</v>
      </c>
      <c r="AA270" s="125">
        <f>IF((Valores!$C$28)*B270&gt;Valores!$F$28,Valores!$F$28,(Valores!$C$28)*B270)</f>
        <v>394.68</v>
      </c>
      <c r="AB270" s="215">
        <v>0</v>
      </c>
      <c r="AC270" s="125">
        <f t="shared" si="43"/>
        <v>0</v>
      </c>
      <c r="AD270" s="125">
        <f>IF(Valores!$C$29*B270&gt;Valores!$F$29,Valores!$F$29,Valores!$C$29*B270)</f>
        <v>328.68</v>
      </c>
      <c r="AE270" s="193">
        <v>94</v>
      </c>
      <c r="AF270" s="125">
        <f>ROUND(AE270*Valores!$C$2,2)</f>
        <v>2013.37</v>
      </c>
      <c r="AG270" s="125">
        <f>IF($F$4="NO",IF(Valores!$D$59*'Escala Docente'!B270&gt;Valores!$F$59,Valores!$F$59,Valores!$D$59*'Escala Docente'!B270),IF(Valores!$D$59*'Escala Docente'!B270&gt;Valores!$F$59,Valores!$F$59,Valores!$D$59*'Escala Docente'!B270)/2)</f>
        <v>4651.0199999999995</v>
      </c>
      <c r="AH270" s="125">
        <f t="shared" si="46"/>
        <v>92310.37999999999</v>
      </c>
      <c r="AI270" s="125">
        <f>IF(Valores!$C$32*B270&gt;Valores!$F$32,Valores!$F$32,Valores!$C$32*B270)</f>
        <v>7304.219999999999</v>
      </c>
      <c r="AJ270" s="125">
        <f>IF(Valores!$C$86*B270&gt;Valores!$C$85,Valores!$C$85,Valores!$C$86*B270)</f>
        <v>2502.4999999999995</v>
      </c>
      <c r="AK270" s="125">
        <f>Valores!C$39*B270</f>
        <v>0</v>
      </c>
      <c r="AL270" s="125">
        <f>IF($F$3="NO",0,IF(Valores!$C$58*B270&gt;Valores!$F$58,Valores!$F$58,Valores!$C$58*B270))</f>
        <v>0</v>
      </c>
      <c r="AM270" s="125">
        <f t="shared" si="44"/>
        <v>9806.72</v>
      </c>
      <c r="AN270" s="125">
        <f>AH270*Valores!$C$67</f>
        <v>-10154.1418</v>
      </c>
      <c r="AO270" s="125">
        <f>AH270*-Valores!$C$68</f>
        <v>0</v>
      </c>
      <c r="AP270" s="125">
        <f>AH270*Valores!$C$69</f>
        <v>-4153.9671</v>
      </c>
      <c r="AQ270" s="125">
        <f>Valores!$C$96</f>
        <v>-280.91</v>
      </c>
      <c r="AR270" s="125">
        <f>IF($F$5=0,Valores!$C$97,(Valores!$C$97+$F$5*(Valores!$C$97)))</f>
        <v>-658</v>
      </c>
      <c r="AS270" s="125">
        <f t="shared" si="47"/>
        <v>86870.0811</v>
      </c>
      <c r="AT270" s="125">
        <f t="shared" si="41"/>
        <v>-10154.1418</v>
      </c>
      <c r="AU270" s="125">
        <f>AH270*Valores!$C$70</f>
        <v>-2492.38026</v>
      </c>
      <c r="AV270" s="125">
        <f>AH270*Valores!$C$71</f>
        <v>-276.93113999999997</v>
      </c>
      <c r="AW270" s="125">
        <f t="shared" si="45"/>
        <v>89193.64679999999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3">
        <f t="shared" si="40"/>
        <v>1817</v>
      </c>
      <c r="F271" s="125">
        <f>ROUND(E271*Valores!$C$2,2)</f>
        <v>38917.96</v>
      </c>
      <c r="G271" s="193">
        <v>0</v>
      </c>
      <c r="H271" s="125">
        <f>ROUND(G271*Valores!$C$2,2)</f>
        <v>0</v>
      </c>
      <c r="I271" s="193">
        <v>0</v>
      </c>
      <c r="J271" s="125">
        <f>ROUND(I271*Valores!$C$2,2)</f>
        <v>0</v>
      </c>
      <c r="K271" s="193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7153.46</v>
      </c>
      <c r="N271" s="125">
        <f t="shared" si="42"/>
        <v>0</v>
      </c>
      <c r="O271" s="125">
        <f>Valores!$C$7*B271</f>
        <v>16706.51</v>
      </c>
      <c r="P271" s="125">
        <f>ROUND(IF(B271&lt;15,(Valores!$E$5*B271),Valores!$D$5),2)</f>
        <v>10949.29</v>
      </c>
      <c r="Q271" s="125">
        <v>0</v>
      </c>
      <c r="R271" s="125">
        <f>IF($F$4="NO",IF(Valores!$C$45*B271&gt;Valores!$C$44,Valores!$C$44,Valores!$C$45*B271),IF(Valores!$C$45*B271&gt;Valores!$C$44,Valores!$C$44,Valores!$C$45*B271)/2)</f>
        <v>3517.16</v>
      </c>
      <c r="S271" s="125">
        <f>Valores!$C$18*B271</f>
        <v>5254.58</v>
      </c>
      <c r="T271" s="125">
        <f t="shared" si="48"/>
        <v>5254.58</v>
      </c>
      <c r="U271" s="125">
        <v>0</v>
      </c>
      <c r="V271" s="125">
        <v>0</v>
      </c>
      <c r="W271" s="193">
        <v>0</v>
      </c>
      <c r="X271" s="125">
        <f>ROUND(W271*Valores!$C$2,2)</f>
        <v>0</v>
      </c>
      <c r="Y271" s="125">
        <v>0</v>
      </c>
      <c r="Z271" s="125">
        <f>IF(Valores!$C$93*B271&gt;Valores!$C$92,Valores!$C$92,Valores!$C$93*B271)</f>
        <v>5786.11</v>
      </c>
      <c r="AA271" s="125">
        <f>IF((Valores!$C$28)*B271&gt;Valores!$F$28,Valores!$F$28,(Valores!$C$28)*B271)</f>
        <v>412.62</v>
      </c>
      <c r="AB271" s="215">
        <v>0</v>
      </c>
      <c r="AC271" s="125">
        <f t="shared" si="43"/>
        <v>0</v>
      </c>
      <c r="AD271" s="125">
        <f>IF(Valores!$C$29*B271&gt;Valores!$F$29,Valores!$F$29,Valores!$C$29*B271)</f>
        <v>343.62</v>
      </c>
      <c r="AE271" s="193">
        <v>0</v>
      </c>
      <c r="AF271" s="125">
        <f>ROUND(AE271*Valores!$C$2,2)</f>
        <v>0</v>
      </c>
      <c r="AG271" s="125">
        <f>IF($F$4="NO",IF(Valores!$D$59*'Escala Docente'!B271&gt;Valores!$F$59,Valores!$F$59,Valores!$D$59*'Escala Docente'!B271),IF(Valores!$D$59*'Escala Docente'!B271&gt;Valores!$F$59,Valores!$F$59,Valores!$D$59*'Escala Docente'!B271)/2)</f>
        <v>4862.43</v>
      </c>
      <c r="AH271" s="125">
        <f t="shared" si="46"/>
        <v>93903.73999999999</v>
      </c>
      <c r="AI271" s="125">
        <f>IF(Valores!$C$32*B271&gt;Valores!$F$32,Valores!$F$32,Valores!$C$32*B271)</f>
        <v>7636.23</v>
      </c>
      <c r="AJ271" s="125">
        <f>IF(Valores!$C$86*B271&gt;Valores!$C$85,Valores!$C$85,Valores!$C$86*B271)</f>
        <v>2616.2499999999995</v>
      </c>
      <c r="AK271" s="125">
        <f>Valores!C$39*B271</f>
        <v>0</v>
      </c>
      <c r="AL271" s="125">
        <f>IF($F$3="NO",0,IF(Valores!$C$58*B271&gt;Valores!$F$58,Valores!$F$58,Valores!$C$58*B271))</f>
        <v>0</v>
      </c>
      <c r="AM271" s="125">
        <f t="shared" si="44"/>
        <v>10252.48</v>
      </c>
      <c r="AN271" s="125">
        <f>AH271*Valores!$C$67</f>
        <v>-10329.411399999999</v>
      </c>
      <c r="AO271" s="125">
        <f>AH271*-Valores!$C$68</f>
        <v>0</v>
      </c>
      <c r="AP271" s="125">
        <f>AH271*Valores!$C$69</f>
        <v>-4225.668299999999</v>
      </c>
      <c r="AQ271" s="125">
        <f>Valores!$C$96</f>
        <v>-280.91</v>
      </c>
      <c r="AR271" s="125">
        <f>IF($F$5=0,Valores!$C$97,(Valores!$C$97+$F$5*(Valores!$C$97)))</f>
        <v>-658</v>
      </c>
      <c r="AS271" s="125">
        <f t="shared" si="47"/>
        <v>88662.2303</v>
      </c>
      <c r="AT271" s="125">
        <f t="shared" si="41"/>
        <v>-10329.411399999999</v>
      </c>
      <c r="AU271" s="125">
        <f>AH271*Valores!$C$70</f>
        <v>-2535.40098</v>
      </c>
      <c r="AV271" s="125">
        <f>AH271*Valores!$C$71</f>
        <v>-281.71121999999997</v>
      </c>
      <c r="AW271" s="125">
        <f t="shared" si="45"/>
        <v>91009.69639999999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3">
        <f t="shared" si="40"/>
        <v>1817</v>
      </c>
      <c r="F272" s="125">
        <f>ROUND(E272*Valores!$C$2,2)</f>
        <v>38917.96</v>
      </c>
      <c r="G272" s="193">
        <v>0</v>
      </c>
      <c r="H272" s="125">
        <f>ROUND(G272*Valores!$C$2,2)</f>
        <v>0</v>
      </c>
      <c r="I272" s="193">
        <v>0</v>
      </c>
      <c r="J272" s="125">
        <f>ROUND(I272*Valores!$C$2,2)</f>
        <v>0</v>
      </c>
      <c r="K272" s="193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7153.46</v>
      </c>
      <c r="N272" s="125">
        <f t="shared" si="42"/>
        <v>0</v>
      </c>
      <c r="O272" s="125">
        <f>Valores!$C$7*B272</f>
        <v>16706.51</v>
      </c>
      <c r="P272" s="125">
        <f>ROUND(IF(B272&lt;15,(Valores!$E$5*B272),Valores!$D$5),2)</f>
        <v>10949.29</v>
      </c>
      <c r="Q272" s="125">
        <v>0</v>
      </c>
      <c r="R272" s="125">
        <f>IF($F$4="NO",IF(Valores!$C$45*B272&gt;Valores!$C$44,Valores!$C$44,Valores!$C$45*B272),IF(Valores!$C$45*B272&gt;Valores!$C$44,Valores!$C$44,Valores!$C$45*B272)/2)</f>
        <v>3517.16</v>
      </c>
      <c r="S272" s="125">
        <f>Valores!$C$18*B272</f>
        <v>5254.58</v>
      </c>
      <c r="T272" s="125">
        <f t="shared" si="48"/>
        <v>5254.58</v>
      </c>
      <c r="U272" s="125">
        <v>0</v>
      </c>
      <c r="V272" s="125">
        <v>0</v>
      </c>
      <c r="W272" s="193">
        <v>0</v>
      </c>
      <c r="X272" s="125">
        <f>ROUND(W272*Valores!$C$2,2)</f>
        <v>0</v>
      </c>
      <c r="Y272" s="125">
        <v>0</v>
      </c>
      <c r="Z272" s="125">
        <f>IF(Valores!$C$93*B272&gt;Valores!$C$92,Valores!$C$92,Valores!$C$93*B272)</f>
        <v>5786.11</v>
      </c>
      <c r="AA272" s="125">
        <f>IF((Valores!$C$28)*B272&gt;Valores!$F$28,Valores!$F$28,(Valores!$C$28)*B272)</f>
        <v>412.62</v>
      </c>
      <c r="AB272" s="215">
        <v>0</v>
      </c>
      <c r="AC272" s="125">
        <f t="shared" si="43"/>
        <v>0</v>
      </c>
      <c r="AD272" s="125">
        <f>IF(Valores!$C$29*B272&gt;Valores!$F$29,Valores!$F$29,Valores!$C$29*B272)</f>
        <v>343.62</v>
      </c>
      <c r="AE272" s="193">
        <v>94</v>
      </c>
      <c r="AF272" s="125">
        <f>ROUND(AE272*Valores!$C$2,2)</f>
        <v>2013.37</v>
      </c>
      <c r="AG272" s="125">
        <f>IF($F$4="NO",IF(Valores!$D$59*'Escala Docente'!B272&gt;Valores!$F$59,Valores!$F$59,Valores!$D$59*'Escala Docente'!B272),IF(Valores!$D$59*'Escala Docente'!B272&gt;Valores!$F$59,Valores!$F$59,Valores!$D$59*'Escala Docente'!B272)/2)</f>
        <v>4862.43</v>
      </c>
      <c r="AH272" s="125">
        <f t="shared" si="46"/>
        <v>95917.10999999999</v>
      </c>
      <c r="AI272" s="125">
        <f>IF(Valores!$C$32*B272&gt;Valores!$F$32,Valores!$F$32,Valores!$C$32*B272)</f>
        <v>7636.23</v>
      </c>
      <c r="AJ272" s="125">
        <f>IF(Valores!$C$86*B272&gt;Valores!$C$85,Valores!$C$85,Valores!$C$86*B272)</f>
        <v>2616.2499999999995</v>
      </c>
      <c r="AK272" s="125">
        <f>Valores!C$39*B272</f>
        <v>0</v>
      </c>
      <c r="AL272" s="125">
        <f>IF($F$3="NO",0,IF(Valores!$C$58*B272&gt;Valores!$F$58,Valores!$F$58,Valores!$C$58*B272))</f>
        <v>0</v>
      </c>
      <c r="AM272" s="125">
        <f t="shared" si="44"/>
        <v>10252.48</v>
      </c>
      <c r="AN272" s="125">
        <f>AH272*Valores!$C$67</f>
        <v>-10550.882099999999</v>
      </c>
      <c r="AO272" s="125">
        <f>AH272*-Valores!$C$68</f>
        <v>0</v>
      </c>
      <c r="AP272" s="125">
        <f>AH272*Valores!$C$69</f>
        <v>-4316.269949999999</v>
      </c>
      <c r="AQ272" s="125">
        <f>Valores!$C$96</f>
        <v>-280.91</v>
      </c>
      <c r="AR272" s="125">
        <f>IF($F$5=0,Valores!$C$97,(Valores!$C$97+$F$5*(Valores!$C$97)))</f>
        <v>-658</v>
      </c>
      <c r="AS272" s="125">
        <f t="shared" si="47"/>
        <v>90363.52794999999</v>
      </c>
      <c r="AT272" s="125">
        <f t="shared" si="41"/>
        <v>-10550.882099999999</v>
      </c>
      <c r="AU272" s="125">
        <f>AH272*Valores!$C$70</f>
        <v>-2589.7619699999996</v>
      </c>
      <c r="AV272" s="125">
        <f>AH272*Valores!$C$71</f>
        <v>-287.75132999999994</v>
      </c>
      <c r="AW272" s="125">
        <f t="shared" si="45"/>
        <v>92741.19459999999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3">
        <f t="shared" si="40"/>
        <v>1896</v>
      </c>
      <c r="F273" s="125">
        <f>ROUND(E273*Valores!$C$2,2)</f>
        <v>40610.04</v>
      </c>
      <c r="G273" s="193">
        <v>0</v>
      </c>
      <c r="H273" s="125">
        <f>ROUND(G273*Valores!$C$2,2)</f>
        <v>0</v>
      </c>
      <c r="I273" s="193">
        <v>0</v>
      </c>
      <c r="J273" s="125">
        <f>ROUND(I273*Valores!$C$2,2)</f>
        <v>0</v>
      </c>
      <c r="K273" s="193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7464.47</v>
      </c>
      <c r="N273" s="125">
        <f t="shared" si="42"/>
        <v>0</v>
      </c>
      <c r="O273" s="125">
        <f>Valores!$C$7*B273</f>
        <v>17432.88</v>
      </c>
      <c r="P273" s="125">
        <f>ROUND(IF(B273&lt;15,(Valores!$E$5*B273),Valores!$D$5),2)</f>
        <v>10949.29</v>
      </c>
      <c r="Q273" s="125">
        <v>0</v>
      </c>
      <c r="R273" s="125">
        <f>IF($F$4="NO",IF(Valores!$C$45*B273&gt;Valores!$C$44,Valores!$C$44,Valores!$C$45*B273),IF(Valores!$C$45*B273&gt;Valores!$C$44,Valores!$C$44,Valores!$C$45*B273)/2)</f>
        <v>3670.08</v>
      </c>
      <c r="S273" s="125">
        <f>Valores!$C$18*B273</f>
        <v>5483.04</v>
      </c>
      <c r="T273" s="125">
        <f t="shared" si="48"/>
        <v>5483.04</v>
      </c>
      <c r="U273" s="125">
        <v>0</v>
      </c>
      <c r="V273" s="125">
        <v>0</v>
      </c>
      <c r="W273" s="193">
        <v>0</v>
      </c>
      <c r="X273" s="125">
        <f>ROUND(W273*Valores!$C$2,2)</f>
        <v>0</v>
      </c>
      <c r="Y273" s="125">
        <v>0</v>
      </c>
      <c r="Z273" s="125">
        <f>IF(Valores!$C$93*B273&gt;Valores!$C$92,Valores!$C$92,Valores!$C$93*B273)</f>
        <v>6037.68</v>
      </c>
      <c r="AA273" s="125">
        <f>IF((Valores!$C$28)*B273&gt;Valores!$F$28,Valores!$F$28,(Valores!$C$28)*B273)</f>
        <v>430.56000000000006</v>
      </c>
      <c r="AB273" s="215">
        <v>0</v>
      </c>
      <c r="AC273" s="125">
        <f t="shared" si="43"/>
        <v>0</v>
      </c>
      <c r="AD273" s="125">
        <f>IF(Valores!$C$29*B273&gt;Valores!$F$29,Valores!$F$29,Valores!$C$29*B273)</f>
        <v>358.56</v>
      </c>
      <c r="AE273" s="193">
        <v>0</v>
      </c>
      <c r="AF273" s="125">
        <f>ROUND(AE273*Valores!$C$2,2)</f>
        <v>0</v>
      </c>
      <c r="AG273" s="125">
        <f>IF($F$4="NO",IF(Valores!$D$59*'Escala Docente'!B273&gt;Valores!$F$59,Valores!$F$59,Valores!$D$59*'Escala Docente'!B273),IF(Valores!$D$59*'Escala Docente'!B273&gt;Valores!$F$59,Valores!$F$59,Valores!$D$59*'Escala Docente'!B273)/2)</f>
        <v>5073.84</v>
      </c>
      <c r="AH273" s="125">
        <f t="shared" si="46"/>
        <v>97510.43999999997</v>
      </c>
      <c r="AI273" s="125">
        <f>IF(Valores!$C$32*B273&gt;Valores!$F$32,Valores!$F$32,Valores!$C$32*B273)</f>
        <v>7968.24</v>
      </c>
      <c r="AJ273" s="125">
        <f>IF(Valores!$C$86*B273&gt;Valores!$C$85,Valores!$C$85,Valores!$C$86*B273)</f>
        <v>2729.9999999999995</v>
      </c>
      <c r="AK273" s="125">
        <f>Valores!C$39*B273</f>
        <v>0</v>
      </c>
      <c r="AL273" s="125">
        <f>IF($F$3="NO",0,IF(Valores!$C$58*B273&gt;Valores!$F$58,Valores!$F$58,Valores!$C$58*B273))</f>
        <v>0</v>
      </c>
      <c r="AM273" s="125">
        <f t="shared" si="44"/>
        <v>10698.24</v>
      </c>
      <c r="AN273" s="125">
        <f>AH273*Valores!$C$67</f>
        <v>-10726.148399999996</v>
      </c>
      <c r="AO273" s="125">
        <f>AH273*-Valores!$C$68</f>
        <v>0</v>
      </c>
      <c r="AP273" s="125">
        <f>AH273*Valores!$C$69</f>
        <v>-4387.969799999999</v>
      </c>
      <c r="AQ273" s="125">
        <f>Valores!$C$96</f>
        <v>-280.91</v>
      </c>
      <c r="AR273" s="125">
        <f>IF($F$5=0,Valores!$C$97,(Valores!$C$97+$F$5*(Valores!$C$97)))</f>
        <v>-658</v>
      </c>
      <c r="AS273" s="125">
        <f t="shared" si="47"/>
        <v>92155.65179999998</v>
      </c>
      <c r="AT273" s="125">
        <f t="shared" si="41"/>
        <v>-10726.148399999996</v>
      </c>
      <c r="AU273" s="125">
        <f>AH273*Valores!$C$70</f>
        <v>-2632.781879999999</v>
      </c>
      <c r="AV273" s="125">
        <f>AH273*Valores!$C$71</f>
        <v>-292.53131999999994</v>
      </c>
      <c r="AW273" s="125">
        <f t="shared" si="45"/>
        <v>94557.21839999998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3">
        <f t="shared" si="40"/>
        <v>1896</v>
      </c>
      <c r="F274" s="125">
        <f>ROUND(E274*Valores!$C$2,2)</f>
        <v>40610.04</v>
      </c>
      <c r="G274" s="193">
        <v>0</v>
      </c>
      <c r="H274" s="125">
        <f>ROUND(G274*Valores!$C$2,2)</f>
        <v>0</v>
      </c>
      <c r="I274" s="193">
        <v>0</v>
      </c>
      <c r="J274" s="125">
        <f>ROUND(I274*Valores!$C$2,2)</f>
        <v>0</v>
      </c>
      <c r="K274" s="193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7464.47</v>
      </c>
      <c r="N274" s="125">
        <f t="shared" si="42"/>
        <v>0</v>
      </c>
      <c r="O274" s="125">
        <f>Valores!$C$7*B274</f>
        <v>17432.88</v>
      </c>
      <c r="P274" s="125">
        <f>ROUND(IF(B274&lt;15,(Valores!$E$5*B274),Valores!$D$5),2)</f>
        <v>10949.29</v>
      </c>
      <c r="Q274" s="125">
        <v>0</v>
      </c>
      <c r="R274" s="125">
        <f>IF($F$4="NO",IF(Valores!$C$45*B274&gt;Valores!$C$44,Valores!$C$44,Valores!$C$45*B274),IF(Valores!$C$45*B274&gt;Valores!$C$44,Valores!$C$44,Valores!$C$45*B274)/2)</f>
        <v>3670.08</v>
      </c>
      <c r="S274" s="125">
        <f>Valores!$C$18*B274</f>
        <v>5483.04</v>
      </c>
      <c r="T274" s="125">
        <f t="shared" si="48"/>
        <v>5483.04</v>
      </c>
      <c r="U274" s="125">
        <v>0</v>
      </c>
      <c r="V274" s="125">
        <v>0</v>
      </c>
      <c r="W274" s="193">
        <v>0</v>
      </c>
      <c r="X274" s="125">
        <f>ROUND(W274*Valores!$C$2,2)</f>
        <v>0</v>
      </c>
      <c r="Y274" s="125">
        <v>0</v>
      </c>
      <c r="Z274" s="125">
        <f>IF(Valores!$C$93*B274&gt;Valores!$C$92,Valores!$C$92,Valores!$C$93*B274)</f>
        <v>6037.68</v>
      </c>
      <c r="AA274" s="125">
        <f>IF((Valores!$C$28)*B274&gt;Valores!$F$28,Valores!$F$28,(Valores!$C$28)*B274)</f>
        <v>430.56000000000006</v>
      </c>
      <c r="AB274" s="215">
        <v>0</v>
      </c>
      <c r="AC274" s="125">
        <f t="shared" si="43"/>
        <v>0</v>
      </c>
      <c r="AD274" s="125">
        <f>IF(Valores!$C$29*B274&gt;Valores!$F$29,Valores!$F$29,Valores!$C$29*B274)</f>
        <v>358.56</v>
      </c>
      <c r="AE274" s="193">
        <v>94</v>
      </c>
      <c r="AF274" s="125">
        <f>ROUND(AE274*Valores!$C$2,2)</f>
        <v>2013.37</v>
      </c>
      <c r="AG274" s="125">
        <f>IF($F$4="NO",IF(Valores!$D$59*'Escala Docente'!B274&gt;Valores!$F$59,Valores!$F$59,Valores!$D$59*'Escala Docente'!B274),IF(Valores!$D$59*'Escala Docente'!B274&gt;Valores!$F$59,Valores!$F$59,Valores!$D$59*'Escala Docente'!B274)/2)</f>
        <v>5073.84</v>
      </c>
      <c r="AH274" s="125">
        <f t="shared" si="46"/>
        <v>99523.80999999997</v>
      </c>
      <c r="AI274" s="125">
        <f>IF(Valores!$C$32*B274&gt;Valores!$F$32,Valores!$F$32,Valores!$C$32*B274)</f>
        <v>7968.24</v>
      </c>
      <c r="AJ274" s="125">
        <f>IF(Valores!$C$86*B274&gt;Valores!$C$85,Valores!$C$85,Valores!$C$86*B274)</f>
        <v>2729.9999999999995</v>
      </c>
      <c r="AK274" s="125">
        <f>Valores!C$39*B274</f>
        <v>0</v>
      </c>
      <c r="AL274" s="125">
        <f>IF($F$3="NO",0,IF(Valores!$C$58*B274&gt;Valores!$F$58,Valores!$F$58,Valores!$C$58*B274))</f>
        <v>0</v>
      </c>
      <c r="AM274" s="125">
        <f t="shared" si="44"/>
        <v>10698.24</v>
      </c>
      <c r="AN274" s="125">
        <f>AH274*Valores!$C$67</f>
        <v>-10947.619099999996</v>
      </c>
      <c r="AO274" s="125">
        <f>AH274*-Valores!$C$68</f>
        <v>0</v>
      </c>
      <c r="AP274" s="125">
        <f>AH274*Valores!$C$69</f>
        <v>-4478.571449999999</v>
      </c>
      <c r="AQ274" s="125">
        <f>Valores!$C$96</f>
        <v>-280.91</v>
      </c>
      <c r="AR274" s="125">
        <f>IF($F$5=0,Valores!$C$97,(Valores!$C$97+$F$5*(Valores!$C$97)))</f>
        <v>-658</v>
      </c>
      <c r="AS274" s="125">
        <f t="shared" si="47"/>
        <v>93856.94944999997</v>
      </c>
      <c r="AT274" s="125">
        <f t="shared" si="41"/>
        <v>-10947.619099999996</v>
      </c>
      <c r="AU274" s="125">
        <f>AH274*Valores!$C$70</f>
        <v>-2687.142869999999</v>
      </c>
      <c r="AV274" s="125">
        <f>AH274*Valores!$C$71</f>
        <v>-298.5714299999999</v>
      </c>
      <c r="AW274" s="125">
        <f t="shared" si="45"/>
        <v>96288.71659999999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3">
        <f t="shared" si="40"/>
        <v>1975</v>
      </c>
      <c r="F275" s="125">
        <f>ROUND(E275*Valores!$C$2,2)</f>
        <v>42302.13</v>
      </c>
      <c r="G275" s="193">
        <v>0</v>
      </c>
      <c r="H275" s="125">
        <f>ROUND(G275*Valores!$C$2,2)</f>
        <v>0</v>
      </c>
      <c r="I275" s="193">
        <v>0</v>
      </c>
      <c r="J275" s="125">
        <f>ROUND(I275*Valores!$C$2,2)</f>
        <v>0</v>
      </c>
      <c r="K275" s="193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7775.49</v>
      </c>
      <c r="N275" s="125">
        <f t="shared" si="42"/>
        <v>0</v>
      </c>
      <c r="O275" s="125">
        <f>Valores!$C$7*B275</f>
        <v>18159.25</v>
      </c>
      <c r="P275" s="125">
        <f>ROUND(IF(B275&lt;15,(Valores!$E$5*B275),Valores!$D$5),2)</f>
        <v>10949.29</v>
      </c>
      <c r="Q275" s="125">
        <v>0</v>
      </c>
      <c r="R275" s="125">
        <f>IF($F$4="NO",IF(Valores!$C$45*B275&gt;Valores!$C$44,Valores!$C$44,Valores!$C$45*B275),IF(Valores!$C$45*B275&gt;Valores!$C$44,Valores!$C$44,Valores!$C$45*B275)/2)</f>
        <v>3822.9999999999995</v>
      </c>
      <c r="S275" s="125">
        <f>Valores!$C$18*B275</f>
        <v>5711.5</v>
      </c>
      <c r="T275" s="125">
        <f t="shared" si="48"/>
        <v>5711.5</v>
      </c>
      <c r="U275" s="125">
        <v>0</v>
      </c>
      <c r="V275" s="125">
        <v>0</v>
      </c>
      <c r="W275" s="193">
        <v>0</v>
      </c>
      <c r="X275" s="125">
        <f>ROUND(W275*Valores!$C$2,2)</f>
        <v>0</v>
      </c>
      <c r="Y275" s="125">
        <v>0</v>
      </c>
      <c r="Z275" s="125">
        <f>IF(Valores!$C$93*B275&gt;Valores!$C$92,Valores!$C$92,Valores!$C$93*B275)</f>
        <v>6289.25</v>
      </c>
      <c r="AA275" s="125">
        <f>IF((Valores!$C$28)*B275&gt;Valores!$F$28,Valores!$F$28,(Valores!$C$28)*B275)</f>
        <v>448.50000000000006</v>
      </c>
      <c r="AB275" s="215">
        <v>0</v>
      </c>
      <c r="AC275" s="125">
        <f t="shared" si="43"/>
        <v>0</v>
      </c>
      <c r="AD275" s="125">
        <f>IF(Valores!$C$29*B275&gt;Valores!$F$29,Valores!$F$29,Valores!$C$29*B275)</f>
        <v>373.5</v>
      </c>
      <c r="AE275" s="193">
        <v>0</v>
      </c>
      <c r="AF275" s="125">
        <f>ROUND(AE275*Valores!$C$2,2)</f>
        <v>0</v>
      </c>
      <c r="AG275" s="125">
        <f>IF($F$4="NO",IF(Valores!$D$59*'Escala Docente'!B275&gt;Valores!$F$59,Valores!$F$59,Valores!$D$59*'Escala Docente'!B275),IF(Valores!$D$59*'Escala Docente'!B275&gt;Valores!$F$59,Valores!$F$59,Valores!$D$59*'Escala Docente'!B275)/2)</f>
        <v>5285.25</v>
      </c>
      <c r="AH275" s="125">
        <f t="shared" si="46"/>
        <v>101117.16</v>
      </c>
      <c r="AI275" s="125">
        <f>IF(Valores!$C$32*B275&gt;Valores!$F$32,Valores!$F$32,Valores!$C$32*B275)</f>
        <v>8300.25</v>
      </c>
      <c r="AJ275" s="125">
        <f>IF(Valores!$C$86*B275&gt;Valores!$C$85,Valores!$C$85,Valores!$C$86*B275)</f>
        <v>2843.7499999999995</v>
      </c>
      <c r="AK275" s="125">
        <f>Valores!C$39*B275</f>
        <v>0</v>
      </c>
      <c r="AL275" s="125">
        <f>IF($F$3="NO",0,IF(Valores!$C$58*B275&gt;Valores!$F$58,Valores!$F$58,Valores!$C$58*B275))</f>
        <v>0</v>
      </c>
      <c r="AM275" s="125">
        <f t="shared" si="44"/>
        <v>11144</v>
      </c>
      <c r="AN275" s="125">
        <f>AH275*Valores!$C$67</f>
        <v>-11122.8876</v>
      </c>
      <c r="AO275" s="125">
        <f>AH275*-Valores!$C$68</f>
        <v>0</v>
      </c>
      <c r="AP275" s="125">
        <f>AH275*Valores!$C$69</f>
        <v>-4550.2722</v>
      </c>
      <c r="AQ275" s="125">
        <f>Valores!$C$96</f>
        <v>-280.91</v>
      </c>
      <c r="AR275" s="125">
        <f>IF($F$5=0,Valores!$C$97,(Valores!$C$97+$F$5*(Valores!$C$97)))</f>
        <v>-658</v>
      </c>
      <c r="AS275" s="125">
        <f t="shared" si="47"/>
        <v>95649.0902</v>
      </c>
      <c r="AT275" s="125">
        <f t="shared" si="41"/>
        <v>-11122.8876</v>
      </c>
      <c r="AU275" s="125">
        <f>AH275*Valores!$C$70</f>
        <v>-2730.16332</v>
      </c>
      <c r="AV275" s="125">
        <f>AH275*Valores!$C$71</f>
        <v>-303.35148000000004</v>
      </c>
      <c r="AW275" s="125">
        <f t="shared" si="45"/>
        <v>98104.75760000001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3">
        <f t="shared" si="40"/>
        <v>1975</v>
      </c>
      <c r="F276" s="125">
        <f>ROUND(E276*Valores!$C$2,2)</f>
        <v>42302.13</v>
      </c>
      <c r="G276" s="193">
        <v>0</v>
      </c>
      <c r="H276" s="125">
        <f>ROUND(G276*Valores!$C$2,2)</f>
        <v>0</v>
      </c>
      <c r="I276" s="193">
        <v>0</v>
      </c>
      <c r="J276" s="125">
        <f>ROUND(I276*Valores!$C$2,2)</f>
        <v>0</v>
      </c>
      <c r="K276" s="193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7775.49</v>
      </c>
      <c r="N276" s="125">
        <f t="shared" si="42"/>
        <v>0</v>
      </c>
      <c r="O276" s="125">
        <f>Valores!$C$7*B276</f>
        <v>18159.25</v>
      </c>
      <c r="P276" s="125">
        <f>ROUND(IF(B276&lt;15,(Valores!$E$5*B276),Valores!$D$5),2)</f>
        <v>10949.29</v>
      </c>
      <c r="Q276" s="125">
        <v>0</v>
      </c>
      <c r="R276" s="125">
        <f>IF($F$4="NO",IF(Valores!$C$45*B276&gt;Valores!$C$44,Valores!$C$44,Valores!$C$45*B276),IF(Valores!$C$45*B276&gt;Valores!$C$44,Valores!$C$44,Valores!$C$45*B276)/2)</f>
        <v>3822.9999999999995</v>
      </c>
      <c r="S276" s="125">
        <f>Valores!$C$18*B276</f>
        <v>5711.5</v>
      </c>
      <c r="T276" s="125">
        <f t="shared" si="48"/>
        <v>5711.5</v>
      </c>
      <c r="U276" s="125">
        <v>0</v>
      </c>
      <c r="V276" s="125">
        <v>0</v>
      </c>
      <c r="W276" s="193">
        <v>0</v>
      </c>
      <c r="X276" s="125">
        <f>ROUND(W276*Valores!$C$2,2)</f>
        <v>0</v>
      </c>
      <c r="Y276" s="125">
        <v>0</v>
      </c>
      <c r="Z276" s="125">
        <f>IF(Valores!$C$93*B276&gt;Valores!$C$92,Valores!$C$92,Valores!$C$93*B276)</f>
        <v>6289.25</v>
      </c>
      <c r="AA276" s="125">
        <f>IF((Valores!$C$28)*B276&gt;Valores!$F$28,Valores!$F$28,(Valores!$C$28)*B276)</f>
        <v>448.50000000000006</v>
      </c>
      <c r="AB276" s="215">
        <v>0</v>
      </c>
      <c r="AC276" s="125">
        <f t="shared" si="43"/>
        <v>0</v>
      </c>
      <c r="AD276" s="125">
        <f>IF(Valores!$C$29*B276&gt;Valores!$F$29,Valores!$F$29,Valores!$C$29*B276)</f>
        <v>373.5</v>
      </c>
      <c r="AE276" s="193">
        <v>94</v>
      </c>
      <c r="AF276" s="125">
        <f>ROUND(AE276*Valores!$C$2,2)</f>
        <v>2013.37</v>
      </c>
      <c r="AG276" s="125">
        <f>IF($F$4="NO",IF(Valores!$D$59*'Escala Docente'!B276&gt;Valores!$F$59,Valores!$F$59,Valores!$D$59*'Escala Docente'!B276),IF(Valores!$D$59*'Escala Docente'!B276&gt;Valores!$F$59,Valores!$F$59,Valores!$D$59*'Escala Docente'!B276)/2)</f>
        <v>5285.25</v>
      </c>
      <c r="AH276" s="125">
        <f t="shared" si="46"/>
        <v>103130.53</v>
      </c>
      <c r="AI276" s="125">
        <f>IF(Valores!$C$32*B276&gt;Valores!$F$32,Valores!$F$32,Valores!$C$32*B276)</f>
        <v>8300.25</v>
      </c>
      <c r="AJ276" s="125">
        <f>IF(Valores!$C$86*B276&gt;Valores!$C$85,Valores!$C$85,Valores!$C$86*B276)</f>
        <v>2843.7499999999995</v>
      </c>
      <c r="AK276" s="125">
        <f>Valores!C$39*B276</f>
        <v>0</v>
      </c>
      <c r="AL276" s="125">
        <f>IF($F$3="NO",0,IF(Valores!$C$58*B276&gt;Valores!$F$58,Valores!$F$58,Valores!$C$58*B276))</f>
        <v>0</v>
      </c>
      <c r="AM276" s="125">
        <f t="shared" si="44"/>
        <v>11144</v>
      </c>
      <c r="AN276" s="125">
        <f>AH276*Valores!$C$67</f>
        <v>-11344.3583</v>
      </c>
      <c r="AO276" s="125">
        <f>AH276*-Valores!$C$68</f>
        <v>0</v>
      </c>
      <c r="AP276" s="125">
        <f>AH276*Valores!$C$69</f>
        <v>-4640.87385</v>
      </c>
      <c r="AQ276" s="125">
        <f>Valores!$C$96</f>
        <v>-280.91</v>
      </c>
      <c r="AR276" s="125">
        <f>IF($F$5=0,Valores!$C$97,(Valores!$C$97+$F$5*(Valores!$C$97)))</f>
        <v>-658</v>
      </c>
      <c r="AS276" s="125">
        <f t="shared" si="47"/>
        <v>97350.38785</v>
      </c>
      <c r="AT276" s="125">
        <f t="shared" si="41"/>
        <v>-11344.3583</v>
      </c>
      <c r="AU276" s="125">
        <f>AH276*Valores!$C$70</f>
        <v>-2784.52431</v>
      </c>
      <c r="AV276" s="125">
        <f>AH276*Valores!$C$71</f>
        <v>-309.39159</v>
      </c>
      <c r="AW276" s="125">
        <f t="shared" si="45"/>
        <v>99836.2558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3">
        <f t="shared" si="40"/>
        <v>2054</v>
      </c>
      <c r="F277" s="125">
        <f>ROUND(E277*Valores!$C$2,2)</f>
        <v>43994.22</v>
      </c>
      <c r="G277" s="193">
        <v>0</v>
      </c>
      <c r="H277" s="125">
        <f>ROUND(G277*Valores!$C$2,2)</f>
        <v>0</v>
      </c>
      <c r="I277" s="193">
        <v>0</v>
      </c>
      <c r="J277" s="125">
        <f>ROUND(I277*Valores!$C$2,2)</f>
        <v>0</v>
      </c>
      <c r="K277" s="193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8086.52</v>
      </c>
      <c r="N277" s="125">
        <f t="shared" si="42"/>
        <v>0</v>
      </c>
      <c r="O277" s="125">
        <f>Valores!$C$7*B277</f>
        <v>18885.62</v>
      </c>
      <c r="P277" s="125">
        <f>ROUND(IF(B277&lt;15,(Valores!$E$5*B277),Valores!$D$5),2)</f>
        <v>10949.29</v>
      </c>
      <c r="Q277" s="125">
        <v>0</v>
      </c>
      <c r="R277" s="125">
        <f>IF($F$4="NO",IF(Valores!$C$45*B277&gt;Valores!$C$44,Valores!$C$44,Valores!$C$45*B277),IF(Valores!$C$45*B277&gt;Valores!$C$44,Valores!$C$44,Valores!$C$45*B277)/2)</f>
        <v>3975.9199999999996</v>
      </c>
      <c r="S277" s="125">
        <f>Valores!$C$18*B277</f>
        <v>5939.96</v>
      </c>
      <c r="T277" s="125">
        <f t="shared" si="48"/>
        <v>5939.96</v>
      </c>
      <c r="U277" s="125">
        <v>0</v>
      </c>
      <c r="V277" s="125">
        <v>0</v>
      </c>
      <c r="W277" s="193">
        <v>0</v>
      </c>
      <c r="X277" s="125">
        <f>ROUND(W277*Valores!$C$2,2)</f>
        <v>0</v>
      </c>
      <c r="Y277" s="125">
        <v>0</v>
      </c>
      <c r="Z277" s="125">
        <f>IF(Valores!$C$93*B277&gt;Valores!$C$92,Valores!$C$92,Valores!$C$93*B277)</f>
        <v>6540.82</v>
      </c>
      <c r="AA277" s="125">
        <f>IF((Valores!$C$28)*B277&gt;Valores!$F$28,Valores!$F$28,(Valores!$C$28)*B277)</f>
        <v>466.44000000000005</v>
      </c>
      <c r="AB277" s="215">
        <v>0</v>
      </c>
      <c r="AC277" s="125">
        <f t="shared" si="43"/>
        <v>0</v>
      </c>
      <c r="AD277" s="125">
        <f>IF(Valores!$C$29*B277&gt;Valores!$F$29,Valores!$F$29,Valores!$C$29*B277)</f>
        <v>388.44</v>
      </c>
      <c r="AE277" s="193">
        <v>0</v>
      </c>
      <c r="AF277" s="125">
        <f>ROUND(AE277*Valores!$C$2,2)</f>
        <v>0</v>
      </c>
      <c r="AG277" s="125">
        <f>IF($F$4="NO",IF(Valores!$D$59*'Escala Docente'!B277&gt;Valores!$F$59,Valores!$F$59,Valores!$D$59*'Escala Docente'!B277),IF(Valores!$D$59*'Escala Docente'!B277&gt;Valores!$F$59,Valores!$F$59,Valores!$D$59*'Escala Docente'!B277)/2)</f>
        <v>5496.66</v>
      </c>
      <c r="AH277" s="125">
        <f t="shared" si="46"/>
        <v>104723.89000000001</v>
      </c>
      <c r="AI277" s="125">
        <f>IF(Valores!$C$32*B277&gt;Valores!$F$32,Valores!$F$32,Valores!$C$32*B277)</f>
        <v>8632.26</v>
      </c>
      <c r="AJ277" s="125">
        <f>IF(Valores!$C$86*B277&gt;Valores!$C$85,Valores!$C$85,Valores!$C$86*B277)</f>
        <v>2957.4999999999995</v>
      </c>
      <c r="AK277" s="125">
        <f>Valores!C$39*B277</f>
        <v>0</v>
      </c>
      <c r="AL277" s="125">
        <f>IF($F$3="NO",0,IF(Valores!$C$58*B277&gt;Valores!$F$58,Valores!$F$58,Valores!$C$58*B277))</f>
        <v>0</v>
      </c>
      <c r="AM277" s="125">
        <f t="shared" si="44"/>
        <v>11589.76</v>
      </c>
      <c r="AN277" s="125">
        <f>AH277*Valores!$C$67</f>
        <v>-11519.627900000001</v>
      </c>
      <c r="AO277" s="125">
        <f>AH277*-Valores!$C$68</f>
        <v>0</v>
      </c>
      <c r="AP277" s="125">
        <f>AH277*Valores!$C$69</f>
        <v>-4712.57505</v>
      </c>
      <c r="AQ277" s="125">
        <f>Valores!$C$96</f>
        <v>-280.91</v>
      </c>
      <c r="AR277" s="125">
        <f>IF($F$5=0,Valores!$C$97,(Valores!$C$97+$F$5*(Valores!$C$97)))</f>
        <v>-658</v>
      </c>
      <c r="AS277" s="125">
        <f t="shared" si="47"/>
        <v>99142.53705000001</v>
      </c>
      <c r="AT277" s="125">
        <f t="shared" si="41"/>
        <v>-11519.627900000001</v>
      </c>
      <c r="AU277" s="125">
        <f>AH277*Valores!$C$70</f>
        <v>-2827.54503</v>
      </c>
      <c r="AV277" s="125">
        <f>AH277*Valores!$C$71</f>
        <v>-314.17167000000006</v>
      </c>
      <c r="AW277" s="125">
        <f t="shared" si="45"/>
        <v>101652.30540000001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3">
        <f t="shared" si="40"/>
        <v>2054</v>
      </c>
      <c r="F278" s="125">
        <f>ROUND(E278*Valores!$C$2,2)</f>
        <v>43994.22</v>
      </c>
      <c r="G278" s="193">
        <v>0</v>
      </c>
      <c r="H278" s="125">
        <f>ROUND(G278*Valores!$C$2,2)</f>
        <v>0</v>
      </c>
      <c r="I278" s="193">
        <v>0</v>
      </c>
      <c r="J278" s="125">
        <f>ROUND(I278*Valores!$C$2,2)</f>
        <v>0</v>
      </c>
      <c r="K278" s="193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8086.52</v>
      </c>
      <c r="N278" s="125">
        <f t="shared" si="42"/>
        <v>0</v>
      </c>
      <c r="O278" s="125">
        <f>Valores!$C$7*B278</f>
        <v>18885.62</v>
      </c>
      <c r="P278" s="125">
        <f>ROUND(IF(B278&lt;15,(Valores!$E$5*B278),Valores!$D$5),2)</f>
        <v>10949.29</v>
      </c>
      <c r="Q278" s="125">
        <v>0</v>
      </c>
      <c r="R278" s="125">
        <f>IF($F$4="NO",IF(Valores!$C$45*B278&gt;Valores!$C$44,Valores!$C$44,Valores!$C$45*B278),IF(Valores!$C$45*B278&gt;Valores!$C$44,Valores!$C$44,Valores!$C$45*B278)/2)</f>
        <v>3975.9199999999996</v>
      </c>
      <c r="S278" s="125">
        <f>Valores!$C$18*B278</f>
        <v>5939.96</v>
      </c>
      <c r="T278" s="125">
        <f t="shared" si="48"/>
        <v>5939.96</v>
      </c>
      <c r="U278" s="125">
        <v>0</v>
      </c>
      <c r="V278" s="125">
        <v>0</v>
      </c>
      <c r="W278" s="193">
        <v>0</v>
      </c>
      <c r="X278" s="125">
        <f>ROUND(W278*Valores!$C$2,2)</f>
        <v>0</v>
      </c>
      <c r="Y278" s="125">
        <v>0</v>
      </c>
      <c r="Z278" s="125">
        <f>IF(Valores!$C$93*B278&gt;Valores!$C$92,Valores!$C$92,Valores!$C$93*B278)</f>
        <v>6540.82</v>
      </c>
      <c r="AA278" s="125">
        <f>IF((Valores!$C$28)*B278&gt;Valores!$F$28,Valores!$F$28,(Valores!$C$28)*B278)</f>
        <v>466.44000000000005</v>
      </c>
      <c r="AB278" s="215">
        <v>0</v>
      </c>
      <c r="AC278" s="125">
        <f t="shared" si="43"/>
        <v>0</v>
      </c>
      <c r="AD278" s="125">
        <f>IF(Valores!$C$29*B278&gt;Valores!$F$29,Valores!$F$29,Valores!$C$29*B278)</f>
        <v>388.44</v>
      </c>
      <c r="AE278" s="193">
        <v>94</v>
      </c>
      <c r="AF278" s="125">
        <f>ROUND(AE278*Valores!$C$2,2)</f>
        <v>2013.37</v>
      </c>
      <c r="AG278" s="125">
        <f>IF($F$4="NO",IF(Valores!$D$59*'Escala Docente'!B278&gt;Valores!$F$59,Valores!$F$59,Valores!$D$59*'Escala Docente'!B278),IF(Valores!$D$59*'Escala Docente'!B278&gt;Valores!$F$59,Valores!$F$59,Valores!$D$59*'Escala Docente'!B278)/2)</f>
        <v>5496.66</v>
      </c>
      <c r="AH278" s="125">
        <f t="shared" si="46"/>
        <v>106737.26000000001</v>
      </c>
      <c r="AI278" s="125">
        <f>IF(Valores!$C$32*B278&gt;Valores!$F$32,Valores!$F$32,Valores!$C$32*B278)</f>
        <v>8632.26</v>
      </c>
      <c r="AJ278" s="125">
        <f>IF(Valores!$C$86*B278&gt;Valores!$C$85,Valores!$C$85,Valores!$C$86*B278)</f>
        <v>2957.4999999999995</v>
      </c>
      <c r="AK278" s="125">
        <f>Valores!C$39*B278</f>
        <v>0</v>
      </c>
      <c r="AL278" s="125">
        <f>IF($F$3="NO",0,IF(Valores!$C$58*B278&gt;Valores!$F$58,Valores!$F$58,Valores!$C$58*B278))</f>
        <v>0</v>
      </c>
      <c r="AM278" s="125">
        <f t="shared" si="44"/>
        <v>11589.76</v>
      </c>
      <c r="AN278" s="125">
        <f>AH278*Valores!$C$67</f>
        <v>-11741.098600000001</v>
      </c>
      <c r="AO278" s="125">
        <f>AH278*-Valores!$C$68</f>
        <v>0</v>
      </c>
      <c r="AP278" s="125">
        <f>AH278*Valores!$C$69</f>
        <v>-4803.1767</v>
      </c>
      <c r="AQ278" s="125">
        <f>Valores!$C$96</f>
        <v>-280.91</v>
      </c>
      <c r="AR278" s="125">
        <f>IF($F$5=0,Valores!$C$97,(Valores!$C$97+$F$5*(Valores!$C$97)))</f>
        <v>-658</v>
      </c>
      <c r="AS278" s="125">
        <f t="shared" si="47"/>
        <v>100843.8347</v>
      </c>
      <c r="AT278" s="125">
        <f t="shared" si="41"/>
        <v>-11741.098600000001</v>
      </c>
      <c r="AU278" s="125">
        <f>AH278*Valores!$C$70</f>
        <v>-2881.9060200000004</v>
      </c>
      <c r="AV278" s="125">
        <f>AH278*Valores!$C$71</f>
        <v>-320.21178000000003</v>
      </c>
      <c r="AW278" s="125">
        <f t="shared" si="45"/>
        <v>103383.8036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3">
        <f t="shared" si="40"/>
        <v>2133</v>
      </c>
      <c r="F279" s="125">
        <f>ROUND(E279*Valores!$C$2,2)</f>
        <v>45686.3</v>
      </c>
      <c r="G279" s="193">
        <v>0</v>
      </c>
      <c r="H279" s="125">
        <f>ROUND(G279*Valores!$C$2,2)</f>
        <v>0</v>
      </c>
      <c r="I279" s="193">
        <v>0</v>
      </c>
      <c r="J279" s="125">
        <f>ROUND(I279*Valores!$C$2,2)</f>
        <v>0</v>
      </c>
      <c r="K279" s="193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8397.53</v>
      </c>
      <c r="N279" s="125">
        <f t="shared" si="42"/>
        <v>0</v>
      </c>
      <c r="O279" s="125">
        <f>Valores!$C$7*B279</f>
        <v>19611.99</v>
      </c>
      <c r="P279" s="125">
        <f>ROUND(IF(B279&lt;15,(Valores!$E$5*B279),Valores!$D$5),2)</f>
        <v>10949.29</v>
      </c>
      <c r="Q279" s="125">
        <v>0</v>
      </c>
      <c r="R279" s="125">
        <f>IF($F$4="NO",IF(Valores!$C$45*B279&gt;Valores!$C$44,Valores!$C$44,Valores!$C$45*B279),IF(Valores!$C$45*B279&gt;Valores!$C$44,Valores!$C$44,Valores!$C$45*B279)/2)</f>
        <v>4128.839999999999</v>
      </c>
      <c r="S279" s="125">
        <f>Valores!$C$18*B279</f>
        <v>6168.42</v>
      </c>
      <c r="T279" s="125">
        <f t="shared" si="48"/>
        <v>6168.42</v>
      </c>
      <c r="U279" s="125">
        <v>0</v>
      </c>
      <c r="V279" s="125">
        <v>0</v>
      </c>
      <c r="W279" s="193">
        <v>0</v>
      </c>
      <c r="X279" s="125">
        <f>ROUND(W279*Valores!$C$2,2)</f>
        <v>0</v>
      </c>
      <c r="Y279" s="125">
        <v>0</v>
      </c>
      <c r="Z279" s="125">
        <f>IF(Valores!$C$93*B279&gt;Valores!$C$92,Valores!$C$92,Valores!$C$93*B279)</f>
        <v>6792.389999999999</v>
      </c>
      <c r="AA279" s="125">
        <f>IF((Valores!$C$28)*B279&gt;Valores!$F$28,Valores!$F$28,(Valores!$C$28)*B279)</f>
        <v>484.38000000000005</v>
      </c>
      <c r="AB279" s="215">
        <v>0</v>
      </c>
      <c r="AC279" s="125">
        <f t="shared" si="43"/>
        <v>0</v>
      </c>
      <c r="AD279" s="125">
        <f>IF(Valores!$C$29*B279&gt;Valores!$F$29,Valores!$F$29,Valores!$C$29*B279)</f>
        <v>403.38</v>
      </c>
      <c r="AE279" s="193">
        <v>0</v>
      </c>
      <c r="AF279" s="125">
        <f>ROUND(AE279*Valores!$C$2,2)</f>
        <v>0</v>
      </c>
      <c r="AG279" s="125">
        <f>IF($F$4="NO",IF(Valores!$D$59*'Escala Docente'!B279&gt;Valores!$F$59,Valores!$F$59,Valores!$D$59*'Escala Docente'!B279),IF(Valores!$D$59*'Escala Docente'!B279&gt;Valores!$F$59,Valores!$F$59,Valores!$D$59*'Escala Docente'!B279)/2)</f>
        <v>5708.07</v>
      </c>
      <c r="AH279" s="125">
        <f t="shared" si="46"/>
        <v>108330.59000000003</v>
      </c>
      <c r="AI279" s="125">
        <f>IF(Valores!$C$32*B279&gt;Valores!$F$32,Valores!$F$32,Valores!$C$32*B279)</f>
        <v>8964.27</v>
      </c>
      <c r="AJ279" s="125">
        <f>IF(Valores!$C$86*B279&gt;Valores!$C$85,Valores!$C$85,Valores!$C$86*B279)</f>
        <v>3071.2499999999995</v>
      </c>
      <c r="AK279" s="125">
        <f>Valores!C$39*B279</f>
        <v>0</v>
      </c>
      <c r="AL279" s="125">
        <f>IF($F$3="NO",0,IF(Valores!$C$58*B279&gt;Valores!$F$58,Valores!$F$58,Valores!$C$58*B279))</f>
        <v>0</v>
      </c>
      <c r="AM279" s="125">
        <f t="shared" si="44"/>
        <v>12035.52</v>
      </c>
      <c r="AN279" s="125">
        <f>AH279*Valores!$C$67</f>
        <v>-11916.364900000002</v>
      </c>
      <c r="AO279" s="125">
        <f>AH279*-Valores!$C$68</f>
        <v>0</v>
      </c>
      <c r="AP279" s="125">
        <f>AH279*Valores!$C$69</f>
        <v>-4874.876550000001</v>
      </c>
      <c r="AQ279" s="125">
        <f>Valores!$C$96</f>
        <v>-280.91</v>
      </c>
      <c r="AR279" s="125">
        <f>IF($F$5=0,Valores!$C$97,(Valores!$C$97+$F$5*(Valores!$C$97)))</f>
        <v>-658</v>
      </c>
      <c r="AS279" s="125">
        <f t="shared" si="47"/>
        <v>102635.95855000002</v>
      </c>
      <c r="AT279" s="125">
        <f t="shared" si="41"/>
        <v>-11916.364900000002</v>
      </c>
      <c r="AU279" s="125">
        <f>AH279*Valores!$C$70</f>
        <v>-2924.925930000001</v>
      </c>
      <c r="AV279" s="125">
        <f>AH279*Valores!$C$71</f>
        <v>-324.9917700000001</v>
      </c>
      <c r="AW279" s="125">
        <f t="shared" si="45"/>
        <v>105199.82740000002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3">
        <f t="shared" si="40"/>
        <v>2133</v>
      </c>
      <c r="F280" s="125">
        <f>ROUND(E280*Valores!$C$2,2)</f>
        <v>45686.3</v>
      </c>
      <c r="G280" s="193">
        <v>0</v>
      </c>
      <c r="H280" s="125">
        <f>ROUND(G280*Valores!$C$2,2)</f>
        <v>0</v>
      </c>
      <c r="I280" s="193">
        <v>0</v>
      </c>
      <c r="J280" s="125">
        <f>ROUND(I280*Valores!$C$2,2)</f>
        <v>0</v>
      </c>
      <c r="K280" s="193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8397.53</v>
      </c>
      <c r="N280" s="125">
        <f t="shared" si="42"/>
        <v>0</v>
      </c>
      <c r="O280" s="125">
        <f>Valores!$C$7*B280</f>
        <v>19611.99</v>
      </c>
      <c r="P280" s="125">
        <f>ROUND(IF(B280&lt;15,(Valores!$E$5*B280),Valores!$D$5),2)</f>
        <v>10949.29</v>
      </c>
      <c r="Q280" s="125">
        <v>0</v>
      </c>
      <c r="R280" s="125">
        <f>IF($F$4="NO",IF(Valores!$C$45*B280&gt;Valores!$C$44,Valores!$C$44,Valores!$C$45*B280),IF(Valores!$C$45*B280&gt;Valores!$C$44,Valores!$C$44,Valores!$C$45*B280)/2)</f>
        <v>4128.839999999999</v>
      </c>
      <c r="S280" s="125">
        <f>Valores!$C$18*B280</f>
        <v>6168.42</v>
      </c>
      <c r="T280" s="125">
        <f t="shared" si="48"/>
        <v>6168.42</v>
      </c>
      <c r="U280" s="125">
        <v>0</v>
      </c>
      <c r="V280" s="125">
        <v>0</v>
      </c>
      <c r="W280" s="193">
        <v>0</v>
      </c>
      <c r="X280" s="125">
        <f>ROUND(W280*Valores!$C$2,2)</f>
        <v>0</v>
      </c>
      <c r="Y280" s="125">
        <v>0</v>
      </c>
      <c r="Z280" s="125">
        <f>IF(Valores!$C$93*B280&gt;Valores!$C$92,Valores!$C$92,Valores!$C$93*B280)</f>
        <v>6792.389999999999</v>
      </c>
      <c r="AA280" s="125">
        <f>IF((Valores!$C$28)*B280&gt;Valores!$F$28,Valores!$F$28,(Valores!$C$28)*B280)</f>
        <v>484.38000000000005</v>
      </c>
      <c r="AB280" s="215">
        <v>0</v>
      </c>
      <c r="AC280" s="125">
        <f t="shared" si="43"/>
        <v>0</v>
      </c>
      <c r="AD280" s="125">
        <f>IF(Valores!$C$29*B280&gt;Valores!$F$29,Valores!$F$29,Valores!$C$29*B280)</f>
        <v>403.38</v>
      </c>
      <c r="AE280" s="193">
        <v>94</v>
      </c>
      <c r="AF280" s="125">
        <f>ROUND(AE280*Valores!$C$2,2)</f>
        <v>2013.37</v>
      </c>
      <c r="AG280" s="125">
        <f>IF($F$4="NO",IF(Valores!$D$59*'Escala Docente'!B280&gt;Valores!$F$59,Valores!$F$59,Valores!$D$59*'Escala Docente'!B280),IF(Valores!$D$59*'Escala Docente'!B280&gt;Valores!$F$59,Valores!$F$59,Valores!$D$59*'Escala Docente'!B280)/2)</f>
        <v>5708.07</v>
      </c>
      <c r="AH280" s="125">
        <f t="shared" si="46"/>
        <v>110343.96000000002</v>
      </c>
      <c r="AI280" s="125">
        <f>IF(Valores!$C$32*B280&gt;Valores!$F$32,Valores!$F$32,Valores!$C$32*B280)</f>
        <v>8964.27</v>
      </c>
      <c r="AJ280" s="125">
        <f>IF(Valores!$C$86*B280&gt;Valores!$C$85,Valores!$C$85,Valores!$C$86*B280)</f>
        <v>3071.2499999999995</v>
      </c>
      <c r="AK280" s="125">
        <f>Valores!C$39*B280</f>
        <v>0</v>
      </c>
      <c r="AL280" s="125">
        <f>IF($F$3="NO",0,IF(Valores!$C$58*B280&gt;Valores!$F$58,Valores!$F$58,Valores!$C$58*B280))</f>
        <v>0</v>
      </c>
      <c r="AM280" s="125">
        <f t="shared" si="44"/>
        <v>12035.52</v>
      </c>
      <c r="AN280" s="125">
        <f>AH280*Valores!$C$67</f>
        <v>-12137.835600000002</v>
      </c>
      <c r="AO280" s="125">
        <f>AH280*-Valores!$C$68</f>
        <v>0</v>
      </c>
      <c r="AP280" s="125">
        <f>AH280*Valores!$C$69</f>
        <v>-4965.4782000000005</v>
      </c>
      <c r="AQ280" s="125">
        <f>Valores!$C$96</f>
        <v>-280.91</v>
      </c>
      <c r="AR280" s="125">
        <f>IF($F$5=0,Valores!$C$97,(Valores!$C$97+$F$5*(Valores!$C$97)))</f>
        <v>-658</v>
      </c>
      <c r="AS280" s="125">
        <f t="shared" si="47"/>
        <v>104337.25620000002</v>
      </c>
      <c r="AT280" s="125">
        <f t="shared" si="41"/>
        <v>-12137.835600000002</v>
      </c>
      <c r="AU280" s="125">
        <f>AH280*Valores!$C$70</f>
        <v>-2979.2869200000005</v>
      </c>
      <c r="AV280" s="125">
        <f>AH280*Valores!$C$71</f>
        <v>-331.03188000000006</v>
      </c>
      <c r="AW280" s="125">
        <f t="shared" si="45"/>
        <v>106931.32560000003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3">
        <f t="shared" si="40"/>
        <v>2212</v>
      </c>
      <c r="F281" s="125">
        <f>ROUND(E281*Valores!$C$2,2)</f>
        <v>47378.39</v>
      </c>
      <c r="G281" s="193">
        <v>0</v>
      </c>
      <c r="H281" s="125">
        <f>ROUND(G281*Valores!$C$2,2)</f>
        <v>0</v>
      </c>
      <c r="I281" s="193">
        <v>0</v>
      </c>
      <c r="J281" s="125">
        <f>ROUND(I281*Valores!$C$2,2)</f>
        <v>0</v>
      </c>
      <c r="K281" s="193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8708.55</v>
      </c>
      <c r="N281" s="125">
        <f t="shared" si="42"/>
        <v>0</v>
      </c>
      <c r="O281" s="125">
        <f>Valores!$C$7*B281</f>
        <v>20338.36</v>
      </c>
      <c r="P281" s="125">
        <f>ROUND(IF(B281&lt;15,(Valores!$E$5*B281),Valores!$D$5),2)</f>
        <v>10949.29</v>
      </c>
      <c r="Q281" s="125">
        <v>0</v>
      </c>
      <c r="R281" s="125">
        <f>IF($F$4="NO",IF(Valores!$C$45*B281&gt;Valores!$C$44,Valores!$C$44,Valores!$C$45*B281),IF(Valores!$C$45*B281&gt;Valores!$C$44,Valores!$C$44,Valores!$C$45*B281)/2)</f>
        <v>4281.759999999999</v>
      </c>
      <c r="S281" s="125">
        <f>Valores!$C$18*B281</f>
        <v>6396.88</v>
      </c>
      <c r="T281" s="125">
        <f t="shared" si="48"/>
        <v>6396.88</v>
      </c>
      <c r="U281" s="125">
        <v>0</v>
      </c>
      <c r="V281" s="125">
        <v>0</v>
      </c>
      <c r="W281" s="193">
        <v>0</v>
      </c>
      <c r="X281" s="125">
        <f>ROUND(W281*Valores!$C$2,2)</f>
        <v>0</v>
      </c>
      <c r="Y281" s="125">
        <v>0</v>
      </c>
      <c r="Z281" s="125">
        <f>IF(Valores!$C$93*B281&gt;Valores!$C$92,Valores!$C$92,Valores!$C$93*B281)</f>
        <v>7043.96</v>
      </c>
      <c r="AA281" s="125">
        <f>IF((Valores!$C$28)*B281&gt;Valores!$F$28,Valores!$F$28,(Valores!$C$28)*B281)</f>
        <v>502.32000000000005</v>
      </c>
      <c r="AB281" s="215">
        <v>0</v>
      </c>
      <c r="AC281" s="125">
        <f t="shared" si="43"/>
        <v>0</v>
      </c>
      <c r="AD281" s="125">
        <f>IF(Valores!$C$29*B281&gt;Valores!$F$29,Valores!$F$29,Valores!$C$29*B281)</f>
        <v>418.32</v>
      </c>
      <c r="AE281" s="193">
        <v>0</v>
      </c>
      <c r="AF281" s="125">
        <f>ROUND(AE281*Valores!$C$2,2)</f>
        <v>0</v>
      </c>
      <c r="AG281" s="125">
        <f>IF($F$4="NO",IF(Valores!$D$59*'Escala Docente'!B281&gt;Valores!$F$59,Valores!$F$59,Valores!$D$59*'Escala Docente'!B281),IF(Valores!$D$59*'Escala Docente'!B281&gt;Valores!$F$59,Valores!$F$59,Valores!$D$59*'Escala Docente'!B281)/2)</f>
        <v>5919.48</v>
      </c>
      <c r="AH281" s="125">
        <f t="shared" si="46"/>
        <v>111937.31000000001</v>
      </c>
      <c r="AI281" s="125">
        <f>IF(Valores!$C$32*B281&gt;Valores!$F$32,Valores!$F$32,Valores!$C$32*B281)</f>
        <v>9296.279999999999</v>
      </c>
      <c r="AJ281" s="125">
        <f>IF(Valores!$C$86*B281&gt;Valores!$C$85,Valores!$C$85,Valores!$C$86*B281)</f>
        <v>3184.9999999999995</v>
      </c>
      <c r="AK281" s="125">
        <f>Valores!C$39*B281</f>
        <v>0</v>
      </c>
      <c r="AL281" s="125">
        <f>IF($F$3="NO",0,IF(Valores!$C$58*B281&gt;Valores!$F$58,Valores!$F$58,Valores!$C$58*B281))</f>
        <v>0</v>
      </c>
      <c r="AM281" s="125">
        <f t="shared" si="44"/>
        <v>12481.279999999999</v>
      </c>
      <c r="AN281" s="125">
        <f>AH281*Valores!$C$67</f>
        <v>-12313.104100000002</v>
      </c>
      <c r="AO281" s="125">
        <f>AH281*-Valores!$C$68</f>
        <v>0</v>
      </c>
      <c r="AP281" s="125">
        <f>AH281*Valores!$C$69</f>
        <v>-5037.17895</v>
      </c>
      <c r="AQ281" s="125">
        <f>Valores!$C$96</f>
        <v>-280.91</v>
      </c>
      <c r="AR281" s="125">
        <f>IF($F$5=0,Valores!$C$97,(Valores!$C$97+$F$5*(Valores!$C$97)))</f>
        <v>-658</v>
      </c>
      <c r="AS281" s="125">
        <f t="shared" si="47"/>
        <v>106129.39695000001</v>
      </c>
      <c r="AT281" s="125">
        <f t="shared" si="41"/>
        <v>-12313.104100000002</v>
      </c>
      <c r="AU281" s="125">
        <f>AH281*Valores!$C$70</f>
        <v>-3022.3073700000004</v>
      </c>
      <c r="AV281" s="125">
        <f>AH281*Valores!$C$71</f>
        <v>-335.81193</v>
      </c>
      <c r="AW281" s="125">
        <f t="shared" si="45"/>
        <v>108747.36660000001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3">
        <f t="shared" si="40"/>
        <v>2212</v>
      </c>
      <c r="F282" s="125">
        <f>ROUND(E282*Valores!$C$2,2)</f>
        <v>47378.39</v>
      </c>
      <c r="G282" s="193">
        <v>0</v>
      </c>
      <c r="H282" s="125">
        <f>ROUND(G282*Valores!$C$2,2)</f>
        <v>0</v>
      </c>
      <c r="I282" s="193">
        <v>0</v>
      </c>
      <c r="J282" s="125">
        <f>ROUND(I282*Valores!$C$2,2)</f>
        <v>0</v>
      </c>
      <c r="K282" s="193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8708.55</v>
      </c>
      <c r="N282" s="125">
        <f t="shared" si="42"/>
        <v>0</v>
      </c>
      <c r="O282" s="125">
        <f>Valores!$C$7*B282</f>
        <v>20338.36</v>
      </c>
      <c r="P282" s="125">
        <f>ROUND(IF(B282&lt;15,(Valores!$E$5*B282),Valores!$D$5),2)</f>
        <v>10949.29</v>
      </c>
      <c r="Q282" s="125">
        <v>0</v>
      </c>
      <c r="R282" s="125">
        <f>IF($F$4="NO",IF(Valores!$C$45*B282&gt;Valores!$C$44,Valores!$C$44,Valores!$C$45*B282),IF(Valores!$C$45*B282&gt;Valores!$C$44,Valores!$C$44,Valores!$C$45*B282)/2)</f>
        <v>4281.759999999999</v>
      </c>
      <c r="S282" s="125">
        <f>Valores!$C$18*B282</f>
        <v>6396.88</v>
      </c>
      <c r="T282" s="125">
        <f t="shared" si="48"/>
        <v>6396.88</v>
      </c>
      <c r="U282" s="125">
        <v>0</v>
      </c>
      <c r="V282" s="125">
        <v>0</v>
      </c>
      <c r="W282" s="193">
        <v>0</v>
      </c>
      <c r="X282" s="125">
        <f>ROUND(W282*Valores!$C$2,2)</f>
        <v>0</v>
      </c>
      <c r="Y282" s="125">
        <v>0</v>
      </c>
      <c r="Z282" s="125">
        <f>IF(Valores!$C$93*B282&gt;Valores!$C$92,Valores!$C$92,Valores!$C$93*B282)</f>
        <v>7043.96</v>
      </c>
      <c r="AA282" s="125">
        <f>IF((Valores!$C$28)*B282&gt;Valores!$F$28,Valores!$F$28,(Valores!$C$28)*B282)</f>
        <v>502.32000000000005</v>
      </c>
      <c r="AB282" s="215">
        <v>0</v>
      </c>
      <c r="AC282" s="125">
        <f t="shared" si="43"/>
        <v>0</v>
      </c>
      <c r="AD282" s="125">
        <f>IF(Valores!$C$29*B282&gt;Valores!$F$29,Valores!$F$29,Valores!$C$29*B282)</f>
        <v>418.32</v>
      </c>
      <c r="AE282" s="193">
        <v>94</v>
      </c>
      <c r="AF282" s="125">
        <f>ROUND(AE282*Valores!$C$2,2)</f>
        <v>2013.37</v>
      </c>
      <c r="AG282" s="125">
        <f>IF($F$4="NO",IF(Valores!$D$59*'Escala Docente'!B282&gt;Valores!$F$59,Valores!$F$59,Valores!$D$59*'Escala Docente'!B282),IF(Valores!$D$59*'Escala Docente'!B282&gt;Valores!$F$59,Valores!$F$59,Valores!$D$59*'Escala Docente'!B282)/2)</f>
        <v>5919.48</v>
      </c>
      <c r="AH282" s="125">
        <f t="shared" si="46"/>
        <v>113950.68000000001</v>
      </c>
      <c r="AI282" s="125">
        <f>IF(Valores!$C$32*B282&gt;Valores!$F$32,Valores!$F$32,Valores!$C$32*B282)</f>
        <v>9296.279999999999</v>
      </c>
      <c r="AJ282" s="125">
        <f>IF(Valores!$C$86*B282&gt;Valores!$C$85,Valores!$C$85,Valores!$C$86*B282)</f>
        <v>3184.9999999999995</v>
      </c>
      <c r="AK282" s="125">
        <f>Valores!C$39*B282</f>
        <v>0</v>
      </c>
      <c r="AL282" s="125">
        <f>IF($F$3="NO",0,IF(Valores!$C$58*B282&gt;Valores!$F$58,Valores!$F$58,Valores!$C$58*B282))</f>
        <v>0</v>
      </c>
      <c r="AM282" s="125">
        <f t="shared" si="44"/>
        <v>12481.279999999999</v>
      </c>
      <c r="AN282" s="125">
        <f>AH282*Valores!$C$67</f>
        <v>-12534.5748</v>
      </c>
      <c r="AO282" s="125">
        <f>AH282*-Valores!$C$68</f>
        <v>0</v>
      </c>
      <c r="AP282" s="125">
        <f>AH282*Valores!$C$69</f>
        <v>-5127.7806</v>
      </c>
      <c r="AQ282" s="125">
        <f>Valores!$C$96</f>
        <v>-280.91</v>
      </c>
      <c r="AR282" s="125">
        <f>IF($F$5=0,Valores!$C$97,(Valores!$C$97+$F$5*(Valores!$C$97)))</f>
        <v>-658</v>
      </c>
      <c r="AS282" s="125">
        <f t="shared" si="47"/>
        <v>107830.6946</v>
      </c>
      <c r="AT282" s="125">
        <f t="shared" si="41"/>
        <v>-12534.5748</v>
      </c>
      <c r="AU282" s="125">
        <f>AH282*Valores!$C$70</f>
        <v>-3076.66836</v>
      </c>
      <c r="AV282" s="125">
        <f>AH282*Valores!$C$71</f>
        <v>-341.85204000000004</v>
      </c>
      <c r="AW282" s="125">
        <f t="shared" si="45"/>
        <v>110478.86480000001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3">
        <f t="shared" si="40"/>
        <v>2291</v>
      </c>
      <c r="F283" s="125">
        <f>ROUND(E283*Valores!$C$2,2)</f>
        <v>49070.47</v>
      </c>
      <c r="G283" s="193">
        <v>0</v>
      </c>
      <c r="H283" s="125">
        <f>ROUND(G283*Valores!$C$2,2)</f>
        <v>0</v>
      </c>
      <c r="I283" s="193">
        <v>0</v>
      </c>
      <c r="J283" s="125">
        <f>ROUND(I283*Valores!$C$2,2)</f>
        <v>0</v>
      </c>
      <c r="K283" s="193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9019.57</v>
      </c>
      <c r="N283" s="125">
        <f t="shared" si="42"/>
        <v>0</v>
      </c>
      <c r="O283" s="125">
        <f>Valores!$C$7*B283</f>
        <v>21064.73</v>
      </c>
      <c r="P283" s="125">
        <f>ROUND(IF(B283&lt;15,(Valores!$E$5*B283),Valores!$D$5),2)</f>
        <v>10949.29</v>
      </c>
      <c r="Q283" s="125">
        <v>0</v>
      </c>
      <c r="R283" s="125">
        <f>IF($F$4="NO",IF(Valores!$C$45*B283&gt;Valores!$C$44,Valores!$C$44,Valores!$C$45*B283),IF(Valores!$C$45*B283&gt;Valores!$C$44,Valores!$C$44,Valores!$C$45*B283)/2)</f>
        <v>4434.679999999999</v>
      </c>
      <c r="S283" s="125">
        <f>Valores!$C$18*B283</f>
        <v>6625.34</v>
      </c>
      <c r="T283" s="125">
        <f t="shared" si="48"/>
        <v>6625.34</v>
      </c>
      <c r="U283" s="125">
        <v>0</v>
      </c>
      <c r="V283" s="125">
        <v>0</v>
      </c>
      <c r="W283" s="193">
        <v>0</v>
      </c>
      <c r="X283" s="125">
        <f>ROUND(W283*Valores!$C$2,2)</f>
        <v>0</v>
      </c>
      <c r="Y283" s="125">
        <v>0</v>
      </c>
      <c r="Z283" s="125">
        <f>IF(Valores!$C$93*B283&gt;Valores!$C$92,Valores!$C$92,Valores!$C$93*B283)</f>
        <v>7295.53</v>
      </c>
      <c r="AA283" s="125">
        <f>IF((Valores!$C$28)*B283&gt;Valores!$F$28,Valores!$F$28,(Valores!$C$28)*B283)</f>
        <v>520.26</v>
      </c>
      <c r="AB283" s="215">
        <v>0</v>
      </c>
      <c r="AC283" s="125">
        <f t="shared" si="43"/>
        <v>0</v>
      </c>
      <c r="AD283" s="125">
        <f>IF(Valores!$C$29*B283&gt;Valores!$F$29,Valores!$F$29,Valores!$C$29*B283)</f>
        <v>433.26</v>
      </c>
      <c r="AE283" s="193">
        <v>0</v>
      </c>
      <c r="AF283" s="125">
        <f>ROUND(AE283*Valores!$C$2,2)</f>
        <v>0</v>
      </c>
      <c r="AG283" s="125">
        <f>IF($F$4="NO",IF(Valores!$D$59*'Escala Docente'!B283&gt;Valores!$F$59,Valores!$F$59,Valores!$D$59*'Escala Docente'!B283),IF(Valores!$D$59*'Escala Docente'!B283&gt;Valores!$F$59,Valores!$F$59,Valores!$D$59*'Escala Docente'!B283)/2)</f>
        <v>6130.89</v>
      </c>
      <c r="AH283" s="125">
        <f t="shared" si="46"/>
        <v>115544.01999999997</v>
      </c>
      <c r="AI283" s="125">
        <f>IF(Valores!$C$32*B283&gt;Valores!$F$32,Valores!$F$32,Valores!$C$32*B283)</f>
        <v>9628.289999999999</v>
      </c>
      <c r="AJ283" s="125">
        <f>IF(Valores!$C$86*B283&gt;Valores!$C$85,Valores!$C$85,Valores!$C$86*B283)</f>
        <v>3298.7499999999995</v>
      </c>
      <c r="AK283" s="125">
        <f>Valores!C$39*B283</f>
        <v>0</v>
      </c>
      <c r="AL283" s="125">
        <f>IF($F$3="NO",0,IF(Valores!$C$58*B283&gt;Valores!$F$58,Valores!$F$58,Valores!$C$58*B283))</f>
        <v>0</v>
      </c>
      <c r="AM283" s="125">
        <f t="shared" si="44"/>
        <v>12927.039999999999</v>
      </c>
      <c r="AN283" s="125">
        <f>AH283*Valores!$C$67</f>
        <v>-12709.842199999997</v>
      </c>
      <c r="AO283" s="125">
        <f>AH283*-Valores!$C$68</f>
        <v>0</v>
      </c>
      <c r="AP283" s="125">
        <f>AH283*Valores!$C$69</f>
        <v>-5199.480899999999</v>
      </c>
      <c r="AQ283" s="125">
        <f>Valores!$C$96</f>
        <v>-280.91</v>
      </c>
      <c r="AR283" s="125">
        <f>IF($F$5=0,Valores!$C$97,(Valores!$C$97+$F$5*(Valores!$C$97)))</f>
        <v>-658</v>
      </c>
      <c r="AS283" s="125">
        <f t="shared" si="47"/>
        <v>109622.82689999999</v>
      </c>
      <c r="AT283" s="125">
        <f t="shared" si="41"/>
        <v>-12709.842199999997</v>
      </c>
      <c r="AU283" s="125">
        <f>AH283*Valores!$C$70</f>
        <v>-3119.688539999999</v>
      </c>
      <c r="AV283" s="125">
        <f>AH283*Valores!$C$71</f>
        <v>-346.6320599999999</v>
      </c>
      <c r="AW283" s="125">
        <f t="shared" si="45"/>
        <v>112294.89719999998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3">
        <f t="shared" si="40"/>
        <v>2291</v>
      </c>
      <c r="F284" s="125">
        <f>ROUND(E284*Valores!$C$2,2)</f>
        <v>49070.47</v>
      </c>
      <c r="G284" s="193">
        <v>0</v>
      </c>
      <c r="H284" s="125">
        <f>ROUND(G284*Valores!$C$2,2)</f>
        <v>0</v>
      </c>
      <c r="I284" s="193">
        <v>0</v>
      </c>
      <c r="J284" s="125">
        <f>ROUND(I284*Valores!$C$2,2)</f>
        <v>0</v>
      </c>
      <c r="K284" s="193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9019.57</v>
      </c>
      <c r="N284" s="125">
        <f t="shared" si="42"/>
        <v>0</v>
      </c>
      <c r="O284" s="125">
        <f>Valores!$C$7*B284</f>
        <v>21064.73</v>
      </c>
      <c r="P284" s="125">
        <f>ROUND(IF(B284&lt;15,(Valores!$E$5*B284),Valores!$D$5),2)</f>
        <v>10949.29</v>
      </c>
      <c r="Q284" s="125">
        <v>0</v>
      </c>
      <c r="R284" s="125">
        <f>IF($F$4="NO",IF(Valores!$C$45*B284&gt;Valores!$C$44,Valores!$C$44,Valores!$C$45*B284),IF(Valores!$C$45*B284&gt;Valores!$C$44,Valores!$C$44,Valores!$C$45*B284)/2)</f>
        <v>4434.679999999999</v>
      </c>
      <c r="S284" s="125">
        <f>Valores!$C$18*B284</f>
        <v>6625.34</v>
      </c>
      <c r="T284" s="125">
        <f t="shared" si="48"/>
        <v>6625.34</v>
      </c>
      <c r="U284" s="125">
        <v>0</v>
      </c>
      <c r="V284" s="125">
        <v>0</v>
      </c>
      <c r="W284" s="193">
        <v>0</v>
      </c>
      <c r="X284" s="125">
        <f>ROUND(W284*Valores!$C$2,2)</f>
        <v>0</v>
      </c>
      <c r="Y284" s="125">
        <v>0</v>
      </c>
      <c r="Z284" s="125">
        <f>IF(Valores!$C$93*B284&gt;Valores!$C$92,Valores!$C$92,Valores!$C$93*B284)</f>
        <v>7295.53</v>
      </c>
      <c r="AA284" s="125">
        <f>IF((Valores!$C$28)*B284&gt;Valores!$F$28,Valores!$F$28,(Valores!$C$28)*B284)</f>
        <v>520.26</v>
      </c>
      <c r="AB284" s="215">
        <v>0</v>
      </c>
      <c r="AC284" s="125">
        <f t="shared" si="43"/>
        <v>0</v>
      </c>
      <c r="AD284" s="125">
        <f>IF(Valores!$C$29*B284&gt;Valores!$F$29,Valores!$F$29,Valores!$C$29*B284)</f>
        <v>433.26</v>
      </c>
      <c r="AE284" s="193">
        <v>94</v>
      </c>
      <c r="AF284" s="125">
        <f>ROUND(AE284*Valores!$C$2,2)</f>
        <v>2013.37</v>
      </c>
      <c r="AG284" s="125">
        <f>IF($F$4="NO",IF(Valores!$D$59*'Escala Docente'!B284&gt;Valores!$F$59,Valores!$F$59,Valores!$D$59*'Escala Docente'!B284),IF(Valores!$D$59*'Escala Docente'!B284&gt;Valores!$F$59,Valores!$F$59,Valores!$D$59*'Escala Docente'!B284)/2)</f>
        <v>6130.89</v>
      </c>
      <c r="AH284" s="125">
        <f t="shared" si="46"/>
        <v>117557.38999999997</v>
      </c>
      <c r="AI284" s="125">
        <f>IF(Valores!$C$32*B284&gt;Valores!$F$32,Valores!$F$32,Valores!$C$32*B284)</f>
        <v>9628.289999999999</v>
      </c>
      <c r="AJ284" s="125">
        <f>IF(Valores!$C$86*B284&gt;Valores!$C$85,Valores!$C$85,Valores!$C$86*B284)</f>
        <v>3298.7499999999995</v>
      </c>
      <c r="AK284" s="125">
        <f>Valores!C$39*B284</f>
        <v>0</v>
      </c>
      <c r="AL284" s="125">
        <f>IF($F$3="NO",0,IF(Valores!$C$58*B284&gt;Valores!$F$58,Valores!$F$58,Valores!$C$58*B284))</f>
        <v>0</v>
      </c>
      <c r="AM284" s="125">
        <f t="shared" si="44"/>
        <v>12927.039999999999</v>
      </c>
      <c r="AN284" s="125">
        <f>AH284*Valores!$C$67</f>
        <v>-12931.312899999997</v>
      </c>
      <c r="AO284" s="125">
        <f>AH284*-Valores!$C$68</f>
        <v>0</v>
      </c>
      <c r="AP284" s="125">
        <f>AH284*Valores!$C$69</f>
        <v>-5290.082549999998</v>
      </c>
      <c r="AQ284" s="125">
        <f>Valores!$C$96</f>
        <v>-280.91</v>
      </c>
      <c r="AR284" s="125">
        <f>IF($F$5=0,Valores!$C$97,(Valores!$C$97+$F$5*(Valores!$C$97)))</f>
        <v>-658</v>
      </c>
      <c r="AS284" s="125">
        <f t="shared" si="47"/>
        <v>111324.12454999998</v>
      </c>
      <c r="AT284" s="125">
        <f t="shared" si="41"/>
        <v>-12931.312899999997</v>
      </c>
      <c r="AU284" s="125">
        <f>AH284*Valores!$C$70</f>
        <v>-3174.0495299999993</v>
      </c>
      <c r="AV284" s="125">
        <f>AH284*Valores!$C$71</f>
        <v>-352.67216999999994</v>
      </c>
      <c r="AW284" s="125">
        <f t="shared" si="45"/>
        <v>114026.39539999996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3">
        <f t="shared" si="40"/>
        <v>2370</v>
      </c>
      <c r="F285" s="125">
        <f>ROUND(E285*Valores!$C$2,2)</f>
        <v>50762.56</v>
      </c>
      <c r="G285" s="193">
        <v>0</v>
      </c>
      <c r="H285" s="125">
        <f>ROUND(G285*Valores!$C$2,2)</f>
        <v>0</v>
      </c>
      <c r="I285" s="193">
        <v>0</v>
      </c>
      <c r="J285" s="125">
        <f>ROUND(I285*Valores!$C$2,2)</f>
        <v>0</v>
      </c>
      <c r="K285" s="193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9330.59</v>
      </c>
      <c r="N285" s="125">
        <f t="shared" si="42"/>
        <v>0</v>
      </c>
      <c r="O285" s="125">
        <f>Valores!$C$7*B285</f>
        <v>21791.1</v>
      </c>
      <c r="P285" s="125">
        <f>ROUND(IF(B285&lt;15,(Valores!$E$5*B285),Valores!$D$5),2)</f>
        <v>10949.29</v>
      </c>
      <c r="Q285" s="125">
        <v>0</v>
      </c>
      <c r="R285" s="125">
        <f>IF($F$4="NO",IF(Valores!$C$45*B285&gt;Valores!$C$44,Valores!$C$44,Valores!$C$45*B285),IF(Valores!$C$45*B285&gt;Valores!$C$44,Valores!$C$44,Valores!$C$45*B285)/2)</f>
        <v>4587.599999999999</v>
      </c>
      <c r="S285" s="125">
        <f>Valores!$C$18*B285</f>
        <v>6853.8</v>
      </c>
      <c r="T285" s="125">
        <f t="shared" si="48"/>
        <v>6853.8</v>
      </c>
      <c r="U285" s="125">
        <v>0</v>
      </c>
      <c r="V285" s="125">
        <v>0</v>
      </c>
      <c r="W285" s="193">
        <v>0</v>
      </c>
      <c r="X285" s="125">
        <f>ROUND(W285*Valores!$C$2,2)</f>
        <v>0</v>
      </c>
      <c r="Y285" s="125">
        <v>0</v>
      </c>
      <c r="Z285" s="125">
        <f>IF(Valores!$C$93*B285&gt;Valores!$C$92,Valores!$C$92,Valores!$C$93*B285)</f>
        <v>7547.099999999999</v>
      </c>
      <c r="AA285" s="125">
        <f>IF((Valores!$C$28)*B285&gt;Valores!$F$28,Valores!$F$28,(Valores!$C$28)*B285)</f>
        <v>538.2</v>
      </c>
      <c r="AB285" s="215">
        <v>0</v>
      </c>
      <c r="AC285" s="125">
        <f t="shared" si="43"/>
        <v>0</v>
      </c>
      <c r="AD285" s="125">
        <f>IF(Valores!$C$29*B285&gt;Valores!$F$29,Valores!$F$29,Valores!$C$29*B285)</f>
        <v>447.83</v>
      </c>
      <c r="AE285" s="193">
        <v>0</v>
      </c>
      <c r="AF285" s="125">
        <f>ROUND(AE285*Valores!$C$2,2)</f>
        <v>0</v>
      </c>
      <c r="AG285" s="125">
        <f>IF($F$4="NO",IF(Valores!$D$59*'Escala Docente'!B285&gt;Valores!$F$59,Valores!$F$59,Valores!$D$59*'Escala Docente'!B285),IF(Valores!$D$59*'Escala Docente'!B285&gt;Valores!$F$59,Valores!$F$59,Valores!$D$59*'Escala Docente'!B285)/2)</f>
        <v>6342.3</v>
      </c>
      <c r="AH285" s="125">
        <f t="shared" si="46"/>
        <v>119150.37000000002</v>
      </c>
      <c r="AI285" s="125">
        <f>IF(Valores!$C$32*B285&gt;Valores!$F$32,Valores!$F$32,Valores!$C$32*B285)</f>
        <v>9960.16</v>
      </c>
      <c r="AJ285" s="125">
        <f>IF(Valores!$C$86*B285&gt;Valores!$C$85,Valores!$C$85,Valores!$C$86*B285)</f>
        <v>3412.4999999999995</v>
      </c>
      <c r="AK285" s="125">
        <f>Valores!C$39*B285</f>
        <v>0</v>
      </c>
      <c r="AL285" s="125">
        <f>IF($F$3="NO",0,IF(Valores!$C$58*B285&gt;Valores!$F$58,Valores!$F$58,Valores!$C$58*B285))</f>
        <v>0</v>
      </c>
      <c r="AM285" s="125">
        <f t="shared" si="44"/>
        <v>13372.66</v>
      </c>
      <c r="AN285" s="125">
        <f>AH285*Valores!$C$67</f>
        <v>-13106.540700000003</v>
      </c>
      <c r="AO285" s="125">
        <f>AH285*-Valores!$C$68</f>
        <v>0</v>
      </c>
      <c r="AP285" s="125">
        <f>AH285*Valores!$C$69</f>
        <v>-5361.7666500000005</v>
      </c>
      <c r="AQ285" s="125">
        <f>Valores!$C$96</f>
        <v>-280.91</v>
      </c>
      <c r="AR285" s="125">
        <f>IF($F$5=0,Valores!$C$97,(Valores!$C$97+$F$5*(Valores!$C$97)))</f>
        <v>-658</v>
      </c>
      <c r="AS285" s="125">
        <f t="shared" si="47"/>
        <v>113115.81265000002</v>
      </c>
      <c r="AT285" s="125">
        <f t="shared" si="41"/>
        <v>-13106.540700000003</v>
      </c>
      <c r="AU285" s="125">
        <f>AH285*Valores!$C$70</f>
        <v>-3217.0599900000007</v>
      </c>
      <c r="AV285" s="125">
        <f>AH285*Valores!$C$71</f>
        <v>-357.4511100000001</v>
      </c>
      <c r="AW285" s="125">
        <f t="shared" si="45"/>
        <v>115841.97820000003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3">
        <f t="shared" si="40"/>
        <v>2370</v>
      </c>
      <c r="F286" s="125">
        <f>ROUND(E286*Valores!$C$2,2)</f>
        <v>50762.56</v>
      </c>
      <c r="G286" s="193">
        <v>0</v>
      </c>
      <c r="H286" s="125">
        <f>ROUND(G286*Valores!$C$2,2)</f>
        <v>0</v>
      </c>
      <c r="I286" s="193">
        <v>0</v>
      </c>
      <c r="J286" s="125">
        <f>ROUND(I286*Valores!$C$2,2)</f>
        <v>0</v>
      </c>
      <c r="K286" s="193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9330.59</v>
      </c>
      <c r="N286" s="125">
        <f t="shared" si="42"/>
        <v>0</v>
      </c>
      <c r="O286" s="125">
        <f>Valores!$C$7*B286</f>
        <v>21791.1</v>
      </c>
      <c r="P286" s="125">
        <f>ROUND(IF(B286&lt;15,(Valores!$E$5*B286),Valores!$D$5),2)</f>
        <v>10949.29</v>
      </c>
      <c r="Q286" s="125">
        <v>0</v>
      </c>
      <c r="R286" s="125">
        <f>IF($F$4="NO",IF(Valores!$C$45*B286&gt;Valores!$C$44,Valores!$C$44,Valores!$C$45*B286),IF(Valores!$C$45*B286&gt;Valores!$C$44,Valores!$C$44,Valores!$C$45*B286)/2)</f>
        <v>4587.599999999999</v>
      </c>
      <c r="S286" s="125">
        <f>Valores!$C$18*B286</f>
        <v>6853.8</v>
      </c>
      <c r="T286" s="125">
        <f t="shared" si="48"/>
        <v>6853.8</v>
      </c>
      <c r="U286" s="125">
        <v>0</v>
      </c>
      <c r="V286" s="125">
        <v>0</v>
      </c>
      <c r="W286" s="193">
        <v>0</v>
      </c>
      <c r="X286" s="125">
        <f>ROUND(W286*Valores!$C$2,2)</f>
        <v>0</v>
      </c>
      <c r="Y286" s="125">
        <v>0</v>
      </c>
      <c r="Z286" s="125">
        <f>IF(Valores!$C$93*B286&gt;Valores!$C$92,Valores!$C$92,Valores!$C$93*B286)</f>
        <v>7547.099999999999</v>
      </c>
      <c r="AA286" s="125">
        <f>IF((Valores!$C$28)*B286&gt;Valores!$F$28,Valores!$F$28,(Valores!$C$28)*B286)</f>
        <v>538.2</v>
      </c>
      <c r="AB286" s="215">
        <v>0</v>
      </c>
      <c r="AC286" s="125">
        <f t="shared" si="43"/>
        <v>0</v>
      </c>
      <c r="AD286" s="125">
        <f>IF(Valores!$C$29*B286&gt;Valores!$F$29,Valores!$F$29,Valores!$C$29*B286)</f>
        <v>447.83</v>
      </c>
      <c r="AE286" s="193">
        <v>94</v>
      </c>
      <c r="AF286" s="125">
        <f>ROUND(AE286*Valores!$C$2,2)</f>
        <v>2013.37</v>
      </c>
      <c r="AG286" s="125">
        <f>IF($F$4="NO",IF(Valores!$D$59*'Escala Docente'!B286&gt;Valores!$F$59,Valores!$F$59,Valores!$D$59*'Escala Docente'!B286),IF(Valores!$D$59*'Escala Docente'!B286&gt;Valores!$F$59,Valores!$F$59,Valores!$D$59*'Escala Docente'!B286)/2)</f>
        <v>6342.3</v>
      </c>
      <c r="AH286" s="125">
        <f t="shared" si="46"/>
        <v>121163.74000000002</v>
      </c>
      <c r="AI286" s="125">
        <f>IF(Valores!$C$32*B286&gt;Valores!$F$32,Valores!$F$32,Valores!$C$32*B286)</f>
        <v>9960.16</v>
      </c>
      <c r="AJ286" s="125">
        <f>IF(Valores!$C$86*B286&gt;Valores!$C$85,Valores!$C$85,Valores!$C$86*B286)</f>
        <v>3412.4999999999995</v>
      </c>
      <c r="AK286" s="125">
        <f>Valores!C$39*B286</f>
        <v>0</v>
      </c>
      <c r="AL286" s="125">
        <f>IF($F$3="NO",0,IF(Valores!$C$58*B286&gt;Valores!$F$58,Valores!$F$58,Valores!$C$58*B286))</f>
        <v>0</v>
      </c>
      <c r="AM286" s="125">
        <f t="shared" si="44"/>
        <v>13372.66</v>
      </c>
      <c r="AN286" s="125">
        <f>AH286*Valores!$C$67</f>
        <v>-13328.011400000003</v>
      </c>
      <c r="AO286" s="125">
        <f>AH286*-Valores!$C$68</f>
        <v>0</v>
      </c>
      <c r="AP286" s="125">
        <f>AH286*Valores!$C$69</f>
        <v>-5452.368300000001</v>
      </c>
      <c r="AQ286" s="125">
        <f>Valores!$C$96</f>
        <v>-280.91</v>
      </c>
      <c r="AR286" s="125">
        <f>IF($F$5=0,Valores!$C$97,(Valores!$C$97+$F$5*(Valores!$C$97)))</f>
        <v>-658</v>
      </c>
      <c r="AS286" s="125">
        <f t="shared" si="47"/>
        <v>114817.11030000001</v>
      </c>
      <c r="AT286" s="125">
        <f t="shared" si="41"/>
        <v>-13328.011400000003</v>
      </c>
      <c r="AU286" s="125">
        <f>AH286*Valores!$C$70</f>
        <v>-3271.4209800000003</v>
      </c>
      <c r="AV286" s="125">
        <f>AH286*Valores!$C$71</f>
        <v>-363.49122000000006</v>
      </c>
      <c r="AW286" s="125">
        <f t="shared" si="45"/>
        <v>117573.47640000001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3">
        <f t="shared" si="40"/>
        <v>2449</v>
      </c>
      <c r="F287" s="125">
        <f>ROUND(E287*Valores!$C$2,2)</f>
        <v>52454.64</v>
      </c>
      <c r="G287" s="193">
        <v>0</v>
      </c>
      <c r="H287" s="125">
        <f>ROUND(G287*Valores!$C$2,2)</f>
        <v>0</v>
      </c>
      <c r="I287" s="193">
        <v>0</v>
      </c>
      <c r="J287" s="125">
        <f>ROUND(I287*Valores!$C$2,2)</f>
        <v>0</v>
      </c>
      <c r="K287" s="193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9641.61</v>
      </c>
      <c r="N287" s="125">
        <f t="shared" si="42"/>
        <v>0</v>
      </c>
      <c r="O287" s="125">
        <f>Valores!$C$7*B287</f>
        <v>22517.47</v>
      </c>
      <c r="P287" s="125">
        <f>ROUND(IF(B287&lt;15,(Valores!$E$5*B287),Valores!$D$5),2)</f>
        <v>10949.29</v>
      </c>
      <c r="Q287" s="125">
        <v>0</v>
      </c>
      <c r="R287" s="125">
        <f>IF($F$4="NO",IF(Valores!$C$45*B287&gt;Valores!$C$44,Valores!$C$44,Valores!$C$45*B287),IF(Valores!$C$45*B287&gt;Valores!$C$44,Valores!$C$44,Valores!$C$45*B287)/2)</f>
        <v>4740.5199999999995</v>
      </c>
      <c r="S287" s="125">
        <f>Valores!$C$18*B287</f>
        <v>7082.26</v>
      </c>
      <c r="T287" s="125">
        <f t="shared" si="48"/>
        <v>7082.26</v>
      </c>
      <c r="U287" s="125">
        <v>0</v>
      </c>
      <c r="V287" s="125">
        <v>0</v>
      </c>
      <c r="W287" s="193">
        <v>0</v>
      </c>
      <c r="X287" s="125">
        <f>ROUND(W287*Valores!$C$2,2)</f>
        <v>0</v>
      </c>
      <c r="Y287" s="125">
        <v>0</v>
      </c>
      <c r="Z287" s="125">
        <f>IF(Valores!$C$93*B287&gt;Valores!$C$92,Valores!$C$92,Valores!$C$93*B287)</f>
        <v>7798.67</v>
      </c>
      <c r="AA287" s="125">
        <f>IF((Valores!$C$28)*B287&gt;Valores!$F$28,Valores!$F$28,(Valores!$C$28)*B287)</f>
        <v>556.14</v>
      </c>
      <c r="AB287" s="215">
        <v>0</v>
      </c>
      <c r="AC287" s="125">
        <f t="shared" si="43"/>
        <v>0</v>
      </c>
      <c r="AD287" s="125">
        <f>IF(Valores!$C$29*B287&gt;Valores!$F$29,Valores!$F$29,Valores!$C$29*B287)</f>
        <v>447.83</v>
      </c>
      <c r="AE287" s="193">
        <v>0</v>
      </c>
      <c r="AF287" s="125">
        <f>ROUND(AE287*Valores!$C$2,2)</f>
        <v>0</v>
      </c>
      <c r="AG287" s="125">
        <f>IF($F$4="NO",IF(Valores!$D$59*'Escala Docente'!B287&gt;Valores!$F$59,Valores!$F$59,Valores!$D$59*'Escala Docente'!B287),IF(Valores!$D$59*'Escala Docente'!B287&gt;Valores!$F$59,Valores!$F$59,Valores!$D$59*'Escala Docente'!B287)/2)</f>
        <v>6342.34</v>
      </c>
      <c r="AH287" s="125">
        <f t="shared" si="46"/>
        <v>122530.77</v>
      </c>
      <c r="AI287" s="125">
        <f>IF(Valores!$C$32*B287&gt;Valores!$F$32,Valores!$F$32,Valores!$C$32*B287)</f>
        <v>9960.16</v>
      </c>
      <c r="AJ287" s="125">
        <f>IF(Valores!$C$86*B287&gt;Valores!$C$85,Valores!$C$85,Valores!$C$86*B287)</f>
        <v>3526.2499999999995</v>
      </c>
      <c r="AK287" s="125">
        <f>Valores!C$39*B287</f>
        <v>0</v>
      </c>
      <c r="AL287" s="125">
        <f>IF($F$3="NO",0,IF(Valores!$C$58*B287&gt;Valores!$F$58,Valores!$F$58,Valores!$C$58*B287))</f>
        <v>0</v>
      </c>
      <c r="AM287" s="125">
        <f t="shared" si="44"/>
        <v>13486.41</v>
      </c>
      <c r="AN287" s="125">
        <f>AH287*Valores!$C$67</f>
        <v>-13478.3847</v>
      </c>
      <c r="AO287" s="125">
        <f>AH287*-Valores!$C$68</f>
        <v>0</v>
      </c>
      <c r="AP287" s="125">
        <f>AH287*Valores!$C$69</f>
        <v>-5513.88465</v>
      </c>
      <c r="AQ287" s="125">
        <f>Valores!$C$96</f>
        <v>-280.91</v>
      </c>
      <c r="AR287" s="125">
        <f>IF($F$5=0,Valores!$C$97,(Valores!$C$97+$F$5*(Valores!$C$97)))</f>
        <v>-658</v>
      </c>
      <c r="AS287" s="125">
        <f t="shared" si="47"/>
        <v>116086.00065</v>
      </c>
      <c r="AT287" s="125">
        <f t="shared" si="41"/>
        <v>-13478.3847</v>
      </c>
      <c r="AU287" s="125">
        <f>AH287*Valores!$C$70</f>
        <v>-3308.33079</v>
      </c>
      <c r="AV287" s="125">
        <f>AH287*Valores!$C$71</f>
        <v>-367.59231</v>
      </c>
      <c r="AW287" s="125">
        <f t="shared" si="45"/>
        <v>118862.87219999998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3">
        <f t="shared" si="40"/>
        <v>2449</v>
      </c>
      <c r="F288" s="125">
        <f>ROUND(E288*Valores!$C$2,2)</f>
        <v>52454.64</v>
      </c>
      <c r="G288" s="193">
        <v>0</v>
      </c>
      <c r="H288" s="125">
        <f>ROUND(G288*Valores!$C$2,2)</f>
        <v>0</v>
      </c>
      <c r="I288" s="193">
        <v>0</v>
      </c>
      <c r="J288" s="125">
        <f>ROUND(I288*Valores!$C$2,2)</f>
        <v>0</v>
      </c>
      <c r="K288" s="193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9641.61</v>
      </c>
      <c r="N288" s="125">
        <f t="shared" si="42"/>
        <v>0</v>
      </c>
      <c r="O288" s="125">
        <f>Valores!$C$7*B288</f>
        <v>22517.47</v>
      </c>
      <c r="P288" s="125">
        <f>ROUND(IF(B288&lt;15,(Valores!$E$5*B288),Valores!$D$5),2)</f>
        <v>10949.29</v>
      </c>
      <c r="Q288" s="125">
        <v>0</v>
      </c>
      <c r="R288" s="125">
        <f>IF($F$4="NO",IF(Valores!$C$45*B288&gt;Valores!$C$44,Valores!$C$44,Valores!$C$45*B288),IF(Valores!$C$45*B288&gt;Valores!$C$44,Valores!$C$44,Valores!$C$45*B288)/2)</f>
        <v>4740.5199999999995</v>
      </c>
      <c r="S288" s="125">
        <f>Valores!$C$18*B288</f>
        <v>7082.26</v>
      </c>
      <c r="T288" s="125">
        <f t="shared" si="48"/>
        <v>7082.26</v>
      </c>
      <c r="U288" s="125">
        <v>0</v>
      </c>
      <c r="V288" s="125">
        <v>0</v>
      </c>
      <c r="W288" s="193">
        <v>0</v>
      </c>
      <c r="X288" s="125">
        <f>ROUND(W288*Valores!$C$2,2)</f>
        <v>0</v>
      </c>
      <c r="Y288" s="125">
        <v>0</v>
      </c>
      <c r="Z288" s="125">
        <f>IF(Valores!$C$93*B288&gt;Valores!$C$92,Valores!$C$92,Valores!$C$93*B288)</f>
        <v>7798.67</v>
      </c>
      <c r="AA288" s="125">
        <f>IF((Valores!$C$28)*B288&gt;Valores!$F$28,Valores!$F$28,(Valores!$C$28)*B288)</f>
        <v>556.14</v>
      </c>
      <c r="AB288" s="215">
        <v>0</v>
      </c>
      <c r="AC288" s="125">
        <f t="shared" si="43"/>
        <v>0</v>
      </c>
      <c r="AD288" s="125">
        <f>IF(Valores!$C$29*B288&gt;Valores!$F$29,Valores!$F$29,Valores!$C$29*B288)</f>
        <v>447.83</v>
      </c>
      <c r="AE288" s="193">
        <v>94</v>
      </c>
      <c r="AF288" s="125">
        <f>ROUND(AE288*Valores!$C$2,2)</f>
        <v>2013.37</v>
      </c>
      <c r="AG288" s="125">
        <f>IF($F$4="NO",IF(Valores!$D$59*'Escala Docente'!B288&gt;Valores!$F$59,Valores!$F$59,Valores!$D$59*'Escala Docente'!B288),IF(Valores!$D$59*'Escala Docente'!B288&gt;Valores!$F$59,Valores!$F$59,Valores!$D$59*'Escala Docente'!B288)/2)</f>
        <v>6342.34</v>
      </c>
      <c r="AH288" s="125">
        <f t="shared" si="46"/>
        <v>124544.14</v>
      </c>
      <c r="AI288" s="125">
        <f>IF(Valores!$C$32*B288&gt;Valores!$F$32,Valores!$F$32,Valores!$C$32*B288)</f>
        <v>9960.16</v>
      </c>
      <c r="AJ288" s="125">
        <f>IF(Valores!$C$86*B288&gt;Valores!$C$85,Valores!$C$85,Valores!$C$86*B288)</f>
        <v>3526.2499999999995</v>
      </c>
      <c r="AK288" s="125">
        <f>Valores!C$39*B288</f>
        <v>0</v>
      </c>
      <c r="AL288" s="125">
        <f>IF($F$3="NO",0,IF(Valores!$C$58*B288&gt;Valores!$F$58,Valores!$F$58,Valores!$C$58*B288))</f>
        <v>0</v>
      </c>
      <c r="AM288" s="125">
        <f t="shared" si="44"/>
        <v>13486.41</v>
      </c>
      <c r="AN288" s="125">
        <f>AH288*Valores!$C$67</f>
        <v>-13699.8554</v>
      </c>
      <c r="AO288" s="125">
        <f>AH288*-Valores!$C$68</f>
        <v>0</v>
      </c>
      <c r="AP288" s="125">
        <f>AH288*Valores!$C$69</f>
        <v>-5604.4863</v>
      </c>
      <c r="AQ288" s="125">
        <f>Valores!$C$96</f>
        <v>-280.91</v>
      </c>
      <c r="AR288" s="125">
        <f>IF($F$5=0,Valores!$C$97,(Valores!$C$97+$F$5*(Valores!$C$97)))</f>
        <v>-658</v>
      </c>
      <c r="AS288" s="125">
        <f t="shared" si="47"/>
        <v>117787.2983</v>
      </c>
      <c r="AT288" s="125">
        <f t="shared" si="41"/>
        <v>-13699.8554</v>
      </c>
      <c r="AU288" s="125">
        <f>AH288*Valores!$C$70</f>
        <v>-3362.69178</v>
      </c>
      <c r="AV288" s="125">
        <f>AH288*Valores!$C$71</f>
        <v>-373.63242</v>
      </c>
      <c r="AW288" s="125">
        <f t="shared" si="45"/>
        <v>120594.37039999999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3">
        <f t="shared" si="40"/>
        <v>2528</v>
      </c>
      <c r="F289" s="125">
        <f>ROUND(E289*Valores!$C$2,2)</f>
        <v>54146.73</v>
      </c>
      <c r="G289" s="193">
        <v>0</v>
      </c>
      <c r="H289" s="125">
        <f>ROUND(G289*Valores!$C$2,2)</f>
        <v>0</v>
      </c>
      <c r="I289" s="193">
        <v>0</v>
      </c>
      <c r="J289" s="125">
        <f>ROUND(I289*Valores!$C$2,2)</f>
        <v>0</v>
      </c>
      <c r="K289" s="193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9952.63</v>
      </c>
      <c r="N289" s="125">
        <f t="shared" si="42"/>
        <v>0</v>
      </c>
      <c r="O289" s="125">
        <f>Valores!$C$7*B289</f>
        <v>23243.84</v>
      </c>
      <c r="P289" s="125">
        <f>ROUND(IF(B289&lt;15,(Valores!$E$5*B289),Valores!$D$5),2)</f>
        <v>10949.29</v>
      </c>
      <c r="Q289" s="125">
        <v>0</v>
      </c>
      <c r="R289" s="125">
        <f>IF($F$4="NO",IF(Valores!$C$45*B289&gt;Valores!$C$44,Valores!$C$44,Valores!$C$45*B289),IF(Valores!$C$45*B289&gt;Valores!$C$44,Valores!$C$44,Valores!$C$45*B289)/2)</f>
        <v>4893.44</v>
      </c>
      <c r="S289" s="125">
        <f>Valores!$C$18*B289</f>
        <v>7310.72</v>
      </c>
      <c r="T289" s="125">
        <f t="shared" si="48"/>
        <v>7310.72</v>
      </c>
      <c r="U289" s="125">
        <v>0</v>
      </c>
      <c r="V289" s="125">
        <v>0</v>
      </c>
      <c r="W289" s="193">
        <v>0</v>
      </c>
      <c r="X289" s="125">
        <f>ROUND(W289*Valores!$C$2,2)</f>
        <v>0</v>
      </c>
      <c r="Y289" s="125">
        <v>0</v>
      </c>
      <c r="Z289" s="125">
        <f>IF(Valores!$C$93*B289&gt;Valores!$C$92,Valores!$C$92,Valores!$C$93*B289)</f>
        <v>8050.24</v>
      </c>
      <c r="AA289" s="125">
        <f>IF((Valores!$C$28)*B289&gt;Valores!$F$28,Valores!$F$28,(Valores!$C$28)*B289)</f>
        <v>574.08</v>
      </c>
      <c r="AB289" s="215">
        <v>0</v>
      </c>
      <c r="AC289" s="125">
        <f t="shared" si="43"/>
        <v>0</v>
      </c>
      <c r="AD289" s="125">
        <f>IF(Valores!$C$29*B289&gt;Valores!$F$29,Valores!$F$29,Valores!$C$29*B289)</f>
        <v>447.83</v>
      </c>
      <c r="AE289" s="193">
        <v>0</v>
      </c>
      <c r="AF289" s="125">
        <f>ROUND(AE289*Valores!$C$2,2)</f>
        <v>0</v>
      </c>
      <c r="AG289" s="125">
        <f>IF($F$4="NO",IF(Valores!$D$59*'Escala Docente'!B289&gt;Valores!$F$59,Valores!$F$59,Valores!$D$59*'Escala Docente'!B289),IF(Valores!$D$59*'Escala Docente'!B289&gt;Valores!$F$59,Valores!$F$59,Valores!$D$59*'Escala Docente'!B289)/2)</f>
        <v>6342.34</v>
      </c>
      <c r="AH289" s="125">
        <f t="shared" si="46"/>
        <v>125911.14</v>
      </c>
      <c r="AI289" s="125">
        <f>IF(Valores!$C$32*B289&gt;Valores!$F$32,Valores!$F$32,Valores!$C$32*B289)</f>
        <v>9960.16</v>
      </c>
      <c r="AJ289" s="125">
        <f>IF(Valores!$C$86*B289&gt;Valores!$C$85,Valores!$C$85,Valores!$C$86*B289)</f>
        <v>3639.9999999999995</v>
      </c>
      <c r="AK289" s="125">
        <f>Valores!C$39*B289</f>
        <v>0</v>
      </c>
      <c r="AL289" s="125">
        <f>IF($F$3="NO",0,IF(Valores!$C$58*B289&gt;Valores!$F$58,Valores!$F$58,Valores!$C$58*B289))</f>
        <v>0</v>
      </c>
      <c r="AM289" s="125">
        <f t="shared" si="44"/>
        <v>13600.16</v>
      </c>
      <c r="AN289" s="125">
        <f>AH289*Valores!$C$67</f>
        <v>-13850.2254</v>
      </c>
      <c r="AO289" s="125">
        <f>AH289*-Valores!$C$68</f>
        <v>0</v>
      </c>
      <c r="AP289" s="125">
        <f>AH289*Valores!$C$69</f>
        <v>-5666.0013</v>
      </c>
      <c r="AQ289" s="125">
        <f>Valores!$C$96</f>
        <v>-280.91</v>
      </c>
      <c r="AR289" s="125">
        <f>IF($F$5=0,Valores!$C$97,(Valores!$C$97+$F$5*(Valores!$C$97)))</f>
        <v>-658</v>
      </c>
      <c r="AS289" s="125">
        <f t="shared" si="47"/>
        <v>119056.1633</v>
      </c>
      <c r="AT289" s="125">
        <f t="shared" si="41"/>
        <v>-13850.2254</v>
      </c>
      <c r="AU289" s="125">
        <f>AH289*Valores!$C$70</f>
        <v>-3399.6007799999998</v>
      </c>
      <c r="AV289" s="125">
        <f>AH289*Valores!$C$71</f>
        <v>-377.73342</v>
      </c>
      <c r="AW289" s="125">
        <f t="shared" si="45"/>
        <v>121883.74039999998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3">
        <f t="shared" si="40"/>
        <v>2528</v>
      </c>
      <c r="F290" s="125">
        <f>ROUND(E290*Valores!$C$2,2)</f>
        <v>54146.73</v>
      </c>
      <c r="G290" s="193">
        <v>0</v>
      </c>
      <c r="H290" s="125">
        <f>ROUND(G290*Valores!$C$2,2)</f>
        <v>0</v>
      </c>
      <c r="I290" s="193">
        <v>0</v>
      </c>
      <c r="J290" s="125">
        <f>ROUND(I290*Valores!$C$2,2)</f>
        <v>0</v>
      </c>
      <c r="K290" s="193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9952.63</v>
      </c>
      <c r="N290" s="125">
        <f t="shared" si="42"/>
        <v>0</v>
      </c>
      <c r="O290" s="125">
        <f>Valores!$C$7*B290</f>
        <v>23243.84</v>
      </c>
      <c r="P290" s="125">
        <f>ROUND(IF(B290&lt;15,(Valores!$E$5*B290),Valores!$D$5),2)</f>
        <v>10949.29</v>
      </c>
      <c r="Q290" s="125">
        <v>0</v>
      </c>
      <c r="R290" s="125">
        <f>IF($F$4="NO",IF(Valores!$C$45*B290&gt;Valores!$C$44,Valores!$C$44,Valores!$C$45*B290),IF(Valores!$C$45*B290&gt;Valores!$C$44,Valores!$C$44,Valores!$C$45*B290)/2)</f>
        <v>4893.44</v>
      </c>
      <c r="S290" s="125">
        <f>Valores!$C$18*B290</f>
        <v>7310.72</v>
      </c>
      <c r="T290" s="125">
        <f t="shared" si="48"/>
        <v>7310.72</v>
      </c>
      <c r="U290" s="125">
        <v>0</v>
      </c>
      <c r="V290" s="125">
        <v>0</v>
      </c>
      <c r="W290" s="193">
        <v>0</v>
      </c>
      <c r="X290" s="125">
        <f>ROUND(W290*Valores!$C$2,2)</f>
        <v>0</v>
      </c>
      <c r="Y290" s="125">
        <v>0</v>
      </c>
      <c r="Z290" s="125">
        <f>IF(Valores!$C$93*B290&gt;Valores!$C$92,Valores!$C$92,Valores!$C$93*B290)</f>
        <v>8050.24</v>
      </c>
      <c r="AA290" s="125">
        <f>IF((Valores!$C$28)*B290&gt;Valores!$F$28,Valores!$F$28,(Valores!$C$28)*B290)</f>
        <v>574.08</v>
      </c>
      <c r="AB290" s="215">
        <v>0</v>
      </c>
      <c r="AC290" s="125">
        <f t="shared" si="43"/>
        <v>0</v>
      </c>
      <c r="AD290" s="125">
        <f>IF(Valores!$C$29*B290&gt;Valores!$F$29,Valores!$F$29,Valores!$C$29*B290)</f>
        <v>447.83</v>
      </c>
      <c r="AE290" s="193">
        <v>94</v>
      </c>
      <c r="AF290" s="125">
        <f>ROUND(AE290*Valores!$C$2,2)</f>
        <v>2013.37</v>
      </c>
      <c r="AG290" s="125">
        <f>IF($F$4="NO",IF(Valores!$D$59*'Escala Docente'!B290&gt;Valores!$F$59,Valores!$F$59,Valores!$D$59*'Escala Docente'!B290),IF(Valores!$D$59*'Escala Docente'!B290&gt;Valores!$F$59,Valores!$F$59,Valores!$D$59*'Escala Docente'!B290)/2)</f>
        <v>6342.34</v>
      </c>
      <c r="AH290" s="125">
        <f t="shared" si="46"/>
        <v>127924.51</v>
      </c>
      <c r="AI290" s="125">
        <f>IF(Valores!$C$32*B290&gt;Valores!$F$32,Valores!$F$32,Valores!$C$32*B290)</f>
        <v>9960.16</v>
      </c>
      <c r="AJ290" s="125">
        <f>IF(Valores!$C$86*B290&gt;Valores!$C$85,Valores!$C$85,Valores!$C$86*B290)</f>
        <v>3639.9999999999995</v>
      </c>
      <c r="AK290" s="125">
        <f>Valores!C$39*B290</f>
        <v>0</v>
      </c>
      <c r="AL290" s="125">
        <f>IF($F$3="NO",0,IF(Valores!$C$58*B290&gt;Valores!$F$58,Valores!$F$58,Valores!$C$58*B290))</f>
        <v>0</v>
      </c>
      <c r="AM290" s="125">
        <f t="shared" si="44"/>
        <v>13600.16</v>
      </c>
      <c r="AN290" s="125">
        <f>AH290*Valores!$C$67</f>
        <v>-14071.6961</v>
      </c>
      <c r="AO290" s="125">
        <f>AH290*-Valores!$C$68</f>
        <v>0</v>
      </c>
      <c r="AP290" s="125">
        <f>AH290*Valores!$C$69</f>
        <v>-5756.6029499999995</v>
      </c>
      <c r="AQ290" s="125">
        <f>Valores!$C$96</f>
        <v>-280.91</v>
      </c>
      <c r="AR290" s="125">
        <f>IF($F$5=0,Valores!$C$97,(Valores!$C$97+$F$5*(Valores!$C$97)))</f>
        <v>-658</v>
      </c>
      <c r="AS290" s="125">
        <f t="shared" si="47"/>
        <v>120757.46095</v>
      </c>
      <c r="AT290" s="125">
        <f t="shared" si="41"/>
        <v>-14071.6961</v>
      </c>
      <c r="AU290" s="125">
        <f>AH290*Valores!$C$70</f>
        <v>-3453.96177</v>
      </c>
      <c r="AV290" s="125">
        <f>AH290*Valores!$C$71</f>
        <v>-383.77353</v>
      </c>
      <c r="AW290" s="125">
        <f t="shared" si="45"/>
        <v>123615.23859999998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3">
        <f aca="true" t="shared" si="50" ref="E291:E298">79*B291</f>
        <v>2607</v>
      </c>
      <c r="F291" s="125">
        <f>ROUND(E291*Valores!$C$2,2)</f>
        <v>55838.81</v>
      </c>
      <c r="G291" s="193">
        <v>0</v>
      </c>
      <c r="H291" s="125">
        <f>ROUND(G291*Valores!$C$2,2)</f>
        <v>0</v>
      </c>
      <c r="I291" s="193">
        <v>0</v>
      </c>
      <c r="J291" s="125">
        <f>ROUND(I291*Valores!$C$2,2)</f>
        <v>0</v>
      </c>
      <c r="K291" s="193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10263.65</v>
      </c>
      <c r="N291" s="125">
        <f t="shared" si="42"/>
        <v>0</v>
      </c>
      <c r="O291" s="125">
        <f>Valores!$C$7*B291</f>
        <v>23970.21</v>
      </c>
      <c r="P291" s="125">
        <f>ROUND(IF(B291&lt;15,(Valores!$E$5*B291),Valores!$D$5),2)</f>
        <v>10949.29</v>
      </c>
      <c r="Q291" s="125">
        <v>0</v>
      </c>
      <c r="R291" s="125">
        <f>IF($F$4="NO",IF(Valores!$C$45*B291&gt;Valores!$C$44,Valores!$C$44,Valores!$C$45*B291),IF(Valores!$C$45*B291&gt;Valores!$C$44,Valores!$C$44,Valores!$C$45*B291)/2)</f>
        <v>5046.36</v>
      </c>
      <c r="S291" s="125">
        <f>Valores!$C$18*B291</f>
        <v>7539.18</v>
      </c>
      <c r="T291" s="125">
        <f t="shared" si="48"/>
        <v>7539.18</v>
      </c>
      <c r="U291" s="125">
        <v>0</v>
      </c>
      <c r="V291" s="125">
        <v>0</v>
      </c>
      <c r="W291" s="193">
        <v>0</v>
      </c>
      <c r="X291" s="125">
        <f>ROUND(W291*Valores!$C$2,2)</f>
        <v>0</v>
      </c>
      <c r="Y291" s="125">
        <v>0</v>
      </c>
      <c r="Z291" s="125">
        <f>IF(Valores!$C$93*B291&gt;Valores!$C$92,Valores!$C$92,Valores!$C$93*B291)</f>
        <v>8301.81</v>
      </c>
      <c r="AA291" s="125">
        <f>IF((Valores!$C$28)*B291&gt;Valores!$F$28,Valores!$F$28,(Valores!$C$28)*B291)</f>
        <v>592.0200000000001</v>
      </c>
      <c r="AB291" s="215">
        <v>0</v>
      </c>
      <c r="AC291" s="125">
        <f t="shared" si="43"/>
        <v>0</v>
      </c>
      <c r="AD291" s="125">
        <f>IF(Valores!$C$29*B291&gt;Valores!$F$29,Valores!$F$29,Valores!$C$29*B291)</f>
        <v>447.83</v>
      </c>
      <c r="AE291" s="193">
        <v>0</v>
      </c>
      <c r="AF291" s="125">
        <f>ROUND(AE291*Valores!$C$2,2)</f>
        <v>0</v>
      </c>
      <c r="AG291" s="125">
        <f>IF($F$4="NO",IF(Valores!$D$59*'Escala Docente'!B291&gt;Valores!$F$59,Valores!$F$59,Valores!$D$59*'Escala Docente'!B291),IF(Valores!$D$59*'Escala Docente'!B291&gt;Valores!$F$59,Valores!$F$59,Valores!$D$59*'Escala Docente'!B291)/2)</f>
        <v>6342.34</v>
      </c>
      <c r="AH291" s="125">
        <f t="shared" si="46"/>
        <v>129291.5</v>
      </c>
      <c r="AI291" s="125">
        <f>IF(Valores!$C$32*B291&gt;Valores!$F$32,Valores!$F$32,Valores!$C$32*B291)</f>
        <v>9960.16</v>
      </c>
      <c r="AJ291" s="125">
        <f>IF(Valores!$C$86*B291&gt;Valores!$C$85,Valores!$C$85,Valores!$C$86*B291)</f>
        <v>3753.7499999999995</v>
      </c>
      <c r="AK291" s="125">
        <f>Valores!C$39*B291</f>
        <v>0</v>
      </c>
      <c r="AL291" s="125">
        <f>IF($F$3="NO",0,IF(Valores!$C$58*B291&gt;Valores!$F$58,Valores!$F$58,Valores!$C$58*B291))</f>
        <v>0</v>
      </c>
      <c r="AM291" s="125">
        <f t="shared" si="44"/>
        <v>13713.91</v>
      </c>
      <c r="AN291" s="125">
        <f>AH291*Valores!$C$67</f>
        <v>-14222.065</v>
      </c>
      <c r="AO291" s="125">
        <f>AH291*-Valores!$C$68</f>
        <v>0</v>
      </c>
      <c r="AP291" s="125">
        <f>AH291*Valores!$C$69</f>
        <v>-5818.117499999999</v>
      </c>
      <c r="AQ291" s="125">
        <f>Valores!$C$96</f>
        <v>-280.91</v>
      </c>
      <c r="AR291" s="125">
        <f>IF($F$5=0,Valores!$C$97,(Valores!$C$97+$F$5*(Valores!$C$97)))</f>
        <v>-658</v>
      </c>
      <c r="AS291" s="125">
        <f t="shared" si="47"/>
        <v>122026.3175</v>
      </c>
      <c r="AT291" s="125">
        <f t="shared" si="41"/>
        <v>-14222.065</v>
      </c>
      <c r="AU291" s="125">
        <f>AH291*Valores!$C$70</f>
        <v>-3490.8705</v>
      </c>
      <c r="AV291" s="125">
        <f>AH291*Valores!$C$71</f>
        <v>-387.8745</v>
      </c>
      <c r="AW291" s="125">
        <f t="shared" si="45"/>
        <v>124904.6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4">
        <f t="shared" si="50"/>
        <v>2607</v>
      </c>
      <c r="F292" s="125">
        <f>ROUND(E292*Valores!$C$2,2)</f>
        <v>55838.81</v>
      </c>
      <c r="G292" s="193">
        <v>0</v>
      </c>
      <c r="H292" s="125">
        <f>ROUND(G292*Valores!$C$2,2)</f>
        <v>0</v>
      </c>
      <c r="I292" s="193">
        <v>0</v>
      </c>
      <c r="J292" s="125">
        <f>ROUND(I292*Valores!$C$2,2)</f>
        <v>0</v>
      </c>
      <c r="K292" s="193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10263.65</v>
      </c>
      <c r="N292" s="125">
        <f t="shared" si="42"/>
        <v>0</v>
      </c>
      <c r="O292" s="125">
        <f>Valores!$C$7*B292</f>
        <v>23970.21</v>
      </c>
      <c r="P292" s="125">
        <f>ROUND(IF(B292&lt;15,(Valores!$E$5*B292),Valores!$D$5),2)</f>
        <v>10949.29</v>
      </c>
      <c r="Q292" s="125">
        <v>0</v>
      </c>
      <c r="R292" s="125">
        <f>IF($F$4="NO",IF(Valores!$C$45*B292&gt;Valores!$C$44,Valores!$C$44,Valores!$C$45*B292),IF(Valores!$C$45*B292&gt;Valores!$C$44,Valores!$C$44,Valores!$C$45*B292)/2)</f>
        <v>5046.36</v>
      </c>
      <c r="S292" s="125">
        <f>Valores!$C$18*B292</f>
        <v>7539.18</v>
      </c>
      <c r="T292" s="125">
        <f t="shared" si="48"/>
        <v>7539.18</v>
      </c>
      <c r="U292" s="125">
        <v>0</v>
      </c>
      <c r="V292" s="125">
        <v>0</v>
      </c>
      <c r="W292" s="193">
        <v>0</v>
      </c>
      <c r="X292" s="125">
        <f>ROUND(W292*Valores!$C$2,2)</f>
        <v>0</v>
      </c>
      <c r="Y292" s="125">
        <v>0</v>
      </c>
      <c r="Z292" s="125">
        <f>IF(Valores!$C$93*B292&gt;Valores!$C$92,Valores!$C$92,Valores!$C$93*B292)</f>
        <v>8301.81</v>
      </c>
      <c r="AA292" s="125">
        <f>IF((Valores!$C$28)*B292&gt;Valores!$F$28,Valores!$F$28,(Valores!$C$28)*B292)</f>
        <v>592.0200000000001</v>
      </c>
      <c r="AB292" s="215">
        <v>0</v>
      </c>
      <c r="AC292" s="125">
        <f t="shared" si="43"/>
        <v>0</v>
      </c>
      <c r="AD292" s="125">
        <f>IF(Valores!$C$29*B292&gt;Valores!$F$29,Valores!$F$29,Valores!$C$29*B292)</f>
        <v>447.83</v>
      </c>
      <c r="AE292" s="193">
        <v>94</v>
      </c>
      <c r="AF292" s="125">
        <f>ROUND(AE292*Valores!$C$2,2)</f>
        <v>2013.37</v>
      </c>
      <c r="AG292" s="125">
        <f>IF($F$4="NO",IF(Valores!$D$59*'Escala Docente'!B292&gt;Valores!$F$59,Valores!$F$59,Valores!$D$59*'Escala Docente'!B292),IF(Valores!$D$59*'Escala Docente'!B292&gt;Valores!$F$59,Valores!$F$59,Valores!$D$59*'Escala Docente'!B292)/2)</f>
        <v>6342.34</v>
      </c>
      <c r="AH292" s="125">
        <f t="shared" si="46"/>
        <v>131304.87</v>
      </c>
      <c r="AI292" s="125">
        <f>IF(Valores!$C$32*B292&gt;Valores!$F$32,Valores!$F$32,Valores!$C$32*B292)</f>
        <v>9960.16</v>
      </c>
      <c r="AJ292" s="125">
        <f>IF(Valores!$C$86*B292&gt;Valores!$C$85,Valores!$C$85,Valores!$C$86*B292)</f>
        <v>3753.7499999999995</v>
      </c>
      <c r="AK292" s="125">
        <f>Valores!C$39*B292</f>
        <v>0</v>
      </c>
      <c r="AL292" s="125">
        <f>IF($F$3="NO",0,IF(Valores!$C$58*B292&gt;Valores!$F$58,Valores!$F$58,Valores!$C$58*B292))</f>
        <v>0</v>
      </c>
      <c r="AM292" s="125">
        <f t="shared" si="44"/>
        <v>13713.91</v>
      </c>
      <c r="AN292" s="125">
        <f>AH292*Valores!$C$67</f>
        <v>-14443.5357</v>
      </c>
      <c r="AO292" s="125">
        <f>AH292*-Valores!$C$68</f>
        <v>0</v>
      </c>
      <c r="AP292" s="125">
        <f>AH292*Valores!$C$69</f>
        <v>-5908.71915</v>
      </c>
      <c r="AQ292" s="125">
        <f>Valores!$C$96</f>
        <v>-280.91</v>
      </c>
      <c r="AR292" s="125">
        <f>IF($F$5=0,Valores!$C$97,(Valores!$C$97+$F$5*(Valores!$C$97)))</f>
        <v>-658</v>
      </c>
      <c r="AS292" s="125">
        <f t="shared" si="47"/>
        <v>123727.61515</v>
      </c>
      <c r="AT292" s="125">
        <f t="shared" si="41"/>
        <v>-14443.5357</v>
      </c>
      <c r="AU292" s="125">
        <f>AH292*Valores!$C$70</f>
        <v>-3545.2314899999997</v>
      </c>
      <c r="AV292" s="125">
        <f>AH292*Valores!$C$71</f>
        <v>-393.91461</v>
      </c>
      <c r="AW292" s="125">
        <f t="shared" si="45"/>
        <v>126636.09820000001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3">
        <f t="shared" si="50"/>
        <v>2686</v>
      </c>
      <c r="F293" s="125">
        <f>ROUND(E293*Valores!$C$2,2)</f>
        <v>57530.9</v>
      </c>
      <c r="G293" s="193">
        <v>0</v>
      </c>
      <c r="H293" s="125">
        <f>ROUND(G293*Valores!$C$2,2)</f>
        <v>0</v>
      </c>
      <c r="I293" s="193">
        <v>0</v>
      </c>
      <c r="J293" s="125">
        <f>ROUND(I293*Valores!$C$2,2)</f>
        <v>0</v>
      </c>
      <c r="K293" s="193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10574.67</v>
      </c>
      <c r="N293" s="125">
        <f t="shared" si="42"/>
        <v>0</v>
      </c>
      <c r="O293" s="125">
        <f>Valores!$C$7*B293</f>
        <v>24696.58</v>
      </c>
      <c r="P293" s="125">
        <f>ROUND(IF(B293&lt;15,(Valores!$E$5*B293),Valores!$D$5),2)</f>
        <v>10949.29</v>
      </c>
      <c r="Q293" s="125">
        <v>0</v>
      </c>
      <c r="R293" s="125">
        <f>IF($F$4="NO",IF(Valores!$C$45*B293&gt;Valores!$C$44,Valores!$C$44,Valores!$C$45*B293),IF(Valores!$C$45*B293&gt;Valores!$C$44,Valores!$C$44,Valores!$C$45*B293)/2)</f>
        <v>5199.28</v>
      </c>
      <c r="S293" s="125">
        <f>Valores!$C$18*B293</f>
        <v>7767.64</v>
      </c>
      <c r="T293" s="125">
        <f t="shared" si="48"/>
        <v>7767.64</v>
      </c>
      <c r="U293" s="125">
        <v>0</v>
      </c>
      <c r="V293" s="125">
        <v>0</v>
      </c>
      <c r="W293" s="193">
        <v>0</v>
      </c>
      <c r="X293" s="125">
        <f>ROUND(W293*Valores!$C$2,2)</f>
        <v>0</v>
      </c>
      <c r="Y293" s="125">
        <v>0</v>
      </c>
      <c r="Z293" s="125">
        <f>IF(Valores!$C$93*B293&gt;Valores!$C$92,Valores!$C$92,Valores!$C$93*B293)</f>
        <v>8553.38</v>
      </c>
      <c r="AA293" s="125">
        <f>IF((Valores!$C$28)*B293&gt;Valores!$F$28,Valores!$F$28,(Valores!$C$28)*B293)</f>
        <v>609.96</v>
      </c>
      <c r="AB293" s="215">
        <v>0</v>
      </c>
      <c r="AC293" s="125">
        <f t="shared" si="43"/>
        <v>0</v>
      </c>
      <c r="AD293" s="125">
        <f>IF(Valores!$C$29*B293&gt;Valores!$F$29,Valores!$F$29,Valores!$C$29*B293)</f>
        <v>447.83</v>
      </c>
      <c r="AE293" s="193">
        <v>0</v>
      </c>
      <c r="AF293" s="125">
        <f>ROUND(AE293*Valores!$C$2,2)</f>
        <v>0</v>
      </c>
      <c r="AG293" s="125">
        <f>IF($F$4="NO",IF(Valores!$D$59*'Escala Docente'!B293&gt;Valores!$F$59,Valores!$F$59,Valores!$D$59*'Escala Docente'!B293),IF(Valores!$D$59*'Escala Docente'!B293&gt;Valores!$F$59,Valores!$F$59,Valores!$D$59*'Escala Docente'!B293)/2)</f>
        <v>6342.34</v>
      </c>
      <c r="AH293" s="125">
        <f t="shared" si="46"/>
        <v>132671.87000000002</v>
      </c>
      <c r="AI293" s="125">
        <f>IF(Valores!$C$32*B293&gt;Valores!$F$32,Valores!$F$32,Valores!$C$32*B293)</f>
        <v>9960.16</v>
      </c>
      <c r="AJ293" s="125">
        <f>IF(Valores!$C$86*B293&gt;Valores!$C$85,Valores!$C$85,Valores!$C$86*B293)</f>
        <v>3867.4999999999995</v>
      </c>
      <c r="AK293" s="125">
        <f>Valores!C$39*B293</f>
        <v>0</v>
      </c>
      <c r="AL293" s="125">
        <f>IF($F$3="NO",0,IF(Valores!$C$58*B293&gt;Valores!$F$58,Valores!$F$58,Valores!$C$58*B293))</f>
        <v>0</v>
      </c>
      <c r="AM293" s="125">
        <f t="shared" si="44"/>
        <v>13827.66</v>
      </c>
      <c r="AN293" s="125">
        <f>AH293*Valores!$C$67</f>
        <v>-14593.905700000003</v>
      </c>
      <c r="AO293" s="125">
        <f>AH293*-Valores!$C$68</f>
        <v>0</v>
      </c>
      <c r="AP293" s="125">
        <f>AH293*Valores!$C$69</f>
        <v>-5970.234150000001</v>
      </c>
      <c r="AQ293" s="125">
        <f>Valores!$C$96</f>
        <v>-280.91</v>
      </c>
      <c r="AR293" s="125">
        <f>IF($F$5=0,Valores!$C$97,(Valores!$C$97+$F$5*(Valores!$C$97)))</f>
        <v>-658</v>
      </c>
      <c r="AS293" s="125">
        <f t="shared" si="47"/>
        <v>124996.48015000002</v>
      </c>
      <c r="AT293" s="125">
        <f t="shared" si="41"/>
        <v>-14593.905700000003</v>
      </c>
      <c r="AU293" s="125">
        <f>AH293*Valores!$C$70</f>
        <v>-3582.1404900000007</v>
      </c>
      <c r="AV293" s="125">
        <f>AH293*Valores!$C$71</f>
        <v>-398.0156100000001</v>
      </c>
      <c r="AW293" s="125">
        <f t="shared" si="45"/>
        <v>127925.46820000003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3">
        <f t="shared" si="50"/>
        <v>2686</v>
      </c>
      <c r="F294" s="125">
        <f>ROUND(E294*Valores!$C$2,2)</f>
        <v>57530.9</v>
      </c>
      <c r="G294" s="193">
        <v>0</v>
      </c>
      <c r="H294" s="125">
        <f>ROUND(G294*Valores!$C$2,2)</f>
        <v>0</v>
      </c>
      <c r="I294" s="193">
        <v>0</v>
      </c>
      <c r="J294" s="125">
        <f>ROUND(I294*Valores!$C$2,2)</f>
        <v>0</v>
      </c>
      <c r="K294" s="193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10574.67</v>
      </c>
      <c r="N294" s="125">
        <f t="shared" si="42"/>
        <v>0</v>
      </c>
      <c r="O294" s="125">
        <f>Valores!$C$7*B294</f>
        <v>24696.58</v>
      </c>
      <c r="P294" s="125">
        <f>ROUND(IF(B294&lt;15,(Valores!$E$5*B294),Valores!$D$5),2)</f>
        <v>10949.29</v>
      </c>
      <c r="Q294" s="125">
        <v>0</v>
      </c>
      <c r="R294" s="125">
        <f>IF($F$4="NO",IF(Valores!$C$45*B294&gt;Valores!$C$44,Valores!$C$44,Valores!$C$45*B294),IF(Valores!$C$45*B294&gt;Valores!$C$44,Valores!$C$44,Valores!$C$45*B294)/2)</f>
        <v>5199.28</v>
      </c>
      <c r="S294" s="125">
        <f>Valores!$C$18*B294</f>
        <v>7767.64</v>
      </c>
      <c r="T294" s="125">
        <f t="shared" si="48"/>
        <v>7767.64</v>
      </c>
      <c r="U294" s="125">
        <v>0</v>
      </c>
      <c r="V294" s="125">
        <v>0</v>
      </c>
      <c r="W294" s="193">
        <v>0</v>
      </c>
      <c r="X294" s="125">
        <f>ROUND(W294*Valores!$C$2,2)</f>
        <v>0</v>
      </c>
      <c r="Y294" s="125">
        <v>0</v>
      </c>
      <c r="Z294" s="125">
        <f>IF(Valores!$C$93*B294&gt;Valores!$C$92,Valores!$C$92,Valores!$C$93*B294)</f>
        <v>8553.38</v>
      </c>
      <c r="AA294" s="125">
        <f>IF((Valores!$C$28)*B294&gt;Valores!$F$28,Valores!$F$28,(Valores!$C$28)*B294)</f>
        <v>609.96</v>
      </c>
      <c r="AB294" s="215">
        <v>0</v>
      </c>
      <c r="AC294" s="125">
        <f t="shared" si="43"/>
        <v>0</v>
      </c>
      <c r="AD294" s="125">
        <f>IF(Valores!$C$29*B294&gt;Valores!$F$29,Valores!$F$29,Valores!$C$29*B294)</f>
        <v>447.83</v>
      </c>
      <c r="AE294" s="193">
        <v>94</v>
      </c>
      <c r="AF294" s="125">
        <f>ROUND(AE294*Valores!$C$2,2)</f>
        <v>2013.37</v>
      </c>
      <c r="AG294" s="125">
        <f>IF($F$4="NO",IF(Valores!$D$59*'Escala Docente'!B294&gt;Valores!$F$59,Valores!$F$59,Valores!$D$59*'Escala Docente'!B294),IF(Valores!$D$59*'Escala Docente'!B294&gt;Valores!$F$59,Valores!$F$59,Valores!$D$59*'Escala Docente'!B294)/2)</f>
        <v>6342.34</v>
      </c>
      <c r="AH294" s="125">
        <f t="shared" si="46"/>
        <v>134685.24000000002</v>
      </c>
      <c r="AI294" s="125">
        <f>IF(Valores!$C$32*B294&gt;Valores!$F$32,Valores!$F$32,Valores!$C$32*B294)</f>
        <v>9960.16</v>
      </c>
      <c r="AJ294" s="125">
        <f>IF(Valores!$C$86*B294&gt;Valores!$C$85,Valores!$C$85,Valores!$C$86*B294)</f>
        <v>3867.4999999999995</v>
      </c>
      <c r="AK294" s="125">
        <f>Valores!C$39*B294</f>
        <v>0</v>
      </c>
      <c r="AL294" s="125">
        <f>IF($F$3="NO",0,IF(Valores!$C$58*B294&gt;Valores!$F$58,Valores!$F$58,Valores!$C$58*B294))</f>
        <v>0</v>
      </c>
      <c r="AM294" s="125">
        <f t="shared" si="44"/>
        <v>13827.66</v>
      </c>
      <c r="AN294" s="125">
        <f>AH294*Valores!$C$67</f>
        <v>-14815.376400000003</v>
      </c>
      <c r="AO294" s="125">
        <f>AH294*-Valores!$C$68</f>
        <v>0</v>
      </c>
      <c r="AP294" s="125">
        <f>AH294*Valores!$C$69</f>
        <v>-6060.835800000001</v>
      </c>
      <c r="AQ294" s="125">
        <f>Valores!$C$96</f>
        <v>-280.91</v>
      </c>
      <c r="AR294" s="125">
        <f>IF($F$5=0,Valores!$C$97,(Valores!$C$97+$F$5*(Valores!$C$97)))</f>
        <v>-658</v>
      </c>
      <c r="AS294" s="125">
        <f t="shared" si="47"/>
        <v>126697.77780000001</v>
      </c>
      <c r="AT294" s="125">
        <f t="shared" si="41"/>
        <v>-14815.376400000003</v>
      </c>
      <c r="AU294" s="125">
        <f>AH294*Valores!$C$70</f>
        <v>-3636.5014800000004</v>
      </c>
      <c r="AV294" s="125">
        <f>AH294*Valores!$C$71</f>
        <v>-404.05572000000006</v>
      </c>
      <c r="AW294" s="125">
        <f t="shared" si="45"/>
        <v>129656.96640000002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3">
        <f t="shared" si="50"/>
        <v>2765</v>
      </c>
      <c r="F295" s="125">
        <f>ROUND(E295*Valores!$C$2,2)</f>
        <v>59222.98</v>
      </c>
      <c r="G295" s="193">
        <v>0</v>
      </c>
      <c r="H295" s="125">
        <f>ROUND(G295*Valores!$C$2,2)</f>
        <v>0</v>
      </c>
      <c r="I295" s="193">
        <v>0</v>
      </c>
      <c r="J295" s="125">
        <f>ROUND(I295*Valores!$C$2,2)</f>
        <v>0</v>
      </c>
      <c r="K295" s="193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10884.37</v>
      </c>
      <c r="N295" s="125">
        <f t="shared" si="42"/>
        <v>0</v>
      </c>
      <c r="O295" s="125">
        <f>Valores!$C$7*B295</f>
        <v>25422.95</v>
      </c>
      <c r="P295" s="125">
        <f>ROUND(IF(B295&lt;15,(Valores!$E$5*B295),Valores!$D$5),2)</f>
        <v>10949.29</v>
      </c>
      <c r="Q295" s="125">
        <v>0</v>
      </c>
      <c r="R295" s="125">
        <f>IF($F$4="NO",IF(Valores!$C$45*B295&gt;Valores!$C$44,Valores!$C$44,Valores!$C$45*B295),IF(Valores!$C$45*B295&gt;Valores!$C$44,Valores!$C$44,Valores!$C$45*B295)/2)</f>
        <v>5343.37</v>
      </c>
      <c r="S295" s="125">
        <f>Valores!$C$18*B295</f>
        <v>7996.1</v>
      </c>
      <c r="T295" s="125">
        <f t="shared" si="48"/>
        <v>7996.1</v>
      </c>
      <c r="U295" s="125">
        <v>0</v>
      </c>
      <c r="V295" s="125">
        <v>0</v>
      </c>
      <c r="W295" s="193">
        <v>0</v>
      </c>
      <c r="X295" s="125">
        <f>ROUND(W295*Valores!$C$2,2)</f>
        <v>0</v>
      </c>
      <c r="Y295" s="125">
        <v>0</v>
      </c>
      <c r="Z295" s="125">
        <f>IF(Valores!$C$93*B295&gt;Valores!$C$92,Valores!$C$92,Valores!$C$93*B295)</f>
        <v>8804.949999999999</v>
      </c>
      <c r="AA295" s="125">
        <f>IF((Valores!$C$28)*B295&gt;Valores!$F$28,Valores!$F$28,(Valores!$C$28)*B295)</f>
        <v>627.9000000000001</v>
      </c>
      <c r="AB295" s="215">
        <v>0</v>
      </c>
      <c r="AC295" s="125">
        <f t="shared" si="43"/>
        <v>0</v>
      </c>
      <c r="AD295" s="125">
        <f>IF(Valores!$C$29*B295&gt;Valores!$F$29,Valores!$F$29,Valores!$C$29*B295)</f>
        <v>447.83</v>
      </c>
      <c r="AE295" s="193">
        <v>0</v>
      </c>
      <c r="AF295" s="125">
        <f>ROUND(AE295*Valores!$C$2,2)</f>
        <v>0</v>
      </c>
      <c r="AG295" s="125">
        <f>IF($F$4="NO",IF(Valores!$D$59*'Escala Docente'!B295&gt;Valores!$F$59,Valores!$F$59,Valores!$D$59*'Escala Docente'!B295),IF(Valores!$D$59*'Escala Docente'!B295&gt;Valores!$F$59,Valores!$F$59,Valores!$D$59*'Escala Docente'!B295)/2)</f>
        <v>6342.34</v>
      </c>
      <c r="AH295" s="125">
        <f t="shared" si="46"/>
        <v>136042.08</v>
      </c>
      <c r="AI295" s="125">
        <f>IF(Valores!$C$32*B295&gt;Valores!$F$32,Valores!$F$32,Valores!$C$32*B295)</f>
        <v>9960.16</v>
      </c>
      <c r="AJ295" s="125">
        <f>IF(Valores!$C$86*B295&gt;Valores!$C$85,Valores!$C$85,Valores!$C$86*B295)</f>
        <v>3981.2499999999995</v>
      </c>
      <c r="AK295" s="125">
        <f>Valores!C$39*B295</f>
        <v>0</v>
      </c>
      <c r="AL295" s="125">
        <f>IF($F$3="NO",0,IF(Valores!$C$58*B295&gt;Valores!$F$58,Valores!$F$58,Valores!$C$58*B295))</f>
        <v>0</v>
      </c>
      <c r="AM295" s="125">
        <f t="shared" si="44"/>
        <v>13941.41</v>
      </c>
      <c r="AN295" s="125">
        <f>AH295*Valores!$C$67</f>
        <v>-14964.628799999999</v>
      </c>
      <c r="AO295" s="125">
        <f>AH295*-Valores!$C$68</f>
        <v>0</v>
      </c>
      <c r="AP295" s="125">
        <f>AH295*Valores!$C$69</f>
        <v>-6121.893599999999</v>
      </c>
      <c r="AQ295" s="125">
        <f>Valores!$C$96</f>
        <v>-280.91</v>
      </c>
      <c r="AR295" s="125">
        <f>IF($F$5=0,Valores!$C$97,(Valores!$C$97+$F$5*(Valores!$C$97)))</f>
        <v>-658</v>
      </c>
      <c r="AS295" s="125">
        <f t="shared" si="47"/>
        <v>127958.05759999999</v>
      </c>
      <c r="AT295" s="125">
        <f t="shared" si="41"/>
        <v>-14964.628799999999</v>
      </c>
      <c r="AU295" s="125">
        <f>AH295*Valores!$C$70</f>
        <v>-3673.1361599999996</v>
      </c>
      <c r="AV295" s="125">
        <f>AH295*Valores!$C$71</f>
        <v>-408.12624</v>
      </c>
      <c r="AW295" s="125">
        <f t="shared" si="45"/>
        <v>130937.59879999999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3">
        <f t="shared" si="50"/>
        <v>2765</v>
      </c>
      <c r="F296" s="125">
        <f>ROUND(E296*Valores!$C$2,2)</f>
        <v>59222.98</v>
      </c>
      <c r="G296" s="193">
        <v>0</v>
      </c>
      <c r="H296" s="125">
        <f>ROUND(G296*Valores!$C$2,2)</f>
        <v>0</v>
      </c>
      <c r="I296" s="193">
        <v>0</v>
      </c>
      <c r="J296" s="125">
        <f>ROUND(I296*Valores!$C$2,2)</f>
        <v>0</v>
      </c>
      <c r="K296" s="193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10884.37</v>
      </c>
      <c r="N296" s="125">
        <f t="shared" si="42"/>
        <v>0</v>
      </c>
      <c r="O296" s="125">
        <f>Valores!$C$7*B296</f>
        <v>25422.95</v>
      </c>
      <c r="P296" s="125">
        <f>ROUND(IF(B296&lt;15,(Valores!$E$5*B296),Valores!$D$5),2)</f>
        <v>10949.29</v>
      </c>
      <c r="Q296" s="125">
        <v>0</v>
      </c>
      <c r="R296" s="125">
        <f>IF($F$4="NO",IF(Valores!$C$45*B296&gt;Valores!$C$44,Valores!$C$44,Valores!$C$45*B296),IF(Valores!$C$45*B296&gt;Valores!$C$44,Valores!$C$44,Valores!$C$45*B296)/2)</f>
        <v>5343.37</v>
      </c>
      <c r="S296" s="125">
        <f>Valores!$C$18*B296</f>
        <v>7996.1</v>
      </c>
      <c r="T296" s="125">
        <f t="shared" si="48"/>
        <v>7996.1</v>
      </c>
      <c r="U296" s="125">
        <v>0</v>
      </c>
      <c r="V296" s="125">
        <v>0</v>
      </c>
      <c r="W296" s="193">
        <v>0</v>
      </c>
      <c r="X296" s="125">
        <f>ROUND(W296*Valores!$C$2,2)</f>
        <v>0</v>
      </c>
      <c r="Y296" s="125">
        <v>0</v>
      </c>
      <c r="Z296" s="125">
        <f>IF(Valores!$C$93*B296&gt;Valores!$C$92,Valores!$C$92,Valores!$C$93*B296)</f>
        <v>8804.949999999999</v>
      </c>
      <c r="AA296" s="125">
        <f>IF((Valores!$C$28)*B296&gt;Valores!$F$28,Valores!$F$28,(Valores!$C$28)*B296)</f>
        <v>627.9000000000001</v>
      </c>
      <c r="AB296" s="215">
        <v>0</v>
      </c>
      <c r="AC296" s="125">
        <f t="shared" si="43"/>
        <v>0</v>
      </c>
      <c r="AD296" s="125">
        <f>IF(Valores!$C$29*B296&gt;Valores!$F$29,Valores!$F$29,Valores!$C$29*B296)</f>
        <v>447.83</v>
      </c>
      <c r="AE296" s="193">
        <v>94</v>
      </c>
      <c r="AF296" s="125">
        <f>ROUND(AE296*Valores!$C$2,2)</f>
        <v>2013.37</v>
      </c>
      <c r="AG296" s="125">
        <f>IF($F$4="NO",IF(Valores!$D$59*'Escala Docente'!B296&gt;Valores!$F$59,Valores!$F$59,Valores!$D$59*'Escala Docente'!B296),IF(Valores!$D$59*'Escala Docente'!B296&gt;Valores!$F$59,Valores!$F$59,Valores!$D$59*'Escala Docente'!B296)/2)</f>
        <v>6342.34</v>
      </c>
      <c r="AH296" s="125">
        <f t="shared" si="46"/>
        <v>138055.44999999998</v>
      </c>
      <c r="AI296" s="125">
        <f>IF(Valores!$C$32*B296&gt;Valores!$F$32,Valores!$F$32,Valores!$C$32*B296)</f>
        <v>9960.16</v>
      </c>
      <c r="AJ296" s="125">
        <f>IF(Valores!$C$86*B296&gt;Valores!$C$85,Valores!$C$85,Valores!$C$86*B296)</f>
        <v>3981.2499999999995</v>
      </c>
      <c r="AK296" s="125">
        <f>Valores!C$39*B296</f>
        <v>0</v>
      </c>
      <c r="AL296" s="125">
        <f>IF($F$3="NO",0,IF(Valores!$C$58*B296&gt;Valores!$F$58,Valores!$F$58,Valores!$C$58*B296))</f>
        <v>0</v>
      </c>
      <c r="AM296" s="125">
        <f t="shared" si="44"/>
        <v>13941.41</v>
      </c>
      <c r="AN296" s="125">
        <f>AH296*Valores!$C$67</f>
        <v>-15186.099499999998</v>
      </c>
      <c r="AO296" s="125">
        <f>AH296*-Valores!$C$68</f>
        <v>0</v>
      </c>
      <c r="AP296" s="125">
        <f>AH296*Valores!$C$69</f>
        <v>-6212.495249999999</v>
      </c>
      <c r="AQ296" s="125">
        <f>Valores!$C$96</f>
        <v>-280.91</v>
      </c>
      <c r="AR296" s="125">
        <f>IF($F$5=0,Valores!$C$97,(Valores!$C$97+$F$5*(Valores!$C$97)))</f>
        <v>-658</v>
      </c>
      <c r="AS296" s="125">
        <f t="shared" si="47"/>
        <v>129659.35525</v>
      </c>
      <c r="AT296" s="125">
        <f t="shared" si="41"/>
        <v>-15186.099499999998</v>
      </c>
      <c r="AU296" s="125">
        <f>AH296*Valores!$C$70</f>
        <v>-3727.4971499999997</v>
      </c>
      <c r="AV296" s="125">
        <f>AH296*Valores!$C$71</f>
        <v>-414.16634999999997</v>
      </c>
      <c r="AW296" s="125">
        <f t="shared" si="45"/>
        <v>132669.09699999998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3">
        <f t="shared" si="50"/>
        <v>2844</v>
      </c>
      <c r="F297" s="125">
        <f>ROUND(E297*Valores!$C$2,2)</f>
        <v>60915.07</v>
      </c>
      <c r="G297" s="193">
        <v>0</v>
      </c>
      <c r="H297" s="125">
        <f>ROUND(G297*Valores!$C$2,2)</f>
        <v>0</v>
      </c>
      <c r="I297" s="193">
        <v>0</v>
      </c>
      <c r="J297" s="125">
        <f>ROUND(I297*Valores!$C$2,2)</f>
        <v>0</v>
      </c>
      <c r="K297" s="193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11172.45</v>
      </c>
      <c r="N297" s="125">
        <f t="shared" si="42"/>
        <v>0</v>
      </c>
      <c r="O297" s="125">
        <f>Valores!$C$7*B297</f>
        <v>26149.32</v>
      </c>
      <c r="P297" s="125">
        <f>ROUND(IF(B297&lt;15,(Valores!$E$5*B297),Valores!$D$5),2)</f>
        <v>10949.29</v>
      </c>
      <c r="Q297" s="125">
        <v>0</v>
      </c>
      <c r="R297" s="125">
        <f>IF($F$4="NO",IF(Valores!$C$45*B297&gt;Valores!$C$44,Valores!$C$44,Valores!$C$45*B297),IF(Valores!$C$45*B297&gt;Valores!$C$44,Valores!$C$44,Valores!$C$45*B297)/2)</f>
        <v>5343.37</v>
      </c>
      <c r="S297" s="125">
        <f>Valores!$C$18*B297</f>
        <v>8224.56</v>
      </c>
      <c r="T297" s="125">
        <f t="shared" si="48"/>
        <v>8224.56</v>
      </c>
      <c r="U297" s="125">
        <v>0</v>
      </c>
      <c r="V297" s="125">
        <v>0</v>
      </c>
      <c r="W297" s="193">
        <v>0</v>
      </c>
      <c r="X297" s="125">
        <f>ROUND(W297*Valores!$C$2,2)</f>
        <v>0</v>
      </c>
      <c r="Y297" s="125">
        <v>0</v>
      </c>
      <c r="Z297" s="125">
        <f>IF(Valores!$C$93*B297&gt;Valores!$C$92,Valores!$C$92,Valores!$C$93*B297)</f>
        <v>9056.52</v>
      </c>
      <c r="AA297" s="125">
        <f>IF((Valores!$C$28)*B297&gt;Valores!$F$28,Valores!$F$28,(Valores!$C$28)*B297)</f>
        <v>645.84</v>
      </c>
      <c r="AB297" s="215">
        <v>0</v>
      </c>
      <c r="AC297" s="125">
        <f t="shared" si="43"/>
        <v>0</v>
      </c>
      <c r="AD297" s="125">
        <f>IF(Valores!$C$29*B297&gt;Valores!$F$29,Valores!$F$29,Valores!$C$29*B297)</f>
        <v>447.83</v>
      </c>
      <c r="AE297" s="193">
        <v>0</v>
      </c>
      <c r="AF297" s="125">
        <f>ROUND(AE297*Valores!$C$2,2)</f>
        <v>0</v>
      </c>
      <c r="AG297" s="125">
        <f>IF($F$4="NO",IF(Valores!$D$59*'Escala Docente'!B297&gt;Valores!$F$59,Valores!$F$59,Valores!$D$59*'Escala Docente'!B297),IF(Valores!$D$59*'Escala Docente'!B297&gt;Valores!$F$59,Valores!$F$59,Valores!$D$59*'Escala Docente'!B297)/2)</f>
        <v>6342.34</v>
      </c>
      <c r="AH297" s="125">
        <f t="shared" si="46"/>
        <v>139246.58999999997</v>
      </c>
      <c r="AI297" s="125">
        <f>IF(Valores!$C$32*B297&gt;Valores!$F$32,Valores!$F$32,Valores!$C$32*B297)</f>
        <v>9960.16</v>
      </c>
      <c r="AJ297" s="125">
        <f>IF(Valores!$C$86*B297&gt;Valores!$C$85,Valores!$C$85,Valores!$C$86*B297)</f>
        <v>4094.9999999999995</v>
      </c>
      <c r="AK297" s="125">
        <f>Valores!C$39*B297</f>
        <v>0</v>
      </c>
      <c r="AL297" s="125">
        <f>IF($F$3="NO",0,IF(Valores!$C$58*B297&gt;Valores!$F$58,Valores!$F$58,Valores!$C$58*B297))</f>
        <v>0</v>
      </c>
      <c r="AM297" s="125">
        <f t="shared" si="44"/>
        <v>14055.16</v>
      </c>
      <c r="AN297" s="125">
        <f>AH297*Valores!$C$67</f>
        <v>-15317.124899999997</v>
      </c>
      <c r="AO297" s="125">
        <f>AH297*-Valores!$C$68</f>
        <v>0</v>
      </c>
      <c r="AP297" s="125">
        <f>AH297*Valores!$C$69</f>
        <v>-6266.096549999998</v>
      </c>
      <c r="AQ297" s="125">
        <f>Valores!$C$96</f>
        <v>-280.91</v>
      </c>
      <c r="AR297" s="125">
        <f>IF($F$5=0,Valores!$C$97,(Valores!$C$97+$F$5*(Valores!$C$97)))</f>
        <v>-658</v>
      </c>
      <c r="AS297" s="125">
        <f t="shared" si="47"/>
        <v>130779.61854999997</v>
      </c>
      <c r="AT297" s="125">
        <f t="shared" si="41"/>
        <v>-15317.124899999997</v>
      </c>
      <c r="AU297" s="125">
        <f>AH297*Valores!$C$70</f>
        <v>-3759.657929999999</v>
      </c>
      <c r="AV297" s="125">
        <f>AH297*Valores!$C$71</f>
        <v>-417.7397699999999</v>
      </c>
      <c r="AW297" s="125">
        <f t="shared" si="45"/>
        <v>133807.22739999997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3">
        <f t="shared" si="50"/>
        <v>2844</v>
      </c>
      <c r="F298" s="125">
        <f>ROUND(E298*Valores!$C$2,2)</f>
        <v>60915.07</v>
      </c>
      <c r="G298" s="193">
        <v>0</v>
      </c>
      <c r="H298" s="125">
        <f>ROUND(G298*Valores!$C$2,2)</f>
        <v>0</v>
      </c>
      <c r="I298" s="193">
        <v>0</v>
      </c>
      <c r="J298" s="125">
        <f>ROUND(I298*Valores!$C$2,2)</f>
        <v>0</v>
      </c>
      <c r="K298" s="193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11172.45</v>
      </c>
      <c r="N298" s="125">
        <f t="shared" si="42"/>
        <v>0</v>
      </c>
      <c r="O298" s="125">
        <f>Valores!$C$7*B298</f>
        <v>26149.32</v>
      </c>
      <c r="P298" s="125">
        <f>ROUND(IF(B298&lt;15,(Valores!$E$5*B298),Valores!$D$5),2)</f>
        <v>10949.29</v>
      </c>
      <c r="Q298" s="125">
        <v>0</v>
      </c>
      <c r="R298" s="125">
        <f>IF($F$4="NO",IF(Valores!$C$45*B298&gt;Valores!$C$44,Valores!$C$44,Valores!$C$45*B298),IF(Valores!$C$45*B298&gt;Valores!$C$44,Valores!$C$44,Valores!$C$45*B298)/2)</f>
        <v>5343.37</v>
      </c>
      <c r="S298" s="125">
        <f>Valores!$C$18*B298</f>
        <v>8224.56</v>
      </c>
      <c r="T298" s="125">
        <f t="shared" si="48"/>
        <v>8224.56</v>
      </c>
      <c r="U298" s="125">
        <v>0</v>
      </c>
      <c r="V298" s="125">
        <v>0</v>
      </c>
      <c r="W298" s="193">
        <v>0</v>
      </c>
      <c r="X298" s="125">
        <f>ROUND(W298*Valores!$C$2,2)</f>
        <v>0</v>
      </c>
      <c r="Y298" s="125">
        <v>0</v>
      </c>
      <c r="Z298" s="125">
        <f>IF(Valores!$C$93*B298&gt;Valores!$C$92,Valores!$C$92,Valores!$C$93*B298)</f>
        <v>9056.52</v>
      </c>
      <c r="AA298" s="125">
        <f>IF((Valores!$C$28)*B298&gt;Valores!$F$28,Valores!$F$28,(Valores!$C$28)*B298)</f>
        <v>645.84</v>
      </c>
      <c r="AB298" s="215">
        <v>0</v>
      </c>
      <c r="AC298" s="125">
        <f t="shared" si="43"/>
        <v>0</v>
      </c>
      <c r="AD298" s="125">
        <f>IF(Valores!$C$29*B298&gt;Valores!$F$29,Valores!$F$29,Valores!$C$29*B298)</f>
        <v>447.83</v>
      </c>
      <c r="AE298" s="193">
        <v>94</v>
      </c>
      <c r="AF298" s="125">
        <f>ROUND(AE298*Valores!$C$2,2)</f>
        <v>2013.37</v>
      </c>
      <c r="AG298" s="125">
        <f>IF($F$4="NO",IF(Valores!$D$59*'Escala Docente'!B298&gt;Valores!$F$59,Valores!$F$59,Valores!$D$59*'Escala Docente'!B298),IF(Valores!$D$59*'Escala Docente'!B298&gt;Valores!$F$59,Valores!$F$59,Valores!$D$59*'Escala Docente'!B298)/2)</f>
        <v>6342.34</v>
      </c>
      <c r="AH298" s="125">
        <f t="shared" si="46"/>
        <v>141259.95999999996</v>
      </c>
      <c r="AI298" s="125">
        <f>IF(Valores!$C$32*B298&gt;Valores!$F$32,Valores!$F$32,Valores!$C$32*B298)</f>
        <v>9960.16</v>
      </c>
      <c r="AJ298" s="125">
        <f>IF(Valores!$C$86*B298&gt;Valores!$C$85,Valores!$C$85,Valores!$C$86*B298)</f>
        <v>4094.9999999999995</v>
      </c>
      <c r="AK298" s="125">
        <f>Valores!C$39*B298</f>
        <v>0</v>
      </c>
      <c r="AL298" s="125">
        <f>IF($F$3="NO",0,IF(Valores!$C$58*B298&gt;Valores!$F$58,Valores!$F$58,Valores!$C$58*B298))</f>
        <v>0</v>
      </c>
      <c r="AM298" s="125">
        <f t="shared" si="44"/>
        <v>14055.16</v>
      </c>
      <c r="AN298" s="125">
        <f>AH298*Valores!$C$67</f>
        <v>-15538.595599999995</v>
      </c>
      <c r="AO298" s="125">
        <f>AH298*-Valores!$C$68</f>
        <v>0</v>
      </c>
      <c r="AP298" s="125">
        <f>AH298*Valores!$C$69</f>
        <v>-6356.698199999998</v>
      </c>
      <c r="AQ298" s="125">
        <f>Valores!$C$96</f>
        <v>-280.91</v>
      </c>
      <c r="AR298" s="125">
        <f>IF($F$5=0,Valores!$C$97,(Valores!$C$97+$F$5*(Valores!$C$97)))</f>
        <v>-658</v>
      </c>
      <c r="AS298" s="125">
        <f t="shared" si="47"/>
        <v>132480.91619999998</v>
      </c>
      <c r="AT298" s="125">
        <f t="shared" si="41"/>
        <v>-15538.595599999995</v>
      </c>
      <c r="AU298" s="125">
        <f>AH298*Valores!$C$70</f>
        <v>-3814.018919999999</v>
      </c>
      <c r="AV298" s="125">
        <f>AH298*Valores!$C$71</f>
        <v>-423.7798799999999</v>
      </c>
      <c r="AW298" s="125">
        <f t="shared" si="45"/>
        <v>135538.72559999998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3">
        <v>79</v>
      </c>
      <c r="F299" s="125">
        <f>ROUND(E299*Valores!$C$2,2)</f>
        <v>1692.09</v>
      </c>
      <c r="G299" s="193">
        <v>0</v>
      </c>
      <c r="H299" s="125">
        <f>ROUND(G299*Valores!$C$2,2)</f>
        <v>0</v>
      </c>
      <c r="I299" s="193">
        <v>0</v>
      </c>
      <c r="J299" s="125">
        <f>ROUND(I299*Valores!$C$2,2)</f>
        <v>0</v>
      </c>
      <c r="K299" s="193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311.02</v>
      </c>
      <c r="N299" s="125">
        <f t="shared" si="42"/>
        <v>0</v>
      </c>
      <c r="O299" s="125">
        <f>Valores!$C$7*B299</f>
        <v>726.37</v>
      </c>
      <c r="P299" s="125">
        <f>ROUND(IF(B299&lt;15,(Valores!$E$5*B299),Valores!$D$5),2)</f>
        <v>729.95</v>
      </c>
      <c r="Q299" s="125">
        <v>0</v>
      </c>
      <c r="R299" s="125">
        <f>IF($F$4="NO",IF(Valores!$C$45*B299&gt;Valores!$C$44,Valores!$C$44,Valores!$C$45*B299),IF(Valores!$C$45*B299&gt;Valores!$C$44,Valores!$C$44,Valores!$C$45*B299)/2)</f>
        <v>152.92</v>
      </c>
      <c r="S299" s="125">
        <f>Valores!$C$18*B299</f>
        <v>228.46</v>
      </c>
      <c r="T299" s="125">
        <f t="shared" si="48"/>
        <v>228.46</v>
      </c>
      <c r="U299" s="125">
        <v>0</v>
      </c>
      <c r="V299" s="125">
        <v>0</v>
      </c>
      <c r="W299" s="193">
        <v>0</v>
      </c>
      <c r="X299" s="125">
        <f>ROUND(W299*Valores!$C$2,2)</f>
        <v>0</v>
      </c>
      <c r="Y299" s="125">
        <v>0</v>
      </c>
      <c r="Z299" s="125">
        <f>IF(Valores!$C$93*B299&gt;Valores!$C$92,Valores!$C$92,Valores!$C$93*B299)</f>
        <v>251.57</v>
      </c>
      <c r="AA299" s="125">
        <f>IF((Valores!$C$28)*B299&gt;Valores!$F$28,Valores!$F$28,(Valores!$C$28)*B299)</f>
        <v>17.94</v>
      </c>
      <c r="AB299" s="215">
        <v>0</v>
      </c>
      <c r="AC299" s="125">
        <f t="shared" si="43"/>
        <v>0</v>
      </c>
      <c r="AD299" s="125">
        <f>IF(Valores!$C$29*B299&gt;Valores!$F$29,Valores!$F$29,Valores!$C$29*B299)</f>
        <v>14.94</v>
      </c>
      <c r="AE299" s="193">
        <v>0</v>
      </c>
      <c r="AF299" s="125">
        <f>ROUND(AE299*Valores!$C$2,2)</f>
        <v>0</v>
      </c>
      <c r="AG299" s="125">
        <f>IF($F$4="NO",IF(Valores!$D$59*'Escala Docente'!B299&gt;Valores!$F$59,Valores!$F$59,Valores!$D$59*'Escala Docente'!B299),IF(Valores!$D$59*'Escala Docente'!B299&gt;Valores!$F$59,Valores!$F$59,Valores!$D$59*'Escala Docente'!B299)/2)</f>
        <v>211.41</v>
      </c>
      <c r="AH299" s="125">
        <f t="shared" si="46"/>
        <v>4336.67</v>
      </c>
      <c r="AI299" s="125">
        <f>IF(Valores!$C$32*B299&gt;Valores!$F$32,Valores!$F$32,Valores!$C$32*B299)</f>
        <v>332.01</v>
      </c>
      <c r="AJ299" s="125">
        <f>IF(Valores!$C$86*B299&gt;Valores!$C$85,Valores!$C$85,Valores!$C$86*B299)</f>
        <v>113.74999999999999</v>
      </c>
      <c r="AK299" s="125">
        <f>Valores!C$39*B299</f>
        <v>0</v>
      </c>
      <c r="AL299" s="125">
        <f>IF($F$3="NO",0,IF(Valores!$C$58*B299&gt;Valores!$F$58,Valores!$F$58,Valores!$C$58*B299))</f>
        <v>0</v>
      </c>
      <c r="AM299" s="125">
        <f t="shared" si="44"/>
        <v>445.76</v>
      </c>
      <c r="AN299" s="125">
        <f>AH299*Valores!$C$67</f>
        <v>-477.0337</v>
      </c>
      <c r="AO299" s="125">
        <f>AH299*-Valores!$C$68</f>
        <v>0</v>
      </c>
      <c r="AP299" s="125">
        <f>AH299*Valores!$C$69</f>
        <v>-195.15015</v>
      </c>
      <c r="AQ299" s="125">
        <f>Valores!$C$96</f>
        <v>-280.91</v>
      </c>
      <c r="AR299" s="125">
        <f>IF($F$5=0,Valores!$C$97,(Valores!$C$97+$F$5*(Valores!$C$97)))</f>
        <v>-658</v>
      </c>
      <c r="AS299" s="125">
        <f t="shared" si="47"/>
        <v>3171.33615</v>
      </c>
      <c r="AT299" s="125">
        <f t="shared" si="41"/>
        <v>-477.0337</v>
      </c>
      <c r="AU299" s="125">
        <f>AH299*Valores!$C$70</f>
        <v>-117.09009</v>
      </c>
      <c r="AV299" s="125">
        <f>AH299*Valores!$C$71</f>
        <v>-13.010010000000001</v>
      </c>
      <c r="AW299" s="125">
        <f t="shared" si="45"/>
        <v>4175.296200000001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5">
        <v>243</v>
      </c>
      <c r="F300" s="125">
        <f>ROUND(E300*Valores!$C$2,2)</f>
        <v>5204.77</v>
      </c>
      <c r="G300" s="193">
        <v>0</v>
      </c>
      <c r="H300" s="125">
        <f>ROUND(G300*Valores!$C$2,2)</f>
        <v>0</v>
      </c>
      <c r="I300" s="193">
        <v>0</v>
      </c>
      <c r="J300" s="125">
        <f>ROUND(I300*Valores!$C$2,2)</f>
        <v>0</v>
      </c>
      <c r="K300" s="193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1459.9</v>
      </c>
      <c r="Q300" s="125">
        <v>0</v>
      </c>
      <c r="R300" s="125">
        <f>IF($F$4="NO",Valores!C46,Valores!C46/2)</f>
        <v>356.24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3">
        <v>0</v>
      </c>
      <c r="X300" s="125">
        <f>ROUND(W300*Valores!$C$2,2)</f>
        <v>0</v>
      </c>
      <c r="Y300" s="125">
        <v>0</v>
      </c>
      <c r="Z300" s="125">
        <f>Valores!$C$94</f>
        <v>489.94</v>
      </c>
      <c r="AA300" s="125">
        <v>0</v>
      </c>
      <c r="AB300" s="215">
        <v>0</v>
      </c>
      <c r="AC300" s="125">
        <f t="shared" si="43"/>
        <v>0</v>
      </c>
      <c r="AD300" s="125">
        <v>0</v>
      </c>
      <c r="AE300" s="193">
        <v>0</v>
      </c>
      <c r="AF300" s="125">
        <f>ROUND(AE300*Valores!$C$2,2)</f>
        <v>0</v>
      </c>
      <c r="AG300" s="125">
        <f>IF($F$4="NO",Valores!$C$60,Valores!$C$60/2)</f>
        <v>338.16</v>
      </c>
      <c r="AH300" s="125">
        <f t="shared" si="46"/>
        <v>7849.009999999999</v>
      </c>
      <c r="AI300" s="125">
        <f>Valores!$C$33</f>
        <v>273</v>
      </c>
      <c r="AJ300" s="125">
        <f>Valores!$C$87</f>
        <v>227.49999999999997</v>
      </c>
      <c r="AK300" s="125">
        <v>0</v>
      </c>
      <c r="AL300" s="125">
        <v>0</v>
      </c>
      <c r="AM300" s="125">
        <f t="shared" si="44"/>
        <v>500.5</v>
      </c>
      <c r="AN300" s="125">
        <f>AH300*Valores!$C$67</f>
        <v>-863.3910999999999</v>
      </c>
      <c r="AO300" s="125">
        <f>AH300*-Valores!$C$68</f>
        <v>0</v>
      </c>
      <c r="AP300" s="125">
        <f>AH300*Valores!$C$69</f>
        <v>-353.2054499999999</v>
      </c>
      <c r="AQ300" s="125">
        <f>Valores!$C$96</f>
        <v>-280.91</v>
      </c>
      <c r="AR300" s="125">
        <f>IF($F$5=0,Valores!$C$97,(Valores!$C$97+$F$5*(Valores!$C$97)))</f>
        <v>-658</v>
      </c>
      <c r="AS300" s="125">
        <f t="shared" si="47"/>
        <v>6194.003449999999</v>
      </c>
      <c r="AT300" s="125">
        <f t="shared" si="41"/>
        <v>-863.3910999999999</v>
      </c>
      <c r="AU300" s="125">
        <f>AH300*Valores!$C$70</f>
        <v>-211.92326999999997</v>
      </c>
      <c r="AV300" s="125">
        <f>AH300*Valores!$C$71</f>
        <v>-23.54703</v>
      </c>
      <c r="AW300" s="125">
        <f t="shared" si="45"/>
        <v>7250.648599999999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662</v>
      </c>
      <c r="B301" s="123">
        <v>1</v>
      </c>
      <c r="C301" s="126">
        <v>294</v>
      </c>
      <c r="D301" s="124" t="s">
        <v>663</v>
      </c>
      <c r="E301" s="195">
        <f>E300/2</f>
        <v>121.5</v>
      </c>
      <c r="F301" s="125">
        <f>ROUND(E301*Valores!$C$2,2)</f>
        <v>2602.38</v>
      </c>
      <c r="G301" s="193">
        <v>0</v>
      </c>
      <c r="H301" s="125">
        <f>ROUND(G301*Valores!$C$2,2)</f>
        <v>0</v>
      </c>
      <c r="I301" s="193">
        <v>0</v>
      </c>
      <c r="J301" s="125">
        <f>ROUND(I301*Valores!$C$2,2)</f>
        <v>0</v>
      </c>
      <c r="K301" s="193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729.95</v>
      </c>
      <c r="Q301" s="125">
        <v>0</v>
      </c>
      <c r="R301" s="125">
        <f>IF($F$4="NO",Valores!C47,Valores!C47/2)</f>
        <v>178.12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3">
        <v>0</v>
      </c>
      <c r="X301" s="125">
        <f>ROUND(W301*Valores!$C$2,2)</f>
        <v>0</v>
      </c>
      <c r="Y301" s="125">
        <v>0</v>
      </c>
      <c r="Z301" s="125">
        <f>Valores!$C$95</f>
        <v>244.97</v>
      </c>
      <c r="AA301" s="125">
        <v>0</v>
      </c>
      <c r="AB301" s="215">
        <v>0</v>
      </c>
      <c r="AC301" s="125">
        <f t="shared" si="43"/>
        <v>0</v>
      </c>
      <c r="AD301" s="125">
        <v>0</v>
      </c>
      <c r="AE301" s="193">
        <v>0</v>
      </c>
      <c r="AF301" s="125">
        <f>ROUND(AE301*Valores!$C$2,2)</f>
        <v>0</v>
      </c>
      <c r="AG301" s="125">
        <f>IF($F$4="NO",Valores!$C$61,Valores!$C$61/2)</f>
        <v>169.08</v>
      </c>
      <c r="AH301" s="125">
        <f t="shared" si="46"/>
        <v>3924.4999999999995</v>
      </c>
      <c r="AI301" s="125">
        <f>Valores!C34</f>
        <v>136.5</v>
      </c>
      <c r="AJ301" s="125">
        <f>Valores!$C$88</f>
        <v>113.74999999999999</v>
      </c>
      <c r="AK301" s="125">
        <v>0</v>
      </c>
      <c r="AL301" s="125">
        <v>0</v>
      </c>
      <c r="AM301" s="125">
        <f t="shared" si="44"/>
        <v>250.25</v>
      </c>
      <c r="AN301" s="125">
        <f>AH301*Valores!$C$67</f>
        <v>-431.69499999999994</v>
      </c>
      <c r="AO301" s="125">
        <v>0</v>
      </c>
      <c r="AP301" s="125">
        <f>AH301*Valores!$C$69</f>
        <v>-176.60249999999996</v>
      </c>
      <c r="AQ301" s="125">
        <f>Valores!$C$96</f>
        <v>-280.91</v>
      </c>
      <c r="AR301" s="125">
        <f>IF($F$5=0,Valores!$C$97,(Valores!$C$97+$F$5*(Valores!$C$97)))</f>
        <v>-658</v>
      </c>
      <c r="AS301" s="125">
        <f t="shared" si="47"/>
        <v>2627.5424999999996</v>
      </c>
      <c r="AT301" s="125">
        <f aca="true" t="shared" si="52" ref="AT301">AN301</f>
        <v>-431.69499999999994</v>
      </c>
      <c r="AU301" s="125">
        <f>AH301*Valores!$C$70</f>
        <v>-105.96149999999999</v>
      </c>
      <c r="AV301" s="125">
        <f>AH301*Valores!$C$71</f>
        <v>-11.773499999999999</v>
      </c>
      <c r="AW301" s="125">
        <f t="shared" si="45"/>
        <v>3625.32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5">
        <v>700</v>
      </c>
      <c r="F302" s="125">
        <f>ROUND(E302*Valores!$C$2,2)</f>
        <v>14993.16</v>
      </c>
      <c r="G302" s="193">
        <v>0</v>
      </c>
      <c r="H302" s="125">
        <f>ROUND(G302*Valores!$C$2,2)</f>
        <v>0</v>
      </c>
      <c r="I302" s="193">
        <v>0</v>
      </c>
      <c r="J302" s="125">
        <f>ROUND(I302*Valores!$C$2,2)</f>
        <v>0</v>
      </c>
      <c r="K302" s="193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2593.04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IF($F$4="NO",Valores!$C$45*15,Valores!$C$45*15/2)</f>
        <v>2293.7999999999997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3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5">
        <v>0</v>
      </c>
      <c r="AC302" s="125">
        <f t="shared" si="43"/>
        <v>0</v>
      </c>
      <c r="AD302" s="125">
        <v>0</v>
      </c>
      <c r="AE302" s="193">
        <v>0</v>
      </c>
      <c r="AF302" s="125">
        <f>ROUND(AE302*Valores!$C$2,2)</f>
        <v>0</v>
      </c>
      <c r="AG302" s="125">
        <v>0</v>
      </c>
      <c r="AH302" s="125">
        <f t="shared" si="46"/>
        <v>19880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AH302*Valores!$C$67</f>
        <v>-2186.8</v>
      </c>
      <c r="AO302" s="125">
        <f>AH302*-Valores!$C$68</f>
        <v>0</v>
      </c>
      <c r="AP302" s="125">
        <f>AH302*Valores!$C$69</f>
        <v>-894.6</v>
      </c>
      <c r="AQ302" s="125">
        <v>0</v>
      </c>
      <c r="AR302" s="125">
        <v>0</v>
      </c>
      <c r="AS302" s="125">
        <f t="shared" si="47"/>
        <v>16798.6</v>
      </c>
      <c r="AT302" s="125">
        <f t="shared" si="41"/>
        <v>-2186.8</v>
      </c>
      <c r="AU302" s="125">
        <f>AH302*Valores!$C$70</f>
        <v>-536.76</v>
      </c>
      <c r="AV302" s="125">
        <f>AH302*Valores!$C$71</f>
        <v>-59.64</v>
      </c>
      <c r="AW302" s="125">
        <f t="shared" si="45"/>
        <v>17096.8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5">
        <v>500</v>
      </c>
      <c r="F303" s="125">
        <f>ROUND(E303*Valores!$C$2,2)</f>
        <v>10709.4</v>
      </c>
      <c r="G303" s="193">
        <v>0</v>
      </c>
      <c r="H303" s="125">
        <f>ROUND(G303*Valores!$C$2,2)</f>
        <v>0</v>
      </c>
      <c r="I303" s="193">
        <v>0</v>
      </c>
      <c r="J303" s="125">
        <f>ROUND(I303*Valores!$C$2,2)</f>
        <v>0</v>
      </c>
      <c r="K303" s="193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1835.79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IF($F$4="NO",Valores!$C$45*10,Valores!$C$45*10/2)</f>
        <v>1529.1999999999998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3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5">
        <v>0</v>
      </c>
      <c r="AC303" s="125">
        <f t="shared" si="43"/>
        <v>0</v>
      </c>
      <c r="AD303" s="125">
        <v>0</v>
      </c>
      <c r="AE303" s="193">
        <v>0</v>
      </c>
      <c r="AF303" s="125">
        <f>ROUND(AE303*Valores!$C$2,2)</f>
        <v>0</v>
      </c>
      <c r="AG303" s="125">
        <v>0</v>
      </c>
      <c r="AH303" s="125">
        <f t="shared" si="46"/>
        <v>14074.39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AH303*Valores!$C$67</f>
        <v>-1548.1829</v>
      </c>
      <c r="AO303" s="125">
        <f>AH303*-Valores!$C$68</f>
        <v>0</v>
      </c>
      <c r="AP303" s="125">
        <f>AH303*Valores!$C$69</f>
        <v>-633.34755</v>
      </c>
      <c r="AQ303" s="125">
        <v>0</v>
      </c>
      <c r="AR303" s="125">
        <v>0</v>
      </c>
      <c r="AS303" s="125">
        <f t="shared" si="47"/>
        <v>11892.85955</v>
      </c>
      <c r="AT303" s="125">
        <f t="shared" si="41"/>
        <v>-1548.1829</v>
      </c>
      <c r="AU303" s="125">
        <f>AH303*Valores!$C$70</f>
        <v>-380.00853</v>
      </c>
      <c r="AV303" s="125">
        <f>AH303*Valores!$C$71</f>
        <v>-42.223169999999996</v>
      </c>
      <c r="AW303" s="125">
        <f t="shared" si="45"/>
        <v>12103.9754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5">
        <v>300</v>
      </c>
      <c r="F304" s="125">
        <f>ROUND(E304*Valores!$C$2,2)</f>
        <v>6425.64</v>
      </c>
      <c r="G304" s="193">
        <v>0</v>
      </c>
      <c r="H304" s="125">
        <f>ROUND(G304*Valores!$C$2,2)</f>
        <v>0</v>
      </c>
      <c r="I304" s="193">
        <v>0</v>
      </c>
      <c r="J304" s="125">
        <f>ROUND(I304*Valores!$C$2,2)</f>
        <v>0</v>
      </c>
      <c r="K304" s="193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1078.54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IF($F$4="NO",Valores!$C$45*5,Valores!$C$45*5/2)</f>
        <v>764.5999999999999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3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5">
        <v>0</v>
      </c>
      <c r="AC304" s="125">
        <f t="shared" si="43"/>
        <v>0</v>
      </c>
      <c r="AD304" s="125">
        <v>0</v>
      </c>
      <c r="AE304" s="193">
        <v>0</v>
      </c>
      <c r="AF304" s="125">
        <f>ROUND(AE304*Valores!$C$2,2)</f>
        <v>0</v>
      </c>
      <c r="AG304" s="125">
        <v>0</v>
      </c>
      <c r="AH304" s="125">
        <f t="shared" si="46"/>
        <v>8268.78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AH304*Valores!$C$67</f>
        <v>-909.5658000000001</v>
      </c>
      <c r="AO304" s="125">
        <f>AH304*-Valores!$C$68</f>
        <v>0</v>
      </c>
      <c r="AP304" s="125">
        <f>AH304*Valores!$C$69</f>
        <v>-372.0951</v>
      </c>
      <c r="AQ304" s="125">
        <v>0</v>
      </c>
      <c r="AR304" s="125">
        <v>0</v>
      </c>
      <c r="AS304" s="125">
        <f t="shared" si="47"/>
        <v>6987.119100000001</v>
      </c>
      <c r="AT304" s="125">
        <f t="shared" si="41"/>
        <v>-909.5658000000001</v>
      </c>
      <c r="AU304" s="125">
        <f>AH304*Valores!$C$70</f>
        <v>-223.25706000000002</v>
      </c>
      <c r="AV304" s="125">
        <f>AH304*Valores!$C$71</f>
        <v>-24.806340000000002</v>
      </c>
      <c r="AW304" s="125">
        <f t="shared" si="45"/>
        <v>7111.1508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5">
        <v>155</v>
      </c>
      <c r="F305" s="125">
        <f>ROUND(E305*Valores!$C$2,2)</f>
        <v>3319.91</v>
      </c>
      <c r="G305" s="193">
        <v>0</v>
      </c>
      <c r="H305" s="125">
        <f>ROUND(G305*Valores!$C$2,2)</f>
        <v>0</v>
      </c>
      <c r="I305" s="193">
        <v>0</v>
      </c>
      <c r="J305" s="125">
        <f>ROUND(I305*Valores!$C$2,2)</f>
        <v>0</v>
      </c>
      <c r="K305" s="193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520.92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IF($F$4="NO",IF(Valores!$C$45*B305&gt;Valores!$C$44,Valores!$C$44,Valores!$C$45*B305),IF(Valores!$C$45*B305&gt;Valores!$C$44,Valores!$C$44,Valores!$C$45*B305)/2)</f>
        <v>152.92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3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5">
        <v>0</v>
      </c>
      <c r="AC305" s="125">
        <f t="shared" si="43"/>
        <v>0</v>
      </c>
      <c r="AD305" s="125">
        <v>0</v>
      </c>
      <c r="AE305" s="193">
        <v>0</v>
      </c>
      <c r="AF305" s="125">
        <f>ROUND(AE305*Valores!$C$2,2)</f>
        <v>0</v>
      </c>
      <c r="AG305" s="125">
        <v>0</v>
      </c>
      <c r="AH305" s="125">
        <f t="shared" si="46"/>
        <v>3993.75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AH305*Valores!$C$67</f>
        <v>-439.3125</v>
      </c>
      <c r="AO305" s="125">
        <f>AH305*-Valores!$C$68</f>
        <v>0</v>
      </c>
      <c r="AP305" s="125">
        <f>AH305*Valores!$C$69</f>
        <v>-179.71875</v>
      </c>
      <c r="AQ305" s="125">
        <v>0</v>
      </c>
      <c r="AR305" s="125">
        <v>0</v>
      </c>
      <c r="AS305" s="125">
        <f t="shared" si="47"/>
        <v>3374.71875</v>
      </c>
      <c r="AT305" s="125">
        <f t="shared" si="41"/>
        <v>-439.3125</v>
      </c>
      <c r="AU305" s="125">
        <f>AH305*Valores!$C$70</f>
        <v>-107.83125</v>
      </c>
      <c r="AV305" s="125">
        <f>AH305*Valores!$C$71</f>
        <v>-11.981250000000001</v>
      </c>
      <c r="AW305" s="125">
        <f t="shared" si="45"/>
        <v>3434.625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5">
        <f aca="true" t="shared" si="53" ref="E306:E320">155+E305</f>
        <v>310</v>
      </c>
      <c r="F306" s="125">
        <f>ROUND(E306*Valores!$C$2,2)</f>
        <v>6639.83</v>
      </c>
      <c r="G306" s="193">
        <v>0</v>
      </c>
      <c r="H306" s="125">
        <f>ROUND(G306*Valores!$C$2,2)</f>
        <v>0</v>
      </c>
      <c r="I306" s="193">
        <v>0</v>
      </c>
      <c r="J306" s="125">
        <f>ROUND(I306*Valores!$C$2,2)</f>
        <v>0</v>
      </c>
      <c r="K306" s="193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1041.85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IF($F$4="NO",IF(Valores!$C$45*B306&gt;Valores!$C$44,Valores!$C$44,Valores!$C$45*B306),IF(Valores!$C$45*B306&gt;Valores!$C$44,Valores!$C$44,Valores!$C$45*B306)/2)</f>
        <v>305.84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3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5">
        <v>0</v>
      </c>
      <c r="AC306" s="125">
        <f t="shared" si="43"/>
        <v>0</v>
      </c>
      <c r="AD306" s="125">
        <v>0</v>
      </c>
      <c r="AE306" s="193">
        <v>0</v>
      </c>
      <c r="AF306" s="125">
        <f>ROUND(AE306*Valores!$C$2,2)</f>
        <v>0</v>
      </c>
      <c r="AG306" s="125">
        <v>0</v>
      </c>
      <c r="AH306" s="125">
        <f t="shared" si="46"/>
        <v>7987.52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AH306*Valores!$C$67</f>
        <v>-878.6272</v>
      </c>
      <c r="AO306" s="125">
        <f>AH306*-Valores!$C$68</f>
        <v>0</v>
      </c>
      <c r="AP306" s="125">
        <f>AH306*Valores!$C$69</f>
        <v>-359.4384</v>
      </c>
      <c r="AQ306" s="125">
        <v>0</v>
      </c>
      <c r="AR306" s="125">
        <v>0</v>
      </c>
      <c r="AS306" s="125">
        <f t="shared" si="47"/>
        <v>6749.4544000000005</v>
      </c>
      <c r="AT306" s="125">
        <f t="shared" si="41"/>
        <v>-878.6272</v>
      </c>
      <c r="AU306" s="125">
        <f>AH306*Valores!$C$70</f>
        <v>-215.66304</v>
      </c>
      <c r="AV306" s="125">
        <f>AH306*Valores!$C$71</f>
        <v>-23.962560000000003</v>
      </c>
      <c r="AW306" s="125">
        <f t="shared" si="45"/>
        <v>6869.2672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5">
        <f t="shared" si="53"/>
        <v>465</v>
      </c>
      <c r="F307" s="125">
        <f>ROUND(E307*Valores!$C$2,2)</f>
        <v>9959.74</v>
      </c>
      <c r="G307" s="193">
        <v>0</v>
      </c>
      <c r="H307" s="125">
        <f>ROUND(G307*Valores!$C$2,2)</f>
        <v>0</v>
      </c>
      <c r="I307" s="193">
        <v>0</v>
      </c>
      <c r="J307" s="125">
        <f>ROUND(I307*Valores!$C$2,2)</f>
        <v>0</v>
      </c>
      <c r="K307" s="193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1562.78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IF($F$4="NO",IF(Valores!$C$45*B307&gt;Valores!$C$44,Valores!$C$44,Valores!$C$45*B307),IF(Valores!$C$45*B307&gt;Valores!$C$44,Valores!$C$44,Valores!$C$45*B307)/2)</f>
        <v>458.76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3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5">
        <v>0</v>
      </c>
      <c r="AC307" s="125">
        <f t="shared" si="43"/>
        <v>0</v>
      </c>
      <c r="AD307" s="125">
        <v>0</v>
      </c>
      <c r="AE307" s="193">
        <v>0</v>
      </c>
      <c r="AF307" s="125">
        <f>ROUND(AE307*Valores!$C$2,2)</f>
        <v>0</v>
      </c>
      <c r="AG307" s="125">
        <v>0</v>
      </c>
      <c r="AH307" s="125">
        <f t="shared" si="46"/>
        <v>11981.28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AH307*Valores!$C$67</f>
        <v>-1317.9408</v>
      </c>
      <c r="AO307" s="125">
        <f>AH307*-Valores!$C$68</f>
        <v>0</v>
      </c>
      <c r="AP307" s="125">
        <f>AH307*Valores!$C$69</f>
        <v>-539.1576</v>
      </c>
      <c r="AQ307" s="125">
        <v>0</v>
      </c>
      <c r="AR307" s="125">
        <v>0</v>
      </c>
      <c r="AS307" s="125">
        <f t="shared" si="47"/>
        <v>10124.1816</v>
      </c>
      <c r="AT307" s="125">
        <f t="shared" si="41"/>
        <v>-1317.9408</v>
      </c>
      <c r="AU307" s="125">
        <f>AH307*Valores!$C$70</f>
        <v>-323.49456000000004</v>
      </c>
      <c r="AV307" s="125">
        <f>AH307*Valores!$C$71</f>
        <v>-35.94384</v>
      </c>
      <c r="AW307" s="125">
        <f t="shared" si="45"/>
        <v>10303.900800000001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5">
        <f t="shared" si="53"/>
        <v>620</v>
      </c>
      <c r="F308" s="125">
        <f>ROUND(E308*Valores!$C$2,2)</f>
        <v>13279.66</v>
      </c>
      <c r="G308" s="193">
        <v>0</v>
      </c>
      <c r="H308" s="125">
        <f>ROUND(G308*Valores!$C$2,2)</f>
        <v>0</v>
      </c>
      <c r="I308" s="193">
        <v>0</v>
      </c>
      <c r="J308" s="125">
        <f>ROUND(I308*Valores!$C$2,2)</f>
        <v>0</v>
      </c>
      <c r="K308" s="193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2083.7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IF($F$4="NO",IF(Valores!$C$45*B308&gt;Valores!$C$44,Valores!$C$44,Valores!$C$45*B308),IF(Valores!$C$45*B308&gt;Valores!$C$44,Valores!$C$44,Valores!$C$45*B308)/2)</f>
        <v>611.68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3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5">
        <v>0</v>
      </c>
      <c r="AC308" s="125">
        <f t="shared" si="43"/>
        <v>0</v>
      </c>
      <c r="AD308" s="125">
        <v>0</v>
      </c>
      <c r="AE308" s="193">
        <v>0</v>
      </c>
      <c r="AF308" s="125">
        <f>ROUND(AE308*Valores!$C$2,2)</f>
        <v>0</v>
      </c>
      <c r="AG308" s="125">
        <v>0</v>
      </c>
      <c r="AH308" s="125">
        <f t="shared" si="46"/>
        <v>15975.04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AH308*Valores!$C$67</f>
        <v>-1757.2544</v>
      </c>
      <c r="AO308" s="125">
        <f>AH308*-Valores!$C$68</f>
        <v>0</v>
      </c>
      <c r="AP308" s="125">
        <f>AH308*Valores!$C$69</f>
        <v>-718.8768</v>
      </c>
      <c r="AQ308" s="125">
        <v>0</v>
      </c>
      <c r="AR308" s="125">
        <v>0</v>
      </c>
      <c r="AS308" s="125">
        <f t="shared" si="47"/>
        <v>13498.908800000001</v>
      </c>
      <c r="AT308" s="125">
        <f t="shared" si="41"/>
        <v>-1757.2544</v>
      </c>
      <c r="AU308" s="125">
        <f>AH308*Valores!$C$70</f>
        <v>-431.32608</v>
      </c>
      <c r="AV308" s="125">
        <f>AH308*Valores!$C$71</f>
        <v>-47.92512000000001</v>
      </c>
      <c r="AW308" s="125">
        <f t="shared" si="45"/>
        <v>13738.5344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5">
        <f t="shared" si="53"/>
        <v>775</v>
      </c>
      <c r="F309" s="125">
        <f>ROUND(E309*Valores!$C$2,2)</f>
        <v>16599.57</v>
      </c>
      <c r="G309" s="193">
        <v>0</v>
      </c>
      <c r="H309" s="125">
        <f>ROUND(G309*Valores!$C$2,2)</f>
        <v>0</v>
      </c>
      <c r="I309" s="193">
        <v>0</v>
      </c>
      <c r="J309" s="125">
        <f>ROUND(I309*Valores!$C$2,2)</f>
        <v>0</v>
      </c>
      <c r="K309" s="193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2604.63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IF($F$4="NO",IF(Valores!$C$45*B309&gt;Valores!$C$44,Valores!$C$44,Valores!$C$45*B309),IF(Valores!$C$45*B309&gt;Valores!$C$44,Valores!$C$44,Valores!$C$45*B309)/2)</f>
        <v>764.5999999999999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3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5">
        <v>0</v>
      </c>
      <c r="AC309" s="125">
        <f t="shared" si="43"/>
        <v>0</v>
      </c>
      <c r="AD309" s="125">
        <v>0</v>
      </c>
      <c r="AE309" s="193">
        <v>0</v>
      </c>
      <c r="AF309" s="125">
        <f>ROUND(AE309*Valores!$C$2,2)</f>
        <v>0</v>
      </c>
      <c r="AG309" s="125">
        <v>0</v>
      </c>
      <c r="AH309" s="125">
        <f t="shared" si="46"/>
        <v>19968.8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AH309*Valores!$C$67</f>
        <v>-2196.5679999999998</v>
      </c>
      <c r="AO309" s="125">
        <f>AH309*-Valores!$C$68</f>
        <v>0</v>
      </c>
      <c r="AP309" s="125">
        <f>AH309*Valores!$C$69</f>
        <v>-898.5959999999999</v>
      </c>
      <c r="AQ309" s="125">
        <v>0</v>
      </c>
      <c r="AR309" s="125">
        <v>0</v>
      </c>
      <c r="AS309" s="125">
        <f t="shared" si="47"/>
        <v>16873.636</v>
      </c>
      <c r="AT309" s="125">
        <f t="shared" si="41"/>
        <v>-2196.5679999999998</v>
      </c>
      <c r="AU309" s="125">
        <f>AH309*Valores!$C$70</f>
        <v>-539.1576</v>
      </c>
      <c r="AV309" s="125">
        <f>AH309*Valores!$C$71</f>
        <v>-59.9064</v>
      </c>
      <c r="AW309" s="125">
        <f t="shared" si="45"/>
        <v>17173.167999999998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5">
        <f t="shared" si="53"/>
        <v>930</v>
      </c>
      <c r="F310" s="125">
        <f>ROUND(E310*Valores!$C$2,2)</f>
        <v>19919.48</v>
      </c>
      <c r="G310" s="193">
        <v>0</v>
      </c>
      <c r="H310" s="125">
        <f>ROUND(G310*Valores!$C$2,2)</f>
        <v>0</v>
      </c>
      <c r="I310" s="193">
        <v>0</v>
      </c>
      <c r="J310" s="125">
        <f>ROUND(I310*Valores!$C$2,2)</f>
        <v>0</v>
      </c>
      <c r="K310" s="193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3125.55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IF($F$4="NO",IF(Valores!$C$45*B310&gt;Valores!$C$44,Valores!$C$44,Valores!$C$45*B310),IF(Valores!$C$45*B310&gt;Valores!$C$44,Valores!$C$44,Valores!$C$45*B310)/2)</f>
        <v>917.52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3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5">
        <v>0</v>
      </c>
      <c r="AC310" s="125">
        <f t="shared" si="43"/>
        <v>0</v>
      </c>
      <c r="AD310" s="125">
        <v>0</v>
      </c>
      <c r="AE310" s="193">
        <v>0</v>
      </c>
      <c r="AF310" s="125">
        <f>ROUND(AE310*Valores!$C$2,2)</f>
        <v>0</v>
      </c>
      <c r="AG310" s="125">
        <v>0</v>
      </c>
      <c r="AH310" s="125">
        <f t="shared" si="46"/>
        <v>23962.55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AH310*Valores!$C$67</f>
        <v>-2635.8804999999998</v>
      </c>
      <c r="AO310" s="125">
        <f>AH310*-Valores!$C$68</f>
        <v>0</v>
      </c>
      <c r="AP310" s="125">
        <f>AH310*Valores!$C$69</f>
        <v>-1078.31475</v>
      </c>
      <c r="AQ310" s="125">
        <v>0</v>
      </c>
      <c r="AR310" s="125">
        <v>0</v>
      </c>
      <c r="AS310" s="125">
        <f t="shared" si="47"/>
        <v>20248.35475</v>
      </c>
      <c r="AT310" s="125">
        <f t="shared" si="41"/>
        <v>-2635.8804999999998</v>
      </c>
      <c r="AU310" s="125">
        <f>AH310*Valores!$C$70</f>
        <v>-646.98885</v>
      </c>
      <c r="AV310" s="125">
        <f>AH310*Valores!$C$71</f>
        <v>-71.88765</v>
      </c>
      <c r="AW310" s="125">
        <f t="shared" si="45"/>
        <v>20607.792999999998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5">
        <f t="shared" si="53"/>
        <v>1085</v>
      </c>
      <c r="F311" s="125">
        <f>ROUND(E311*Valores!$C$2,2)</f>
        <v>23239.4</v>
      </c>
      <c r="G311" s="193">
        <v>0</v>
      </c>
      <c r="H311" s="125">
        <f>ROUND(G311*Valores!$C$2,2)</f>
        <v>0</v>
      </c>
      <c r="I311" s="193">
        <v>0</v>
      </c>
      <c r="J311" s="125">
        <f>ROUND(I311*Valores!$C$2,2)</f>
        <v>0</v>
      </c>
      <c r="K311" s="193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3646.48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IF($F$4="NO",IF(Valores!$C$45*B311&gt;Valores!$C$44,Valores!$C$44,Valores!$C$45*B311),IF(Valores!$C$45*B311&gt;Valores!$C$44,Valores!$C$44,Valores!$C$45*B311)/2)</f>
        <v>1070.4399999999998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3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5">
        <v>0</v>
      </c>
      <c r="AC311" s="125">
        <f t="shared" si="43"/>
        <v>0</v>
      </c>
      <c r="AD311" s="125">
        <v>0</v>
      </c>
      <c r="AE311" s="193">
        <v>0</v>
      </c>
      <c r="AF311" s="125">
        <f>ROUND(AE311*Valores!$C$2,2)</f>
        <v>0</v>
      </c>
      <c r="AG311" s="125">
        <v>0</v>
      </c>
      <c r="AH311" s="125">
        <f t="shared" si="46"/>
        <v>27956.32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AH311*Valores!$C$67</f>
        <v>-3075.1952</v>
      </c>
      <c r="AO311" s="125">
        <f>AH311*-Valores!$C$68</f>
        <v>0</v>
      </c>
      <c r="AP311" s="125">
        <f>AH311*Valores!$C$69</f>
        <v>-1258.0344</v>
      </c>
      <c r="AQ311" s="125">
        <v>0</v>
      </c>
      <c r="AR311" s="125">
        <v>0</v>
      </c>
      <c r="AS311" s="125">
        <f t="shared" si="47"/>
        <v>23623.0904</v>
      </c>
      <c r="AT311" s="125">
        <f t="shared" si="41"/>
        <v>-3075.1952</v>
      </c>
      <c r="AU311" s="125">
        <f>AH311*Valores!$C$70</f>
        <v>-754.82064</v>
      </c>
      <c r="AV311" s="125">
        <f>AH311*Valores!$C$71</f>
        <v>-83.86896</v>
      </c>
      <c r="AW311" s="125">
        <f t="shared" si="45"/>
        <v>24042.4352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5">
        <f t="shared" si="53"/>
        <v>1240</v>
      </c>
      <c r="F312" s="125">
        <f>ROUND(E312*Valores!$C$2,2)</f>
        <v>26559.31</v>
      </c>
      <c r="G312" s="193">
        <v>0</v>
      </c>
      <c r="H312" s="125">
        <f>ROUND(G312*Valores!$C$2,2)</f>
        <v>0</v>
      </c>
      <c r="I312" s="193">
        <v>0</v>
      </c>
      <c r="J312" s="125">
        <f>ROUND(I312*Valores!$C$2,2)</f>
        <v>0</v>
      </c>
      <c r="K312" s="193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4167.4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IF($F$4="NO",IF(Valores!$C$45*B312&gt;Valores!$C$44,Valores!$C$44,Valores!$C$45*B312),IF(Valores!$C$45*B312&gt;Valores!$C$44,Valores!$C$44,Valores!$C$45*B312)/2)</f>
        <v>1223.36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3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5">
        <v>0</v>
      </c>
      <c r="AC312" s="125">
        <f t="shared" si="43"/>
        <v>0</v>
      </c>
      <c r="AD312" s="125">
        <v>0</v>
      </c>
      <c r="AE312" s="193">
        <v>0</v>
      </c>
      <c r="AF312" s="125">
        <f>ROUND(AE312*Valores!$C$2,2)</f>
        <v>0</v>
      </c>
      <c r="AG312" s="125">
        <v>0</v>
      </c>
      <c r="AH312" s="125">
        <f t="shared" si="46"/>
        <v>31950.07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AH312*Valores!$C$67</f>
        <v>-3514.5077</v>
      </c>
      <c r="AO312" s="125">
        <f>AH312*-Valores!$C$68</f>
        <v>0</v>
      </c>
      <c r="AP312" s="125">
        <f>AH312*Valores!$C$69</f>
        <v>-1437.75315</v>
      </c>
      <c r="AQ312" s="125">
        <v>0</v>
      </c>
      <c r="AR312" s="125">
        <v>0</v>
      </c>
      <c r="AS312" s="125">
        <f t="shared" si="47"/>
        <v>26997.80915</v>
      </c>
      <c r="AT312" s="125">
        <f t="shared" si="41"/>
        <v>-3514.5077</v>
      </c>
      <c r="AU312" s="125">
        <f>AH312*Valores!$C$70</f>
        <v>-862.65189</v>
      </c>
      <c r="AV312" s="125">
        <f>AH312*Valores!$C$71</f>
        <v>-95.85021</v>
      </c>
      <c r="AW312" s="125">
        <f t="shared" si="45"/>
        <v>27477.0602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5">
        <f t="shared" si="53"/>
        <v>1395</v>
      </c>
      <c r="F313" s="125">
        <f>ROUND(E313*Valores!$C$2,2)</f>
        <v>29879.23</v>
      </c>
      <c r="G313" s="193">
        <v>0</v>
      </c>
      <c r="H313" s="125">
        <f>ROUND(G313*Valores!$C$2,2)</f>
        <v>0</v>
      </c>
      <c r="I313" s="193">
        <v>0</v>
      </c>
      <c r="J313" s="125">
        <f>ROUND(I313*Valores!$C$2,2)</f>
        <v>0</v>
      </c>
      <c r="K313" s="193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4688.33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IF($F$4="NO",IF(Valores!$C$45*B313&gt;Valores!$C$44,Valores!$C$44,Valores!$C$45*B313),IF(Valores!$C$45*B313&gt;Valores!$C$44,Valores!$C$44,Valores!$C$45*B313)/2)</f>
        <v>1376.28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3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5">
        <v>0</v>
      </c>
      <c r="AC313" s="125">
        <f t="shared" si="43"/>
        <v>0</v>
      </c>
      <c r="AD313" s="125">
        <v>0</v>
      </c>
      <c r="AE313" s="193">
        <v>0</v>
      </c>
      <c r="AF313" s="125">
        <f>ROUND(AE313*Valores!$C$2,2)</f>
        <v>0</v>
      </c>
      <c r="AG313" s="125">
        <v>0</v>
      </c>
      <c r="AH313" s="125">
        <f t="shared" si="46"/>
        <v>35943.84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AH313*Valores!$C$67</f>
        <v>-3953.8223999999996</v>
      </c>
      <c r="AO313" s="125">
        <f>AH313*-Valores!$C$68</f>
        <v>0</v>
      </c>
      <c r="AP313" s="125">
        <f>AH313*Valores!$C$69</f>
        <v>-1617.4727999999998</v>
      </c>
      <c r="AQ313" s="125">
        <v>0</v>
      </c>
      <c r="AR313" s="125">
        <v>0</v>
      </c>
      <c r="AS313" s="125">
        <f t="shared" si="47"/>
        <v>30372.544799999996</v>
      </c>
      <c r="AT313" s="125">
        <f t="shared" si="41"/>
        <v>-3953.8223999999996</v>
      </c>
      <c r="AU313" s="125">
        <f>AH313*Valores!$C$70</f>
        <v>-970.4836799999999</v>
      </c>
      <c r="AV313" s="125">
        <f>AH313*Valores!$C$71</f>
        <v>-107.83152</v>
      </c>
      <c r="AW313" s="125">
        <f t="shared" si="45"/>
        <v>30911.7024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5">
        <f t="shared" si="53"/>
        <v>1550</v>
      </c>
      <c r="F314" s="125">
        <f>ROUND(E314*Valores!$C$2,2)</f>
        <v>33199.14</v>
      </c>
      <c r="G314" s="193">
        <v>0</v>
      </c>
      <c r="H314" s="125">
        <f>ROUND(G314*Valores!$C$2,2)</f>
        <v>0</v>
      </c>
      <c r="I314" s="193">
        <v>0</v>
      </c>
      <c r="J314" s="125">
        <f>ROUND(I314*Valores!$C$2,2)</f>
        <v>0</v>
      </c>
      <c r="K314" s="193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5209.25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IF($F$4="NO",IF(Valores!$C$45*B314&gt;Valores!$C$44,Valores!$C$44,Valores!$C$45*B314),IF(Valores!$C$45*B314&gt;Valores!$C$44,Valores!$C$44,Valores!$C$45*B314)/2)</f>
        <v>1529.1999999999998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3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5">
        <v>0</v>
      </c>
      <c r="AC314" s="125">
        <f t="shared" si="43"/>
        <v>0</v>
      </c>
      <c r="AD314" s="125">
        <v>0</v>
      </c>
      <c r="AE314" s="193">
        <v>0</v>
      </c>
      <c r="AF314" s="125">
        <f>ROUND(AE314*Valores!$C$2,2)</f>
        <v>0</v>
      </c>
      <c r="AG314" s="125">
        <v>0</v>
      </c>
      <c r="AH314" s="125">
        <f t="shared" si="46"/>
        <v>39937.59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AH314*Valores!$C$67</f>
        <v>-4393.1349</v>
      </c>
      <c r="AO314" s="125">
        <f>AH314*-Valores!$C$68</f>
        <v>0</v>
      </c>
      <c r="AP314" s="125">
        <f>AH314*Valores!$C$69</f>
        <v>-1797.1915499999998</v>
      </c>
      <c r="AQ314" s="125">
        <v>0</v>
      </c>
      <c r="AR314" s="125">
        <v>0</v>
      </c>
      <c r="AS314" s="125">
        <f t="shared" si="47"/>
        <v>33747.263549999996</v>
      </c>
      <c r="AT314" s="125">
        <f t="shared" si="41"/>
        <v>-4393.1349</v>
      </c>
      <c r="AU314" s="125">
        <f>AH314*Valores!$C$70</f>
        <v>-1078.31493</v>
      </c>
      <c r="AV314" s="125">
        <f>AH314*Valores!$C$71</f>
        <v>-119.81276999999999</v>
      </c>
      <c r="AW314" s="125">
        <f t="shared" si="45"/>
        <v>34346.327399999995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5">
        <f t="shared" si="53"/>
        <v>1705</v>
      </c>
      <c r="F315" s="125">
        <f>ROUND(E315*Valores!$C$2,2)</f>
        <v>36519.05</v>
      </c>
      <c r="G315" s="193">
        <v>0</v>
      </c>
      <c r="H315" s="125">
        <f>ROUND(G315*Valores!$C$2,2)</f>
        <v>0</v>
      </c>
      <c r="I315" s="193">
        <v>0</v>
      </c>
      <c r="J315" s="125">
        <f>ROUND(I315*Valores!$C$2,2)</f>
        <v>0</v>
      </c>
      <c r="K315" s="193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5730.18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IF($F$4="NO",IF(Valores!$C$45*B315&gt;Valores!$C$44,Valores!$C$44,Valores!$C$45*B315),IF(Valores!$C$45*B315&gt;Valores!$C$44,Valores!$C$44,Valores!$C$45*B315)/2)</f>
        <v>1682.12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3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5">
        <v>0</v>
      </c>
      <c r="AC315" s="125">
        <f t="shared" si="43"/>
        <v>0</v>
      </c>
      <c r="AD315" s="125">
        <v>0</v>
      </c>
      <c r="AE315" s="193">
        <v>0</v>
      </c>
      <c r="AF315" s="125">
        <f>ROUND(AE315*Valores!$C$2,2)</f>
        <v>0</v>
      </c>
      <c r="AG315" s="125">
        <v>0</v>
      </c>
      <c r="AH315" s="125">
        <f t="shared" si="46"/>
        <v>43931.350000000006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AH315*Valores!$C$67</f>
        <v>-4832.4485</v>
      </c>
      <c r="AO315" s="125">
        <f>AH315*-Valores!$C$68</f>
        <v>0</v>
      </c>
      <c r="AP315" s="125">
        <f>AH315*Valores!$C$69</f>
        <v>-1976.9107500000002</v>
      </c>
      <c r="AQ315" s="125">
        <v>0</v>
      </c>
      <c r="AR315" s="125">
        <v>0</v>
      </c>
      <c r="AS315" s="125">
        <f t="shared" si="47"/>
        <v>37121.990750000004</v>
      </c>
      <c r="AT315" s="125">
        <f t="shared" si="41"/>
        <v>-4832.4485</v>
      </c>
      <c r="AU315" s="125">
        <f>AH315*Valores!$C$70</f>
        <v>-1186.1464500000002</v>
      </c>
      <c r="AV315" s="125">
        <f>AH315*Valores!$C$71</f>
        <v>-131.79405000000003</v>
      </c>
      <c r="AW315" s="125">
        <f t="shared" si="45"/>
        <v>37780.961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5">
        <f t="shared" si="53"/>
        <v>1860</v>
      </c>
      <c r="F316" s="125">
        <f>ROUND(E316*Valores!$C$2,2)</f>
        <v>39838.97</v>
      </c>
      <c r="G316" s="193">
        <v>0</v>
      </c>
      <c r="H316" s="125">
        <f>ROUND(G316*Valores!$C$2,2)</f>
        <v>0</v>
      </c>
      <c r="I316" s="193">
        <v>0</v>
      </c>
      <c r="J316" s="125">
        <f>ROUND(I316*Valores!$C$2,2)</f>
        <v>0</v>
      </c>
      <c r="K316" s="193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6251.1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IF($F$4="NO",IF(Valores!$C$45*B316&gt;Valores!$C$44,Valores!$C$44,Valores!$C$45*B316),IF(Valores!$C$45*B316&gt;Valores!$C$44,Valores!$C$44,Valores!$C$45*B316)/2)</f>
        <v>1835.04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3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5">
        <v>0</v>
      </c>
      <c r="AC316" s="125">
        <f t="shared" si="43"/>
        <v>0</v>
      </c>
      <c r="AD316" s="125">
        <v>0</v>
      </c>
      <c r="AE316" s="193">
        <v>0</v>
      </c>
      <c r="AF316" s="125">
        <f>ROUND(AE316*Valores!$C$2,2)</f>
        <v>0</v>
      </c>
      <c r="AG316" s="125">
        <v>0</v>
      </c>
      <c r="AH316" s="125">
        <f t="shared" si="46"/>
        <v>47925.11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AH316*Valores!$C$67</f>
        <v>-5271.7621</v>
      </c>
      <c r="AO316" s="125">
        <f>AH316*-Valores!$C$68</f>
        <v>0</v>
      </c>
      <c r="AP316" s="125">
        <f>AH316*Valores!$C$69</f>
        <v>-2156.62995</v>
      </c>
      <c r="AQ316" s="125">
        <v>0</v>
      </c>
      <c r="AR316" s="125">
        <v>0</v>
      </c>
      <c r="AS316" s="125">
        <f t="shared" si="47"/>
        <v>40496.71795</v>
      </c>
      <c r="AT316" s="125">
        <f t="shared" si="41"/>
        <v>-5271.7621</v>
      </c>
      <c r="AU316" s="125">
        <f>AH316*Valores!$C$70</f>
        <v>-1293.97797</v>
      </c>
      <c r="AV316" s="125">
        <f>AH316*Valores!$C$71</f>
        <v>-143.77533</v>
      </c>
      <c r="AW316" s="125">
        <f t="shared" si="45"/>
        <v>41215.5946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5">
        <f t="shared" si="53"/>
        <v>2015</v>
      </c>
      <c r="F317" s="125">
        <f>ROUND(E317*Valores!$C$2,2)</f>
        <v>43158.88</v>
      </c>
      <c r="G317" s="193">
        <v>0</v>
      </c>
      <c r="H317" s="125">
        <f>ROUND(G317*Valores!$C$2,2)</f>
        <v>0</v>
      </c>
      <c r="I317" s="193">
        <v>0</v>
      </c>
      <c r="J317" s="125">
        <f>ROUND(I317*Valores!$C$2,2)</f>
        <v>0</v>
      </c>
      <c r="K317" s="193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6772.03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IF($F$4="NO",IF(Valores!$C$45*B317&gt;Valores!$C$44,Valores!$C$44,Valores!$C$45*B317),IF(Valores!$C$45*B317&gt;Valores!$C$44,Valores!$C$44,Valores!$C$45*B317)/2)</f>
        <v>1987.9599999999998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3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5">
        <v>0</v>
      </c>
      <c r="AC317" s="125">
        <f t="shared" si="43"/>
        <v>0</v>
      </c>
      <c r="AD317" s="125">
        <v>0</v>
      </c>
      <c r="AE317" s="193">
        <v>0</v>
      </c>
      <c r="AF317" s="125">
        <f>ROUND(AE317*Valores!$C$2,2)</f>
        <v>0</v>
      </c>
      <c r="AG317" s="125">
        <v>0</v>
      </c>
      <c r="AH317" s="125">
        <f t="shared" si="46"/>
        <v>51918.869999999995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AH317*Valores!$C$67</f>
        <v>-5711.075699999999</v>
      </c>
      <c r="AO317" s="125">
        <f>AH317*-Valores!$C$68</f>
        <v>0</v>
      </c>
      <c r="AP317" s="125">
        <f>AH317*Valores!$C$69</f>
        <v>-2336.3491499999996</v>
      </c>
      <c r="AQ317" s="125">
        <v>0</v>
      </c>
      <c r="AR317" s="125">
        <v>0</v>
      </c>
      <c r="AS317" s="125">
        <f t="shared" si="47"/>
        <v>43871.44515</v>
      </c>
      <c r="AT317" s="125">
        <f t="shared" si="41"/>
        <v>-5711.075699999999</v>
      </c>
      <c r="AU317" s="125">
        <f>AH317*Valores!$C$70</f>
        <v>-1401.8094899999999</v>
      </c>
      <c r="AV317" s="125">
        <f>AH317*Valores!$C$71</f>
        <v>-155.75661</v>
      </c>
      <c r="AW317" s="125">
        <f t="shared" si="45"/>
        <v>44650.2282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5">
        <f t="shared" si="53"/>
        <v>2170</v>
      </c>
      <c r="F318" s="125">
        <f>ROUND(E318*Valores!$C$2,2)</f>
        <v>46478.8</v>
      </c>
      <c r="G318" s="193">
        <v>0</v>
      </c>
      <c r="H318" s="125">
        <f>ROUND(G318*Valores!$C$2,2)</f>
        <v>0</v>
      </c>
      <c r="I318" s="193">
        <v>0</v>
      </c>
      <c r="J318" s="125">
        <f>ROUND(I318*Valores!$C$2,2)</f>
        <v>0</v>
      </c>
      <c r="K318" s="193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7292.95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IF($F$4="NO",IF(Valores!$C$45*B318&gt;Valores!$C$44,Valores!$C$44,Valores!$C$45*B318),IF(Valores!$C$45*B318&gt;Valores!$C$44,Valores!$C$44,Valores!$C$45*B318)/2)</f>
        <v>2140.8799999999997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3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5">
        <v>0</v>
      </c>
      <c r="AC318" s="125">
        <f t="shared" si="43"/>
        <v>0</v>
      </c>
      <c r="AD318" s="125">
        <v>0</v>
      </c>
      <c r="AE318" s="193">
        <v>0</v>
      </c>
      <c r="AF318" s="125">
        <f>ROUND(AE318*Valores!$C$2,2)</f>
        <v>0</v>
      </c>
      <c r="AG318" s="125">
        <v>0</v>
      </c>
      <c r="AH318" s="125">
        <f t="shared" si="46"/>
        <v>55912.63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AH318*Valores!$C$67</f>
        <v>-6150.3893</v>
      </c>
      <c r="AO318" s="125">
        <f>AH318*-Valores!$C$68</f>
        <v>0</v>
      </c>
      <c r="AP318" s="125">
        <f>AH318*Valores!$C$69</f>
        <v>-2516.06835</v>
      </c>
      <c r="AQ318" s="125">
        <v>0</v>
      </c>
      <c r="AR318" s="125">
        <v>0</v>
      </c>
      <c r="AS318" s="125">
        <f t="shared" si="47"/>
        <v>47246.17234999999</v>
      </c>
      <c r="AT318" s="125">
        <f t="shared" si="41"/>
        <v>-6150.3893</v>
      </c>
      <c r="AU318" s="125">
        <f>AH318*Valores!$C$70</f>
        <v>-1509.6410099999998</v>
      </c>
      <c r="AV318" s="125">
        <f>AH318*Valores!$C$71</f>
        <v>-167.73789</v>
      </c>
      <c r="AW318" s="125">
        <f t="shared" si="45"/>
        <v>48084.8618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5">
        <f t="shared" si="53"/>
        <v>2325</v>
      </c>
      <c r="F319" s="125">
        <f>ROUND(E319*Valores!$C$2,2)</f>
        <v>49798.71</v>
      </c>
      <c r="G319" s="193">
        <v>0</v>
      </c>
      <c r="H319" s="125">
        <f>ROUND(G319*Valores!$C$2,2)</f>
        <v>0</v>
      </c>
      <c r="I319" s="193">
        <v>0</v>
      </c>
      <c r="J319" s="125">
        <f>ROUND(I319*Valores!$C$2,2)</f>
        <v>0</v>
      </c>
      <c r="K319" s="193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7813.88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IF($F$4="NO",IF(Valores!$C$45*B319&gt;Valores!$C$44,Valores!$C$44,Valores!$C$45*B319),IF(Valores!$C$45*B319&gt;Valores!$C$44,Valores!$C$44,Valores!$C$45*B319)/2)</f>
        <v>2293.7999999999997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3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5">
        <v>0</v>
      </c>
      <c r="AC319" s="125">
        <f t="shared" si="43"/>
        <v>0</v>
      </c>
      <c r="AD319" s="125">
        <v>0</v>
      </c>
      <c r="AE319" s="193">
        <v>0</v>
      </c>
      <c r="AF319" s="125">
        <f>ROUND(AE319*Valores!$C$2,2)</f>
        <v>0</v>
      </c>
      <c r="AG319" s="125">
        <v>0</v>
      </c>
      <c r="AH319" s="125">
        <f t="shared" si="46"/>
        <v>59906.39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AH319*Valores!$C$67</f>
        <v>-6589.7029</v>
      </c>
      <c r="AO319" s="125">
        <f>AH319*-Valores!$C$68</f>
        <v>0</v>
      </c>
      <c r="AP319" s="125">
        <f>AH319*Valores!$C$69</f>
        <v>-2695.78755</v>
      </c>
      <c r="AQ319" s="125">
        <v>0</v>
      </c>
      <c r="AR319" s="125">
        <v>0</v>
      </c>
      <c r="AS319" s="125">
        <f t="shared" si="47"/>
        <v>50620.89955</v>
      </c>
      <c r="AT319" s="125">
        <f t="shared" si="41"/>
        <v>-6589.7029</v>
      </c>
      <c r="AU319" s="125">
        <f>AH319*Valores!$C$70</f>
        <v>-1617.47253</v>
      </c>
      <c r="AV319" s="125">
        <f>AH319*Valores!$C$71</f>
        <v>-179.71917</v>
      </c>
      <c r="AW319" s="125">
        <f t="shared" si="45"/>
        <v>51519.4954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5">
        <f t="shared" si="53"/>
        <v>2480</v>
      </c>
      <c r="F320" s="125">
        <f>ROUND(E320*Valores!$C$2,2)</f>
        <v>53118.62</v>
      </c>
      <c r="G320" s="193">
        <v>0</v>
      </c>
      <c r="H320" s="125">
        <f>ROUND(G320*Valores!$C$2,2)</f>
        <v>0</v>
      </c>
      <c r="I320" s="193">
        <v>0</v>
      </c>
      <c r="J320" s="125">
        <f>ROUND(I320*Valores!$C$2,2)</f>
        <v>0</v>
      </c>
      <c r="K320" s="193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8334.8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IF($F$4="NO",IF(Valores!$C$45*B320&gt;Valores!$C$44,Valores!$C$44,Valores!$C$45*B320),IF(Valores!$C$45*B320&gt;Valores!$C$44,Valores!$C$44,Valores!$C$45*B320)/2)</f>
        <v>2446.72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3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5">
        <v>0</v>
      </c>
      <c r="AC320" s="125">
        <f t="shared" si="43"/>
        <v>0</v>
      </c>
      <c r="AD320" s="125">
        <v>0</v>
      </c>
      <c r="AE320" s="193">
        <v>0</v>
      </c>
      <c r="AF320" s="125">
        <f>ROUND(AE320*Valores!$C$2,2)</f>
        <v>0</v>
      </c>
      <c r="AG320" s="125">
        <v>0</v>
      </c>
      <c r="AH320" s="125">
        <f t="shared" si="46"/>
        <v>63900.14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AH320*Valores!$C$67</f>
        <v>-7029.0154</v>
      </c>
      <c r="AO320" s="125">
        <f>AH320*-Valores!$C$68</f>
        <v>0</v>
      </c>
      <c r="AP320" s="125">
        <f>AH320*Valores!$C$69</f>
        <v>-2875.5063</v>
      </c>
      <c r="AQ320" s="125">
        <v>0</v>
      </c>
      <c r="AR320" s="125">
        <v>0</v>
      </c>
      <c r="AS320" s="125">
        <f t="shared" si="47"/>
        <v>53995.6183</v>
      </c>
      <c r="AT320" s="125">
        <f t="shared" si="41"/>
        <v>-7029.0154</v>
      </c>
      <c r="AU320" s="125">
        <f>AH320*Valores!$C$70</f>
        <v>-1725.30378</v>
      </c>
      <c r="AV320" s="125">
        <f>AH320*Valores!$C$71</f>
        <v>-191.70042</v>
      </c>
      <c r="AW320" s="125">
        <f t="shared" si="45"/>
        <v>54954.1204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5">
        <v>275</v>
      </c>
      <c r="F321" s="125">
        <f>ROUND(E321*Valores!$C$2,2)</f>
        <v>5890.17</v>
      </c>
      <c r="G321" s="193">
        <v>0</v>
      </c>
      <c r="H321" s="125">
        <f>ROUND(G321*Valores!$C$2,2)</f>
        <v>0</v>
      </c>
      <c r="I321" s="193">
        <v>0</v>
      </c>
      <c r="J321" s="125">
        <f>ROUND(I321*Valores!$C$2,2)</f>
        <v>0</v>
      </c>
      <c r="K321" s="193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IF($F$4="NO",Valores!$C$46,Valores!$C$46/2)</f>
        <v>356.24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3">
        <v>0</v>
      </c>
      <c r="X321" s="125">
        <f>ROUND(W321*Valores!$C$2,2)</f>
        <v>0</v>
      </c>
      <c r="Y321" s="125">
        <v>0</v>
      </c>
      <c r="Z321" s="125">
        <f>Valores!$C$94</f>
        <v>489.94</v>
      </c>
      <c r="AA321" s="125">
        <v>0</v>
      </c>
      <c r="AB321" s="215">
        <v>0</v>
      </c>
      <c r="AC321" s="125">
        <f t="shared" si="43"/>
        <v>0</v>
      </c>
      <c r="AD321" s="125">
        <v>0</v>
      </c>
      <c r="AE321" s="193">
        <v>0</v>
      </c>
      <c r="AF321" s="125">
        <f>ROUND(AE321*Valores!$C$2,2)</f>
        <v>0</v>
      </c>
      <c r="AG321" s="125">
        <f>Valores!$C$60</f>
        <v>338.16</v>
      </c>
      <c r="AH321" s="125">
        <f t="shared" si="46"/>
        <v>7074.509999999999</v>
      </c>
      <c r="AI321" s="125">
        <f>Valores!$C$33</f>
        <v>273</v>
      </c>
      <c r="AJ321" s="125">
        <f>Valores!$C$87</f>
        <v>227.49999999999997</v>
      </c>
      <c r="AK321" s="125">
        <v>0</v>
      </c>
      <c r="AL321" s="125">
        <v>0</v>
      </c>
      <c r="AM321" s="125">
        <f t="shared" si="44"/>
        <v>500.5</v>
      </c>
      <c r="AN321" s="125">
        <f>AH321*Valores!$C$67</f>
        <v>-778.1960999999999</v>
      </c>
      <c r="AO321" s="125">
        <f>AH321*-Valores!$C$68</f>
        <v>0</v>
      </c>
      <c r="AP321" s="125">
        <f>AH321*Valores!$C$69</f>
        <v>-318.35294999999996</v>
      </c>
      <c r="AQ321" s="125">
        <v>0</v>
      </c>
      <c r="AR321" s="125">
        <v>0</v>
      </c>
      <c r="AS321" s="125">
        <f t="shared" si="47"/>
        <v>6478.46095</v>
      </c>
      <c r="AT321" s="125">
        <f t="shared" si="41"/>
        <v>-778.1960999999999</v>
      </c>
      <c r="AU321" s="125">
        <f>AH321*Valores!$C$70</f>
        <v>-191.01176999999998</v>
      </c>
      <c r="AV321" s="125">
        <f>AH321*Valores!$C$71</f>
        <v>-21.223529999999997</v>
      </c>
      <c r="AW321" s="125">
        <f t="shared" si="45"/>
        <v>6584.5786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5">
        <v>245</v>
      </c>
      <c r="F322" s="125">
        <f>ROUND(E322*Valores!$C$2,2)</f>
        <v>5247.61</v>
      </c>
      <c r="G322" s="193">
        <v>0</v>
      </c>
      <c r="H322" s="125">
        <f>ROUND(G322*Valores!$C$2,2)</f>
        <v>0</v>
      </c>
      <c r="I322" s="193">
        <v>0</v>
      </c>
      <c r="J322" s="125">
        <f>ROUND(I322*Valores!$C$2,2)</f>
        <v>0</v>
      </c>
      <c r="K322" s="193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IF($F$4="NO",Valores!$C$46,Valores!$C$46/2)</f>
        <v>356.24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3">
        <v>0</v>
      </c>
      <c r="X322" s="125">
        <f>ROUND(W322*Valores!$C$2,2)</f>
        <v>0</v>
      </c>
      <c r="Y322" s="125">
        <v>0</v>
      </c>
      <c r="Z322" s="125">
        <f>Valores!$C$94</f>
        <v>489.94</v>
      </c>
      <c r="AA322" s="125">
        <v>0</v>
      </c>
      <c r="AB322" s="215">
        <v>0</v>
      </c>
      <c r="AC322" s="125">
        <f t="shared" si="43"/>
        <v>0</v>
      </c>
      <c r="AD322" s="125">
        <v>0</v>
      </c>
      <c r="AE322" s="193">
        <v>0</v>
      </c>
      <c r="AF322" s="125">
        <f>ROUND(AE322*Valores!$C$2,2)</f>
        <v>0</v>
      </c>
      <c r="AG322" s="125">
        <f>Valores!$C$60</f>
        <v>338.16</v>
      </c>
      <c r="AH322" s="125">
        <f t="shared" si="46"/>
        <v>6431.949999999999</v>
      </c>
      <c r="AI322" s="125">
        <f>Valores!$C$33</f>
        <v>273</v>
      </c>
      <c r="AJ322" s="125">
        <f>Valores!$C$87</f>
        <v>227.49999999999997</v>
      </c>
      <c r="AK322" s="125">
        <v>0</v>
      </c>
      <c r="AL322" s="125">
        <v>0</v>
      </c>
      <c r="AM322" s="125">
        <f t="shared" si="44"/>
        <v>500.5</v>
      </c>
      <c r="AN322" s="125">
        <f>AH322*Valores!$C$67</f>
        <v>-707.5144999999999</v>
      </c>
      <c r="AO322" s="125">
        <f>AH322*-Valores!$C$68</f>
        <v>0</v>
      </c>
      <c r="AP322" s="125">
        <f>AH322*Valores!$C$69</f>
        <v>-289.43774999999994</v>
      </c>
      <c r="AQ322" s="125">
        <v>0</v>
      </c>
      <c r="AR322" s="125">
        <v>0</v>
      </c>
      <c r="AS322" s="125">
        <f t="shared" si="47"/>
        <v>5935.497749999999</v>
      </c>
      <c r="AT322" s="125">
        <f t="shared" si="41"/>
        <v>-707.5144999999999</v>
      </c>
      <c r="AU322" s="125">
        <f>AH322*Valores!$C$70</f>
        <v>-173.66264999999996</v>
      </c>
      <c r="AV322" s="125">
        <f>AH322*Valores!$C$71</f>
        <v>-19.295849999999998</v>
      </c>
      <c r="AW322" s="125">
        <f t="shared" si="45"/>
        <v>6031.976999999999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5">
        <v>238</v>
      </c>
      <c r="F323" s="125">
        <f>ROUND(E323*Valores!$C$2,2)</f>
        <v>5097.67</v>
      </c>
      <c r="G323" s="193">
        <v>0</v>
      </c>
      <c r="H323" s="125">
        <f>ROUND(G323*Valores!$C$2,2)</f>
        <v>0</v>
      </c>
      <c r="I323" s="193">
        <v>0</v>
      </c>
      <c r="J323" s="125">
        <f>ROUND(I323*Valores!$C$2,2)</f>
        <v>0</v>
      </c>
      <c r="K323" s="193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IF($F$4="NO",Valores!$C$46,Valores!$C$46/2)</f>
        <v>356.24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3">
        <v>0</v>
      </c>
      <c r="X323" s="125">
        <f>ROUND(W323*Valores!$C$2,2)</f>
        <v>0</v>
      </c>
      <c r="Y323" s="125">
        <v>0</v>
      </c>
      <c r="Z323" s="125">
        <f>Valores!$C$94</f>
        <v>489.94</v>
      </c>
      <c r="AA323" s="125">
        <v>0</v>
      </c>
      <c r="AB323" s="215">
        <v>0</v>
      </c>
      <c r="AC323" s="125">
        <f t="shared" si="43"/>
        <v>0</v>
      </c>
      <c r="AD323" s="125">
        <v>0</v>
      </c>
      <c r="AE323" s="193">
        <v>0</v>
      </c>
      <c r="AF323" s="125">
        <f>ROUND(AE323*Valores!$C$2,2)</f>
        <v>0</v>
      </c>
      <c r="AG323" s="125">
        <f>Valores!$C$60</f>
        <v>338.16</v>
      </c>
      <c r="AH323" s="125">
        <f t="shared" si="46"/>
        <v>6282.009999999999</v>
      </c>
      <c r="AI323" s="125">
        <f>Valores!$C$33</f>
        <v>273</v>
      </c>
      <c r="AJ323" s="125">
        <f>Valores!$C$87</f>
        <v>227.49999999999997</v>
      </c>
      <c r="AK323" s="125">
        <v>0</v>
      </c>
      <c r="AL323" s="125">
        <v>0</v>
      </c>
      <c r="AM323" s="125">
        <f t="shared" si="44"/>
        <v>500.5</v>
      </c>
      <c r="AN323" s="125">
        <f>AH323*Valores!$C$67</f>
        <v>-691.0210999999999</v>
      </c>
      <c r="AO323" s="125">
        <f>AH323*-Valores!$C$68</f>
        <v>0</v>
      </c>
      <c r="AP323" s="125">
        <f>AH323*Valores!$C$69</f>
        <v>-282.69044999999994</v>
      </c>
      <c r="AQ323" s="125">
        <v>0</v>
      </c>
      <c r="AR323" s="125">
        <v>0</v>
      </c>
      <c r="AS323" s="125">
        <f t="shared" si="47"/>
        <v>5808.798449999999</v>
      </c>
      <c r="AT323" s="125">
        <f t="shared" si="41"/>
        <v>-691.0210999999999</v>
      </c>
      <c r="AU323" s="125">
        <f>AH323*Valores!$C$70</f>
        <v>-169.61426999999998</v>
      </c>
      <c r="AV323" s="125">
        <f>AH323*Valores!$C$71</f>
        <v>-18.84603</v>
      </c>
      <c r="AW323" s="125">
        <f t="shared" si="45"/>
        <v>5903.0286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5">
        <v>245</v>
      </c>
      <c r="F324" s="125">
        <f>ROUND(E324*Valores!$C$2,2)</f>
        <v>5247.61</v>
      </c>
      <c r="G324" s="193">
        <v>0</v>
      </c>
      <c r="H324" s="125">
        <f>ROUND(G324*Valores!$C$2,2)</f>
        <v>0</v>
      </c>
      <c r="I324" s="193">
        <v>0</v>
      </c>
      <c r="J324" s="125">
        <f>ROUND(I324*Valores!$C$2,2)</f>
        <v>0</v>
      </c>
      <c r="K324" s="193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IF($F$4="NO",Valores!$C$46,Valores!$C$46/2)</f>
        <v>356.24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3">
        <v>0</v>
      </c>
      <c r="X324" s="125">
        <f>ROUND(W324*Valores!$C$2,2)</f>
        <v>0</v>
      </c>
      <c r="Y324" s="125">
        <v>0</v>
      </c>
      <c r="Z324" s="125">
        <f>Valores!$C$94</f>
        <v>489.94</v>
      </c>
      <c r="AA324" s="125">
        <v>0</v>
      </c>
      <c r="AB324" s="215">
        <v>0</v>
      </c>
      <c r="AC324" s="125">
        <f t="shared" si="43"/>
        <v>0</v>
      </c>
      <c r="AD324" s="125">
        <v>0</v>
      </c>
      <c r="AE324" s="193">
        <v>0</v>
      </c>
      <c r="AF324" s="125">
        <f>ROUND(AE324*Valores!$C$2,2)</f>
        <v>0</v>
      </c>
      <c r="AG324" s="125">
        <f>Valores!$C$60</f>
        <v>338.16</v>
      </c>
      <c r="AH324" s="125">
        <f t="shared" si="46"/>
        <v>6431.949999999999</v>
      </c>
      <c r="AI324" s="125">
        <v>0</v>
      </c>
      <c r="AJ324" s="125">
        <f>Valores!$C$87</f>
        <v>227.49999999999997</v>
      </c>
      <c r="AK324" s="125">
        <v>0</v>
      </c>
      <c r="AL324" s="125">
        <v>0</v>
      </c>
      <c r="AM324" s="125">
        <f t="shared" si="44"/>
        <v>227.49999999999997</v>
      </c>
      <c r="AN324" s="125">
        <f>AH324*Valores!$C$67</f>
        <v>-707.5144999999999</v>
      </c>
      <c r="AO324" s="125">
        <f>AH324*-Valores!$C$68</f>
        <v>0</v>
      </c>
      <c r="AP324" s="125">
        <f>AH324*Valores!$C$69</f>
        <v>-289.43774999999994</v>
      </c>
      <c r="AQ324" s="125">
        <v>0</v>
      </c>
      <c r="AR324" s="125">
        <v>0</v>
      </c>
      <c r="AS324" s="125">
        <f t="shared" si="47"/>
        <v>5662.497749999999</v>
      </c>
      <c r="AT324" s="125">
        <f t="shared" si="41"/>
        <v>-707.5144999999999</v>
      </c>
      <c r="AU324" s="125">
        <f>AH324*Valores!$C$70</f>
        <v>-173.66264999999996</v>
      </c>
      <c r="AV324" s="125">
        <f>AH324*Valores!$C$71</f>
        <v>-19.295849999999998</v>
      </c>
      <c r="AW324" s="125">
        <f t="shared" si="45"/>
        <v>5758.976999999999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5">
        <v>243</v>
      </c>
      <c r="F325" s="125">
        <f>ROUND(E325*Valores!$C$2,2)</f>
        <v>5204.77</v>
      </c>
      <c r="G325" s="193">
        <v>0</v>
      </c>
      <c r="H325" s="125">
        <f>ROUND(G325*Valores!$C$2,2)</f>
        <v>0</v>
      </c>
      <c r="I325" s="193">
        <v>0</v>
      </c>
      <c r="J325" s="125">
        <f>ROUND(I325*Valores!$C$2,2)</f>
        <v>0</v>
      </c>
      <c r="K325" s="193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IF($F$4="NO",Valores!$C$46,Valores!$C$46/2)</f>
        <v>356.24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3">
        <v>0</v>
      </c>
      <c r="X325" s="125">
        <f>ROUND(W325*Valores!$C$2,2)</f>
        <v>0</v>
      </c>
      <c r="Y325" s="125">
        <v>0</v>
      </c>
      <c r="Z325" s="125">
        <f>Valores!$C$94</f>
        <v>489.94</v>
      </c>
      <c r="AA325" s="125">
        <v>0</v>
      </c>
      <c r="AB325" s="215">
        <v>0</v>
      </c>
      <c r="AC325" s="125">
        <f t="shared" si="43"/>
        <v>0</v>
      </c>
      <c r="AD325" s="125">
        <v>0</v>
      </c>
      <c r="AE325" s="193">
        <v>0</v>
      </c>
      <c r="AF325" s="125">
        <f>ROUND(AE325*Valores!$C$2,2)</f>
        <v>0</v>
      </c>
      <c r="AG325" s="125">
        <f>Valores!$C$60</f>
        <v>338.16</v>
      </c>
      <c r="AH325" s="125">
        <f t="shared" si="46"/>
        <v>6389.11</v>
      </c>
      <c r="AI325" s="125">
        <v>0</v>
      </c>
      <c r="AJ325" s="125">
        <f>Valores!$C$87</f>
        <v>227.49999999999997</v>
      </c>
      <c r="AK325" s="125">
        <v>0</v>
      </c>
      <c r="AL325" s="125">
        <v>0</v>
      </c>
      <c r="AM325" s="125">
        <f t="shared" si="44"/>
        <v>227.49999999999997</v>
      </c>
      <c r="AN325" s="125">
        <f>AH325*Valores!$C$67</f>
        <v>-702.8021</v>
      </c>
      <c r="AO325" s="125">
        <f>AH325*-Valores!$C$68</f>
        <v>0</v>
      </c>
      <c r="AP325" s="125">
        <f>AH325*Valores!$C$69</f>
        <v>-287.50994999999995</v>
      </c>
      <c r="AQ325" s="125">
        <v>0</v>
      </c>
      <c r="AR325" s="125">
        <v>0</v>
      </c>
      <c r="AS325" s="125">
        <f t="shared" si="47"/>
        <v>5626.29795</v>
      </c>
      <c r="AT325" s="125">
        <f t="shared" si="41"/>
        <v>-702.8021</v>
      </c>
      <c r="AU325" s="125">
        <f>AH325*Valores!$C$70</f>
        <v>-172.50597</v>
      </c>
      <c r="AV325" s="125">
        <f>AH325*Valores!$C$71</f>
        <v>-19.16733</v>
      </c>
      <c r="AW325" s="125">
        <f t="shared" si="45"/>
        <v>5722.134599999999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5">
        <v>235</v>
      </c>
      <c r="F326" s="125">
        <f>ROUND(E326*Valores!$C$2,2)</f>
        <v>5033.42</v>
      </c>
      <c r="G326" s="193">
        <v>0</v>
      </c>
      <c r="H326" s="125">
        <f>ROUND(G326*Valores!$C$2,2)</f>
        <v>0</v>
      </c>
      <c r="I326" s="193">
        <v>0</v>
      </c>
      <c r="J326" s="125">
        <f>ROUND(I326*Valores!$C$2,2)</f>
        <v>0</v>
      </c>
      <c r="K326" s="193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IF($F$4="NO",Valores!$C$46,Valores!$C$46/2)</f>
        <v>356.24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3">
        <v>0</v>
      </c>
      <c r="X326" s="125">
        <f>ROUND(W326*Valores!$C$2,2)</f>
        <v>0</v>
      </c>
      <c r="Y326" s="125">
        <v>0</v>
      </c>
      <c r="Z326" s="125">
        <f>Valores!$C$94</f>
        <v>489.94</v>
      </c>
      <c r="AA326" s="125">
        <v>0</v>
      </c>
      <c r="AB326" s="215">
        <v>0</v>
      </c>
      <c r="AC326" s="125">
        <f t="shared" si="43"/>
        <v>0</v>
      </c>
      <c r="AD326" s="125">
        <v>0</v>
      </c>
      <c r="AE326" s="193">
        <v>0</v>
      </c>
      <c r="AF326" s="125">
        <f>ROUND(AE326*Valores!$C$2,2)</f>
        <v>0</v>
      </c>
      <c r="AG326" s="125">
        <f>Valores!$C$60</f>
        <v>338.16</v>
      </c>
      <c r="AH326" s="125">
        <f t="shared" si="46"/>
        <v>6217.759999999999</v>
      </c>
      <c r="AI326" s="125">
        <v>0</v>
      </c>
      <c r="AJ326" s="125">
        <f>Valores!$C$87</f>
        <v>227.49999999999997</v>
      </c>
      <c r="AK326" s="125">
        <v>0</v>
      </c>
      <c r="AL326" s="125">
        <v>0</v>
      </c>
      <c r="AM326" s="125">
        <f t="shared" si="44"/>
        <v>227.49999999999997</v>
      </c>
      <c r="AN326" s="125">
        <f>AH326*Valores!$C$67</f>
        <v>-683.9535999999999</v>
      </c>
      <c r="AO326" s="125">
        <f>AH326*-Valores!$C$68</f>
        <v>0</v>
      </c>
      <c r="AP326" s="125">
        <f>AH326*Valores!$C$69</f>
        <v>-279.7992</v>
      </c>
      <c r="AQ326" s="125">
        <v>0</v>
      </c>
      <c r="AR326" s="125">
        <v>0</v>
      </c>
      <c r="AS326" s="125">
        <f t="shared" si="47"/>
        <v>5481.507199999999</v>
      </c>
      <c r="AT326" s="125">
        <f aca="true" t="shared" si="54" ref="AT326">AN326</f>
        <v>-683.9535999999999</v>
      </c>
      <c r="AU326" s="125">
        <f>AH326*Valores!$C$70</f>
        <v>-167.87951999999999</v>
      </c>
      <c r="AV326" s="125">
        <f>AH326*Valores!$C$71</f>
        <v>-18.65328</v>
      </c>
      <c r="AW326" s="125">
        <f t="shared" si="45"/>
        <v>5574.7735999999995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671</v>
      </c>
      <c r="B1" t="s">
        <v>672</v>
      </c>
      <c r="C1" t="s">
        <v>76</v>
      </c>
      <c r="D1" t="s">
        <v>702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704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712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708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709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710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711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713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714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715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716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717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718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720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719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721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722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723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724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725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726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727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728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729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730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731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732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733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734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735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736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737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738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739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740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741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742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743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744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745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746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747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748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749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750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751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752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753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754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755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756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757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758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759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760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761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762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763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764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765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766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767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768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769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770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771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772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773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774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775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776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777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778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779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780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781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782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783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784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785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786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787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788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789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790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791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792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793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794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798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796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795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799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797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800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801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802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803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804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805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806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807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808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809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810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811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812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813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814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815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663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674</v>
      </c>
      <c r="E1" s="202">
        <v>30</v>
      </c>
      <c r="G1" s="202">
        <v>30</v>
      </c>
      <c r="I1" s="202">
        <v>30</v>
      </c>
      <c r="K1" s="202">
        <v>30</v>
      </c>
    </row>
    <row r="2" spans="1:11" ht="12.75">
      <c r="A2" s="211"/>
      <c r="B2" s="74" t="s">
        <v>703</v>
      </c>
      <c r="E2" s="209">
        <v>0</v>
      </c>
      <c r="G2" s="209">
        <v>0</v>
      </c>
      <c r="H2" s="209"/>
      <c r="I2" s="209">
        <v>0</v>
      </c>
      <c r="J2" s="209"/>
      <c r="K2" s="209">
        <v>0</v>
      </c>
    </row>
    <row r="3" spans="1:11" ht="33.75" customHeight="1">
      <c r="A3" s="206" t="s">
        <v>698</v>
      </c>
      <c r="B3" s="205" t="s">
        <v>701</v>
      </c>
      <c r="E3" s="207" t="s">
        <v>816</v>
      </c>
      <c r="F3" s="208"/>
      <c r="G3" s="207" t="s">
        <v>817</v>
      </c>
      <c r="H3" s="208"/>
      <c r="I3" s="207" t="s">
        <v>818</v>
      </c>
      <c r="J3" s="208"/>
      <c r="K3" s="207" t="s">
        <v>705</v>
      </c>
    </row>
    <row r="4" spans="2:11" ht="12.75" hidden="1">
      <c r="B4" t="s">
        <v>700</v>
      </c>
      <c r="E4" s="202">
        <f>VLOOKUP(E3,Hoja2!$A$1:$B$321,2,FALSE)</f>
        <v>224</v>
      </c>
      <c r="G4" s="202">
        <f>VLOOKUP(G3,Hoja2!$A$1:$B$321,2,FALSE)</f>
        <v>151</v>
      </c>
      <c r="I4" s="202">
        <f>VLOOKUP(I3,Hoja2!$A$1:$B$321,2,FALSE)</f>
        <v>313</v>
      </c>
      <c r="K4" s="202" t="e">
        <f>VLOOKUP(K3,Hoja2!$A$1:$B$321,2,FALSE)</f>
        <v>#N/A</v>
      </c>
    </row>
    <row r="5" spans="1:11" ht="42" customHeight="1" hidden="1">
      <c r="A5" s="74" t="s">
        <v>698</v>
      </c>
      <c r="B5" s="74"/>
      <c r="D5" s="203" t="str">
        <f>_xlfn.IFNA(VLOOKUP(E$4,'Escala Docente'!$C$8:$AW$326,2,FALSE),"SIN ESPEC")</f>
        <v>Hora Cátedra Enseñanza Media 3 hs</v>
      </c>
      <c r="E5" s="203" t="str">
        <f>D5</f>
        <v>Hora Cátedra Enseñanza Media 3 hs</v>
      </c>
      <c r="F5" s="203" t="str">
        <f>_xlfn.IFNA(VLOOKUP(G$4,'Escala Docente'!$C$8:$AW$326,2,FALSE),"SIN ESPEC")</f>
        <v>Maestro Materia Especial</v>
      </c>
      <c r="G5" s="203" t="str">
        <f>F5</f>
        <v>Maestro Materia Especial</v>
      </c>
      <c r="H5" s="203" t="str">
        <f>_xlfn.IFNA(VLOOKUP(I$4,'Escala Docente'!$C$8:$AW$326,2,FALSE),"SIN ESPEC")</f>
        <v>Prol Jor (13-515) 16 horas</v>
      </c>
      <c r="I5" s="203" t="str">
        <f>H5</f>
        <v>Prol Jor (13-515) 16 horas</v>
      </c>
      <c r="J5" s="203" t="str">
        <f>_xlfn.IFNA(VLOOKUP(K$4,'Escala Docente'!$C$8:$AW$326,2,FALSE),"SIN ESPEC")</f>
        <v>SIN ESPEC</v>
      </c>
      <c r="K5" s="203" t="str">
        <f>J5</f>
        <v>SIN ESPEC</v>
      </c>
    </row>
    <row r="6" spans="1:11" ht="12.75" customHeight="1">
      <c r="A6" t="s">
        <v>675</v>
      </c>
      <c r="C6" s="8">
        <v>0</v>
      </c>
      <c r="D6" s="210">
        <f>_xlfn.IFNA(VLOOKUP(E$4,'Escala Docente'!$C$8:$AW$326,4,FALSE),0)</f>
        <v>5076.26</v>
      </c>
      <c r="E6" s="204">
        <f>ROUND(D6*E$1/30,2)</f>
        <v>5076.26</v>
      </c>
      <c r="F6" s="210">
        <f>_xlfn.IFNA(VLOOKUP(G$4,'Escala Docente'!$C$8:$AW$326,4,FALSE),0)</f>
        <v>20797.65</v>
      </c>
      <c r="G6" s="204">
        <f>ROUND(F6*G$1/30,2)</f>
        <v>20797.65</v>
      </c>
      <c r="H6" s="210">
        <f>_xlfn.IFNA(VLOOKUP(I$4,'Escala Docente'!$C$8:$AW$326,4,FALSE),0)</f>
        <v>53118.62</v>
      </c>
      <c r="I6" s="204">
        <f>ROUND(H6*I$1/30,2)</f>
        <v>53118.62</v>
      </c>
      <c r="J6" s="210">
        <f>_xlfn.IFNA(VLOOKUP(K$4,'Escala Docente'!$C$8:$AW$326,4,FALSE),0)</f>
        <v>0</v>
      </c>
      <c r="K6" s="204">
        <f>ROUND(J6*K$1/30,2)</f>
        <v>0</v>
      </c>
    </row>
    <row r="7" spans="1:11" ht="12.75" customHeight="1">
      <c r="A7" t="s">
        <v>676</v>
      </c>
      <c r="C7" s="8">
        <f>Valores!F85</f>
        <v>4550</v>
      </c>
      <c r="D7" s="210">
        <f>_xlfn.IFNA(VLOOKUP(E$4,'Escala Docente'!$C$8:$AW$326,34,FALSE),0)</f>
        <v>341.24999999999994</v>
      </c>
      <c r="E7" s="204">
        <f>IF((ROUND(D7*E$1/30,2)+(ROUND(F7*$G$1/30,2))+ROUND(H7*$I$1/30,2)+ROUND(J7*$K$1/30,2))&gt;C7,C7,(ROUND(D7*E$1/30,2)+ROUND(F7*$G$1/30,2)+ROUND(H7*$I$1/30,2)+ROUND(J7*$K$1/30,2)))</f>
        <v>2616.25</v>
      </c>
      <c r="F7" s="210">
        <f>_xlfn.IFNA(VLOOKUP(G$4,'Escala Docente'!$C$8:$AW$326,34,FALSE),0)</f>
        <v>2275</v>
      </c>
      <c r="G7" s="204">
        <f>IF($E7&gt;0,0,ROUND($F7*G$1/30,2))</f>
        <v>0</v>
      </c>
      <c r="H7" s="210">
        <f>_xlfn.IFNA(VLOOKUP(I$4,'Escala Docente'!$C$8:$AW$326,34,FALSE),0)</f>
        <v>0</v>
      </c>
      <c r="I7" s="204">
        <f>IF($E7&gt;0,0,ROUND($H7*I$1/30,2))</f>
        <v>0</v>
      </c>
      <c r="J7" s="210">
        <f>_xlfn.IFNA(VLOOKUP(K$4,'Escala Docente'!$C$8:$AW$326,34,FALSE),0)</f>
        <v>0</v>
      </c>
      <c r="K7" s="204">
        <f>IF($E7&gt;0,0,ROUND($J7*K$1/30,2))</f>
        <v>0</v>
      </c>
    </row>
    <row r="8" spans="1:11" ht="12.75" customHeight="1">
      <c r="A8" t="s">
        <v>677</v>
      </c>
      <c r="C8" s="8">
        <f>Valores!F92</f>
        <v>9798.86</v>
      </c>
      <c r="D8" s="210">
        <f>_xlfn.IFNA(VLOOKUP(E$4,'Escala Docente'!$C$8:$AW$326,24,FALSE),0)</f>
        <v>754.71</v>
      </c>
      <c r="E8" s="204">
        <f>IF((ROUND(D8*E$1/30,2)+(ROUND(F8*$G$1/30,2))+ROUND(H8*$I$1/30,2)+ROUND(J8*$K$1/30,2))&gt;C8,C8,(ROUND(D8*E$1/30,2)+ROUND(F8*$G$1/30,2)+ROUND(H8*$I$1/30,2)+ROUND(J8*$K$1/30,2)))</f>
        <v>5654.14</v>
      </c>
      <c r="F8" s="210">
        <f>_xlfn.IFNA(VLOOKUP(G$4,'Escala Docente'!$C$8:$AW$326,24,FALSE),0)</f>
        <v>4899.43</v>
      </c>
      <c r="G8" s="204">
        <f>IF($E8&gt;0,0,ROUND($F8*G$1/30,2))</f>
        <v>0</v>
      </c>
      <c r="H8" s="210">
        <f>_xlfn.IFNA(VLOOKUP(I$4,'Escala Docente'!$C$8:$AW$326,24,FALSE),0)</f>
        <v>0</v>
      </c>
      <c r="I8" s="204">
        <f>IF($E8&gt;0,0,ROUND($H8*I$1/30,2))</f>
        <v>0</v>
      </c>
      <c r="J8" s="210">
        <f>_xlfn.IFNA(VLOOKUP(K$4,'Escala Docente'!$C$8:$AW$326,24,FALSE),0)</f>
        <v>0</v>
      </c>
      <c r="K8" s="204">
        <f>IF($E8&gt;0,0,ROUND($J8*K$1/30,2))</f>
        <v>0</v>
      </c>
    </row>
    <row r="9" spans="1:11" ht="12.75" customHeight="1">
      <c r="A9" t="s">
        <v>678</v>
      </c>
      <c r="C9" s="8">
        <v>0</v>
      </c>
      <c r="D9" s="210">
        <f>_xlfn.IFNA(VLOOKUP(E$4,'Escala Docente'!$C$8:$AW$326,13,FALSE),0)</f>
        <v>2179.11</v>
      </c>
      <c r="E9" s="204">
        <f>ROUND(D9*E$1/30,2)</f>
        <v>2179.11</v>
      </c>
      <c r="F9" s="210">
        <f>_xlfn.IFNA(VLOOKUP(G$4,'Escala Docente'!$C$8:$AW$326,13,FALSE),0)</f>
        <v>18508.63</v>
      </c>
      <c r="G9" s="204">
        <f>ROUND(F9*G$1/30,2)</f>
        <v>18508.63</v>
      </c>
      <c r="H9" s="210">
        <f>_xlfn.IFNA(VLOOKUP(I$4,'Escala Docente'!$C$8:$AW$326,13,FALSE),0)</f>
        <v>0</v>
      </c>
      <c r="I9" s="204">
        <f>ROUND(H9*I$1/30,2)</f>
        <v>0</v>
      </c>
      <c r="J9" s="210">
        <f>_xlfn.IFNA(VLOOKUP(K$4,'Escala Docente'!$C$8:$AW$326,13,FALSE),0)</f>
        <v>0</v>
      </c>
      <c r="K9" s="204">
        <f>ROUND(J9*K$1/30,2)</f>
        <v>0</v>
      </c>
    </row>
    <row r="10" spans="1:11" ht="12.75" customHeight="1">
      <c r="A10" t="s">
        <v>679</v>
      </c>
      <c r="C10" s="8">
        <f>IF('Escala Docente'!$F$4="NO",Valores!F44,Valores!F44/2)</f>
        <v>5343.37</v>
      </c>
      <c r="D10" s="210">
        <f>_xlfn.IFNA(VLOOKUP(E$4,'Escala Docente'!$C$8:$AW$326,16,FALSE),0)</f>
        <v>458.76</v>
      </c>
      <c r="E10" s="204">
        <f>IF((ROUND(D10*E$1/30,2)+(ROUND(F10*$G$1/30,2))+ROUND(H10*$I$1/30,2)+ROUND(J10*$K$1/30,2))&gt;C10,C10,(ROUND(D10*E$1/30,2)+ROUND(F10*$G$1/30,2)+ROUND(H10*$I$1/30,2)+ROUND(J10*$K$1/30,2)))</f>
        <v>5343.37</v>
      </c>
      <c r="F10" s="210">
        <f>_xlfn.IFNA(VLOOKUP(G$4,'Escala Docente'!$C$8:$AW$326,16,FALSE),0)</f>
        <v>3200.97</v>
      </c>
      <c r="G10" s="204">
        <f>IF($E10&gt;0,0,ROUND($F10*G$1/30,2))</f>
        <v>0</v>
      </c>
      <c r="H10" s="210">
        <f>_xlfn.IFNA(VLOOKUP(I$4,'Escala Docente'!$C$8:$AW$326,16,FALSE),0)</f>
        <v>2446.72</v>
      </c>
      <c r="I10" s="204">
        <f>IF($E10&gt;0,0,ROUND($H10*I$1/30,2))</f>
        <v>0</v>
      </c>
      <c r="J10" s="210">
        <f>_xlfn.IFNA(VLOOKUP(K$4,'Escala Docente'!$C$8:$AW$326,16,FALSE),0)</f>
        <v>0</v>
      </c>
      <c r="K10" s="204">
        <f>IF($E10&gt;0,0,ROUND($J10*K$1/30,2))</f>
        <v>0</v>
      </c>
    </row>
    <row r="11" spans="1:11" ht="12.75">
      <c r="A11" t="s">
        <v>680</v>
      </c>
      <c r="C11" s="8">
        <f>Valores!F26</f>
        <v>447.83</v>
      </c>
      <c r="D11" s="210">
        <f>_xlfn.IFNA(VLOOKUP(E$4,'Escala Docente'!$C$8:$AW$326,27,FALSE),0)</f>
        <v>0</v>
      </c>
      <c r="E11" s="204">
        <f>ROUND(D11*E$1/30,2)</f>
        <v>0</v>
      </c>
      <c r="F11" s="210">
        <f>_xlfn.IFNA(VLOOKUP(G$4,'Escala Docente'!$C$8:$AW$326,27,FALSE),0)</f>
        <v>0</v>
      </c>
      <c r="G11" s="204">
        <f>IF(E11&gt;=C11,0,IF((F11*G$1/30)&gt;(E11-C11),F11*G$1/30,E11-C11))</f>
        <v>0</v>
      </c>
      <c r="H11" s="210">
        <f>_xlfn.IFNA(VLOOKUP(I$4,'Escala Docente'!$C$8:$AW$326,27,FALSE),0)</f>
        <v>0</v>
      </c>
      <c r="I11" s="204">
        <f>IF(E11+G11&gt;=C11,0,IF((H11*G$1/30)&gt;(E11+G11-C11),H11*G$1/30,E11+G1-C11))</f>
        <v>0</v>
      </c>
      <c r="J11" s="210">
        <f>_xlfn.IFNA(VLOOKUP(K$4,'Escala Docente'!$C$8:$AW$326,27,FALSE),0)</f>
        <v>0</v>
      </c>
      <c r="K11" s="204">
        <f>IF(E11+G11+H11&gt;=C11,0,IF((J11*G$1/30)&gt;(E11+G11+H11-C11),J11*G$1/30,E11+G1+H11-C11))</f>
        <v>0</v>
      </c>
    </row>
    <row r="12" spans="1:11" ht="12.75" customHeight="1">
      <c r="A12" t="s">
        <v>681</v>
      </c>
      <c r="C12" s="8">
        <v>0</v>
      </c>
      <c r="D12" s="210">
        <f>_xlfn.IFNA(VLOOKUP(E$4,'Escala Docente'!$C$8:$AW$326,6,FALSE),0)</f>
        <v>0</v>
      </c>
      <c r="E12" s="204">
        <f>ROUND(D12*E$1/30,2)</f>
        <v>0</v>
      </c>
      <c r="F12" s="210">
        <f>_xlfn.IFNA(VLOOKUP(G$4,'Escala Docente'!$C$8:$AW$326,6,FALSE),0)</f>
        <v>0</v>
      </c>
      <c r="G12" s="204">
        <f>ROUND(F12*G$1/30,2)</f>
        <v>0</v>
      </c>
      <c r="H12" s="210">
        <f>_xlfn.IFNA(VLOOKUP(I$4,'Escala Docente'!$C$8:$AW$326,6,FALSE),0)</f>
        <v>0</v>
      </c>
      <c r="I12" s="204">
        <f>ROUND(H12*I$1/30,2)</f>
        <v>0</v>
      </c>
      <c r="J12" s="210">
        <f>_xlfn.IFNA(VLOOKUP(K$4,'Escala Docente'!$C$8:$AW$326,6,FALSE),0)</f>
        <v>0</v>
      </c>
      <c r="K12" s="204">
        <f>ROUND(J12*K$1/30,2)</f>
        <v>0</v>
      </c>
    </row>
    <row r="13" spans="1:11" ht="12.75" customHeight="1">
      <c r="A13" t="s">
        <v>693</v>
      </c>
      <c r="C13" s="8">
        <v>0</v>
      </c>
      <c r="D13" s="210">
        <f>_xlfn.IFNA(VLOOKUP(E$4,'Escala Docente'!$C$8:$AW$326,15,FALSE),0)</f>
        <v>0</v>
      </c>
      <c r="E13" s="204">
        <f>ROUND(D13*E$1/30,2)</f>
        <v>0</v>
      </c>
      <c r="F13" s="210">
        <f>_xlfn.IFNA(VLOOKUP(G$4,'Escala Docente'!$C$8:$AW$326,15,FALSE),0)</f>
        <v>9091.88</v>
      </c>
      <c r="G13" s="204">
        <f>ROUND(F13*G$1/30,2)</f>
        <v>9091.88</v>
      </c>
      <c r="H13" s="210">
        <f>_xlfn.IFNA(VLOOKUP(I$4,'Escala Docente'!$C$8:$AW$326,15,FALSE),0)</f>
        <v>0</v>
      </c>
      <c r="I13" s="204">
        <f>ROUND(H13*I$1/30,2)</f>
        <v>0</v>
      </c>
      <c r="J13" s="210">
        <f>_xlfn.IFNA(VLOOKUP(K$4,'Escala Docente'!$C$8:$AW$326,15,FALSE),0)</f>
        <v>0</v>
      </c>
      <c r="K13" s="204">
        <f>ROUND(J13*K$1/30,2)</f>
        <v>0</v>
      </c>
    </row>
    <row r="14" spans="1:11" ht="12.75" customHeight="1">
      <c r="A14" t="s">
        <v>682</v>
      </c>
      <c r="C14" s="8">
        <v>0</v>
      </c>
      <c r="D14" s="210">
        <f>_xlfn.IFNA(VLOOKUP(E$4,'Escala Docente'!$C$8:$AW$326,8,FALSE),0)</f>
        <v>0</v>
      </c>
      <c r="E14" s="204">
        <f>ROUND(D14*E$1/30,2)</f>
        <v>0</v>
      </c>
      <c r="F14" s="210">
        <f>_xlfn.IFNA(VLOOKUP(G$4,'Escala Docente'!$C$8:$AW$326,8,FALSE),0)</f>
        <v>0</v>
      </c>
      <c r="G14" s="204">
        <f>ROUND(F14*G$1/30,2)</f>
        <v>0</v>
      </c>
      <c r="H14" s="210">
        <f>_xlfn.IFNA(VLOOKUP(I$4,'Escala Docente'!$C$8:$AW$326,8,FALSE),0)</f>
        <v>0</v>
      </c>
      <c r="I14" s="204">
        <f>ROUND(H14*I$1/30,2)</f>
        <v>0</v>
      </c>
      <c r="J14" s="210">
        <f>_xlfn.IFNA(VLOOKUP(K$4,'Escala Docente'!$C$8:$AW$326,8,FALSE),0)</f>
        <v>0</v>
      </c>
      <c r="K14" s="204">
        <f>ROUND(J14*K$1/30,2)</f>
        <v>0</v>
      </c>
    </row>
    <row r="15" spans="1:11" ht="12.75" customHeight="1">
      <c r="A15" t="s">
        <v>683</v>
      </c>
      <c r="C15" s="8">
        <f>Valores!D5</f>
        <v>10949.29</v>
      </c>
      <c r="D15" s="210">
        <f>_xlfn.IFNA(VLOOKUP(E$4,'Escala Docente'!$C$8:$AW$326,14,FALSE),0)</f>
        <v>2189.85</v>
      </c>
      <c r="E15" s="204">
        <f>IF((ROUND(D15*E$1/30,2)+(ROUND(F15*$G$1/30,2))+ROUND(H15*$I$1/30,2)+ROUND(J15*$K$1/30,2))&gt;C15,C15,(ROUND(D15*E$1/30,2)+ROUND(F15*$G$1/30,2)+ROUND(H15*$I$1/30,2)+ROUND(J15*$K$1/30,2)))</f>
        <v>10949.29</v>
      </c>
      <c r="F15" s="210">
        <f>_xlfn.IFNA(VLOOKUP(G$4,'Escala Docente'!$C$8:$AW$326,14,FALSE),0)</f>
        <v>10949.29</v>
      </c>
      <c r="G15" s="204">
        <f>IF($E15&gt;0,0,ROUND($F15*G$1/30,2))</f>
        <v>0</v>
      </c>
      <c r="H15" s="210">
        <f>_xlfn.IFNA(VLOOKUP(I$4,'Escala Docente'!$C$8:$AW$326,14,FALSE),0)</f>
        <v>0</v>
      </c>
      <c r="I15" s="204">
        <f>IF($E15&gt;0,0,ROUND($H15*I$1/30,2))</f>
        <v>0</v>
      </c>
      <c r="J15" s="210">
        <f>_xlfn.IFNA(VLOOKUP(K$4,'Escala Docente'!$C$8:$AW$326,14,FALSE),0)</f>
        <v>0</v>
      </c>
      <c r="K15" s="204">
        <f>IF($E15&gt;0,0,ROUND($J15*K$1/30,2))</f>
        <v>0</v>
      </c>
    </row>
    <row r="16" spans="1:11" ht="12.75">
      <c r="A16" t="s">
        <v>684</v>
      </c>
      <c r="C16" s="8">
        <f>Valores!F25</f>
        <v>671.745</v>
      </c>
      <c r="D16" s="210">
        <f>_xlfn.IFNA(VLOOKUP(E$4,'Escala Docente'!$C$8:$AW$326,25,FALSE),0)</f>
        <v>53.82000000000001</v>
      </c>
      <c r="E16" s="204">
        <f>ROUND(D16*E$1/30,2)</f>
        <v>53.82</v>
      </c>
      <c r="F16" s="210">
        <f>_xlfn.IFNA(VLOOKUP(G$4,'Escala Docente'!$C$8:$AW$326,25,FALSE),0)</f>
        <v>447.83</v>
      </c>
      <c r="G16" s="204">
        <f>IF(E16&gt;=C16,0,IF((F16*G$1/30)&gt;(E16-C16),F16*G$1/30,E16-C16))</f>
        <v>447.83</v>
      </c>
      <c r="H16" s="210">
        <f>_xlfn.IFNA(VLOOKUP(I$4,'Escala Docente'!$C$8:$AW$326,25,FALSE),0)</f>
        <v>0</v>
      </c>
      <c r="I16" s="204">
        <f>IF(E16+G16&gt;=C16,0,IF((H16*G$1/30)&gt;(E16+G16-C16),H16*G$1/30,E16+G6-C16))</f>
        <v>0</v>
      </c>
      <c r="J16" s="210">
        <f>_xlfn.IFNA(VLOOKUP(K$4,'Escala Docente'!$C$8:$AW$326,25,FALSE),0)</f>
        <v>0</v>
      </c>
      <c r="K16" s="204">
        <f>IF(E16+G16+H16&gt;=C16,0,IF((J16*G$1/30)&gt;(E16+G16+H16-C16),J16*G$1/30,E16+G6+H16-C16))</f>
        <v>0</v>
      </c>
    </row>
    <row r="17" spans="1:11" ht="12.75" customHeight="1">
      <c r="A17" t="s">
        <v>697</v>
      </c>
      <c r="C17" s="8">
        <v>0</v>
      </c>
      <c r="D17" s="210">
        <f>_xlfn.IFNA(VLOOKUP(E$4,'Escala Docente'!$C$8:$AW$326,22,FALSE),0)</f>
        <v>0</v>
      </c>
      <c r="E17" s="204">
        <f>ROUND(D17*E$1/30,2)</f>
        <v>0</v>
      </c>
      <c r="F17" s="210">
        <f>_xlfn.IFNA(VLOOKUP(G$4,'Escala Docente'!$C$8:$AW$326,22,FALSE),0)</f>
        <v>0</v>
      </c>
      <c r="G17" s="204">
        <f>ROUND(F17*G$1/30,2)</f>
        <v>0</v>
      </c>
      <c r="H17" s="210">
        <f>_xlfn.IFNA(VLOOKUP(I$4,'Escala Docente'!$C$8:$AW$326,22,FALSE),0)</f>
        <v>0</v>
      </c>
      <c r="I17" s="204">
        <f>ROUND(H17*I$1/30,2)</f>
        <v>0</v>
      </c>
      <c r="J17" s="210">
        <f>_xlfn.IFNA(VLOOKUP(K$4,'Escala Docente'!$C$8:$AW$326,22,FALSE),0)</f>
        <v>0</v>
      </c>
      <c r="K17" s="204">
        <f>ROUND(J17*K$1/30,2)</f>
        <v>0</v>
      </c>
    </row>
    <row r="18" spans="1:11" ht="12.75" customHeight="1">
      <c r="A18" t="s">
        <v>696</v>
      </c>
      <c r="C18" s="8">
        <v>0</v>
      </c>
      <c r="D18" s="210">
        <f>_xlfn.IFNA(VLOOKUP(E$4,'Escala Docente'!$C$8:$AW$326,10,FALSE),0)</f>
        <v>0</v>
      </c>
      <c r="E18" s="204">
        <f>ROUND(D18*E$1/30,2)</f>
        <v>0</v>
      </c>
      <c r="F18" s="210">
        <f>_xlfn.IFNA(VLOOKUP(G$4,'Escala Docente'!$C$8:$AW$326,10,FALSE),0)</f>
        <v>0</v>
      </c>
      <c r="G18" s="204">
        <f>ROUND(F18*G$1/30,2)</f>
        <v>0</v>
      </c>
      <c r="H18" s="210">
        <f>_xlfn.IFNA(VLOOKUP(I$4,'Escala Docente'!$C$8:$AW$326,10,FALSE),0)</f>
        <v>0</v>
      </c>
      <c r="I18" s="204">
        <f>ROUND(H18*I$1/30,2)</f>
        <v>0</v>
      </c>
      <c r="J18" s="210">
        <f>_xlfn.IFNA(VLOOKUP(K$4,'Escala Docente'!$C$8:$AW$326,10,FALSE),0)</f>
        <v>0</v>
      </c>
      <c r="K18" s="204">
        <f>ROUND(J18*K$1/30,2)</f>
        <v>0</v>
      </c>
    </row>
    <row r="19" spans="1:11" ht="12.75" customHeight="1">
      <c r="A19" s="102" t="s">
        <v>685</v>
      </c>
      <c r="B19" s="102"/>
      <c r="C19" s="8">
        <v>0</v>
      </c>
      <c r="D19" s="210">
        <f>_xlfn.IFNA(VLOOKUP(E$4,'Escala Docente'!$C$8:$AW$326,12,FALSE),0)</f>
        <v>0</v>
      </c>
      <c r="E19" s="204">
        <f>ROUND(E6+E12+E18+E10+E17,2)*'Escala Docente'!$H$2</f>
        <v>0</v>
      </c>
      <c r="F19" s="210">
        <f>_xlfn.IFNA(VLOOKUP(G$4,'Escala Docente'!$C$8:$AW$326,12,FALSE),0)</f>
        <v>0</v>
      </c>
      <c r="G19" s="204">
        <f>ROUND(G6+G12+G18+G10+G17,2)*'Escala Docente'!$H$2</f>
        <v>0</v>
      </c>
      <c r="H19" s="210">
        <f>_xlfn.IFNA(VLOOKUP(I$4,'Escala Docente'!$C$8:$AW$326,12,FALSE),0)</f>
        <v>0</v>
      </c>
      <c r="I19" s="204">
        <f>ROUND(I6+I12+I18+I10+I17,2)*'Escala Docente'!$H$2</f>
        <v>0</v>
      </c>
      <c r="J19" s="210">
        <f>_xlfn.IFNA(VLOOKUP(K$4,'Escala Docente'!$C$8:$AW$326,12,FALSE),0)</f>
        <v>0</v>
      </c>
      <c r="K19" s="204">
        <f>ROUND(K6+K12+K18+K10+K17,2)*'Escala Docente'!$H$2</f>
        <v>0</v>
      </c>
    </row>
    <row r="20" spans="1:11" ht="12.75" customHeight="1">
      <c r="A20" t="s">
        <v>692</v>
      </c>
      <c r="C20" s="8">
        <v>0</v>
      </c>
      <c r="D20" s="210">
        <f>_xlfn.IFNA(VLOOKUP(E$4,'Escala Docente'!$C$8:$AW$326,29,FALSE),0)</f>
        <v>0</v>
      </c>
      <c r="E20" s="204">
        <f>ROUND(D20*E$1/30,2)</f>
        <v>0</v>
      </c>
      <c r="F20" s="210">
        <f>_xlfn.IFNA(VLOOKUP(G$4,'Escala Docente'!$C$8:$AW$326,29,FALSE),0)</f>
        <v>0</v>
      </c>
      <c r="G20" s="204">
        <f>ROUND(F20*G$1/30,2)</f>
        <v>0</v>
      </c>
      <c r="H20" s="210">
        <f>_xlfn.IFNA(VLOOKUP(I$4,'Escala Docente'!$C$8:$AW$326,29,FALSE),0)</f>
        <v>0</v>
      </c>
      <c r="I20" s="204">
        <f>ROUND(H20*I$1/30,2)</f>
        <v>0</v>
      </c>
      <c r="J20" s="210">
        <f>_xlfn.IFNA(VLOOKUP(K$4,'Escala Docente'!$C$8:$AW$326,29,FALSE),0)</f>
        <v>0</v>
      </c>
      <c r="K20" s="204">
        <f>ROUND(J20*K$1/30,2)</f>
        <v>0</v>
      </c>
    </row>
    <row r="21" spans="1:11" ht="12.75" customHeight="1">
      <c r="A21" t="s">
        <v>686</v>
      </c>
      <c r="C21" s="8">
        <v>0</v>
      </c>
      <c r="D21" s="210">
        <f>_xlfn.IFNA(VLOOKUP(E$4,'Escala Docente'!$C$8:$AW$326,18,FALSE),0)</f>
        <v>685.38</v>
      </c>
      <c r="E21" s="204">
        <f>ROUND(D21*E$1/30,2)</f>
        <v>685.38</v>
      </c>
      <c r="F21" s="210">
        <f>_xlfn.IFNA(VLOOKUP(G$4,'Escala Docente'!$C$8:$AW$326,18,FALSE),0)</f>
        <v>10188.49</v>
      </c>
      <c r="G21" s="204">
        <f>ROUND(F21*G$1/30,2)</f>
        <v>10188.49</v>
      </c>
      <c r="H21" s="210">
        <f>_xlfn.IFNA(VLOOKUP(I$4,'Escala Docente'!$C$8:$AW$326,18,FALSE),0)</f>
        <v>0</v>
      </c>
      <c r="I21" s="204">
        <f>ROUND(H21*I$1/30,2)</f>
        <v>0</v>
      </c>
      <c r="J21" s="210">
        <f>_xlfn.IFNA(VLOOKUP(K$4,'Escala Docente'!$C$8:$AW$326,18,FALSE),0)</f>
        <v>0</v>
      </c>
      <c r="K21" s="204">
        <f>ROUND(J21*K$1/30,2)</f>
        <v>0</v>
      </c>
    </row>
    <row r="22" spans="1:11" ht="12.75" customHeight="1">
      <c r="A22" s="102" t="s">
        <v>690</v>
      </c>
      <c r="B22" s="102"/>
      <c r="C22" s="8">
        <v>0</v>
      </c>
      <c r="D22" s="210">
        <f>_xlfn.IFNA(VLOOKUP(E$4,'Escala Docente'!$C$8:$AW$326,26,FALSE),0)</f>
        <v>0</v>
      </c>
      <c r="E22" s="204">
        <f>ROUND(D22*E$1/30,2)</f>
        <v>0</v>
      </c>
      <c r="F22" s="210">
        <f>_xlfn.IFNA(VLOOKUP(G$4,'Escala Docente'!$C$8:$AW$326,26,FALSE),0)</f>
        <v>0</v>
      </c>
      <c r="G22" s="204">
        <f>ROUND(F22*G$1/30,2)</f>
        <v>0</v>
      </c>
      <c r="H22" s="210">
        <f>_xlfn.IFNA(VLOOKUP(I$4,'Escala Docente'!$C$8:$AW$326,26,FALSE),0)</f>
        <v>0</v>
      </c>
      <c r="I22" s="204">
        <f>ROUND(H22*I$1/30,2)</f>
        <v>0</v>
      </c>
      <c r="J22" s="210">
        <f>_xlfn.IFNA(VLOOKUP(K$4,'Escala Docente'!$C$8:$AW$326,26,FALSE),0)</f>
        <v>0</v>
      </c>
      <c r="K22" s="204">
        <f>ROUND(J22*K$1/30,2)</f>
        <v>0</v>
      </c>
    </row>
    <row r="23" spans="1:11" ht="12.75" customHeight="1">
      <c r="A23" t="s">
        <v>695</v>
      </c>
      <c r="C23" s="8">
        <v>0</v>
      </c>
      <c r="D23" s="210">
        <f>_xlfn.IFNA(VLOOKUP(E$4,'Escala Docente'!$C$8:$AW$326,23,FALSE),0)</f>
        <v>0</v>
      </c>
      <c r="E23" s="204">
        <f>ROUND(D23*E$1/30,2)</f>
        <v>0</v>
      </c>
      <c r="F23" s="210">
        <f>_xlfn.IFNA(VLOOKUP(G$4,'Escala Docente'!$C$8:$AW$326,23,FALSE),0)</f>
        <v>0</v>
      </c>
      <c r="G23" s="204">
        <f>ROUND(F23*G$1/30,2)</f>
        <v>0</v>
      </c>
      <c r="H23" s="210">
        <f>_xlfn.IFNA(VLOOKUP(I$4,'Escala Docente'!$C$8:$AW$326,23,FALSE),0)</f>
        <v>0</v>
      </c>
      <c r="I23" s="204">
        <f>ROUND(H23*I$1/30,2)</f>
        <v>0</v>
      </c>
      <c r="J23" s="210">
        <f>_xlfn.IFNA(VLOOKUP(K$4,'Escala Docente'!$C$8:$AW$326,23,FALSE),0)</f>
        <v>0</v>
      </c>
      <c r="K23" s="204">
        <f>ROUND(J23*K$1/30,2)</f>
        <v>0</v>
      </c>
    </row>
    <row r="24" spans="1:11" ht="12.75" customHeight="1">
      <c r="A24" s="74" t="s">
        <v>706</v>
      </c>
      <c r="C24" s="8">
        <f>Valores!F38</f>
        <v>0</v>
      </c>
      <c r="D24" s="210">
        <f>_xlfn.IFNA(VLOOKUP(E$4,'Escala Docente'!$C$8:$AW$326,35,FALSE),0)</f>
        <v>0</v>
      </c>
      <c r="E24" s="204">
        <f>ROUND(D24*E$1/30,2)</f>
        <v>0</v>
      </c>
      <c r="F24" s="210">
        <f>_xlfn.IFNA(VLOOKUP(G$4,'Escala Docente'!$C$8:$AW$326,35,FALSE),0)</f>
        <v>0</v>
      </c>
      <c r="G24" s="204">
        <f>ROUND(F24*G$1/30,2)</f>
        <v>0</v>
      </c>
      <c r="H24" s="210">
        <f>_xlfn.IFNA(VLOOKUP(I$4,'Escala Docente'!$C$8:$AW$326,35,FALSE),0)</f>
        <v>0</v>
      </c>
      <c r="I24" s="204">
        <f>ROUND(H24*I$1/30,2)</f>
        <v>0</v>
      </c>
      <c r="J24" s="210">
        <f>_xlfn.IFNA(VLOOKUP(K$4,'Escala Docente'!$C$8:$AW$326,35,FALSE),0)</f>
        <v>0</v>
      </c>
      <c r="K24" s="204">
        <f>ROUND(J24*K$1/30,2)</f>
        <v>0</v>
      </c>
    </row>
    <row r="25" spans="1:11" ht="12.75" customHeight="1">
      <c r="A25" t="s">
        <v>687</v>
      </c>
      <c r="C25" s="8">
        <f>IF('Escala Docente'!$F$4="NO",Valores!F59,Valores!F59/2)</f>
        <v>6342.34</v>
      </c>
      <c r="D25" s="210">
        <f>_xlfn.IFNA(VLOOKUP(E$4,'Escala Docente'!$C$8:$AW$326,30,FALSE),0)</f>
        <v>0</v>
      </c>
      <c r="E25" s="204">
        <f>IF((ROUND(D25*E$1/30,2)+(ROUND(F25*$G$1/30,2))+ROUND(H25*$I$1/30,2)+ROUND(J25*$K$1/30,2))&gt;C25,C25,(ROUND(D25*E$1/30,2)+ROUND(F25*$G$1/30,2)+ROUND(H25*$I$1/30,2)+ROUND(J25*$K$1/30,2)))</f>
        <v>0</v>
      </c>
      <c r="F25" s="210">
        <f>_xlfn.IFNA(VLOOKUP(G$4,'Escala Docente'!$C$8:$AW$326,30,FALSE),0)</f>
        <v>0</v>
      </c>
      <c r="G25" s="204">
        <f>IF($E25&gt;0,0,ROUND($F25*G$1/30,2))</f>
        <v>0</v>
      </c>
      <c r="H25" s="210">
        <f>_xlfn.IFNA(VLOOKUP(I$4,'Escala Docente'!$C$8:$AW$326,30,FALSE),0)</f>
        <v>0</v>
      </c>
      <c r="I25" s="204">
        <f>IF($E25&gt;0,0,ROUND($H25*I$1/30,2))</f>
        <v>0</v>
      </c>
      <c r="J25" s="210">
        <f>_xlfn.IFNA(VLOOKUP(K$4,'Escala Docente'!$C$8:$AW$326,30,FALSE),0)</f>
        <v>0</v>
      </c>
      <c r="K25" s="204">
        <f>IF($E25&gt;0,0,ROUND($J25*K$1/30,2))</f>
        <v>0</v>
      </c>
    </row>
    <row r="26" spans="1:11" ht="12.75" customHeight="1">
      <c r="A26" t="s">
        <v>688</v>
      </c>
      <c r="C26" s="8">
        <f>Valores!F32</f>
        <v>9960.16</v>
      </c>
      <c r="D26" s="210">
        <f>_xlfn.IFNA(VLOOKUP(E$4,'Escala Docente'!$C$8:$AW$326,33,FALSE),0)</f>
        <v>996.03</v>
      </c>
      <c r="E26" s="204">
        <f>IF((ROUND(D26*E$1/30,2)+(ROUND(F26*$G$1/30,2))+ROUND(H26*$I$1/30,2)+ROUND(J26*$K$1/30,2))&gt;C26,C26,(ROUND(D26*E$1/30,2)+ROUND(F26*$G$1/30,2)+ROUND(H26*$I$1/30,2)+ROUND(J26*$K$1/30,2)))</f>
        <v>5976.11</v>
      </c>
      <c r="F26" s="210">
        <f>_xlfn.IFNA(VLOOKUP(G$4,'Escala Docente'!$C$8:$AW$326,33,FALSE),0)</f>
        <v>4980.08</v>
      </c>
      <c r="G26" s="204">
        <f>IF($E26&gt;0,0,ROUND($F26*G$1/30,2))</f>
        <v>0</v>
      </c>
      <c r="H26" s="210">
        <f>_xlfn.IFNA(VLOOKUP(I$4,'Escala Docente'!$C$8:$AW$326,33,FALSE),0)</f>
        <v>0</v>
      </c>
      <c r="I26" s="204">
        <f>IF($E26&gt;0,0,ROUND($H26*I$1/30,2))</f>
        <v>0</v>
      </c>
      <c r="J26" s="210">
        <f>_xlfn.IFNA(VLOOKUP(K$4,'Escala Docente'!$C$8:$AW$326,33,FALSE),0)</f>
        <v>0</v>
      </c>
      <c r="K26" s="204">
        <f>IF($E26&gt;0,0,ROUND($J26*K$1/30,2))</f>
        <v>0</v>
      </c>
    </row>
    <row r="27" spans="1:11" ht="12.75" customHeight="1">
      <c r="A27" t="s">
        <v>689</v>
      </c>
      <c r="C27" s="8" t="e">
        <f>IF('Escala Docente'!$F$4="NO",Valores!#REF!,Valores!#REF!/2)</f>
        <v>#REF!</v>
      </c>
      <c r="D27" s="210">
        <f>_xlfn.IFNA(VLOOKUP(E$4,'Escala Docente'!$C$8:$AW$326,31,FALSE),0)</f>
        <v>634.23</v>
      </c>
      <c r="E27" s="204" t="e">
        <f>IF((ROUND(D27*E$1/30,2)+(ROUND(F27*$G$1/30,2))+ROUND(H27*$I$1/30,2)+ROUND(J27*$K$1/30,2))&gt;C27,C27,(ROUND(D27*E$1/30,2)+ROUND(F27*$G$1/30,2)+ROUND(H27*$I$1/30,2)+ROUND(J27*$K$1/30,2)))</f>
        <v>#REF!</v>
      </c>
      <c r="F27" s="210">
        <f>_xlfn.IFNA(VLOOKUP(G$4,'Escala Docente'!$C$8:$AW$326,31,FALSE),0)</f>
        <v>3171.17</v>
      </c>
      <c r="G27" s="204" t="e">
        <f>IF($E27&gt;0,0,ROUND($F27*G$1/30,2))</f>
        <v>#REF!</v>
      </c>
      <c r="H27" s="210">
        <f>_xlfn.IFNA(VLOOKUP(I$4,'Escala Docente'!$C$8:$AW$326,31,FALSE),0)</f>
        <v>0</v>
      </c>
      <c r="I27" s="204" t="e">
        <f>IF($E27&gt;0,0,ROUND($H27*I$1/30,2))</f>
        <v>#REF!</v>
      </c>
      <c r="J27" s="210">
        <f>_xlfn.IFNA(VLOOKUP(K$4,'Escala Docente'!$C$8:$AW$326,31,FALSE),0)</f>
        <v>0</v>
      </c>
      <c r="K27" s="204" t="e">
        <f>IF($E27&gt;0,0,ROUND($J27*K$1/30,2))</f>
        <v>#REF!</v>
      </c>
    </row>
    <row r="28" spans="1:11" ht="12.75">
      <c r="A28" t="s">
        <v>691</v>
      </c>
      <c r="C28" s="8">
        <f>Valores!F58</f>
        <v>327.6</v>
      </c>
      <c r="D28" s="210">
        <f>_xlfn.IFNA(VLOOKUP(E$4,'Escala Docente'!$C$8:$AW$326,36,FALSE),0)</f>
        <v>0</v>
      </c>
      <c r="E28" s="204">
        <f>ROUND(D28*E$1/30,2)</f>
        <v>0</v>
      </c>
      <c r="F28" s="210">
        <f>_xlfn.IFNA(VLOOKUP(G$4,'Escala Docente'!$C$8:$AW$326,36,FALSE),0)</f>
        <v>0</v>
      </c>
      <c r="G28" s="204">
        <f>IF(E28&gt;=C28,0,IF((F28*G$1/30)&gt;(E28-C28),F28*G$1/30,E28-C28))</f>
        <v>0</v>
      </c>
      <c r="H28" s="210">
        <f>_xlfn.IFNA(VLOOKUP(I$4,'Escala Docente'!$C$8:$AW$326,36,FALSE),0)</f>
        <v>0</v>
      </c>
      <c r="I28" s="204">
        <f>IF(E28+G28&gt;=C28,0,IF((H28*G$1/30)&gt;(E28+G28-C28),H28*G$1/30,E28+G18-C28))</f>
        <v>0</v>
      </c>
      <c r="J28" s="210">
        <f>_xlfn.IFNA(VLOOKUP(K$4,'Escala Docente'!$C$8:$AW$326,36,FALSE),0)</f>
        <v>0</v>
      </c>
      <c r="K28" s="204">
        <f>IF(E28+G28+H28&gt;=C28,0,IF((J28*G$1/30)&gt;(E28+G28+H28-C28),J28*G$1/30,E28+G18+H28-C28))</f>
        <v>0</v>
      </c>
    </row>
    <row r="29" spans="1:11" ht="12.75" customHeight="1">
      <c r="A29" t="s">
        <v>694</v>
      </c>
      <c r="C29" s="8">
        <v>0</v>
      </c>
      <c r="D29" s="210">
        <f>_xlfn.IFNA(VLOOKUP(E$4,'Escala Docente'!$C$8:$AW$326,11,FALSE),0)</f>
        <v>933.06</v>
      </c>
      <c r="E29" s="211">
        <f>ROUND(IF('Escala Docente'!$H$2=0,IF(AND(MID(E$3,1,5)&lt;&gt;"13930",MID(E$3,1,5)&lt;&gt;"13940"),(SUM(E6+E12+E14+E18+E10+E17+E21)*Valores!$C$4),0),0),2)</f>
        <v>1665.75</v>
      </c>
      <c r="F29" s="210">
        <f>_xlfn.IFNA(VLOOKUP(G$4,'Escala Docente'!$C$8:$AW$326,11,FALSE),0)</f>
        <v>5128.07</v>
      </c>
      <c r="G29" s="211">
        <f>ROUND(IF('Escala Docente'!$H$2=0,IF(AND(MID(G$3,1,5)&lt;&gt;"13930",MID(G$3,1,5)&lt;&gt;"13940"),(SUM(G6+G12+G14+G18+G10+G17+G21)*Valores!$C$4),0),0),2)</f>
        <v>4647.92</v>
      </c>
      <c r="H29" s="210">
        <f>_xlfn.IFNA(VLOOKUP(I$4,'Escala Docente'!$C$8:$AW$326,11,FALSE),0)</f>
        <v>8334.8</v>
      </c>
      <c r="I29" s="211">
        <f>ROUND(IF('Escala Docente'!$H$2=0,IF(AND(MID(I$3,1,5)&lt;&gt;"13930",MID(I$3,1,5)&lt;&gt;"13940"),(SUM(I6+I12+I14+I18+I10+I17+I21)*Valores!$C$4),0),0),2)</f>
        <v>7967.79</v>
      </c>
      <c r="K29" s="211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1" t="str">
        <f ca="1">MID(CELL("FILENAME",L41),FIND("[",CELL("FILENAME",L41))+1,FIND("]",CELL("FILENAME",L41))-FIND("[",CELL("FILENAME",L41))-1)</f>
        <v>Esc Doc 2022 09 Cba V 1 3.xlsx</v>
      </c>
      <c r="B1" s="231"/>
      <c r="C1" s="231"/>
      <c r="D1" s="231"/>
      <c r="E1" s="231"/>
      <c r="F1" s="231"/>
      <c r="G1" s="231"/>
      <c r="H1" s="231"/>
      <c r="I1" s="231"/>
      <c r="J1" s="23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2" t="s">
        <v>49</v>
      </c>
      <c r="B2" s="232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3" t="s">
        <v>501</v>
      </c>
      <c r="R3" s="233"/>
      <c r="S3" s="233"/>
      <c r="T3" s="234" t="s">
        <v>502</v>
      </c>
      <c r="U3" s="234"/>
      <c r="V3" s="234"/>
      <c r="W3" s="234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2022-07-25T16:25:21Z</cp:lastPrinted>
  <dcterms:created xsi:type="dcterms:W3CDTF">2005-08-10T23:49:01Z</dcterms:created>
  <dcterms:modified xsi:type="dcterms:W3CDTF">2022-09-29T14:01:26Z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