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43659608\Desktop\grillas Noviembre y Diciembre\"/>
    </mc:Choice>
  </mc:AlternateContent>
  <bookViews>
    <workbookView xWindow="-120" yWindow="-120" windowWidth="20730" windowHeight="1116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Docente'!$A$1:$AM$326</definedName>
    <definedName name="_xlnm.Print_Area" localSheetId="4">UPC!$A$2:$J$37</definedName>
    <definedName name="_xlnm.Print_Area" localSheetId="0">Valores!$A$1:$G$88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R6" i="2" l="1"/>
  <c r="R61" i="2"/>
  <c r="F45" i="1"/>
  <c r="R24" i="2"/>
  <c r="R23" i="2"/>
  <c r="R22" i="2"/>
  <c r="O127" i="2" l="1"/>
  <c r="C50" i="1" l="1"/>
  <c r="R95" i="2"/>
  <c r="R83" i="2"/>
  <c r="R82" i="2"/>
  <c r="R81" i="2"/>
  <c r="R80" i="2"/>
  <c r="R79" i="2"/>
  <c r="R73" i="2"/>
  <c r="R71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1" i="2"/>
  <c r="R50" i="2"/>
  <c r="R49" i="2"/>
  <c r="R48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59" i="2"/>
  <c r="R154" i="2"/>
  <c r="R54" i="2"/>
  <c r="R53" i="2"/>
  <c r="R52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1" i="2"/>
  <c r="M13" i="1" l="1"/>
  <c r="M14" i="1" s="1"/>
  <c r="M16" i="1" s="1"/>
  <c r="M15" i="1" l="1"/>
  <c r="A1" i="2" s="1"/>
  <c r="AI323" i="2"/>
  <c r="AI322" i="2"/>
  <c r="AI321" i="2"/>
  <c r="D62" i="1" l="1"/>
  <c r="F95" i="1" l="1"/>
  <c r="Z6" i="2" s="1"/>
  <c r="AI300" i="2" l="1"/>
  <c r="C34" i="1"/>
  <c r="AI301" i="2" s="1"/>
  <c r="O190" i="2"/>
  <c r="O189" i="2"/>
  <c r="O188" i="2"/>
  <c r="O187" i="2"/>
  <c r="O186" i="2"/>
  <c r="O183" i="2"/>
  <c r="O182" i="2"/>
  <c r="O178" i="2"/>
  <c r="O177" i="2"/>
  <c r="O172" i="2"/>
  <c r="O171" i="2"/>
  <c r="O170" i="2"/>
  <c r="O169" i="2"/>
  <c r="O168" i="2"/>
  <c r="O167" i="2"/>
  <c r="O166" i="2"/>
  <c r="O165" i="2"/>
  <c r="O164" i="2"/>
  <c r="O162" i="2"/>
  <c r="O161" i="2"/>
  <c r="O160" i="2"/>
  <c r="O159" i="2"/>
  <c r="O158" i="2"/>
  <c r="O157" i="2"/>
  <c r="O156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39" i="2"/>
  <c r="O137" i="2"/>
  <c r="O133" i="2"/>
  <c r="O132" i="2"/>
  <c r="O131" i="2"/>
  <c r="O130" i="2"/>
  <c r="O129" i="2"/>
  <c r="O128" i="2"/>
  <c r="O126" i="2"/>
  <c r="O125" i="2"/>
  <c r="O124" i="2"/>
  <c r="O122" i="2"/>
  <c r="O102" i="2"/>
  <c r="O101" i="2"/>
  <c r="O98" i="2"/>
  <c r="O97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C2" i="5" l="1"/>
  <c r="A2" i="5" s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E4" i="4" s="1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9" i="5"/>
  <c r="A301" i="5"/>
  <c r="A305" i="5"/>
  <c r="A307" i="5"/>
  <c r="A309" i="5"/>
  <c r="A313" i="5"/>
  <c r="A315" i="5"/>
  <c r="A317" i="5"/>
  <c r="A321" i="5"/>
  <c r="A3" i="5"/>
  <c r="A298" i="5"/>
  <c r="A320" i="5"/>
  <c r="A319" i="5"/>
  <c r="A318" i="5"/>
  <c r="A316" i="5"/>
  <c r="A314" i="5"/>
  <c r="A312" i="5"/>
  <c r="A311" i="5"/>
  <c r="A310" i="5"/>
  <c r="A308" i="5"/>
  <c r="A306" i="5"/>
  <c r="A304" i="5"/>
  <c r="A303" i="5"/>
  <c r="A302" i="5"/>
  <c r="A300" i="5"/>
  <c r="A297" i="5"/>
  <c r="G4" i="4" l="1"/>
  <c r="K4" i="4"/>
  <c r="J13" i="4" s="1"/>
  <c r="K13" i="4" s="1"/>
  <c r="I4" i="4"/>
  <c r="J23" i="4" l="1"/>
  <c r="K23" i="4" s="1"/>
  <c r="F23" i="4"/>
  <c r="G23" i="4" s="1"/>
  <c r="D23" i="4"/>
  <c r="E23" i="4" s="1"/>
  <c r="D13" i="4"/>
  <c r="E13" i="4" s="1"/>
  <c r="H23" i="4"/>
  <c r="I23" i="4" s="1"/>
  <c r="AR301" i="2" l="1"/>
  <c r="AQ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F20" i="4" s="1"/>
  <c r="G20" i="4" s="1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J20" i="4" s="1"/>
  <c r="K20" i="4" s="1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H20" i="4" s="1"/>
  <c r="I20" i="4" s="1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D20" i="4" s="1"/>
  <c r="E20" i="4" s="1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J17" i="4" s="1"/>
  <c r="K17" i="4" s="1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F302" i="2"/>
  <c r="R191" i="2"/>
  <c r="Q190" i="2"/>
  <c r="H13" i="4" s="1"/>
  <c r="I13" i="4" s="1"/>
  <c r="Q188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65" i="2"/>
  <c r="Q164" i="2"/>
  <c r="Q163" i="2"/>
  <c r="Q162" i="2"/>
  <c r="Q161" i="2"/>
  <c r="Q160" i="2"/>
  <c r="Q159" i="2"/>
  <c r="Q158" i="2"/>
  <c r="F13" i="4" s="1"/>
  <c r="G13" i="4" s="1"/>
  <c r="Q156" i="2"/>
  <c r="Q155" i="2"/>
  <c r="Q154" i="2"/>
  <c r="Q153" i="2"/>
  <c r="Q152" i="2"/>
  <c r="Q151" i="2"/>
  <c r="Q150" i="2"/>
  <c r="Q149" i="2"/>
  <c r="Q146" i="2"/>
  <c r="Q145" i="2"/>
  <c r="Q144" i="2"/>
  <c r="Q143" i="2"/>
  <c r="Q142" i="2"/>
  <c r="Q141" i="2"/>
  <c r="Q140" i="2"/>
  <c r="Q138" i="2"/>
  <c r="Q136" i="2"/>
  <c r="Q135" i="2"/>
  <c r="Q133" i="2"/>
  <c r="Q132" i="2"/>
  <c r="Q131" i="2"/>
  <c r="Q129" i="2"/>
  <c r="Q128" i="2"/>
  <c r="Q127" i="2"/>
  <c r="Q126" i="2"/>
  <c r="Q125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00" i="2"/>
  <c r="Q99" i="2"/>
  <c r="Q98" i="2"/>
  <c r="Q97" i="2"/>
  <c r="Q95" i="2"/>
  <c r="Q94" i="2"/>
  <c r="Q93" i="2"/>
  <c r="Q92" i="2"/>
  <c r="Q91" i="2"/>
  <c r="Q90" i="2"/>
  <c r="Q89" i="2"/>
  <c r="Q88" i="2"/>
  <c r="Q46" i="2" s="1"/>
  <c r="Q87" i="2"/>
  <c r="Q85" i="2"/>
  <c r="Q84" i="2"/>
  <c r="Q83" i="2"/>
  <c r="Q81" i="2"/>
  <c r="Q80" i="2"/>
  <c r="Q79" i="2"/>
  <c r="Q78" i="2"/>
  <c r="Q77" i="2"/>
  <c r="Q76" i="2"/>
  <c r="Q75" i="2"/>
  <c r="Q73" i="2"/>
  <c r="Q71" i="2"/>
  <c r="Q70" i="2"/>
  <c r="Q69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2" i="2"/>
  <c r="Q51" i="2"/>
  <c r="Q50" i="2"/>
  <c r="Q49" i="2"/>
  <c r="H17" i="4" l="1"/>
  <c r="I17" i="4" s="1"/>
  <c r="D17" i="4"/>
  <c r="E17" i="4" s="1"/>
  <c r="F17" i="4"/>
  <c r="G17" i="4" s="1"/>
  <c r="Q47" i="2"/>
  <c r="Q48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J18" i="4" s="1"/>
  <c r="K18" i="4" s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14" i="4" s="1"/>
  <c r="K14" i="4" s="1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F326" i="2"/>
  <c r="F325" i="2"/>
  <c r="F324" i="2"/>
  <c r="F323" i="2"/>
  <c r="F322" i="2"/>
  <c r="F321" i="2"/>
  <c r="F305" i="2"/>
  <c r="F304" i="2"/>
  <c r="F303" i="2"/>
  <c r="F300" i="2"/>
  <c r="E301" i="2"/>
  <c r="F301" i="2" s="1"/>
  <c r="F299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18" i="4" l="1"/>
  <c r="I18" i="4" s="1"/>
  <c r="AC305" i="2"/>
  <c r="H14" i="4"/>
  <c r="I14" i="4" s="1"/>
  <c r="F18" i="4"/>
  <c r="G18" i="4" s="1"/>
  <c r="F14" i="4"/>
  <c r="G14" i="4" s="1"/>
  <c r="H12" i="4"/>
  <c r="I12" i="4" s="1"/>
  <c r="J12" i="4"/>
  <c r="K12" i="4" s="1"/>
  <c r="F12" i="4"/>
  <c r="G12" i="4" s="1"/>
  <c r="D12" i="4"/>
  <c r="E12" i="4" s="1"/>
  <c r="D18" i="4"/>
  <c r="E18" i="4" s="1"/>
  <c r="D14" i="4"/>
  <c r="E14" i="4" s="1"/>
  <c r="V11" i="2"/>
  <c r="V19" i="2"/>
  <c r="V18" i="2"/>
  <c r="V16" i="2"/>
  <c r="V24" i="2"/>
  <c r="V13" i="2"/>
  <c r="V12" i="2"/>
  <c r="V20" i="2"/>
  <c r="V8" i="2"/>
  <c r="V14" i="2"/>
  <c r="V22" i="2"/>
  <c r="V15" i="2"/>
  <c r="V23" i="2"/>
  <c r="V9" i="2"/>
  <c r="V17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C39" i="1"/>
  <c r="AK292" i="2" s="1"/>
  <c r="F38" i="1"/>
  <c r="C24" i="4" s="1"/>
  <c r="R300" i="2"/>
  <c r="AC300" i="2" s="1"/>
  <c r="C98" i="1"/>
  <c r="Z301" i="2" s="1"/>
  <c r="C91" i="1"/>
  <c r="AJ301" i="2" s="1"/>
  <c r="R301" i="2"/>
  <c r="C64" i="1"/>
  <c r="E45" i="2"/>
  <c r="F45" i="2" s="1"/>
  <c r="E46" i="2"/>
  <c r="F46" i="2" s="1"/>
  <c r="E113" i="2"/>
  <c r="F113" i="2" s="1"/>
  <c r="E114" i="2"/>
  <c r="F114" i="2" s="1"/>
  <c r="E115" i="2"/>
  <c r="F115" i="2" s="1"/>
  <c r="E116" i="2"/>
  <c r="F116" i="2" s="1"/>
  <c r="E117" i="2"/>
  <c r="F117" i="2" s="1"/>
  <c r="E157" i="2"/>
  <c r="F157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306" i="2"/>
  <c r="D25" i="4" l="1"/>
  <c r="AG301" i="2"/>
  <c r="D6" i="4"/>
  <c r="E6" i="4" s="1"/>
  <c r="AC191" i="2"/>
  <c r="AC301" i="2"/>
  <c r="J6" i="4"/>
  <c r="K6" i="4" s="1"/>
  <c r="AM301" i="2"/>
  <c r="AK6" i="2"/>
  <c r="AK197" i="2"/>
  <c r="AK205" i="2"/>
  <c r="AK213" i="2"/>
  <c r="AK221" i="2"/>
  <c r="AK229" i="2"/>
  <c r="AK237" i="2"/>
  <c r="AK245" i="2"/>
  <c r="AK253" i="2"/>
  <c r="AK261" i="2"/>
  <c r="AK269" i="2"/>
  <c r="AK277" i="2"/>
  <c r="AK285" i="2"/>
  <c r="AK293" i="2"/>
  <c r="AK198" i="2"/>
  <c r="AK206" i="2"/>
  <c r="AK214" i="2"/>
  <c r="AK222" i="2"/>
  <c r="AK230" i="2"/>
  <c r="AK238" i="2"/>
  <c r="AK246" i="2"/>
  <c r="AK254" i="2"/>
  <c r="AK262" i="2"/>
  <c r="AK270" i="2"/>
  <c r="AK278" i="2"/>
  <c r="AK286" i="2"/>
  <c r="AK294" i="2"/>
  <c r="AK191" i="2"/>
  <c r="AK199" i="2"/>
  <c r="AK207" i="2"/>
  <c r="AK215" i="2"/>
  <c r="AK223" i="2"/>
  <c r="AK231" i="2"/>
  <c r="AK239" i="2"/>
  <c r="AK247" i="2"/>
  <c r="AK255" i="2"/>
  <c r="AK263" i="2"/>
  <c r="AK271" i="2"/>
  <c r="AK279" i="2"/>
  <c r="AK287" i="2"/>
  <c r="AK295" i="2"/>
  <c r="AK192" i="2"/>
  <c r="AK200" i="2"/>
  <c r="AK208" i="2"/>
  <c r="AK216" i="2"/>
  <c r="AK224" i="2"/>
  <c r="AK232" i="2"/>
  <c r="AK240" i="2"/>
  <c r="AK248" i="2"/>
  <c r="AK256" i="2"/>
  <c r="AK264" i="2"/>
  <c r="AK272" i="2"/>
  <c r="AK280" i="2"/>
  <c r="AK288" i="2"/>
  <c r="AK296" i="2"/>
  <c r="AK193" i="2"/>
  <c r="AK201" i="2"/>
  <c r="AK209" i="2"/>
  <c r="AK217" i="2"/>
  <c r="AK225" i="2"/>
  <c r="AK233" i="2"/>
  <c r="AK241" i="2"/>
  <c r="AK249" i="2"/>
  <c r="AK257" i="2"/>
  <c r="AK265" i="2"/>
  <c r="AK273" i="2"/>
  <c r="AK281" i="2"/>
  <c r="AK289" i="2"/>
  <c r="AK297" i="2"/>
  <c r="AK194" i="2"/>
  <c r="AK202" i="2"/>
  <c r="AK210" i="2"/>
  <c r="AK218" i="2"/>
  <c r="AK226" i="2"/>
  <c r="AK234" i="2"/>
  <c r="AK242" i="2"/>
  <c r="AK250" i="2"/>
  <c r="AK258" i="2"/>
  <c r="AK266" i="2"/>
  <c r="AK274" i="2"/>
  <c r="AK282" i="2"/>
  <c r="AK290" i="2"/>
  <c r="AK298" i="2"/>
  <c r="AK195" i="2"/>
  <c r="AK203" i="2"/>
  <c r="AK211" i="2"/>
  <c r="AK219" i="2"/>
  <c r="AK227" i="2"/>
  <c r="AK235" i="2"/>
  <c r="AK243" i="2"/>
  <c r="AK251" i="2"/>
  <c r="AK259" i="2"/>
  <c r="AK267" i="2"/>
  <c r="AK275" i="2"/>
  <c r="AK283" i="2"/>
  <c r="AK291" i="2"/>
  <c r="AK299" i="2"/>
  <c r="AK196" i="2"/>
  <c r="AK204" i="2"/>
  <c r="AK212" i="2"/>
  <c r="AK220" i="2"/>
  <c r="AK228" i="2"/>
  <c r="AK236" i="2"/>
  <c r="AK244" i="2"/>
  <c r="AK252" i="2"/>
  <c r="AK260" i="2"/>
  <c r="AK268" i="2"/>
  <c r="AK276" i="2"/>
  <c r="AK284" i="2"/>
  <c r="E307" i="2"/>
  <c r="F307" i="2" s="1"/>
  <c r="F306" i="2"/>
  <c r="E47" i="2"/>
  <c r="F47" i="2" s="1"/>
  <c r="F237" i="2"/>
  <c r="AC307" i="2" l="1"/>
  <c r="AC306" i="2"/>
  <c r="E308" i="2"/>
  <c r="F308" i="2" s="1"/>
  <c r="F36" i="1"/>
  <c r="AC308" i="2" l="1"/>
  <c r="E309" i="2"/>
  <c r="F309" i="2" s="1"/>
  <c r="AC309" i="2" l="1"/>
  <c r="E310" i="2"/>
  <c r="F310" i="2" s="1"/>
  <c r="L3" i="2"/>
  <c r="AC310" i="2" l="1"/>
  <c r="E311" i="2"/>
  <c r="F311" i="2" s="1"/>
  <c r="AC311" i="2" l="1"/>
  <c r="E312" i="2"/>
  <c r="F312" i="2" s="1"/>
  <c r="F32" i="1"/>
  <c r="C26" i="4" s="1"/>
  <c r="AC312" i="2" l="1"/>
  <c r="E313" i="2"/>
  <c r="F313" i="2" s="1"/>
  <c r="I58" i="1"/>
  <c r="C26" i="1"/>
  <c r="AC313" i="2" l="1"/>
  <c r="E314" i="2"/>
  <c r="F314" i="2" s="1"/>
  <c r="AY299" i="2"/>
  <c r="AY298" i="2"/>
  <c r="AY297" i="2"/>
  <c r="AY296" i="2"/>
  <c r="AY295" i="2"/>
  <c r="AY294" i="2"/>
  <c r="AY293" i="2"/>
  <c r="AY292" i="2"/>
  <c r="AY291" i="2"/>
  <c r="AY290" i="2"/>
  <c r="AY289" i="2"/>
  <c r="AY288" i="2"/>
  <c r="AY287" i="2"/>
  <c r="AY286" i="2"/>
  <c r="AY285" i="2"/>
  <c r="AY284" i="2"/>
  <c r="AY283" i="2"/>
  <c r="AY282" i="2"/>
  <c r="AY281" i="2"/>
  <c r="AY280" i="2"/>
  <c r="AY279" i="2"/>
  <c r="AY278" i="2"/>
  <c r="AY277" i="2"/>
  <c r="AY276" i="2"/>
  <c r="AY275" i="2"/>
  <c r="AY274" i="2"/>
  <c r="AY273" i="2"/>
  <c r="AY272" i="2"/>
  <c r="AY271" i="2"/>
  <c r="AY270" i="2"/>
  <c r="AY269" i="2"/>
  <c r="AY268" i="2"/>
  <c r="AY267" i="2"/>
  <c r="AY266" i="2"/>
  <c r="AY265" i="2"/>
  <c r="AY264" i="2"/>
  <c r="AY263" i="2"/>
  <c r="AY262" i="2"/>
  <c r="AY261" i="2"/>
  <c r="AY260" i="2"/>
  <c r="AY259" i="2"/>
  <c r="AY258" i="2"/>
  <c r="AY257" i="2"/>
  <c r="AY256" i="2"/>
  <c r="AY255" i="2"/>
  <c r="AY254" i="2"/>
  <c r="AY253" i="2"/>
  <c r="AY252" i="2"/>
  <c r="AY251" i="2"/>
  <c r="AY250" i="2"/>
  <c r="AY249" i="2"/>
  <c r="AY248" i="2"/>
  <c r="AY247" i="2"/>
  <c r="AY246" i="2"/>
  <c r="AY245" i="2"/>
  <c r="AY244" i="2"/>
  <c r="AY243" i="2"/>
  <c r="AY242" i="2"/>
  <c r="AY241" i="2"/>
  <c r="AY240" i="2"/>
  <c r="AY239" i="2"/>
  <c r="AY238" i="2"/>
  <c r="AY237" i="2"/>
  <c r="AY236" i="2"/>
  <c r="AY235" i="2"/>
  <c r="AY234" i="2"/>
  <c r="AY233" i="2"/>
  <c r="AY232" i="2"/>
  <c r="AY231" i="2"/>
  <c r="AY230" i="2"/>
  <c r="AY229" i="2"/>
  <c r="AY228" i="2"/>
  <c r="AY227" i="2"/>
  <c r="AY226" i="2"/>
  <c r="AY225" i="2"/>
  <c r="AY224" i="2"/>
  <c r="AY223" i="2"/>
  <c r="AY222" i="2"/>
  <c r="AY221" i="2"/>
  <c r="AY220" i="2"/>
  <c r="AY219" i="2"/>
  <c r="AY218" i="2"/>
  <c r="AY217" i="2"/>
  <c r="AY216" i="2"/>
  <c r="AY215" i="2"/>
  <c r="AY214" i="2"/>
  <c r="AY213" i="2"/>
  <c r="AY212" i="2"/>
  <c r="AY211" i="2"/>
  <c r="AY210" i="2"/>
  <c r="AY209" i="2"/>
  <c r="AY208" i="2"/>
  <c r="AY207" i="2"/>
  <c r="AY206" i="2"/>
  <c r="AY205" i="2"/>
  <c r="AY204" i="2"/>
  <c r="AY203" i="2"/>
  <c r="AY202" i="2"/>
  <c r="AY201" i="2"/>
  <c r="AY200" i="2"/>
  <c r="AY199" i="2"/>
  <c r="AY198" i="2"/>
  <c r="AY197" i="2"/>
  <c r="AY196" i="2"/>
  <c r="AY195" i="2"/>
  <c r="AY194" i="2"/>
  <c r="AY193" i="2"/>
  <c r="AY192" i="2"/>
  <c r="AY191" i="2"/>
  <c r="AC314" i="2" l="1"/>
  <c r="E315" i="2"/>
  <c r="F315" i="2" s="1"/>
  <c r="AL162" i="2"/>
  <c r="AL161" i="2"/>
  <c r="AL160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5" i="2"/>
  <c r="AL74" i="2"/>
  <c r="AL73" i="2"/>
  <c r="AL72" i="2"/>
  <c r="AL71" i="2"/>
  <c r="AL70" i="2"/>
  <c r="AL69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4" i="2"/>
  <c r="AL43" i="2"/>
  <c r="AL159" i="2"/>
  <c r="AL158" i="2"/>
  <c r="AL139" i="2"/>
  <c r="AL165" i="2"/>
  <c r="AL164" i="2"/>
  <c r="AL163" i="2"/>
  <c r="AL189" i="2"/>
  <c r="AL188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23" i="2"/>
  <c r="AL122" i="2"/>
  <c r="AL68" i="2"/>
  <c r="AL45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T7" i="2"/>
  <c r="AT6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C315" i="2" l="1"/>
  <c r="E316" i="2"/>
  <c r="F316" i="2" s="1"/>
  <c r="AJ154" i="2"/>
  <c r="Z154" i="2"/>
  <c r="AJ83" i="2"/>
  <c r="AJ82" i="2"/>
  <c r="AJ81" i="2"/>
  <c r="AJ80" i="2"/>
  <c r="Z81" i="2"/>
  <c r="Z82" i="2"/>
  <c r="Z80" i="2"/>
  <c r="Z79" i="2"/>
  <c r="Z74" i="2"/>
  <c r="Z73" i="2"/>
  <c r="Z72" i="2"/>
  <c r="Z71" i="2"/>
  <c r="Z70" i="2"/>
  <c r="Z40" i="2"/>
  <c r="AG300" i="2"/>
  <c r="AJ79" i="2"/>
  <c r="AJ74" i="2"/>
  <c r="AJ73" i="2"/>
  <c r="AJ72" i="2"/>
  <c r="AC316" i="2" l="1"/>
  <c r="E317" i="2"/>
  <c r="F317" i="2" s="1"/>
  <c r="AJ41" i="2"/>
  <c r="AJ40" i="2"/>
  <c r="Z69" i="2"/>
  <c r="Z32" i="2"/>
  <c r="Z30" i="2"/>
  <c r="Z28" i="2"/>
  <c r="AJ32" i="2"/>
  <c r="AC317" i="2" l="1"/>
  <c r="E318" i="2"/>
  <c r="F318" i="2" s="1"/>
  <c r="AJ30" i="2"/>
  <c r="AJ28" i="2"/>
  <c r="AC318" i="2" l="1"/>
  <c r="E319" i="2"/>
  <c r="F319" i="2" s="1"/>
  <c r="O30" i="2"/>
  <c r="AC319" i="2" l="1"/>
  <c r="E320" i="2"/>
  <c r="F320" i="2" s="1"/>
  <c r="AL6" i="2"/>
  <c r="H6" i="4" l="1"/>
  <c r="I6" i="4" s="1"/>
  <c r="F6" i="4"/>
  <c r="G6" i="4" s="1"/>
  <c r="AC320" i="2"/>
  <c r="AJ6" i="2"/>
  <c r="AI6" i="2" l="1"/>
  <c r="F88" i="1" l="1"/>
  <c r="C7" i="4" s="1"/>
  <c r="F60" i="1"/>
  <c r="F61" i="1"/>
  <c r="C28" i="4" s="1"/>
  <c r="C8" i="4"/>
  <c r="C10" i="4"/>
  <c r="E61" i="1" l="1"/>
  <c r="AL298" i="2"/>
  <c r="AL290" i="2"/>
  <c r="AL282" i="2"/>
  <c r="AL274" i="2"/>
  <c r="AL266" i="2"/>
  <c r="AL258" i="2"/>
  <c r="AL250" i="2"/>
  <c r="AL242" i="2"/>
  <c r="AL234" i="2"/>
  <c r="AL293" i="2"/>
  <c r="AL297" i="2"/>
  <c r="AL289" i="2"/>
  <c r="AL281" i="2"/>
  <c r="AL273" i="2"/>
  <c r="AL265" i="2"/>
  <c r="AL257" i="2"/>
  <c r="AL249" i="2"/>
  <c r="AL241" i="2"/>
  <c r="AL233" i="2"/>
  <c r="AL285" i="2"/>
  <c r="AL245" i="2"/>
  <c r="AL296" i="2"/>
  <c r="AL288" i="2"/>
  <c r="AL280" i="2"/>
  <c r="AL272" i="2"/>
  <c r="AL264" i="2"/>
  <c r="AL256" i="2"/>
  <c r="AL248" i="2"/>
  <c r="AL240" i="2"/>
  <c r="AL232" i="2"/>
  <c r="AL269" i="2"/>
  <c r="AL229" i="2"/>
  <c r="AL295" i="2"/>
  <c r="AL287" i="2"/>
  <c r="AL279" i="2"/>
  <c r="AL271" i="2"/>
  <c r="AL263" i="2"/>
  <c r="AL255" i="2"/>
  <c r="AL247" i="2"/>
  <c r="AL239" i="2"/>
  <c r="AL231" i="2"/>
  <c r="D28" i="4" s="1"/>
  <c r="E28" i="4" s="1"/>
  <c r="AL294" i="2"/>
  <c r="AL286" i="2"/>
  <c r="AL278" i="2"/>
  <c r="AL270" i="2"/>
  <c r="AL262" i="2"/>
  <c r="AL254" i="2"/>
  <c r="AL246" i="2"/>
  <c r="AL238" i="2"/>
  <c r="AL230" i="2"/>
  <c r="AL253" i="2"/>
  <c r="AL292" i="2"/>
  <c r="AL284" i="2"/>
  <c r="AL276" i="2"/>
  <c r="AL268" i="2"/>
  <c r="AL260" i="2"/>
  <c r="AL252" i="2"/>
  <c r="AL244" i="2"/>
  <c r="AL236" i="2"/>
  <c r="AL228" i="2"/>
  <c r="AL261" i="2"/>
  <c r="AL299" i="2"/>
  <c r="AL291" i="2"/>
  <c r="AL283" i="2"/>
  <c r="F28" i="4" s="1"/>
  <c r="AL275" i="2"/>
  <c r="AL267" i="2"/>
  <c r="AL259" i="2"/>
  <c r="AL251" i="2"/>
  <c r="AL243" i="2"/>
  <c r="AL235" i="2"/>
  <c r="AL227" i="2"/>
  <c r="J28" i="4" s="1"/>
  <c r="AL277" i="2"/>
  <c r="AL237" i="2"/>
  <c r="AL226" i="2"/>
  <c r="AL218" i="2"/>
  <c r="AL210" i="2"/>
  <c r="AL202" i="2"/>
  <c r="AL194" i="2"/>
  <c r="AL213" i="2"/>
  <c r="AL225" i="2"/>
  <c r="AL217" i="2"/>
  <c r="AL209" i="2"/>
  <c r="AL201" i="2"/>
  <c r="AL193" i="2"/>
  <c r="AL197" i="2"/>
  <c r="AL224" i="2"/>
  <c r="AL216" i="2"/>
  <c r="AL208" i="2"/>
  <c r="AL200" i="2"/>
  <c r="AL192" i="2"/>
  <c r="AL223" i="2"/>
  <c r="AL215" i="2"/>
  <c r="AL207" i="2"/>
  <c r="AL199" i="2"/>
  <c r="AL191" i="2"/>
  <c r="H28" i="4" s="1"/>
  <c r="AL222" i="2"/>
  <c r="AL214" i="2"/>
  <c r="AL206" i="2"/>
  <c r="AL198" i="2"/>
  <c r="AL220" i="2"/>
  <c r="AL212" i="2"/>
  <c r="AL204" i="2"/>
  <c r="AL196" i="2"/>
  <c r="AL221" i="2"/>
  <c r="AL219" i="2"/>
  <c r="AL211" i="2"/>
  <c r="AL203" i="2"/>
  <c r="AL195" i="2"/>
  <c r="AL205" i="2"/>
  <c r="O31" i="2"/>
  <c r="O29" i="2"/>
  <c r="AJ31" i="2"/>
  <c r="AJ29" i="2"/>
  <c r="AJ27" i="2"/>
  <c r="AJ26" i="2"/>
  <c r="AJ25" i="2"/>
  <c r="AJ21" i="2"/>
  <c r="Z31" i="2"/>
  <c r="Z29" i="2"/>
  <c r="Z27" i="2"/>
  <c r="Z26" i="2"/>
  <c r="Z25" i="2"/>
  <c r="Z21" i="2"/>
  <c r="G28" i="4" l="1"/>
  <c r="I28" i="4" s="1"/>
  <c r="O33" i="2"/>
  <c r="O32" i="2"/>
  <c r="O28" i="2"/>
  <c r="O27" i="2"/>
  <c r="O26" i="2"/>
  <c r="O25" i="2"/>
  <c r="O21" i="2"/>
  <c r="O86" i="2"/>
  <c r="O85" i="2"/>
  <c r="K28" i="4" l="1"/>
  <c r="O10" i="2"/>
  <c r="R322" i="2" l="1"/>
  <c r="AC322" i="2" s="1"/>
  <c r="R323" i="2"/>
  <c r="AC323" i="2" s="1"/>
  <c r="R324" i="2"/>
  <c r="AC324" i="2" s="1"/>
  <c r="R325" i="2"/>
  <c r="AC325" i="2" s="1"/>
  <c r="R326" i="2"/>
  <c r="AC326" i="2" s="1"/>
  <c r="R321" i="2"/>
  <c r="AC321" i="2" s="1"/>
  <c r="R304" i="2"/>
  <c r="AC304" i="2" s="1"/>
  <c r="R303" i="2"/>
  <c r="AC303" i="2" s="1"/>
  <c r="R302" i="2"/>
  <c r="AC302" i="2" s="1"/>
  <c r="R289" i="2"/>
  <c r="AC289" i="2" s="1"/>
  <c r="R290" i="2"/>
  <c r="AC290" i="2" s="1"/>
  <c r="R291" i="2"/>
  <c r="AC291" i="2" s="1"/>
  <c r="R292" i="2"/>
  <c r="AC292" i="2" s="1"/>
  <c r="R293" i="2"/>
  <c r="AC293" i="2" s="1"/>
  <c r="R294" i="2"/>
  <c r="AC294" i="2" s="1"/>
  <c r="R295" i="2"/>
  <c r="AC295" i="2" s="1"/>
  <c r="R296" i="2"/>
  <c r="AC296" i="2" s="1"/>
  <c r="R297" i="2"/>
  <c r="AC297" i="2" s="1"/>
  <c r="R298" i="2"/>
  <c r="AC298" i="2" s="1"/>
  <c r="R299" i="2"/>
  <c r="AC299" i="2" s="1"/>
  <c r="R246" i="2"/>
  <c r="AC246" i="2" s="1"/>
  <c r="R247" i="2"/>
  <c r="AC247" i="2" s="1"/>
  <c r="R248" i="2"/>
  <c r="AC248" i="2" s="1"/>
  <c r="R249" i="2"/>
  <c r="AC249" i="2" s="1"/>
  <c r="R250" i="2"/>
  <c r="AC250" i="2" s="1"/>
  <c r="R251" i="2"/>
  <c r="AC251" i="2" s="1"/>
  <c r="R252" i="2"/>
  <c r="AC252" i="2" s="1"/>
  <c r="R253" i="2"/>
  <c r="AC253" i="2" s="1"/>
  <c r="R254" i="2"/>
  <c r="AC254" i="2" s="1"/>
  <c r="R255" i="2"/>
  <c r="AC255" i="2" s="1"/>
  <c r="R256" i="2"/>
  <c r="AC256" i="2" s="1"/>
  <c r="R257" i="2"/>
  <c r="AC257" i="2" s="1"/>
  <c r="R258" i="2"/>
  <c r="AC258" i="2" s="1"/>
  <c r="R259" i="2"/>
  <c r="AC259" i="2" s="1"/>
  <c r="R260" i="2"/>
  <c r="AC260" i="2" s="1"/>
  <c r="R261" i="2"/>
  <c r="AC261" i="2" s="1"/>
  <c r="R262" i="2"/>
  <c r="AC262" i="2" s="1"/>
  <c r="R263" i="2"/>
  <c r="AC263" i="2" s="1"/>
  <c r="R264" i="2"/>
  <c r="AC264" i="2" s="1"/>
  <c r="R265" i="2"/>
  <c r="AC265" i="2" s="1"/>
  <c r="R266" i="2"/>
  <c r="AC266" i="2" s="1"/>
  <c r="R267" i="2"/>
  <c r="AC267" i="2" s="1"/>
  <c r="R268" i="2"/>
  <c r="AC268" i="2" s="1"/>
  <c r="R269" i="2"/>
  <c r="AC269" i="2" s="1"/>
  <c r="R270" i="2"/>
  <c r="AC270" i="2" s="1"/>
  <c r="R271" i="2"/>
  <c r="AC271" i="2" s="1"/>
  <c r="R272" i="2"/>
  <c r="AC272" i="2" s="1"/>
  <c r="R273" i="2"/>
  <c r="AC273" i="2" s="1"/>
  <c r="R274" i="2"/>
  <c r="AC274" i="2" s="1"/>
  <c r="R275" i="2"/>
  <c r="AC275" i="2" s="1"/>
  <c r="R276" i="2"/>
  <c r="AC276" i="2" s="1"/>
  <c r="R277" i="2"/>
  <c r="AC277" i="2" s="1"/>
  <c r="R278" i="2"/>
  <c r="AC278" i="2" s="1"/>
  <c r="R279" i="2"/>
  <c r="AC279" i="2" s="1"/>
  <c r="R280" i="2"/>
  <c r="AC280" i="2" s="1"/>
  <c r="R281" i="2"/>
  <c r="AC281" i="2" s="1"/>
  <c r="R282" i="2"/>
  <c r="AC282" i="2" s="1"/>
  <c r="R283" i="2"/>
  <c r="AC283" i="2" s="1"/>
  <c r="R284" i="2"/>
  <c r="AC284" i="2" s="1"/>
  <c r="R285" i="2"/>
  <c r="AC285" i="2" s="1"/>
  <c r="R286" i="2"/>
  <c r="AC286" i="2" s="1"/>
  <c r="R287" i="2"/>
  <c r="AC287" i="2" s="1"/>
  <c r="R288" i="2"/>
  <c r="AC288" i="2" s="1"/>
  <c r="R228" i="2"/>
  <c r="AC228" i="2" s="1"/>
  <c r="R229" i="2"/>
  <c r="AC229" i="2" s="1"/>
  <c r="R230" i="2"/>
  <c r="AC230" i="2" s="1"/>
  <c r="R231" i="2"/>
  <c r="AC231" i="2" s="1"/>
  <c r="D11" i="4" s="1"/>
  <c r="E11" i="4" s="1"/>
  <c r="R232" i="2"/>
  <c r="AC232" i="2" s="1"/>
  <c r="R233" i="2"/>
  <c r="AC233" i="2" s="1"/>
  <c r="R234" i="2"/>
  <c r="AC234" i="2" s="1"/>
  <c r="R235" i="2"/>
  <c r="AC235" i="2" s="1"/>
  <c r="R236" i="2"/>
  <c r="AC236" i="2" s="1"/>
  <c r="R237" i="2"/>
  <c r="AC237" i="2" s="1"/>
  <c r="R238" i="2"/>
  <c r="AC238" i="2" s="1"/>
  <c r="R239" i="2"/>
  <c r="AC239" i="2" s="1"/>
  <c r="R240" i="2"/>
  <c r="AC240" i="2" s="1"/>
  <c r="R241" i="2"/>
  <c r="AC241" i="2" s="1"/>
  <c r="R242" i="2"/>
  <c r="AC242" i="2" s="1"/>
  <c r="R243" i="2"/>
  <c r="AC243" i="2" s="1"/>
  <c r="R244" i="2"/>
  <c r="AC244" i="2" s="1"/>
  <c r="R245" i="2"/>
  <c r="AC245" i="2" s="1"/>
  <c r="R227" i="2"/>
  <c r="AC227" i="2" s="1"/>
  <c r="R226" i="2"/>
  <c r="AC226" i="2" s="1"/>
  <c r="R223" i="2"/>
  <c r="AC223" i="2" s="1"/>
  <c r="R224" i="2"/>
  <c r="AC224" i="2" s="1"/>
  <c r="R225" i="2"/>
  <c r="AC225" i="2" s="1"/>
  <c r="R218" i="2"/>
  <c r="AC218" i="2" s="1"/>
  <c r="R219" i="2"/>
  <c r="AC219" i="2" s="1"/>
  <c r="R220" i="2"/>
  <c r="AC220" i="2" s="1"/>
  <c r="R221" i="2"/>
  <c r="AC221" i="2" s="1"/>
  <c r="R222" i="2"/>
  <c r="AC222" i="2" s="1"/>
  <c r="R208" i="2"/>
  <c r="AC208" i="2" s="1"/>
  <c r="R209" i="2"/>
  <c r="AC209" i="2" s="1"/>
  <c r="R210" i="2"/>
  <c r="AC210" i="2" s="1"/>
  <c r="R211" i="2"/>
  <c r="AC211" i="2" s="1"/>
  <c r="R212" i="2"/>
  <c r="AC212" i="2" s="1"/>
  <c r="R213" i="2"/>
  <c r="AC213" i="2" s="1"/>
  <c r="R214" i="2"/>
  <c r="AC214" i="2" s="1"/>
  <c r="R215" i="2"/>
  <c r="AC215" i="2" s="1"/>
  <c r="R216" i="2"/>
  <c r="AC216" i="2" s="1"/>
  <c r="R217" i="2"/>
  <c r="AC217" i="2" s="1"/>
  <c r="R192" i="2"/>
  <c r="AC192" i="2" s="1"/>
  <c r="R193" i="2"/>
  <c r="AC193" i="2" s="1"/>
  <c r="R194" i="2"/>
  <c r="AC194" i="2" s="1"/>
  <c r="R195" i="2"/>
  <c r="AC195" i="2" s="1"/>
  <c r="R196" i="2"/>
  <c r="AC196" i="2" s="1"/>
  <c r="R197" i="2"/>
  <c r="AC197" i="2" s="1"/>
  <c r="R198" i="2"/>
  <c r="AC198" i="2" s="1"/>
  <c r="R199" i="2"/>
  <c r="AC199" i="2" s="1"/>
  <c r="R200" i="2"/>
  <c r="AC200" i="2" s="1"/>
  <c r="R201" i="2"/>
  <c r="AC201" i="2" s="1"/>
  <c r="R202" i="2"/>
  <c r="AC202" i="2" s="1"/>
  <c r="R203" i="2"/>
  <c r="AC203" i="2" s="1"/>
  <c r="R204" i="2"/>
  <c r="AC204" i="2" s="1"/>
  <c r="R205" i="2"/>
  <c r="AC205" i="2" s="1"/>
  <c r="R206" i="2"/>
  <c r="AC206" i="2" s="1"/>
  <c r="R207" i="2"/>
  <c r="AC207" i="2" s="1"/>
  <c r="R190" i="2"/>
  <c r="AC190" i="2" s="1"/>
  <c r="AC188" i="2"/>
  <c r="AC189" i="2"/>
  <c r="AC185" i="2"/>
  <c r="AC186" i="2"/>
  <c r="AC187" i="2"/>
  <c r="AC182" i="2"/>
  <c r="AC183" i="2"/>
  <c r="AC177" i="2"/>
  <c r="AC178" i="2"/>
  <c r="R161" i="2"/>
  <c r="AC161" i="2" s="1"/>
  <c r="R162" i="2"/>
  <c r="AC162" i="2" s="1"/>
  <c r="R160" i="2"/>
  <c r="AC160" i="2" s="1"/>
  <c r="R158" i="2"/>
  <c r="AC158" i="2" s="1"/>
  <c r="R156" i="2"/>
  <c r="AC156" i="2" s="1"/>
  <c r="R157" i="2"/>
  <c r="AC157" i="2" s="1"/>
  <c r="AC154" i="2"/>
  <c r="R153" i="2"/>
  <c r="AC153" i="2" s="1"/>
  <c r="R152" i="2"/>
  <c r="AC152" i="2" s="1"/>
  <c r="R155" i="2"/>
  <c r="AC155" i="2" s="1"/>
  <c r="R148" i="2"/>
  <c r="AC148" i="2" s="1"/>
  <c r="R149" i="2"/>
  <c r="AC149" i="2" s="1"/>
  <c r="R150" i="2"/>
  <c r="AC150" i="2" s="1"/>
  <c r="R151" i="2"/>
  <c r="AC151" i="2" s="1"/>
  <c r="R144" i="2"/>
  <c r="AC144" i="2" s="1"/>
  <c r="R145" i="2"/>
  <c r="AC145" i="2" s="1"/>
  <c r="R146" i="2"/>
  <c r="AC146" i="2" s="1"/>
  <c r="R147" i="2"/>
  <c r="AC147" i="2" s="1"/>
  <c r="R143" i="2"/>
  <c r="AC143" i="2" s="1"/>
  <c r="R140" i="2"/>
  <c r="AC140" i="2" s="1"/>
  <c r="R141" i="2"/>
  <c r="AC141" i="2" s="1"/>
  <c r="R142" i="2"/>
  <c r="AC142" i="2" s="1"/>
  <c r="R136" i="2"/>
  <c r="AC136" i="2" s="1"/>
  <c r="R137" i="2"/>
  <c r="AC137" i="2" s="1"/>
  <c r="R138" i="2"/>
  <c r="AC138" i="2" s="1"/>
  <c r="R139" i="2"/>
  <c r="AC139" i="2" s="1"/>
  <c r="R135" i="2"/>
  <c r="AC135" i="2" s="1"/>
  <c r="R134" i="2"/>
  <c r="AC134" i="2" s="1"/>
  <c r="R133" i="2"/>
  <c r="AC133" i="2" s="1"/>
  <c r="R132" i="2"/>
  <c r="AC132" i="2" s="1"/>
  <c r="R131" i="2"/>
  <c r="AC131" i="2" s="1"/>
  <c r="R127" i="2"/>
  <c r="AC127" i="2" s="1"/>
  <c r="R129" i="2"/>
  <c r="AC129" i="2" s="1"/>
  <c r="R130" i="2"/>
  <c r="AC130" i="2" s="1"/>
  <c r="R128" i="2"/>
  <c r="AC128" i="2" s="1"/>
  <c r="R125" i="2"/>
  <c r="AC125" i="2" s="1"/>
  <c r="R126" i="2"/>
  <c r="AC126" i="2" s="1"/>
  <c r="R124" i="2"/>
  <c r="AC124" i="2" s="1"/>
  <c r="R123" i="2"/>
  <c r="AC123" i="2" s="1"/>
  <c r="R122" i="2"/>
  <c r="AC122" i="2" s="1"/>
  <c r="R119" i="2"/>
  <c r="AC119" i="2" s="1"/>
  <c r="R120" i="2"/>
  <c r="AC120" i="2" s="1"/>
  <c r="R121" i="2"/>
  <c r="AC121" i="2" s="1"/>
  <c r="R118" i="2"/>
  <c r="AC118" i="2" s="1"/>
  <c r="R113" i="2"/>
  <c r="AC113" i="2" s="1"/>
  <c r="R114" i="2"/>
  <c r="AC114" i="2" s="1"/>
  <c r="R115" i="2"/>
  <c r="AC115" i="2" s="1"/>
  <c r="R116" i="2"/>
  <c r="AC116" i="2" s="1"/>
  <c r="R117" i="2"/>
  <c r="AC117" i="2" s="1"/>
  <c r="R108" i="2"/>
  <c r="AC108" i="2" s="1"/>
  <c r="R109" i="2"/>
  <c r="AC109" i="2" s="1"/>
  <c r="R110" i="2"/>
  <c r="AC110" i="2" s="1"/>
  <c r="R111" i="2"/>
  <c r="AC111" i="2" s="1"/>
  <c r="R112" i="2"/>
  <c r="AC112" i="2" s="1"/>
  <c r="R104" i="2"/>
  <c r="AC104" i="2" s="1"/>
  <c r="R105" i="2"/>
  <c r="AC105" i="2" s="1"/>
  <c r="R106" i="2"/>
  <c r="AC106" i="2" s="1"/>
  <c r="R107" i="2"/>
  <c r="AC107" i="2" s="1"/>
  <c r="R103" i="2"/>
  <c r="AC103" i="2" s="1"/>
  <c r="R99" i="2"/>
  <c r="AC99" i="2" s="1"/>
  <c r="R100" i="2"/>
  <c r="AC100" i="2" s="1"/>
  <c r="R101" i="2"/>
  <c r="AC101" i="2" s="1"/>
  <c r="R102" i="2"/>
  <c r="AC102" i="2" s="1"/>
  <c r="R94" i="2"/>
  <c r="AC94" i="2" s="1"/>
  <c r="AC95" i="2"/>
  <c r="R96" i="2"/>
  <c r="AC96" i="2" s="1"/>
  <c r="R97" i="2"/>
  <c r="AC97" i="2" s="1"/>
  <c r="R98" i="2"/>
  <c r="AC98" i="2" s="1"/>
  <c r="R91" i="2"/>
  <c r="AC91" i="2" s="1"/>
  <c r="R92" i="2"/>
  <c r="R93" i="2"/>
  <c r="R90" i="2"/>
  <c r="AC90" i="2" s="1"/>
  <c r="R88" i="2"/>
  <c r="R89" i="2"/>
  <c r="R87" i="2"/>
  <c r="R86" i="2"/>
  <c r="AC86" i="2" s="1"/>
  <c r="R85" i="2"/>
  <c r="AC85" i="2" s="1"/>
  <c r="AC83" i="2"/>
  <c r="R84" i="2"/>
  <c r="AC84" i="2" s="1"/>
  <c r="R78" i="2"/>
  <c r="AC78" i="2" s="1"/>
  <c r="AC79" i="2"/>
  <c r="AC80" i="2"/>
  <c r="AC81" i="2"/>
  <c r="AC82" i="2"/>
  <c r="R77" i="2"/>
  <c r="AC77" i="2" s="1"/>
  <c r="R76" i="2"/>
  <c r="AC76" i="2" s="1"/>
  <c r="R75" i="2"/>
  <c r="AC75" i="2" s="1"/>
  <c r="R74" i="2"/>
  <c r="AC74" i="2" s="1"/>
  <c r="R72" i="2"/>
  <c r="AC72" i="2" s="1"/>
  <c r="R70" i="2"/>
  <c r="AC70" i="2" s="1"/>
  <c r="AC73" i="2"/>
  <c r="AC71" i="2"/>
  <c r="AC67" i="2"/>
  <c r="R68" i="2"/>
  <c r="AC68" i="2" s="1"/>
  <c r="AC69" i="2"/>
  <c r="AC63" i="2"/>
  <c r="AC64" i="2"/>
  <c r="AC65" i="2"/>
  <c r="AC66" i="2"/>
  <c r="AC62" i="2"/>
  <c r="AC61" i="2"/>
  <c r="AC59" i="2"/>
  <c r="AC60" i="2"/>
  <c r="AC56" i="2"/>
  <c r="AC57" i="2"/>
  <c r="AC58" i="2"/>
  <c r="AC55" i="2"/>
  <c r="AC53" i="2"/>
  <c r="AC54" i="2"/>
  <c r="AC52" i="2"/>
  <c r="AC49" i="2"/>
  <c r="AC50" i="2"/>
  <c r="AC51" i="2"/>
  <c r="AC48" i="2"/>
  <c r="R44" i="2"/>
  <c r="AC44" i="2" s="1"/>
  <c r="R43" i="2"/>
  <c r="AC43" i="2" s="1"/>
  <c r="R45" i="2"/>
  <c r="R11" i="2"/>
  <c r="AC11" i="2" s="1"/>
  <c r="R12" i="2"/>
  <c r="AC12" i="2" s="1"/>
  <c r="R13" i="2"/>
  <c r="AC13" i="2" s="1"/>
  <c r="R14" i="2"/>
  <c r="AC14" i="2" s="1"/>
  <c r="R15" i="2"/>
  <c r="AC15" i="2" s="1"/>
  <c r="R16" i="2"/>
  <c r="AC16" i="2" s="1"/>
  <c r="R17" i="2"/>
  <c r="AC17" i="2" s="1"/>
  <c r="R18" i="2"/>
  <c r="AC18" i="2" s="1"/>
  <c r="R19" i="2"/>
  <c r="AC19" i="2" s="1"/>
  <c r="R20" i="2"/>
  <c r="AC20" i="2" s="1"/>
  <c r="AC21" i="2"/>
  <c r="AC22" i="2"/>
  <c r="AC23" i="2"/>
  <c r="AC24" i="2"/>
  <c r="AC25" i="2"/>
  <c r="AC26" i="2"/>
  <c r="AC27" i="2"/>
  <c r="AC28" i="2"/>
  <c r="AC29" i="2"/>
  <c r="AC30" i="2"/>
  <c r="AC31" i="2"/>
  <c r="AC33" i="2"/>
  <c r="AC34" i="2"/>
  <c r="AC35" i="2"/>
  <c r="AC36" i="2"/>
  <c r="AC38" i="2"/>
  <c r="AC39" i="2"/>
  <c r="AC40" i="2"/>
  <c r="R41" i="2"/>
  <c r="AC41" i="2" s="1"/>
  <c r="R42" i="2"/>
  <c r="AC42" i="2" s="1"/>
  <c r="R9" i="2"/>
  <c r="AC9" i="2" s="1"/>
  <c r="R10" i="2"/>
  <c r="AC10" i="2" s="1"/>
  <c r="R8" i="2"/>
  <c r="AC8" i="2" s="1"/>
  <c r="AC165" i="2" l="1"/>
  <c r="Y165" i="2"/>
  <c r="AC166" i="2"/>
  <c r="Y166" i="2"/>
  <c r="AC164" i="2"/>
  <c r="Y164" i="2"/>
  <c r="AC171" i="2"/>
  <c r="Y171" i="2"/>
  <c r="AC32" i="2"/>
  <c r="Y32" i="2"/>
  <c r="AC159" i="2"/>
  <c r="Y159" i="2"/>
  <c r="AC170" i="2"/>
  <c r="Y170" i="2"/>
  <c r="AC172" i="2"/>
  <c r="Y172" i="2"/>
  <c r="AC169" i="2"/>
  <c r="Y169" i="2"/>
  <c r="AC168" i="2"/>
  <c r="Y168" i="2"/>
  <c r="AC37" i="2"/>
  <c r="Y37" i="2"/>
  <c r="AC167" i="2"/>
  <c r="Y167" i="2"/>
  <c r="AC163" i="2"/>
  <c r="Y163" i="2"/>
  <c r="F10" i="4"/>
  <c r="J22" i="4"/>
  <c r="K22" i="4" s="1"/>
  <c r="J10" i="4"/>
  <c r="D22" i="4"/>
  <c r="E22" i="4" s="1"/>
  <c r="D10" i="4"/>
  <c r="AJ326" i="2"/>
  <c r="AM326" i="2" s="1"/>
  <c r="AJ325" i="2"/>
  <c r="AM325" i="2" s="1"/>
  <c r="AJ324" i="2"/>
  <c r="AM324" i="2" s="1"/>
  <c r="AJ323" i="2"/>
  <c r="AM323" i="2" s="1"/>
  <c r="AJ322" i="2"/>
  <c r="AM322" i="2" s="1"/>
  <c r="AJ321" i="2"/>
  <c r="AM321" i="2" s="1"/>
  <c r="AG326" i="2"/>
  <c r="AG325" i="2"/>
  <c r="AG324" i="2"/>
  <c r="AG323" i="2"/>
  <c r="AG322" i="2"/>
  <c r="AG321" i="2"/>
  <c r="Z326" i="2"/>
  <c r="Z325" i="2"/>
  <c r="Z324" i="2"/>
  <c r="Z323" i="2"/>
  <c r="Z322" i="2"/>
  <c r="Z321" i="2"/>
  <c r="Z300" i="2"/>
  <c r="Z190" i="2" l="1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63" i="2"/>
  <c r="Z161" i="2"/>
  <c r="Z162" i="2"/>
  <c r="Z160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5" i="2"/>
  <c r="Z156" i="2"/>
  <c r="Z157" i="2"/>
  <c r="Z158" i="2"/>
  <c r="Z159" i="2"/>
  <c r="Z124" i="2"/>
  <c r="Z123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96" i="2"/>
  <c r="Z95" i="2"/>
  <c r="Z85" i="2"/>
  <c r="Z86" i="2"/>
  <c r="Z87" i="2"/>
  <c r="Z88" i="2"/>
  <c r="Z89" i="2"/>
  <c r="Z90" i="2"/>
  <c r="Z91" i="2"/>
  <c r="Z92" i="2"/>
  <c r="Z93" i="2"/>
  <c r="Z94" i="2"/>
  <c r="Z84" i="2"/>
  <c r="Z83" i="2"/>
  <c r="Z76" i="2"/>
  <c r="Z77" i="2"/>
  <c r="Z78" i="2"/>
  <c r="Z75" i="2"/>
  <c r="Z68" i="2"/>
  <c r="Z62" i="2"/>
  <c r="Z63" i="2"/>
  <c r="Z64" i="2"/>
  <c r="Z65" i="2"/>
  <c r="Z66" i="2"/>
  <c r="Z67" i="2"/>
  <c r="Z56" i="2"/>
  <c r="Z57" i="2"/>
  <c r="Z58" i="2"/>
  <c r="Z59" i="2"/>
  <c r="Z60" i="2"/>
  <c r="Z61" i="2"/>
  <c r="Z55" i="2"/>
  <c r="Z53" i="2"/>
  <c r="Z54" i="2"/>
  <c r="Z52" i="2"/>
  <c r="Z49" i="2"/>
  <c r="Z50" i="2"/>
  <c r="Z51" i="2"/>
  <c r="Z48" i="2"/>
  <c r="Z43" i="2"/>
  <c r="Z44" i="2"/>
  <c r="Z41" i="2"/>
  <c r="Z42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J8" i="4" s="1"/>
  <c r="Z228" i="2"/>
  <c r="Z229" i="2"/>
  <c r="Z230" i="2"/>
  <c r="Z231" i="2"/>
  <c r="D8" i="4" s="1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191" i="2"/>
  <c r="H8" i="4" s="1"/>
  <c r="Z34" i="2"/>
  <c r="Z35" i="2"/>
  <c r="Z36" i="2"/>
  <c r="Z37" i="2"/>
  <c r="Z38" i="2"/>
  <c r="Z39" i="2"/>
  <c r="Z33" i="2"/>
  <c r="Z9" i="2"/>
  <c r="Z10" i="2"/>
  <c r="Z11" i="2"/>
  <c r="Z12" i="2"/>
  <c r="Z13" i="2"/>
  <c r="Z14" i="2"/>
  <c r="Z15" i="2"/>
  <c r="Z16" i="2"/>
  <c r="Z17" i="2"/>
  <c r="Z18" i="2"/>
  <c r="Z19" i="2"/>
  <c r="Z20" i="2"/>
  <c r="Z22" i="2"/>
  <c r="Z23" i="2"/>
  <c r="Z24" i="2"/>
  <c r="Z8" i="2"/>
  <c r="F8" i="4" l="1"/>
  <c r="E8" i="4" s="1"/>
  <c r="I8" i="4" s="1"/>
  <c r="Z45" i="2"/>
  <c r="Z46" i="2"/>
  <c r="Z47" i="2"/>
  <c r="G8" i="4" l="1"/>
  <c r="K8" i="4"/>
  <c r="O89" i="2"/>
  <c r="O88" i="2"/>
  <c r="C27" i="4" l="1"/>
  <c r="F62" i="1"/>
  <c r="C25" i="4" l="1"/>
  <c r="AG6" i="2"/>
  <c r="AG243" i="2"/>
  <c r="AG267" i="2"/>
  <c r="AG291" i="2"/>
  <c r="AG204" i="2"/>
  <c r="AG236" i="2"/>
  <c r="AG260" i="2"/>
  <c r="AG284" i="2"/>
  <c r="AG270" i="2"/>
  <c r="AG199" i="2"/>
  <c r="AG231" i="2"/>
  <c r="D27" i="4" s="1"/>
  <c r="AG263" i="2"/>
  <c r="AG295" i="2"/>
  <c r="AG251" i="2"/>
  <c r="AG283" i="2"/>
  <c r="F25" i="4" s="1"/>
  <c r="AG196" i="2"/>
  <c r="AG220" i="2"/>
  <c r="AG244" i="2"/>
  <c r="AG276" i="2"/>
  <c r="AG191" i="2"/>
  <c r="AG286" i="2"/>
  <c r="AG207" i="2"/>
  <c r="AG247" i="2"/>
  <c r="AG271" i="2"/>
  <c r="AG259" i="2"/>
  <c r="AG275" i="2"/>
  <c r="AG299" i="2"/>
  <c r="AG212" i="2"/>
  <c r="AG228" i="2"/>
  <c r="AG252" i="2"/>
  <c r="AG268" i="2"/>
  <c r="AG292" i="2"/>
  <c r="AG278" i="2"/>
  <c r="AG215" i="2"/>
  <c r="AG239" i="2"/>
  <c r="AG279" i="2"/>
  <c r="AG198" i="2"/>
  <c r="AG206" i="2"/>
  <c r="AG214" i="2"/>
  <c r="AG222" i="2"/>
  <c r="AG230" i="2"/>
  <c r="AG238" i="2"/>
  <c r="AG246" i="2"/>
  <c r="AG254" i="2"/>
  <c r="AG262" i="2"/>
  <c r="AG294" i="2"/>
  <c r="AG223" i="2"/>
  <c r="AG255" i="2"/>
  <c r="AG287" i="2"/>
  <c r="AG192" i="2"/>
  <c r="AG237" i="2"/>
  <c r="AG298" i="2"/>
  <c r="AG234" i="2"/>
  <c r="AG297" i="2"/>
  <c r="AG233" i="2"/>
  <c r="AG296" i="2"/>
  <c r="AG232" i="2"/>
  <c r="AG277" i="2"/>
  <c r="AG210" i="2"/>
  <c r="AG209" i="2"/>
  <c r="AG208" i="2"/>
  <c r="AG205" i="2"/>
  <c r="AG265" i="2"/>
  <c r="AG200" i="2"/>
  <c r="AG195" i="2"/>
  <c r="AG293" i="2"/>
  <c r="AG229" i="2"/>
  <c r="AG290" i="2"/>
  <c r="AG226" i="2"/>
  <c r="AG289" i="2"/>
  <c r="AG225" i="2"/>
  <c r="AG288" i="2"/>
  <c r="AG224" i="2"/>
  <c r="AG274" i="2"/>
  <c r="AG273" i="2"/>
  <c r="AG272" i="2"/>
  <c r="AG269" i="2"/>
  <c r="AG202" i="2"/>
  <c r="AG264" i="2"/>
  <c r="AG211" i="2"/>
  <c r="AG285" i="2"/>
  <c r="AG221" i="2"/>
  <c r="AG282" i="2"/>
  <c r="AG218" i="2"/>
  <c r="AG281" i="2"/>
  <c r="AG217" i="2"/>
  <c r="AG280" i="2"/>
  <c r="AG216" i="2"/>
  <c r="AG213" i="2"/>
  <c r="AG266" i="2"/>
  <c r="AG201" i="2"/>
  <c r="AG242" i="2"/>
  <c r="AG240" i="2"/>
  <c r="AG261" i="2"/>
  <c r="AG197" i="2"/>
  <c r="AG258" i="2"/>
  <c r="AG194" i="2"/>
  <c r="AG257" i="2"/>
  <c r="AG193" i="2"/>
  <c r="AG256" i="2"/>
  <c r="AG253" i="2"/>
  <c r="AG235" i="2"/>
  <c r="AG250" i="2"/>
  <c r="AG227" i="2"/>
  <c r="J25" i="4" s="1"/>
  <c r="AG249" i="2"/>
  <c r="AG219" i="2"/>
  <c r="AG248" i="2"/>
  <c r="AG245" i="2"/>
  <c r="AG203" i="2"/>
  <c r="AG241" i="2"/>
  <c r="J27" i="4"/>
  <c r="F27" i="4"/>
  <c r="D31" i="1"/>
  <c r="F25" i="1"/>
  <c r="C16" i="4" s="1"/>
  <c r="F28" i="1" l="1"/>
  <c r="AA6" i="2"/>
  <c r="S229" i="2"/>
  <c r="S245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W328" i="2"/>
  <c r="AJ299" i="2"/>
  <c r="S299" i="2"/>
  <c r="O299" i="2"/>
  <c r="AJ298" i="2"/>
  <c r="S298" i="2"/>
  <c r="O298" i="2"/>
  <c r="D298" i="2"/>
  <c r="AJ297" i="2"/>
  <c r="S297" i="2"/>
  <c r="O297" i="2"/>
  <c r="D297" i="2"/>
  <c r="AJ296" i="2"/>
  <c r="S296" i="2"/>
  <c r="O296" i="2"/>
  <c r="D296" i="2"/>
  <c r="AJ295" i="2"/>
  <c r="S295" i="2"/>
  <c r="O295" i="2"/>
  <c r="D295" i="2"/>
  <c r="AJ294" i="2"/>
  <c r="S294" i="2"/>
  <c r="O294" i="2"/>
  <c r="D294" i="2"/>
  <c r="AJ293" i="2"/>
  <c r="S293" i="2"/>
  <c r="O293" i="2"/>
  <c r="D293" i="2"/>
  <c r="AJ292" i="2"/>
  <c r="S292" i="2"/>
  <c r="O292" i="2"/>
  <c r="D292" i="2"/>
  <c r="AJ291" i="2"/>
  <c r="S291" i="2"/>
  <c r="O291" i="2"/>
  <c r="D291" i="2"/>
  <c r="AJ290" i="2"/>
  <c r="S290" i="2"/>
  <c r="O290" i="2"/>
  <c r="D290" i="2"/>
  <c r="AJ289" i="2"/>
  <c r="S289" i="2"/>
  <c r="O289" i="2"/>
  <c r="D289" i="2"/>
  <c r="AJ288" i="2"/>
  <c r="S288" i="2"/>
  <c r="O288" i="2"/>
  <c r="D288" i="2"/>
  <c r="AJ287" i="2"/>
  <c r="S287" i="2"/>
  <c r="O287" i="2"/>
  <c r="D287" i="2"/>
  <c r="AJ286" i="2"/>
  <c r="S286" i="2"/>
  <c r="O286" i="2"/>
  <c r="D286" i="2"/>
  <c r="AJ285" i="2"/>
  <c r="S285" i="2"/>
  <c r="O285" i="2"/>
  <c r="D285" i="2"/>
  <c r="AJ284" i="2"/>
  <c r="S284" i="2"/>
  <c r="O284" i="2"/>
  <c r="D284" i="2"/>
  <c r="AJ283" i="2"/>
  <c r="S283" i="2"/>
  <c r="O283" i="2"/>
  <c r="D283" i="2"/>
  <c r="F5" i="4" s="1"/>
  <c r="G5" i="4" s="1"/>
  <c r="AJ282" i="2"/>
  <c r="S282" i="2"/>
  <c r="O282" i="2"/>
  <c r="D282" i="2"/>
  <c r="AJ281" i="2"/>
  <c r="S281" i="2"/>
  <c r="O281" i="2"/>
  <c r="D281" i="2"/>
  <c r="AJ280" i="2"/>
  <c r="S280" i="2"/>
  <c r="O280" i="2"/>
  <c r="D280" i="2"/>
  <c r="AJ279" i="2"/>
  <c r="S279" i="2"/>
  <c r="O279" i="2"/>
  <c r="D279" i="2"/>
  <c r="AJ278" i="2"/>
  <c r="S278" i="2"/>
  <c r="O278" i="2"/>
  <c r="D278" i="2"/>
  <c r="AJ277" i="2"/>
  <c r="S277" i="2"/>
  <c r="O277" i="2"/>
  <c r="D277" i="2"/>
  <c r="AJ276" i="2"/>
  <c r="S276" i="2"/>
  <c r="O276" i="2"/>
  <c r="D276" i="2"/>
  <c r="AJ275" i="2"/>
  <c r="S275" i="2"/>
  <c r="O275" i="2"/>
  <c r="D275" i="2"/>
  <c r="AJ274" i="2"/>
  <c r="S274" i="2"/>
  <c r="O274" i="2"/>
  <c r="D274" i="2"/>
  <c r="AJ273" i="2"/>
  <c r="S273" i="2"/>
  <c r="O273" i="2"/>
  <c r="D273" i="2"/>
  <c r="AJ272" i="2"/>
  <c r="S272" i="2"/>
  <c r="O272" i="2"/>
  <c r="D272" i="2"/>
  <c r="AJ271" i="2"/>
  <c r="S271" i="2"/>
  <c r="O271" i="2"/>
  <c r="D271" i="2"/>
  <c r="AJ270" i="2"/>
  <c r="S270" i="2"/>
  <c r="O270" i="2"/>
  <c r="D270" i="2"/>
  <c r="AJ269" i="2"/>
  <c r="S269" i="2"/>
  <c r="O269" i="2"/>
  <c r="D269" i="2"/>
  <c r="AJ268" i="2"/>
  <c r="S268" i="2"/>
  <c r="O268" i="2"/>
  <c r="D268" i="2"/>
  <c r="AJ267" i="2"/>
  <c r="S267" i="2"/>
  <c r="O267" i="2"/>
  <c r="D267" i="2"/>
  <c r="AJ266" i="2"/>
  <c r="S266" i="2"/>
  <c r="O266" i="2"/>
  <c r="D266" i="2"/>
  <c r="AJ265" i="2"/>
  <c r="S265" i="2"/>
  <c r="O265" i="2"/>
  <c r="D265" i="2"/>
  <c r="AJ264" i="2"/>
  <c r="S264" i="2"/>
  <c r="O264" i="2"/>
  <c r="D264" i="2"/>
  <c r="AJ263" i="2"/>
  <c r="S263" i="2"/>
  <c r="O263" i="2"/>
  <c r="D263" i="2"/>
  <c r="AJ262" i="2"/>
  <c r="S262" i="2"/>
  <c r="O262" i="2"/>
  <c r="D262" i="2"/>
  <c r="AJ261" i="2"/>
  <c r="S261" i="2"/>
  <c r="O261" i="2"/>
  <c r="D261" i="2"/>
  <c r="AJ260" i="2"/>
  <c r="S260" i="2"/>
  <c r="O260" i="2"/>
  <c r="D260" i="2"/>
  <c r="AJ259" i="2"/>
  <c r="S259" i="2"/>
  <c r="O259" i="2"/>
  <c r="D259" i="2"/>
  <c r="AJ258" i="2"/>
  <c r="S258" i="2"/>
  <c r="O258" i="2"/>
  <c r="D258" i="2"/>
  <c r="AJ257" i="2"/>
  <c r="S257" i="2"/>
  <c r="O257" i="2"/>
  <c r="D257" i="2"/>
  <c r="AJ256" i="2"/>
  <c r="S256" i="2"/>
  <c r="O256" i="2"/>
  <c r="D256" i="2"/>
  <c r="AJ255" i="2"/>
  <c r="S255" i="2"/>
  <c r="O255" i="2"/>
  <c r="D255" i="2"/>
  <c r="AJ254" i="2"/>
  <c r="S254" i="2"/>
  <c r="O254" i="2"/>
  <c r="D254" i="2"/>
  <c r="AJ253" i="2"/>
  <c r="S253" i="2"/>
  <c r="O253" i="2"/>
  <c r="D253" i="2"/>
  <c r="AJ252" i="2"/>
  <c r="S252" i="2"/>
  <c r="O252" i="2"/>
  <c r="D252" i="2"/>
  <c r="AJ251" i="2"/>
  <c r="S251" i="2"/>
  <c r="O251" i="2"/>
  <c r="D251" i="2"/>
  <c r="AJ250" i="2"/>
  <c r="S250" i="2"/>
  <c r="O250" i="2"/>
  <c r="D250" i="2"/>
  <c r="AJ249" i="2"/>
  <c r="S249" i="2"/>
  <c r="O249" i="2"/>
  <c r="D249" i="2"/>
  <c r="AJ248" i="2"/>
  <c r="S248" i="2"/>
  <c r="O248" i="2"/>
  <c r="D248" i="2"/>
  <c r="AJ247" i="2"/>
  <c r="S247" i="2"/>
  <c r="O247" i="2"/>
  <c r="D247" i="2"/>
  <c r="AJ246" i="2"/>
  <c r="S246" i="2"/>
  <c r="O246" i="2"/>
  <c r="D246" i="2"/>
  <c r="AJ245" i="2"/>
  <c r="O245" i="2"/>
  <c r="D245" i="2"/>
  <c r="AJ244" i="2"/>
  <c r="S244" i="2"/>
  <c r="O244" i="2"/>
  <c r="D244" i="2"/>
  <c r="AJ243" i="2"/>
  <c r="S243" i="2"/>
  <c r="O243" i="2"/>
  <c r="D243" i="2"/>
  <c r="AJ242" i="2"/>
  <c r="S242" i="2"/>
  <c r="O242" i="2"/>
  <c r="D242" i="2"/>
  <c r="AJ241" i="2"/>
  <c r="S241" i="2"/>
  <c r="O241" i="2"/>
  <c r="D241" i="2"/>
  <c r="AJ240" i="2"/>
  <c r="S240" i="2"/>
  <c r="O240" i="2"/>
  <c r="D240" i="2"/>
  <c r="AJ239" i="2"/>
  <c r="S239" i="2"/>
  <c r="O239" i="2"/>
  <c r="D239" i="2"/>
  <c r="AJ238" i="2"/>
  <c r="S238" i="2"/>
  <c r="O238" i="2"/>
  <c r="D238" i="2"/>
  <c r="AJ237" i="2"/>
  <c r="S237" i="2"/>
  <c r="O237" i="2"/>
  <c r="D237" i="2"/>
  <c r="AJ236" i="2"/>
  <c r="S236" i="2"/>
  <c r="O236" i="2"/>
  <c r="D236" i="2"/>
  <c r="AJ235" i="2"/>
  <c r="S235" i="2"/>
  <c r="O235" i="2"/>
  <c r="D235" i="2"/>
  <c r="AJ234" i="2"/>
  <c r="S234" i="2"/>
  <c r="O234" i="2"/>
  <c r="D234" i="2"/>
  <c r="AJ233" i="2"/>
  <c r="S233" i="2"/>
  <c r="O233" i="2"/>
  <c r="D233" i="2"/>
  <c r="AJ232" i="2"/>
  <c r="S232" i="2"/>
  <c r="O232" i="2"/>
  <c r="D232" i="2"/>
  <c r="AJ231" i="2"/>
  <c r="S231" i="2"/>
  <c r="O231" i="2"/>
  <c r="D9" i="4" s="1"/>
  <c r="E9" i="4" s="1"/>
  <c r="D231" i="2"/>
  <c r="D5" i="4" s="1"/>
  <c r="E5" i="4" s="1"/>
  <c r="AJ230" i="2"/>
  <c r="S230" i="2"/>
  <c r="O230" i="2"/>
  <c r="D230" i="2"/>
  <c r="AJ229" i="2"/>
  <c r="O229" i="2"/>
  <c r="D229" i="2"/>
  <c r="AJ228" i="2"/>
  <c r="S228" i="2"/>
  <c r="O228" i="2"/>
  <c r="D228" i="2"/>
  <c r="AJ227" i="2"/>
  <c r="S227" i="2"/>
  <c r="O227" i="2"/>
  <c r="J9" i="4" s="1"/>
  <c r="K9" i="4" s="1"/>
  <c r="D227" i="2"/>
  <c r="J5" i="4" s="1"/>
  <c r="K5" i="4" s="1"/>
  <c r="AJ226" i="2"/>
  <c r="S226" i="2"/>
  <c r="O226" i="2"/>
  <c r="D226" i="2"/>
  <c r="AJ225" i="2"/>
  <c r="S225" i="2"/>
  <c r="O225" i="2"/>
  <c r="D225" i="2"/>
  <c r="AJ224" i="2"/>
  <c r="S224" i="2"/>
  <c r="O224" i="2"/>
  <c r="D224" i="2"/>
  <c r="AJ223" i="2"/>
  <c r="S223" i="2"/>
  <c r="O223" i="2"/>
  <c r="D223" i="2"/>
  <c r="AJ222" i="2"/>
  <c r="S222" i="2"/>
  <c r="O222" i="2"/>
  <c r="D222" i="2"/>
  <c r="AJ221" i="2"/>
  <c r="S221" i="2"/>
  <c r="O221" i="2"/>
  <c r="D221" i="2"/>
  <c r="AJ220" i="2"/>
  <c r="S220" i="2"/>
  <c r="O220" i="2"/>
  <c r="D220" i="2"/>
  <c r="AJ219" i="2"/>
  <c r="S219" i="2"/>
  <c r="O219" i="2"/>
  <c r="D219" i="2"/>
  <c r="AJ218" i="2"/>
  <c r="S218" i="2"/>
  <c r="O218" i="2"/>
  <c r="D218" i="2"/>
  <c r="AJ217" i="2"/>
  <c r="S217" i="2"/>
  <c r="O217" i="2"/>
  <c r="D217" i="2"/>
  <c r="AJ216" i="2"/>
  <c r="S216" i="2"/>
  <c r="O216" i="2"/>
  <c r="D216" i="2"/>
  <c r="AJ215" i="2"/>
  <c r="S215" i="2"/>
  <c r="O215" i="2"/>
  <c r="D215" i="2"/>
  <c r="AJ214" i="2"/>
  <c r="S214" i="2"/>
  <c r="O214" i="2"/>
  <c r="D214" i="2"/>
  <c r="AJ213" i="2"/>
  <c r="S213" i="2"/>
  <c r="O213" i="2"/>
  <c r="D213" i="2"/>
  <c r="AJ212" i="2"/>
  <c r="S212" i="2"/>
  <c r="O212" i="2"/>
  <c r="D212" i="2"/>
  <c r="AJ211" i="2"/>
  <c r="S211" i="2"/>
  <c r="O211" i="2"/>
  <c r="D211" i="2"/>
  <c r="AJ210" i="2"/>
  <c r="S210" i="2"/>
  <c r="O210" i="2"/>
  <c r="D210" i="2"/>
  <c r="AJ209" i="2"/>
  <c r="S209" i="2"/>
  <c r="O209" i="2"/>
  <c r="D209" i="2"/>
  <c r="AJ208" i="2"/>
  <c r="S208" i="2"/>
  <c r="O208" i="2"/>
  <c r="D208" i="2"/>
  <c r="AJ207" i="2"/>
  <c r="S207" i="2"/>
  <c r="O207" i="2"/>
  <c r="D207" i="2"/>
  <c r="AJ206" i="2"/>
  <c r="S206" i="2"/>
  <c r="O206" i="2"/>
  <c r="D206" i="2"/>
  <c r="AJ205" i="2"/>
  <c r="S205" i="2"/>
  <c r="O205" i="2"/>
  <c r="D205" i="2"/>
  <c r="AJ204" i="2"/>
  <c r="S204" i="2"/>
  <c r="O204" i="2"/>
  <c r="D204" i="2"/>
  <c r="AJ203" i="2"/>
  <c r="S203" i="2"/>
  <c r="O203" i="2"/>
  <c r="D203" i="2"/>
  <c r="AJ202" i="2"/>
  <c r="S202" i="2"/>
  <c r="O202" i="2"/>
  <c r="D202" i="2"/>
  <c r="AJ201" i="2"/>
  <c r="S201" i="2"/>
  <c r="O201" i="2"/>
  <c r="D201" i="2"/>
  <c r="AJ200" i="2"/>
  <c r="S200" i="2"/>
  <c r="O200" i="2"/>
  <c r="D200" i="2"/>
  <c r="AJ199" i="2"/>
  <c r="S199" i="2"/>
  <c r="O199" i="2"/>
  <c r="D199" i="2"/>
  <c r="AJ198" i="2"/>
  <c r="S198" i="2"/>
  <c r="O198" i="2"/>
  <c r="D198" i="2"/>
  <c r="AJ197" i="2"/>
  <c r="S197" i="2"/>
  <c r="O197" i="2"/>
  <c r="D197" i="2"/>
  <c r="AJ196" i="2"/>
  <c r="S196" i="2"/>
  <c r="O196" i="2"/>
  <c r="D196" i="2"/>
  <c r="AJ195" i="2"/>
  <c r="S195" i="2"/>
  <c r="O195" i="2"/>
  <c r="D195" i="2"/>
  <c r="AJ194" i="2"/>
  <c r="S194" i="2"/>
  <c r="O194" i="2"/>
  <c r="D194" i="2"/>
  <c r="AJ193" i="2"/>
  <c r="S193" i="2"/>
  <c r="O193" i="2"/>
  <c r="D193" i="2"/>
  <c r="AJ192" i="2"/>
  <c r="S192" i="2"/>
  <c r="O192" i="2"/>
  <c r="D192" i="2"/>
  <c r="AJ191" i="2"/>
  <c r="S191" i="2"/>
  <c r="O191" i="2"/>
  <c r="D191" i="2"/>
  <c r="H5" i="4" s="1"/>
  <c r="I5" i="4" s="1"/>
  <c r="AJ190" i="2"/>
  <c r="AI190" i="2"/>
  <c r="AD190" i="2"/>
  <c r="AA190" i="2"/>
  <c r="S190" i="2"/>
  <c r="AJ189" i="2"/>
  <c r="AI189" i="2"/>
  <c r="AD189" i="2"/>
  <c r="AA189" i="2"/>
  <c r="S189" i="2"/>
  <c r="AJ188" i="2"/>
  <c r="AI188" i="2"/>
  <c r="AD188" i="2"/>
  <c r="AA188" i="2"/>
  <c r="S188" i="2"/>
  <c r="AJ187" i="2"/>
  <c r="AI187" i="2"/>
  <c r="AD187" i="2"/>
  <c r="AA187" i="2"/>
  <c r="S187" i="2"/>
  <c r="AJ186" i="2"/>
  <c r="AI186" i="2"/>
  <c r="AD186" i="2"/>
  <c r="AA186" i="2"/>
  <c r="S186" i="2"/>
  <c r="AJ185" i="2"/>
  <c r="AI185" i="2"/>
  <c r="AD185" i="2"/>
  <c r="AA185" i="2"/>
  <c r="S185" i="2"/>
  <c r="O185" i="2"/>
  <c r="AJ184" i="2"/>
  <c r="AI184" i="2"/>
  <c r="AD184" i="2"/>
  <c r="AA184" i="2"/>
  <c r="S184" i="2"/>
  <c r="O184" i="2"/>
  <c r="G184" i="2"/>
  <c r="H184" i="2" s="1"/>
  <c r="AJ183" i="2"/>
  <c r="AI183" i="2"/>
  <c r="AD183" i="2"/>
  <c r="AA183" i="2"/>
  <c r="S183" i="2"/>
  <c r="AJ182" i="2"/>
  <c r="AI182" i="2"/>
  <c r="AD182" i="2"/>
  <c r="AA182" i="2"/>
  <c r="S182" i="2"/>
  <c r="AJ181" i="2"/>
  <c r="AI181" i="2"/>
  <c r="AD181" i="2"/>
  <c r="AA181" i="2"/>
  <c r="S181" i="2"/>
  <c r="O181" i="2"/>
  <c r="G181" i="2"/>
  <c r="H181" i="2" s="1"/>
  <c r="AJ180" i="2"/>
  <c r="AI180" i="2"/>
  <c r="AD180" i="2"/>
  <c r="AA180" i="2"/>
  <c r="S180" i="2"/>
  <c r="O180" i="2"/>
  <c r="G180" i="2"/>
  <c r="H180" i="2" s="1"/>
  <c r="AJ179" i="2"/>
  <c r="AI179" i="2"/>
  <c r="AD179" i="2"/>
  <c r="AA179" i="2"/>
  <c r="S179" i="2"/>
  <c r="O179" i="2"/>
  <c r="G179" i="2"/>
  <c r="H179" i="2" s="1"/>
  <c r="AJ178" i="2"/>
  <c r="AI178" i="2"/>
  <c r="AD178" i="2"/>
  <c r="AA178" i="2"/>
  <c r="S178" i="2"/>
  <c r="AJ177" i="2"/>
  <c r="AI177" i="2"/>
  <c r="AD177" i="2"/>
  <c r="AA177" i="2"/>
  <c r="S177" i="2"/>
  <c r="AJ176" i="2"/>
  <c r="AI176" i="2"/>
  <c r="AD176" i="2"/>
  <c r="AA176" i="2"/>
  <c r="S176" i="2"/>
  <c r="O176" i="2"/>
  <c r="G176" i="2"/>
  <c r="H176" i="2" s="1"/>
  <c r="AJ175" i="2"/>
  <c r="AI175" i="2"/>
  <c r="AD175" i="2"/>
  <c r="AA175" i="2"/>
  <c r="S175" i="2"/>
  <c r="O175" i="2"/>
  <c r="G175" i="2"/>
  <c r="H175" i="2" s="1"/>
  <c r="AJ174" i="2"/>
  <c r="AI174" i="2"/>
  <c r="AD174" i="2"/>
  <c r="AA174" i="2"/>
  <c r="S174" i="2"/>
  <c r="O174" i="2"/>
  <c r="G174" i="2"/>
  <c r="H174" i="2" s="1"/>
  <c r="AJ173" i="2"/>
  <c r="AI173" i="2"/>
  <c r="AD173" i="2"/>
  <c r="AA173" i="2"/>
  <c r="S173" i="2"/>
  <c r="O173" i="2"/>
  <c r="G173" i="2"/>
  <c r="H173" i="2" s="1"/>
  <c r="AJ172" i="2"/>
  <c r="AI172" i="2"/>
  <c r="AD172" i="2"/>
  <c r="AA172" i="2"/>
  <c r="S172" i="2"/>
  <c r="AJ171" i="2"/>
  <c r="AI171" i="2"/>
  <c r="AD171" i="2"/>
  <c r="AA171" i="2"/>
  <c r="S171" i="2"/>
  <c r="AJ170" i="2"/>
  <c r="AI170" i="2"/>
  <c r="AD170" i="2"/>
  <c r="AA170" i="2"/>
  <c r="S170" i="2"/>
  <c r="AJ169" i="2"/>
  <c r="AI169" i="2"/>
  <c r="AD169" i="2"/>
  <c r="AA169" i="2"/>
  <c r="S169" i="2"/>
  <c r="AJ168" i="2"/>
  <c r="AI168" i="2"/>
  <c r="AD168" i="2"/>
  <c r="AA168" i="2"/>
  <c r="S168" i="2"/>
  <c r="AJ167" i="2"/>
  <c r="AI167" i="2"/>
  <c r="AD167" i="2"/>
  <c r="AA167" i="2"/>
  <c r="S167" i="2"/>
  <c r="AJ166" i="2"/>
  <c r="AI166" i="2"/>
  <c r="AD166" i="2"/>
  <c r="AA166" i="2"/>
  <c r="S166" i="2"/>
  <c r="AJ165" i="2"/>
  <c r="AI165" i="2"/>
  <c r="AD165" i="2"/>
  <c r="AA165" i="2"/>
  <c r="S165" i="2"/>
  <c r="AJ164" i="2"/>
  <c r="AI164" i="2"/>
  <c r="AD164" i="2"/>
  <c r="AA164" i="2"/>
  <c r="S164" i="2"/>
  <c r="AJ163" i="2"/>
  <c r="AI163" i="2"/>
  <c r="AD163" i="2"/>
  <c r="AA163" i="2"/>
  <c r="S163" i="2"/>
  <c r="O163" i="2"/>
  <c r="AJ162" i="2"/>
  <c r="AI162" i="2"/>
  <c r="AD162" i="2"/>
  <c r="AA162" i="2"/>
  <c r="S162" i="2"/>
  <c r="AJ161" i="2"/>
  <c r="AI161" i="2"/>
  <c r="AD161" i="2"/>
  <c r="AA161" i="2"/>
  <c r="S161" i="2"/>
  <c r="AJ160" i="2"/>
  <c r="AI160" i="2"/>
  <c r="AD160" i="2"/>
  <c r="AA160" i="2"/>
  <c r="S160" i="2"/>
  <c r="AJ159" i="2"/>
  <c r="AI159" i="2"/>
  <c r="AD159" i="2"/>
  <c r="AA159" i="2"/>
  <c r="S159" i="2"/>
  <c r="AJ158" i="2"/>
  <c r="F24" i="4" s="1"/>
  <c r="G24" i="4" s="1"/>
  <c r="AI158" i="2"/>
  <c r="AD158" i="2"/>
  <c r="AA158" i="2"/>
  <c r="S158" i="2"/>
  <c r="AJ157" i="2"/>
  <c r="AI157" i="2"/>
  <c r="AD157" i="2"/>
  <c r="AA157" i="2"/>
  <c r="S157" i="2"/>
  <c r="AJ156" i="2"/>
  <c r="AI156" i="2"/>
  <c r="AD156" i="2"/>
  <c r="AA156" i="2"/>
  <c r="S156" i="2"/>
  <c r="AJ155" i="2"/>
  <c r="AI155" i="2"/>
  <c r="AD155" i="2"/>
  <c r="AA155" i="2"/>
  <c r="S155" i="2"/>
  <c r="O155" i="2"/>
  <c r="AI154" i="2"/>
  <c r="AM154" i="2" s="1"/>
  <c r="AD154" i="2"/>
  <c r="AA154" i="2"/>
  <c r="S154" i="2"/>
  <c r="O154" i="2"/>
  <c r="AJ153" i="2"/>
  <c r="AI153" i="2"/>
  <c r="AD153" i="2"/>
  <c r="AA153" i="2"/>
  <c r="S153" i="2"/>
  <c r="AJ152" i="2"/>
  <c r="AI152" i="2"/>
  <c r="AD152" i="2"/>
  <c r="AA152" i="2"/>
  <c r="S152" i="2"/>
  <c r="AJ151" i="2"/>
  <c r="AI151" i="2"/>
  <c r="AD151" i="2"/>
  <c r="AA151" i="2"/>
  <c r="S151" i="2"/>
  <c r="AJ150" i="2"/>
  <c r="AI150" i="2"/>
  <c r="AD150" i="2"/>
  <c r="AA150" i="2"/>
  <c r="S150" i="2"/>
  <c r="AJ149" i="2"/>
  <c r="AI149" i="2"/>
  <c r="AD149" i="2"/>
  <c r="AA149" i="2"/>
  <c r="S149" i="2"/>
  <c r="AJ148" i="2"/>
  <c r="AI148" i="2"/>
  <c r="AD148" i="2"/>
  <c r="AA148" i="2"/>
  <c r="S148" i="2"/>
  <c r="AJ147" i="2"/>
  <c r="AI147" i="2"/>
  <c r="AD147" i="2"/>
  <c r="AA147" i="2"/>
  <c r="S147" i="2"/>
  <c r="AJ146" i="2"/>
  <c r="AI146" i="2"/>
  <c r="AD146" i="2"/>
  <c r="AA146" i="2"/>
  <c r="S146" i="2"/>
  <c r="AJ145" i="2"/>
  <c r="AI145" i="2"/>
  <c r="AD145" i="2"/>
  <c r="AA145" i="2"/>
  <c r="S145" i="2"/>
  <c r="AJ144" i="2"/>
  <c r="AI144" i="2"/>
  <c r="AD144" i="2"/>
  <c r="AA144" i="2"/>
  <c r="S144" i="2"/>
  <c r="AJ143" i="2"/>
  <c r="AI143" i="2"/>
  <c r="AD143" i="2"/>
  <c r="AA143" i="2"/>
  <c r="S143" i="2"/>
  <c r="AJ142" i="2"/>
  <c r="AI142" i="2"/>
  <c r="AD142" i="2"/>
  <c r="AA142" i="2"/>
  <c r="S142" i="2"/>
  <c r="AJ141" i="2"/>
  <c r="AI141" i="2"/>
  <c r="AD141" i="2"/>
  <c r="AA141" i="2"/>
  <c r="S141" i="2"/>
  <c r="AJ140" i="2"/>
  <c r="AI140" i="2"/>
  <c r="AD140" i="2"/>
  <c r="AA140" i="2"/>
  <c r="S140" i="2"/>
  <c r="O140" i="2"/>
  <c r="AJ139" i="2"/>
  <c r="AI139" i="2"/>
  <c r="AD139" i="2"/>
  <c r="AA139" i="2"/>
  <c r="S139" i="2"/>
  <c r="AJ138" i="2"/>
  <c r="AI138" i="2"/>
  <c r="AD138" i="2"/>
  <c r="AA138" i="2"/>
  <c r="S138" i="2"/>
  <c r="O138" i="2"/>
  <c r="AJ137" i="2"/>
  <c r="AI137" i="2"/>
  <c r="AD137" i="2"/>
  <c r="AA137" i="2"/>
  <c r="S137" i="2"/>
  <c r="AJ136" i="2"/>
  <c r="AI136" i="2"/>
  <c r="AD136" i="2"/>
  <c r="AA136" i="2"/>
  <c r="S136" i="2"/>
  <c r="O136" i="2"/>
  <c r="AJ135" i="2"/>
  <c r="AI135" i="2"/>
  <c r="AD135" i="2"/>
  <c r="AA135" i="2"/>
  <c r="S135" i="2"/>
  <c r="O135" i="2"/>
  <c r="AJ134" i="2"/>
  <c r="AI134" i="2"/>
  <c r="AD134" i="2"/>
  <c r="AA134" i="2"/>
  <c r="S134" i="2"/>
  <c r="O134" i="2"/>
  <c r="AJ133" i="2"/>
  <c r="AI133" i="2"/>
  <c r="AD133" i="2"/>
  <c r="AA133" i="2"/>
  <c r="S133" i="2"/>
  <c r="AJ132" i="2"/>
  <c r="AI132" i="2"/>
  <c r="AD132" i="2"/>
  <c r="AA132" i="2"/>
  <c r="S132" i="2"/>
  <c r="AJ131" i="2"/>
  <c r="AI131" i="2"/>
  <c r="AD131" i="2"/>
  <c r="AA131" i="2"/>
  <c r="S131" i="2"/>
  <c r="AJ130" i="2"/>
  <c r="AI130" i="2"/>
  <c r="AD130" i="2"/>
  <c r="AA130" i="2"/>
  <c r="S130" i="2"/>
  <c r="AJ129" i="2"/>
  <c r="AI129" i="2"/>
  <c r="AD129" i="2"/>
  <c r="AA129" i="2"/>
  <c r="S129" i="2"/>
  <c r="AJ128" i="2"/>
  <c r="AI128" i="2"/>
  <c r="AD128" i="2"/>
  <c r="AA128" i="2"/>
  <c r="S128" i="2"/>
  <c r="AJ127" i="2"/>
  <c r="AI127" i="2"/>
  <c r="AD127" i="2"/>
  <c r="AA127" i="2"/>
  <c r="S127" i="2"/>
  <c r="AJ126" i="2"/>
  <c r="AI126" i="2"/>
  <c r="AD126" i="2"/>
  <c r="AA126" i="2"/>
  <c r="S126" i="2"/>
  <c r="AJ125" i="2"/>
  <c r="AI125" i="2"/>
  <c r="AD125" i="2"/>
  <c r="AA125" i="2"/>
  <c r="S125" i="2"/>
  <c r="AJ124" i="2"/>
  <c r="AI124" i="2"/>
  <c r="AD124" i="2"/>
  <c r="AA124" i="2"/>
  <c r="S124" i="2"/>
  <c r="AJ123" i="2"/>
  <c r="AI123" i="2"/>
  <c r="AD123" i="2"/>
  <c r="AA123" i="2"/>
  <c r="S123" i="2"/>
  <c r="O123" i="2"/>
  <c r="AJ122" i="2"/>
  <c r="AI122" i="2"/>
  <c r="AD122" i="2"/>
  <c r="AA122" i="2"/>
  <c r="S122" i="2"/>
  <c r="AJ121" i="2"/>
  <c r="AI121" i="2"/>
  <c r="AD121" i="2"/>
  <c r="AA121" i="2"/>
  <c r="S121" i="2"/>
  <c r="O121" i="2"/>
  <c r="AJ120" i="2"/>
  <c r="AI120" i="2"/>
  <c r="AD120" i="2"/>
  <c r="AA120" i="2"/>
  <c r="S120" i="2"/>
  <c r="O120" i="2"/>
  <c r="AJ119" i="2"/>
  <c r="AI119" i="2"/>
  <c r="AD119" i="2"/>
  <c r="AA119" i="2"/>
  <c r="S119" i="2"/>
  <c r="O119" i="2"/>
  <c r="AJ118" i="2"/>
  <c r="AI118" i="2"/>
  <c r="AM118" i="2" s="1"/>
  <c r="AD118" i="2"/>
  <c r="AA118" i="2"/>
  <c r="S118" i="2"/>
  <c r="O118" i="2"/>
  <c r="AJ117" i="2"/>
  <c r="AI117" i="2"/>
  <c r="AD117" i="2"/>
  <c r="AA117" i="2"/>
  <c r="S117" i="2"/>
  <c r="O117" i="2"/>
  <c r="AJ116" i="2"/>
  <c r="AI116" i="2"/>
  <c r="AD116" i="2"/>
  <c r="AA116" i="2"/>
  <c r="S116" i="2"/>
  <c r="O116" i="2"/>
  <c r="AJ115" i="2"/>
  <c r="AI115" i="2"/>
  <c r="AD115" i="2"/>
  <c r="AA115" i="2"/>
  <c r="S115" i="2"/>
  <c r="O115" i="2"/>
  <c r="AJ114" i="2"/>
  <c r="AI114" i="2"/>
  <c r="AM114" i="2" s="1"/>
  <c r="AD114" i="2"/>
  <c r="AA114" i="2"/>
  <c r="S114" i="2"/>
  <c r="O114" i="2"/>
  <c r="AJ113" i="2"/>
  <c r="AI113" i="2"/>
  <c r="AD113" i="2"/>
  <c r="AA113" i="2"/>
  <c r="S113" i="2"/>
  <c r="O113" i="2"/>
  <c r="AJ112" i="2"/>
  <c r="AI112" i="2"/>
  <c r="AD112" i="2"/>
  <c r="AA112" i="2"/>
  <c r="S112" i="2"/>
  <c r="O112" i="2"/>
  <c r="AJ111" i="2"/>
  <c r="AI111" i="2"/>
  <c r="AD111" i="2"/>
  <c r="AA111" i="2"/>
  <c r="S111" i="2"/>
  <c r="O111" i="2"/>
  <c r="AJ110" i="2"/>
  <c r="AI110" i="2"/>
  <c r="AM110" i="2" s="1"/>
  <c r="AD110" i="2"/>
  <c r="AA110" i="2"/>
  <c r="S110" i="2"/>
  <c r="O110" i="2"/>
  <c r="AJ109" i="2"/>
  <c r="AI109" i="2"/>
  <c r="AD109" i="2"/>
  <c r="AA109" i="2"/>
  <c r="S109" i="2"/>
  <c r="O109" i="2"/>
  <c r="AJ108" i="2"/>
  <c r="AI108" i="2"/>
  <c r="AD108" i="2"/>
  <c r="AA108" i="2"/>
  <c r="S108" i="2"/>
  <c r="O108" i="2"/>
  <c r="AJ107" i="2"/>
  <c r="AI107" i="2"/>
  <c r="AD107" i="2"/>
  <c r="AA107" i="2"/>
  <c r="S107" i="2"/>
  <c r="O107" i="2"/>
  <c r="AJ106" i="2"/>
  <c r="AI106" i="2"/>
  <c r="AM106" i="2" s="1"/>
  <c r="AD106" i="2"/>
  <c r="AA106" i="2"/>
  <c r="S106" i="2"/>
  <c r="O106" i="2"/>
  <c r="AJ105" i="2"/>
  <c r="AI105" i="2"/>
  <c r="AD105" i="2"/>
  <c r="AA105" i="2"/>
  <c r="S105" i="2"/>
  <c r="O105" i="2"/>
  <c r="AJ104" i="2"/>
  <c r="AI104" i="2"/>
  <c r="AD104" i="2"/>
  <c r="AA104" i="2"/>
  <c r="S104" i="2"/>
  <c r="O104" i="2"/>
  <c r="AJ103" i="2"/>
  <c r="AI103" i="2"/>
  <c r="AD103" i="2"/>
  <c r="AA103" i="2"/>
  <c r="S103" i="2"/>
  <c r="O103" i="2"/>
  <c r="AJ102" i="2"/>
  <c r="AI102" i="2"/>
  <c r="AM102" i="2" s="1"/>
  <c r="AD102" i="2"/>
  <c r="AA102" i="2"/>
  <c r="S102" i="2"/>
  <c r="AJ101" i="2"/>
  <c r="AI101" i="2"/>
  <c r="AD101" i="2"/>
  <c r="AA101" i="2"/>
  <c r="S101" i="2"/>
  <c r="AJ100" i="2"/>
  <c r="AI100" i="2"/>
  <c r="AD100" i="2"/>
  <c r="AA100" i="2"/>
  <c r="S100" i="2"/>
  <c r="O100" i="2"/>
  <c r="AJ99" i="2"/>
  <c r="AI99" i="2"/>
  <c r="AD99" i="2"/>
  <c r="AA99" i="2"/>
  <c r="S99" i="2"/>
  <c r="O99" i="2"/>
  <c r="AJ98" i="2"/>
  <c r="AI98" i="2"/>
  <c r="AD98" i="2"/>
  <c r="AA98" i="2"/>
  <c r="S98" i="2"/>
  <c r="AJ97" i="2"/>
  <c r="AI97" i="2"/>
  <c r="AD97" i="2"/>
  <c r="AA97" i="2"/>
  <c r="S97" i="2"/>
  <c r="AJ96" i="2"/>
  <c r="AI96" i="2"/>
  <c r="AD96" i="2"/>
  <c r="AA96" i="2"/>
  <c r="S96" i="2"/>
  <c r="O96" i="2"/>
  <c r="AJ95" i="2"/>
  <c r="AI95" i="2"/>
  <c r="AD95" i="2"/>
  <c r="AA95" i="2"/>
  <c r="S95" i="2"/>
  <c r="O95" i="2"/>
  <c r="AJ94" i="2"/>
  <c r="AI94" i="2"/>
  <c r="AD94" i="2"/>
  <c r="AA94" i="2"/>
  <c r="S94" i="2"/>
  <c r="O94" i="2"/>
  <c r="AJ93" i="2"/>
  <c r="AI93" i="2"/>
  <c r="AD93" i="2"/>
  <c r="AA93" i="2"/>
  <c r="S93" i="2"/>
  <c r="O93" i="2"/>
  <c r="G93" i="2"/>
  <c r="H93" i="2" s="1"/>
  <c r="AJ92" i="2"/>
  <c r="AI92" i="2"/>
  <c r="AD92" i="2"/>
  <c r="AA92" i="2"/>
  <c r="S92" i="2"/>
  <c r="O92" i="2"/>
  <c r="G92" i="2"/>
  <c r="H92" i="2" s="1"/>
  <c r="AJ91" i="2"/>
  <c r="AI91" i="2"/>
  <c r="AD91" i="2"/>
  <c r="AA91" i="2"/>
  <c r="S91" i="2"/>
  <c r="O91" i="2"/>
  <c r="AJ90" i="2"/>
  <c r="AI90" i="2"/>
  <c r="AD90" i="2"/>
  <c r="AA90" i="2"/>
  <c r="S90" i="2"/>
  <c r="O90" i="2"/>
  <c r="AJ89" i="2"/>
  <c r="AI89" i="2"/>
  <c r="AD89" i="2"/>
  <c r="AA89" i="2"/>
  <c r="S89" i="2"/>
  <c r="G89" i="2"/>
  <c r="H89" i="2" s="1"/>
  <c r="AJ88" i="2"/>
  <c r="AI88" i="2"/>
  <c r="AD88" i="2"/>
  <c r="AA88" i="2"/>
  <c r="S88" i="2"/>
  <c r="O46" i="2"/>
  <c r="G88" i="2"/>
  <c r="H88" i="2" s="1"/>
  <c r="AJ87" i="2"/>
  <c r="AI87" i="2"/>
  <c r="AD87" i="2"/>
  <c r="AA87" i="2"/>
  <c r="S87" i="2"/>
  <c r="O87" i="2"/>
  <c r="G87" i="2"/>
  <c r="H87" i="2" s="1"/>
  <c r="AJ86" i="2"/>
  <c r="AI86" i="2"/>
  <c r="AD86" i="2"/>
  <c r="AA86" i="2"/>
  <c r="S86" i="2"/>
  <c r="AJ85" i="2"/>
  <c r="AI85" i="2"/>
  <c r="AD85" i="2"/>
  <c r="AA85" i="2"/>
  <c r="S85" i="2"/>
  <c r="AJ84" i="2"/>
  <c r="AI84" i="2"/>
  <c r="AD84" i="2"/>
  <c r="AA84" i="2"/>
  <c r="S84" i="2"/>
  <c r="O84" i="2"/>
  <c r="AI83" i="2"/>
  <c r="AM83" i="2" s="1"/>
  <c r="AD83" i="2"/>
  <c r="AA83" i="2"/>
  <c r="S83" i="2"/>
  <c r="O83" i="2"/>
  <c r="AI82" i="2"/>
  <c r="AM82" i="2" s="1"/>
  <c r="AD82" i="2"/>
  <c r="AA82" i="2"/>
  <c r="S82" i="2"/>
  <c r="O82" i="2"/>
  <c r="AI81" i="2"/>
  <c r="AM81" i="2" s="1"/>
  <c r="AD81" i="2"/>
  <c r="AA81" i="2"/>
  <c r="S81" i="2"/>
  <c r="O81" i="2"/>
  <c r="AI80" i="2"/>
  <c r="AM80" i="2" s="1"/>
  <c r="AD80" i="2"/>
  <c r="AA80" i="2"/>
  <c r="S80" i="2"/>
  <c r="O80" i="2"/>
  <c r="AI79" i="2"/>
  <c r="AM79" i="2" s="1"/>
  <c r="AD79" i="2"/>
  <c r="AA79" i="2"/>
  <c r="S79" i="2"/>
  <c r="O79" i="2"/>
  <c r="AJ78" i="2"/>
  <c r="AI78" i="2"/>
  <c r="AD78" i="2"/>
  <c r="AA78" i="2"/>
  <c r="S78" i="2"/>
  <c r="O78" i="2"/>
  <c r="AJ77" i="2"/>
  <c r="AI77" i="2"/>
  <c r="AD77" i="2"/>
  <c r="AA77" i="2"/>
  <c r="O77" i="2"/>
  <c r="AJ76" i="2"/>
  <c r="AI76" i="2"/>
  <c r="AD76" i="2"/>
  <c r="AA76" i="2"/>
  <c r="S76" i="2"/>
  <c r="O76" i="2"/>
  <c r="AJ75" i="2"/>
  <c r="AI75" i="2"/>
  <c r="AD75" i="2"/>
  <c r="AA75" i="2"/>
  <c r="S75" i="2"/>
  <c r="O75" i="2"/>
  <c r="AI74" i="2"/>
  <c r="AM74" i="2" s="1"/>
  <c r="AD74" i="2"/>
  <c r="AA74" i="2"/>
  <c r="S74" i="2"/>
  <c r="O74" i="2"/>
  <c r="AI73" i="2"/>
  <c r="AM73" i="2" s="1"/>
  <c r="AD73" i="2"/>
  <c r="AA73" i="2"/>
  <c r="S73" i="2"/>
  <c r="O73" i="2"/>
  <c r="AI72" i="2"/>
  <c r="AM72" i="2" s="1"/>
  <c r="AD72" i="2"/>
  <c r="AA72" i="2"/>
  <c r="S72" i="2"/>
  <c r="O72" i="2"/>
  <c r="AJ71" i="2"/>
  <c r="AI71" i="2"/>
  <c r="AD71" i="2"/>
  <c r="AA71" i="2"/>
  <c r="S71" i="2"/>
  <c r="O71" i="2"/>
  <c r="AJ70" i="2"/>
  <c r="AI70" i="2"/>
  <c r="AD70" i="2"/>
  <c r="AA70" i="2"/>
  <c r="S70" i="2"/>
  <c r="O70" i="2"/>
  <c r="AJ69" i="2"/>
  <c r="AI69" i="2"/>
  <c r="AD69" i="2"/>
  <c r="AA69" i="2"/>
  <c r="S69" i="2"/>
  <c r="O69" i="2"/>
  <c r="AJ68" i="2"/>
  <c r="AI68" i="2"/>
  <c r="AD68" i="2"/>
  <c r="AA68" i="2"/>
  <c r="S68" i="2"/>
  <c r="O68" i="2"/>
  <c r="AJ67" i="2"/>
  <c r="AI67" i="2"/>
  <c r="AD67" i="2"/>
  <c r="AA67" i="2"/>
  <c r="S67" i="2"/>
  <c r="O67" i="2"/>
  <c r="AJ66" i="2"/>
  <c r="AI66" i="2"/>
  <c r="AD66" i="2"/>
  <c r="AA66" i="2"/>
  <c r="S66" i="2"/>
  <c r="O66" i="2"/>
  <c r="AJ65" i="2"/>
  <c r="AI65" i="2"/>
  <c r="AD65" i="2"/>
  <c r="AA65" i="2"/>
  <c r="S65" i="2"/>
  <c r="O65" i="2"/>
  <c r="AJ64" i="2"/>
  <c r="AI64" i="2"/>
  <c r="AD64" i="2"/>
  <c r="AA64" i="2"/>
  <c r="S64" i="2"/>
  <c r="O64" i="2"/>
  <c r="AJ63" i="2"/>
  <c r="AI63" i="2"/>
  <c r="AD63" i="2"/>
  <c r="AA63" i="2"/>
  <c r="S63" i="2"/>
  <c r="O63" i="2"/>
  <c r="AJ62" i="2"/>
  <c r="AI62" i="2"/>
  <c r="AD62" i="2"/>
  <c r="AA62" i="2"/>
  <c r="S62" i="2"/>
  <c r="O62" i="2"/>
  <c r="AJ61" i="2"/>
  <c r="AI61" i="2"/>
  <c r="AD61" i="2"/>
  <c r="AA61" i="2"/>
  <c r="S61" i="2"/>
  <c r="O61" i="2"/>
  <c r="AJ60" i="2"/>
  <c r="AI60" i="2"/>
  <c r="AD60" i="2"/>
  <c r="AA60" i="2"/>
  <c r="S60" i="2"/>
  <c r="O60" i="2"/>
  <c r="AJ59" i="2"/>
  <c r="AI59" i="2"/>
  <c r="AD59" i="2"/>
  <c r="AA59" i="2"/>
  <c r="S59" i="2"/>
  <c r="O59" i="2"/>
  <c r="AJ58" i="2"/>
  <c r="AI58" i="2"/>
  <c r="AD58" i="2"/>
  <c r="AA58" i="2"/>
  <c r="S58" i="2"/>
  <c r="O58" i="2"/>
  <c r="AJ57" i="2"/>
  <c r="AI57" i="2"/>
  <c r="AD57" i="2"/>
  <c r="AA57" i="2"/>
  <c r="S57" i="2"/>
  <c r="O57" i="2"/>
  <c r="AJ56" i="2"/>
  <c r="AI56" i="2"/>
  <c r="AD56" i="2"/>
  <c r="AA56" i="2"/>
  <c r="S56" i="2"/>
  <c r="O56" i="2"/>
  <c r="AJ55" i="2"/>
  <c r="AI55" i="2"/>
  <c r="AD55" i="2"/>
  <c r="AA55" i="2"/>
  <c r="S55" i="2"/>
  <c r="O55" i="2"/>
  <c r="AJ54" i="2"/>
  <c r="AI54" i="2"/>
  <c r="AD54" i="2"/>
  <c r="AA54" i="2"/>
  <c r="S54" i="2"/>
  <c r="O54" i="2"/>
  <c r="AJ53" i="2"/>
  <c r="AI53" i="2"/>
  <c r="AD53" i="2"/>
  <c r="AA53" i="2"/>
  <c r="S53" i="2"/>
  <c r="O53" i="2"/>
  <c r="AJ52" i="2"/>
  <c r="AI52" i="2"/>
  <c r="AD52" i="2"/>
  <c r="AA52" i="2"/>
  <c r="S52" i="2"/>
  <c r="O52" i="2"/>
  <c r="AJ51" i="2"/>
  <c r="AI51" i="2"/>
  <c r="AD51" i="2"/>
  <c r="AA51" i="2"/>
  <c r="S51" i="2"/>
  <c r="O51" i="2"/>
  <c r="AJ50" i="2"/>
  <c r="AI50" i="2"/>
  <c r="AD50" i="2"/>
  <c r="AA50" i="2"/>
  <c r="S50" i="2"/>
  <c r="O50" i="2"/>
  <c r="AJ49" i="2"/>
  <c r="AI49" i="2"/>
  <c r="AD49" i="2"/>
  <c r="AA49" i="2"/>
  <c r="S49" i="2"/>
  <c r="O49" i="2"/>
  <c r="AJ48" i="2"/>
  <c r="AI48" i="2"/>
  <c r="AD48" i="2"/>
  <c r="AA48" i="2"/>
  <c r="S48" i="2"/>
  <c r="O48" i="2"/>
  <c r="AD47" i="2"/>
  <c r="G47" i="2"/>
  <c r="H47" i="2" s="1"/>
  <c r="AI46" i="2"/>
  <c r="AD46" i="2"/>
  <c r="AA46" i="2"/>
  <c r="AI45" i="2"/>
  <c r="AD45" i="2"/>
  <c r="AA45" i="2"/>
  <c r="I45" i="2"/>
  <c r="J45" i="2" s="1"/>
  <c r="G45" i="2"/>
  <c r="H45" i="2" s="1"/>
  <c r="AJ44" i="2"/>
  <c r="AI44" i="2"/>
  <c r="AD44" i="2"/>
  <c r="AA44" i="2"/>
  <c r="S44" i="2"/>
  <c r="O44" i="2"/>
  <c r="AJ43" i="2"/>
  <c r="AI43" i="2"/>
  <c r="AD43" i="2"/>
  <c r="AA43" i="2"/>
  <c r="S43" i="2"/>
  <c r="O43" i="2"/>
  <c r="AJ42" i="2"/>
  <c r="AI42" i="2"/>
  <c r="AD42" i="2"/>
  <c r="AA42" i="2"/>
  <c r="S42" i="2"/>
  <c r="O42" i="2"/>
  <c r="AI41" i="2"/>
  <c r="AM41" i="2" s="1"/>
  <c r="AD41" i="2"/>
  <c r="AA41" i="2"/>
  <c r="S41" i="2"/>
  <c r="O41" i="2"/>
  <c r="AI40" i="2"/>
  <c r="AM40" i="2" s="1"/>
  <c r="AD40" i="2"/>
  <c r="AA40" i="2"/>
  <c r="S40" i="2"/>
  <c r="O40" i="2"/>
  <c r="AJ39" i="2"/>
  <c r="AI39" i="2"/>
  <c r="AD39" i="2"/>
  <c r="AA39" i="2"/>
  <c r="S39" i="2"/>
  <c r="O39" i="2"/>
  <c r="AJ38" i="2"/>
  <c r="AI38" i="2"/>
  <c r="AD38" i="2"/>
  <c r="AA38" i="2"/>
  <c r="S38" i="2"/>
  <c r="O38" i="2"/>
  <c r="AJ37" i="2"/>
  <c r="AI37" i="2"/>
  <c r="AD37" i="2"/>
  <c r="AA37" i="2"/>
  <c r="S37" i="2"/>
  <c r="O37" i="2"/>
  <c r="AJ36" i="2"/>
  <c r="AI36" i="2"/>
  <c r="AD36" i="2"/>
  <c r="AA36" i="2"/>
  <c r="S36" i="2"/>
  <c r="O36" i="2"/>
  <c r="AJ35" i="2"/>
  <c r="AI35" i="2"/>
  <c r="AD35" i="2"/>
  <c r="AA35" i="2"/>
  <c r="S35" i="2"/>
  <c r="O35" i="2"/>
  <c r="AJ34" i="2"/>
  <c r="AI34" i="2"/>
  <c r="AD34" i="2"/>
  <c r="AA34" i="2"/>
  <c r="S34" i="2"/>
  <c r="O34" i="2"/>
  <c r="AJ33" i="2"/>
  <c r="AI33" i="2"/>
  <c r="AD33" i="2"/>
  <c r="AA33" i="2"/>
  <c r="S33" i="2"/>
  <c r="AI32" i="2"/>
  <c r="AM32" i="2" s="1"/>
  <c r="AD32" i="2"/>
  <c r="AA32" i="2"/>
  <c r="S32" i="2"/>
  <c r="AI31" i="2"/>
  <c r="AM31" i="2" s="1"/>
  <c r="AD31" i="2"/>
  <c r="AA31" i="2"/>
  <c r="S31" i="2"/>
  <c r="AI30" i="2"/>
  <c r="AM30" i="2" s="1"/>
  <c r="AD30" i="2"/>
  <c r="AA30" i="2"/>
  <c r="S30" i="2"/>
  <c r="AI29" i="2"/>
  <c r="AM29" i="2" s="1"/>
  <c r="AD29" i="2"/>
  <c r="AA29" i="2"/>
  <c r="S29" i="2"/>
  <c r="AI28" i="2"/>
  <c r="AM28" i="2" s="1"/>
  <c r="AD28" i="2"/>
  <c r="AA28" i="2"/>
  <c r="S28" i="2"/>
  <c r="AI27" i="2"/>
  <c r="AM27" i="2" s="1"/>
  <c r="AD27" i="2"/>
  <c r="AA27" i="2"/>
  <c r="S27" i="2"/>
  <c r="AI26" i="2"/>
  <c r="AM26" i="2" s="1"/>
  <c r="AD26" i="2"/>
  <c r="AA26" i="2"/>
  <c r="S26" i="2"/>
  <c r="AI25" i="2"/>
  <c r="AM25" i="2" s="1"/>
  <c r="AD25" i="2"/>
  <c r="AA25" i="2"/>
  <c r="S25" i="2"/>
  <c r="AJ24" i="2"/>
  <c r="AI24" i="2"/>
  <c r="AD24" i="2"/>
  <c r="AA24" i="2"/>
  <c r="AJ23" i="2"/>
  <c r="AI23" i="2"/>
  <c r="AD23" i="2"/>
  <c r="AA23" i="2"/>
  <c r="AJ22" i="2"/>
  <c r="AI22" i="2"/>
  <c r="AD22" i="2"/>
  <c r="AA22" i="2"/>
  <c r="AI21" i="2"/>
  <c r="AM21" i="2" s="1"/>
  <c r="AD21" i="2"/>
  <c r="AA21" i="2"/>
  <c r="S21" i="2"/>
  <c r="AJ20" i="2"/>
  <c r="AI20" i="2"/>
  <c r="AD20" i="2"/>
  <c r="AA20" i="2"/>
  <c r="AJ19" i="2"/>
  <c r="AI19" i="2"/>
  <c r="AD19" i="2"/>
  <c r="AA19" i="2"/>
  <c r="AJ18" i="2"/>
  <c r="AI18" i="2"/>
  <c r="AD18" i="2"/>
  <c r="AA18" i="2"/>
  <c r="AJ17" i="2"/>
  <c r="AI17" i="2"/>
  <c r="AD17" i="2"/>
  <c r="AA17" i="2"/>
  <c r="AJ16" i="2"/>
  <c r="AI16" i="2"/>
  <c r="AD16" i="2"/>
  <c r="AA16" i="2"/>
  <c r="AJ15" i="2"/>
  <c r="AI15" i="2"/>
  <c r="AD15" i="2"/>
  <c r="AA15" i="2"/>
  <c r="AJ14" i="2"/>
  <c r="AI14" i="2"/>
  <c r="AD14" i="2"/>
  <c r="AA14" i="2"/>
  <c r="AJ13" i="2"/>
  <c r="AI13" i="2"/>
  <c r="AD13" i="2"/>
  <c r="AA13" i="2"/>
  <c r="AJ12" i="2"/>
  <c r="AI12" i="2"/>
  <c r="AD12" i="2"/>
  <c r="AA12" i="2"/>
  <c r="AJ11" i="2"/>
  <c r="AI11" i="2"/>
  <c r="AD11" i="2"/>
  <c r="AA11" i="2"/>
  <c r="AJ10" i="2"/>
  <c r="AI10" i="2"/>
  <c r="AD10" i="2"/>
  <c r="AA10" i="2"/>
  <c r="S10" i="2"/>
  <c r="AJ9" i="2"/>
  <c r="AI9" i="2"/>
  <c r="AD9" i="2"/>
  <c r="AA9" i="2"/>
  <c r="AJ8" i="2"/>
  <c r="AI8" i="2"/>
  <c r="AD8" i="2"/>
  <c r="AA8" i="2"/>
  <c r="AO3" i="2"/>
  <c r="I3" i="2"/>
  <c r="H2" i="2"/>
  <c r="AJ300" i="2"/>
  <c r="E60" i="1"/>
  <c r="D52" i="1"/>
  <c r="C52" i="1" s="1"/>
  <c r="F26" i="1"/>
  <c r="C11" i="4" l="1"/>
  <c r="G29" i="1"/>
  <c r="AC89" i="2"/>
  <c r="AC180" i="2"/>
  <c r="AC88" i="2"/>
  <c r="AC93" i="2"/>
  <c r="AC175" i="2"/>
  <c r="AC179" i="2"/>
  <c r="AC87" i="2"/>
  <c r="AC92" i="2"/>
  <c r="AC174" i="2"/>
  <c r="AC176" i="2"/>
  <c r="AC173" i="2"/>
  <c r="AC184" i="2"/>
  <c r="AC181" i="2"/>
  <c r="AM98" i="2"/>
  <c r="AM89" i="2"/>
  <c r="AM94" i="2"/>
  <c r="AM35" i="2"/>
  <c r="AM39" i="2"/>
  <c r="AM42" i="2"/>
  <c r="AM50" i="2"/>
  <c r="AM54" i="2"/>
  <c r="AM58" i="2"/>
  <c r="AM62" i="2"/>
  <c r="AC45" i="2"/>
  <c r="D24" i="4"/>
  <c r="E24" i="4" s="1"/>
  <c r="F9" i="4"/>
  <c r="G9" i="4" s="1"/>
  <c r="F7" i="4"/>
  <c r="AM66" i="2"/>
  <c r="H9" i="4"/>
  <c r="I9" i="4" s="1"/>
  <c r="AM11" i="2"/>
  <c r="AM13" i="2"/>
  <c r="AM15" i="2"/>
  <c r="AM17" i="2"/>
  <c r="AM19" i="2"/>
  <c r="AM23" i="2"/>
  <c r="AM75" i="2"/>
  <c r="AM84" i="2"/>
  <c r="AM88" i="2"/>
  <c r="AM93" i="2"/>
  <c r="AM97" i="2"/>
  <c r="AM101" i="2"/>
  <c r="AM105" i="2"/>
  <c r="AM109" i="2"/>
  <c r="AM113" i="2"/>
  <c r="AM117" i="2"/>
  <c r="AM121" i="2"/>
  <c r="AM125" i="2"/>
  <c r="AM156" i="2"/>
  <c r="AM160" i="2"/>
  <c r="AM164" i="2"/>
  <c r="AM168" i="2"/>
  <c r="AM172" i="2"/>
  <c r="AM178" i="2"/>
  <c r="AM184" i="2"/>
  <c r="AM188" i="2"/>
  <c r="H24" i="4"/>
  <c r="I24" i="4" s="1"/>
  <c r="J24" i="4"/>
  <c r="K24" i="4" s="1"/>
  <c r="AM122" i="2"/>
  <c r="AM126" i="2"/>
  <c r="N191" i="2"/>
  <c r="AM55" i="2"/>
  <c r="AM59" i="2"/>
  <c r="AM63" i="2"/>
  <c r="AM67" i="2"/>
  <c r="AM158" i="2"/>
  <c r="AM162" i="2"/>
  <c r="AM86" i="2"/>
  <c r="AM96" i="2"/>
  <c r="AM100" i="2"/>
  <c r="AM104" i="2"/>
  <c r="AM108" i="2"/>
  <c r="AM112" i="2"/>
  <c r="AM116" i="2"/>
  <c r="AM120" i="2"/>
  <c r="AM124" i="2"/>
  <c r="AM155" i="2"/>
  <c r="AM159" i="2"/>
  <c r="AM76" i="2"/>
  <c r="AM36" i="2"/>
  <c r="AM43" i="2"/>
  <c r="AM51" i="2"/>
  <c r="AM10" i="2"/>
  <c r="AM12" i="2"/>
  <c r="AM14" i="2"/>
  <c r="AM16" i="2"/>
  <c r="AM18" i="2"/>
  <c r="AM90" i="2"/>
  <c r="AM95" i="2"/>
  <c r="AM99" i="2"/>
  <c r="AM103" i="2"/>
  <c r="AM107" i="2"/>
  <c r="AM111" i="2"/>
  <c r="AM115" i="2"/>
  <c r="AM119" i="2"/>
  <c r="AM123" i="2"/>
  <c r="AM91" i="2"/>
  <c r="AM163" i="2"/>
  <c r="AM167" i="2"/>
  <c r="AM171" i="2"/>
  <c r="AM177" i="2"/>
  <c r="AM187" i="2"/>
  <c r="AM20" i="2"/>
  <c r="AM166" i="2"/>
  <c r="AM170" i="2"/>
  <c r="AM176" i="2"/>
  <c r="AM186" i="2"/>
  <c r="AM190" i="2"/>
  <c r="AM157" i="2"/>
  <c r="AM161" i="2"/>
  <c r="AM165" i="2"/>
  <c r="AM169" i="2"/>
  <c r="AM174" i="2"/>
  <c r="AM180" i="2"/>
  <c r="AM185" i="2"/>
  <c r="AM189" i="2"/>
  <c r="AM33" i="2"/>
  <c r="AM37" i="2"/>
  <c r="AM44" i="2"/>
  <c r="AM48" i="2"/>
  <c r="AM52" i="2"/>
  <c r="AM56" i="2"/>
  <c r="AM60" i="2"/>
  <c r="AM64" i="2"/>
  <c r="AM68" i="2"/>
  <c r="AM78" i="2"/>
  <c r="AM87" i="2"/>
  <c r="AM92" i="2"/>
  <c r="AM128" i="2"/>
  <c r="AM132" i="2"/>
  <c r="AM136" i="2"/>
  <c r="AM140" i="2"/>
  <c r="AM144" i="2"/>
  <c r="AM148" i="2"/>
  <c r="AM152" i="2"/>
  <c r="AM183" i="2"/>
  <c r="AM8" i="2"/>
  <c r="AM71" i="2"/>
  <c r="AM77" i="2"/>
  <c r="AM127" i="2"/>
  <c r="AM131" i="2"/>
  <c r="AM135" i="2"/>
  <c r="AM139" i="2"/>
  <c r="AM143" i="2"/>
  <c r="AM147" i="2"/>
  <c r="AM151" i="2"/>
  <c r="AM182" i="2"/>
  <c r="AM22" i="2"/>
  <c r="AM24" i="2"/>
  <c r="AM70" i="2"/>
  <c r="AM85" i="2"/>
  <c r="AM130" i="2"/>
  <c r="AM134" i="2"/>
  <c r="AM138" i="2"/>
  <c r="AM142" i="2"/>
  <c r="AM146" i="2"/>
  <c r="AM150" i="2"/>
  <c r="AM175" i="2"/>
  <c r="AM181" i="2"/>
  <c r="AM9" i="2"/>
  <c r="AM34" i="2"/>
  <c r="AM38" i="2"/>
  <c r="AM49" i="2"/>
  <c r="AM53" i="2"/>
  <c r="AM57" i="2"/>
  <c r="AM61" i="2"/>
  <c r="AM65" i="2"/>
  <c r="AM69" i="2"/>
  <c r="AM129" i="2"/>
  <c r="AM133" i="2"/>
  <c r="AM137" i="2"/>
  <c r="AM141" i="2"/>
  <c r="AM145" i="2"/>
  <c r="AM149" i="2"/>
  <c r="AM153" i="2"/>
  <c r="AM173" i="2"/>
  <c r="AM179" i="2"/>
  <c r="F22" i="4"/>
  <c r="G22" i="4" s="1"/>
  <c r="T26" i="2"/>
  <c r="M26" i="2" s="1"/>
  <c r="T28" i="2"/>
  <c r="M28" i="2" s="1"/>
  <c r="T30" i="2"/>
  <c r="M30" i="2" s="1"/>
  <c r="T32" i="2"/>
  <c r="T35" i="2"/>
  <c r="M35" i="2" s="1"/>
  <c r="T42" i="2"/>
  <c r="T50" i="2"/>
  <c r="T54" i="2"/>
  <c r="M54" i="2" s="1"/>
  <c r="T58" i="2"/>
  <c r="M58" i="2" s="1"/>
  <c r="T62" i="2"/>
  <c r="M62" i="2" s="1"/>
  <c r="T66" i="2"/>
  <c r="M66" i="2" s="1"/>
  <c r="T70" i="2"/>
  <c r="M70" i="2" s="1"/>
  <c r="T85" i="2"/>
  <c r="M85" i="2" s="1"/>
  <c r="T130" i="2"/>
  <c r="T134" i="2"/>
  <c r="T138" i="2"/>
  <c r="M138" i="2" s="1"/>
  <c r="T142" i="2"/>
  <c r="M142" i="2" s="1"/>
  <c r="T146" i="2"/>
  <c r="M146" i="2" s="1"/>
  <c r="T150" i="2"/>
  <c r="M150" i="2" s="1"/>
  <c r="T154" i="2"/>
  <c r="M154" i="2" s="1"/>
  <c r="T175" i="2"/>
  <c r="M175" i="2" s="1"/>
  <c r="T181" i="2"/>
  <c r="M181" i="2" s="1"/>
  <c r="T246" i="2"/>
  <c r="T248" i="2"/>
  <c r="M248" i="2" s="1"/>
  <c r="T250" i="2"/>
  <c r="M250" i="2" s="1"/>
  <c r="T252" i="2"/>
  <c r="T254" i="2"/>
  <c r="M254" i="2" s="1"/>
  <c r="T256" i="2"/>
  <c r="M256" i="2" s="1"/>
  <c r="T258" i="2"/>
  <c r="M258" i="2" s="1"/>
  <c r="T260" i="2"/>
  <c r="M260" i="2" s="1"/>
  <c r="T262" i="2"/>
  <c r="T264" i="2"/>
  <c r="M264" i="2" s="1"/>
  <c r="T266" i="2"/>
  <c r="M266" i="2" s="1"/>
  <c r="T268" i="2"/>
  <c r="M268" i="2" s="1"/>
  <c r="T270" i="2"/>
  <c r="M270" i="2" s="1"/>
  <c r="T272" i="2"/>
  <c r="M272" i="2" s="1"/>
  <c r="T274" i="2"/>
  <c r="M274" i="2" s="1"/>
  <c r="T276" i="2"/>
  <c r="M276" i="2" s="1"/>
  <c r="T278" i="2"/>
  <c r="T280" i="2"/>
  <c r="M280" i="2" s="1"/>
  <c r="T282" i="2"/>
  <c r="M282" i="2" s="1"/>
  <c r="T284" i="2"/>
  <c r="M284" i="2" s="1"/>
  <c r="T286" i="2"/>
  <c r="M286" i="2" s="1"/>
  <c r="T288" i="2"/>
  <c r="M288" i="2" s="1"/>
  <c r="T290" i="2"/>
  <c r="M290" i="2" s="1"/>
  <c r="T292" i="2"/>
  <c r="M292" i="2" s="1"/>
  <c r="T294" i="2"/>
  <c r="T296" i="2"/>
  <c r="M296" i="2" s="1"/>
  <c r="T298" i="2"/>
  <c r="M298" i="2" s="1"/>
  <c r="T41" i="2"/>
  <c r="M41" i="2" s="1"/>
  <c r="T75" i="2"/>
  <c r="M75" i="2" s="1"/>
  <c r="T84" i="2"/>
  <c r="M84" i="2" s="1"/>
  <c r="T93" i="2"/>
  <c r="M93" i="2" s="1"/>
  <c r="T97" i="2"/>
  <c r="M97" i="2" s="1"/>
  <c r="T101" i="2"/>
  <c r="T105" i="2"/>
  <c r="M105" i="2" s="1"/>
  <c r="T109" i="2"/>
  <c r="M109" i="2" s="1"/>
  <c r="T113" i="2"/>
  <c r="M113" i="2" s="1"/>
  <c r="T117" i="2"/>
  <c r="M117" i="2" s="1"/>
  <c r="T121" i="2"/>
  <c r="M121" i="2" s="1"/>
  <c r="T125" i="2"/>
  <c r="M125" i="2" s="1"/>
  <c r="T156" i="2"/>
  <c r="M156" i="2" s="1"/>
  <c r="T160" i="2"/>
  <c r="T164" i="2"/>
  <c r="T168" i="2"/>
  <c r="T172" i="2"/>
  <c r="M172" i="2" s="1"/>
  <c r="T178" i="2"/>
  <c r="M178" i="2" s="1"/>
  <c r="T184" i="2"/>
  <c r="M184" i="2" s="1"/>
  <c r="T188" i="2"/>
  <c r="M188" i="2" s="1"/>
  <c r="T73" i="2"/>
  <c r="M73" i="2" s="1"/>
  <c r="T76" i="2"/>
  <c r="T82" i="2"/>
  <c r="M82" i="2" s="1"/>
  <c r="T89" i="2"/>
  <c r="M89" i="2" s="1"/>
  <c r="T94" i="2"/>
  <c r="M94" i="2" s="1"/>
  <c r="T98" i="2"/>
  <c r="M98" i="2" s="1"/>
  <c r="T102" i="2"/>
  <c r="M102" i="2" s="1"/>
  <c r="T106" i="2"/>
  <c r="M106" i="2" s="1"/>
  <c r="T110" i="2"/>
  <c r="M110" i="2" s="1"/>
  <c r="T114" i="2"/>
  <c r="T118" i="2"/>
  <c r="M118" i="2" s="1"/>
  <c r="T122" i="2"/>
  <c r="M122" i="2" s="1"/>
  <c r="T126" i="2"/>
  <c r="M126" i="2" s="1"/>
  <c r="T157" i="2"/>
  <c r="M157" i="2" s="1"/>
  <c r="T161" i="2"/>
  <c r="M161" i="2" s="1"/>
  <c r="T165" i="2"/>
  <c r="T169" i="2"/>
  <c r="T174" i="2"/>
  <c r="T180" i="2"/>
  <c r="M180" i="2" s="1"/>
  <c r="T185" i="2"/>
  <c r="M185" i="2" s="1"/>
  <c r="T189" i="2"/>
  <c r="M189" i="2" s="1"/>
  <c r="T230" i="2"/>
  <c r="M230" i="2" s="1"/>
  <c r="T232" i="2"/>
  <c r="M232" i="2" s="1"/>
  <c r="T234" i="2"/>
  <c r="M234" i="2" s="1"/>
  <c r="T236" i="2"/>
  <c r="M236" i="2" s="1"/>
  <c r="T238" i="2"/>
  <c r="M238" i="2" s="1"/>
  <c r="T240" i="2"/>
  <c r="M240" i="2" s="1"/>
  <c r="T242" i="2"/>
  <c r="M242" i="2" s="1"/>
  <c r="T244" i="2"/>
  <c r="M244" i="2" s="1"/>
  <c r="S45" i="2"/>
  <c r="T45" i="2" s="1"/>
  <c r="M45" i="2" s="1"/>
  <c r="T39" i="2"/>
  <c r="M39" i="2" s="1"/>
  <c r="T34" i="2"/>
  <c r="M34" i="2" s="1"/>
  <c r="T38" i="2"/>
  <c r="T49" i="2"/>
  <c r="M49" i="2" s="1"/>
  <c r="T53" i="2"/>
  <c r="M53" i="2" s="1"/>
  <c r="T57" i="2"/>
  <c r="M57" i="2" s="1"/>
  <c r="T61" i="2"/>
  <c r="M61" i="2" s="1"/>
  <c r="T65" i="2"/>
  <c r="M65" i="2" s="1"/>
  <c r="T69" i="2"/>
  <c r="M69" i="2" s="1"/>
  <c r="T79" i="2"/>
  <c r="M79" i="2" s="1"/>
  <c r="T129" i="2"/>
  <c r="M129" i="2" s="1"/>
  <c r="T133" i="2"/>
  <c r="M133" i="2" s="1"/>
  <c r="T137" i="2"/>
  <c r="M137" i="2" s="1"/>
  <c r="T141" i="2"/>
  <c r="M141" i="2" s="1"/>
  <c r="T145" i="2"/>
  <c r="M145" i="2" s="1"/>
  <c r="T149" i="2"/>
  <c r="M149" i="2" s="1"/>
  <c r="T153" i="2"/>
  <c r="M153" i="2" s="1"/>
  <c r="T173" i="2"/>
  <c r="M173" i="2" s="1"/>
  <c r="T179" i="2"/>
  <c r="M179" i="2" s="1"/>
  <c r="T192" i="2"/>
  <c r="M192" i="2" s="1"/>
  <c r="T194" i="2"/>
  <c r="M194" i="2" s="1"/>
  <c r="T196" i="2"/>
  <c r="M196" i="2" s="1"/>
  <c r="T198" i="2"/>
  <c r="M198" i="2" s="1"/>
  <c r="T200" i="2"/>
  <c r="M200" i="2" s="1"/>
  <c r="T202" i="2"/>
  <c r="M202" i="2" s="1"/>
  <c r="T204" i="2"/>
  <c r="M204" i="2" s="1"/>
  <c r="T206" i="2"/>
  <c r="M206" i="2" s="1"/>
  <c r="T208" i="2"/>
  <c r="M208" i="2" s="1"/>
  <c r="T210" i="2"/>
  <c r="M210" i="2" s="1"/>
  <c r="T212" i="2"/>
  <c r="M212" i="2" s="1"/>
  <c r="T214" i="2"/>
  <c r="M214" i="2" s="1"/>
  <c r="T216" i="2"/>
  <c r="M216" i="2" s="1"/>
  <c r="T218" i="2"/>
  <c r="M218" i="2" s="1"/>
  <c r="T220" i="2"/>
  <c r="M220" i="2" s="1"/>
  <c r="T222" i="2"/>
  <c r="M222" i="2" s="1"/>
  <c r="T224" i="2"/>
  <c r="M224" i="2" s="1"/>
  <c r="T226" i="2"/>
  <c r="M226" i="2" s="1"/>
  <c r="T228" i="2"/>
  <c r="M228" i="2" s="1"/>
  <c r="S46" i="2"/>
  <c r="T46" i="2" s="1"/>
  <c r="T88" i="2"/>
  <c r="M88" i="2" s="1"/>
  <c r="T299" i="2"/>
  <c r="M299" i="2" s="1"/>
  <c r="T77" i="2"/>
  <c r="M77" i="2" s="1"/>
  <c r="T18" i="2"/>
  <c r="M18" i="2" s="1"/>
  <c r="T9" i="2"/>
  <c r="M9" i="2" s="1"/>
  <c r="T17" i="2"/>
  <c r="M17" i="2" s="1"/>
  <c r="T8" i="2"/>
  <c r="M8" i="2" s="1"/>
  <c r="T24" i="2"/>
  <c r="M24" i="2" s="1"/>
  <c r="T16" i="2"/>
  <c r="M16" i="2" s="1"/>
  <c r="T23" i="2"/>
  <c r="M23" i="2" s="1"/>
  <c r="T15" i="2"/>
  <c r="M15" i="2" s="1"/>
  <c r="T20" i="2"/>
  <c r="T22" i="2"/>
  <c r="M22" i="2" s="1"/>
  <c r="T14" i="2"/>
  <c r="M14" i="2" s="1"/>
  <c r="T13" i="2"/>
  <c r="M13" i="2" s="1"/>
  <c r="T19" i="2"/>
  <c r="M19" i="2" s="1"/>
  <c r="T11" i="2"/>
  <c r="M11" i="2" s="1"/>
  <c r="T12" i="2"/>
  <c r="M12" i="2" s="1"/>
  <c r="T21" i="2"/>
  <c r="M21" i="2" s="1"/>
  <c r="T25" i="2"/>
  <c r="M25" i="2" s="1"/>
  <c r="T27" i="2"/>
  <c r="M27" i="2" s="1"/>
  <c r="T29" i="2"/>
  <c r="M29" i="2" s="1"/>
  <c r="T31" i="2"/>
  <c r="M31" i="2" s="1"/>
  <c r="T33" i="2"/>
  <c r="M33" i="2" s="1"/>
  <c r="T37" i="2"/>
  <c r="T44" i="2"/>
  <c r="M44" i="2" s="1"/>
  <c r="T48" i="2"/>
  <c r="M48" i="2" s="1"/>
  <c r="T52" i="2"/>
  <c r="M52" i="2" s="1"/>
  <c r="T56" i="2"/>
  <c r="T60" i="2"/>
  <c r="M60" i="2" s="1"/>
  <c r="T64" i="2"/>
  <c r="M64" i="2" s="1"/>
  <c r="T68" i="2"/>
  <c r="M68" i="2" s="1"/>
  <c r="T72" i="2"/>
  <c r="M72" i="2" s="1"/>
  <c r="T78" i="2"/>
  <c r="M78" i="2" s="1"/>
  <c r="T81" i="2"/>
  <c r="M81" i="2" s="1"/>
  <c r="T87" i="2"/>
  <c r="M87" i="2" s="1"/>
  <c r="T92" i="2"/>
  <c r="M92" i="2" s="1"/>
  <c r="T128" i="2"/>
  <c r="M128" i="2" s="1"/>
  <c r="T132" i="2"/>
  <c r="M132" i="2" s="1"/>
  <c r="T136" i="2"/>
  <c r="M136" i="2" s="1"/>
  <c r="T140" i="2"/>
  <c r="M140" i="2" s="1"/>
  <c r="T144" i="2"/>
  <c r="M144" i="2" s="1"/>
  <c r="T148" i="2"/>
  <c r="M148" i="2" s="1"/>
  <c r="T152" i="2"/>
  <c r="M152" i="2" s="1"/>
  <c r="T183" i="2"/>
  <c r="M183" i="2" s="1"/>
  <c r="T247" i="2"/>
  <c r="M247" i="2" s="1"/>
  <c r="T249" i="2"/>
  <c r="M249" i="2" s="1"/>
  <c r="T251" i="2"/>
  <c r="M251" i="2" s="1"/>
  <c r="T253" i="2"/>
  <c r="M253" i="2" s="1"/>
  <c r="T255" i="2"/>
  <c r="M255" i="2" s="1"/>
  <c r="T257" i="2"/>
  <c r="M257" i="2" s="1"/>
  <c r="T259" i="2"/>
  <c r="M259" i="2" s="1"/>
  <c r="T261" i="2"/>
  <c r="M261" i="2" s="1"/>
  <c r="T263" i="2"/>
  <c r="M263" i="2" s="1"/>
  <c r="T265" i="2"/>
  <c r="M265" i="2" s="1"/>
  <c r="T267" i="2"/>
  <c r="M267" i="2" s="1"/>
  <c r="T269" i="2"/>
  <c r="M269" i="2" s="1"/>
  <c r="T271" i="2"/>
  <c r="M271" i="2" s="1"/>
  <c r="T273" i="2"/>
  <c r="M273" i="2" s="1"/>
  <c r="T275" i="2"/>
  <c r="M275" i="2" s="1"/>
  <c r="T277" i="2"/>
  <c r="M277" i="2" s="1"/>
  <c r="T279" i="2"/>
  <c r="M279" i="2" s="1"/>
  <c r="T281" i="2"/>
  <c r="M281" i="2" s="1"/>
  <c r="T283" i="2"/>
  <c r="M283" i="2" s="1"/>
  <c r="T285" i="2"/>
  <c r="M285" i="2" s="1"/>
  <c r="T287" i="2"/>
  <c r="M287" i="2" s="1"/>
  <c r="T289" i="2"/>
  <c r="M289" i="2" s="1"/>
  <c r="T291" i="2"/>
  <c r="M291" i="2" s="1"/>
  <c r="T293" i="2"/>
  <c r="M293" i="2" s="1"/>
  <c r="T295" i="2"/>
  <c r="M295" i="2" s="1"/>
  <c r="T297" i="2"/>
  <c r="M297" i="2" s="1"/>
  <c r="T86" i="2"/>
  <c r="M86" i="2" s="1"/>
  <c r="T91" i="2"/>
  <c r="M91" i="2" s="1"/>
  <c r="T96" i="2"/>
  <c r="M96" i="2" s="1"/>
  <c r="T100" i="2"/>
  <c r="M100" i="2" s="1"/>
  <c r="T104" i="2"/>
  <c r="M104" i="2" s="1"/>
  <c r="T108" i="2"/>
  <c r="M108" i="2" s="1"/>
  <c r="T112" i="2"/>
  <c r="M112" i="2" s="1"/>
  <c r="T116" i="2"/>
  <c r="M116" i="2" s="1"/>
  <c r="T120" i="2"/>
  <c r="M120" i="2" s="1"/>
  <c r="T124" i="2"/>
  <c r="M124" i="2" s="1"/>
  <c r="T155" i="2"/>
  <c r="M155" i="2" s="1"/>
  <c r="T159" i="2"/>
  <c r="T163" i="2"/>
  <c r="T167" i="2"/>
  <c r="M167" i="2" s="1"/>
  <c r="T171" i="2"/>
  <c r="T177" i="2"/>
  <c r="M177" i="2" s="1"/>
  <c r="T187" i="2"/>
  <c r="M187" i="2" s="1"/>
  <c r="T231" i="2"/>
  <c r="M231" i="2" s="1"/>
  <c r="T233" i="2"/>
  <c r="M233" i="2" s="1"/>
  <c r="T235" i="2"/>
  <c r="M235" i="2" s="1"/>
  <c r="T237" i="2"/>
  <c r="M237" i="2" s="1"/>
  <c r="T239" i="2"/>
  <c r="M239" i="2" s="1"/>
  <c r="T241" i="2"/>
  <c r="M241" i="2" s="1"/>
  <c r="T243" i="2"/>
  <c r="M243" i="2" s="1"/>
  <c r="T36" i="2"/>
  <c r="M36" i="2" s="1"/>
  <c r="T40" i="2"/>
  <c r="M40" i="2" s="1"/>
  <c r="T43" i="2"/>
  <c r="M43" i="2" s="1"/>
  <c r="T51" i="2"/>
  <c r="M51" i="2" s="1"/>
  <c r="T55" i="2"/>
  <c r="M55" i="2" s="1"/>
  <c r="T59" i="2"/>
  <c r="M59" i="2" s="1"/>
  <c r="T63" i="2"/>
  <c r="M63" i="2" s="1"/>
  <c r="T67" i="2"/>
  <c r="M67" i="2" s="1"/>
  <c r="T71" i="2"/>
  <c r="M71" i="2" s="1"/>
  <c r="T74" i="2"/>
  <c r="M74" i="2" s="1"/>
  <c r="T83" i="2"/>
  <c r="M83" i="2" s="1"/>
  <c r="T127" i="2"/>
  <c r="M127" i="2" s="1"/>
  <c r="T131" i="2"/>
  <c r="M131" i="2" s="1"/>
  <c r="T135" i="2"/>
  <c r="M135" i="2" s="1"/>
  <c r="T139" i="2"/>
  <c r="M139" i="2" s="1"/>
  <c r="T143" i="2"/>
  <c r="M143" i="2" s="1"/>
  <c r="T147" i="2"/>
  <c r="M147" i="2" s="1"/>
  <c r="T151" i="2"/>
  <c r="M151" i="2" s="1"/>
  <c r="T182" i="2"/>
  <c r="M182" i="2" s="1"/>
  <c r="T191" i="2"/>
  <c r="T193" i="2"/>
  <c r="M193" i="2" s="1"/>
  <c r="T195" i="2"/>
  <c r="M195" i="2" s="1"/>
  <c r="T197" i="2"/>
  <c r="M197" i="2" s="1"/>
  <c r="T199" i="2"/>
  <c r="M199" i="2" s="1"/>
  <c r="T201" i="2"/>
  <c r="M201" i="2" s="1"/>
  <c r="T203" i="2"/>
  <c r="M203" i="2" s="1"/>
  <c r="T205" i="2"/>
  <c r="M205" i="2" s="1"/>
  <c r="T207" i="2"/>
  <c r="M207" i="2" s="1"/>
  <c r="T209" i="2"/>
  <c r="M209" i="2" s="1"/>
  <c r="T211" i="2"/>
  <c r="M211" i="2" s="1"/>
  <c r="T213" i="2"/>
  <c r="M213" i="2" s="1"/>
  <c r="T215" i="2"/>
  <c r="M215" i="2" s="1"/>
  <c r="T217" i="2"/>
  <c r="M217" i="2" s="1"/>
  <c r="T219" i="2"/>
  <c r="M219" i="2" s="1"/>
  <c r="T221" i="2"/>
  <c r="M221" i="2" s="1"/>
  <c r="T223" i="2"/>
  <c r="M223" i="2" s="1"/>
  <c r="T225" i="2"/>
  <c r="M225" i="2" s="1"/>
  <c r="T227" i="2"/>
  <c r="M227" i="2" s="1"/>
  <c r="T245" i="2"/>
  <c r="M245" i="2" s="1"/>
  <c r="T10" i="2"/>
  <c r="M10" i="2" s="1"/>
  <c r="T80" i="2"/>
  <c r="M80" i="2" s="1"/>
  <c r="T90" i="2"/>
  <c r="M90" i="2" s="1"/>
  <c r="T95" i="2"/>
  <c r="M95" i="2" s="1"/>
  <c r="T99" i="2"/>
  <c r="M99" i="2" s="1"/>
  <c r="T103" i="2"/>
  <c r="M103" i="2" s="1"/>
  <c r="T107" i="2"/>
  <c r="M107" i="2" s="1"/>
  <c r="T111" i="2"/>
  <c r="M111" i="2" s="1"/>
  <c r="T115" i="2"/>
  <c r="M115" i="2" s="1"/>
  <c r="T119" i="2"/>
  <c r="M119" i="2" s="1"/>
  <c r="T123" i="2"/>
  <c r="M123" i="2" s="1"/>
  <c r="T158" i="2"/>
  <c r="M158" i="2" s="1"/>
  <c r="T162" i="2"/>
  <c r="M162" i="2" s="1"/>
  <c r="T166" i="2"/>
  <c r="T170" i="2"/>
  <c r="M170" i="2" s="1"/>
  <c r="T176" i="2"/>
  <c r="M176" i="2" s="1"/>
  <c r="T186" i="2"/>
  <c r="M186" i="2" s="1"/>
  <c r="T190" i="2"/>
  <c r="M190" i="2" s="1"/>
  <c r="T229" i="2"/>
  <c r="M229" i="2" s="1"/>
  <c r="N326" i="2"/>
  <c r="N318" i="2"/>
  <c r="N310" i="2"/>
  <c r="N302" i="2"/>
  <c r="N294" i="2"/>
  <c r="N286" i="2"/>
  <c r="N278" i="2"/>
  <c r="N270" i="2"/>
  <c r="N262" i="2"/>
  <c r="N254" i="2"/>
  <c r="N246" i="2"/>
  <c r="N238" i="2"/>
  <c r="N230" i="2"/>
  <c r="N222" i="2"/>
  <c r="N214" i="2"/>
  <c r="N206" i="2"/>
  <c r="N198" i="2"/>
  <c r="N190" i="2"/>
  <c r="N182" i="2"/>
  <c r="N174" i="2"/>
  <c r="N166" i="2"/>
  <c r="N158" i="2"/>
  <c r="N150" i="2"/>
  <c r="N142" i="2"/>
  <c r="N134" i="2"/>
  <c r="N126" i="2"/>
  <c r="N118" i="2"/>
  <c r="N110" i="2"/>
  <c r="N102" i="2"/>
  <c r="N94" i="2"/>
  <c r="N86" i="2"/>
  <c r="N78" i="2"/>
  <c r="N70" i="2"/>
  <c r="N62" i="2"/>
  <c r="N54" i="2"/>
  <c r="N38" i="2"/>
  <c r="N30" i="2"/>
  <c r="N22" i="2"/>
  <c r="N14" i="2"/>
  <c r="M326" i="2"/>
  <c r="M294" i="2"/>
  <c r="M278" i="2"/>
  <c r="M262" i="2"/>
  <c r="M246" i="2"/>
  <c r="M174" i="2"/>
  <c r="M134" i="2"/>
  <c r="M38" i="2"/>
  <c r="N288" i="2"/>
  <c r="N224" i="2"/>
  <c r="N184" i="2"/>
  <c r="N136" i="2"/>
  <c r="N325" i="2"/>
  <c r="N317" i="2"/>
  <c r="N309" i="2"/>
  <c r="N301" i="2"/>
  <c r="N293" i="2"/>
  <c r="N285" i="2"/>
  <c r="N277" i="2"/>
  <c r="N269" i="2"/>
  <c r="N261" i="2"/>
  <c r="N253" i="2"/>
  <c r="N245" i="2"/>
  <c r="N237" i="2"/>
  <c r="N229" i="2"/>
  <c r="N221" i="2"/>
  <c r="N213" i="2"/>
  <c r="N205" i="2"/>
  <c r="N197" i="2"/>
  <c r="N189" i="2"/>
  <c r="N181" i="2"/>
  <c r="N173" i="2"/>
  <c r="N165" i="2"/>
  <c r="N157" i="2"/>
  <c r="N149" i="2"/>
  <c r="N141" i="2"/>
  <c r="N133" i="2"/>
  <c r="N125" i="2"/>
  <c r="N117" i="2"/>
  <c r="N109" i="2"/>
  <c r="N101" i="2"/>
  <c r="N93" i="2"/>
  <c r="N85" i="2"/>
  <c r="N77" i="2"/>
  <c r="N69" i="2"/>
  <c r="N61" i="2"/>
  <c r="N53" i="2"/>
  <c r="N45" i="2"/>
  <c r="N37" i="2"/>
  <c r="N29" i="2"/>
  <c r="N21" i="2"/>
  <c r="N13" i="2"/>
  <c r="M325" i="2"/>
  <c r="M301" i="2"/>
  <c r="M101" i="2"/>
  <c r="N296" i="2"/>
  <c r="N264" i="2"/>
  <c r="N240" i="2"/>
  <c r="N200" i="2"/>
  <c r="N152" i="2"/>
  <c r="N324" i="2"/>
  <c r="N316" i="2"/>
  <c r="N308" i="2"/>
  <c r="N300" i="2"/>
  <c r="N292" i="2"/>
  <c r="N284" i="2"/>
  <c r="N276" i="2"/>
  <c r="N268" i="2"/>
  <c r="N260" i="2"/>
  <c r="N252" i="2"/>
  <c r="N244" i="2"/>
  <c r="N236" i="2"/>
  <c r="N228" i="2"/>
  <c r="N220" i="2"/>
  <c r="N212" i="2"/>
  <c r="N204" i="2"/>
  <c r="N196" i="2"/>
  <c r="N188" i="2"/>
  <c r="N180" i="2"/>
  <c r="N172" i="2"/>
  <c r="N164" i="2"/>
  <c r="N156" i="2"/>
  <c r="N148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M324" i="2"/>
  <c r="M300" i="2"/>
  <c r="M252" i="2"/>
  <c r="M76" i="2"/>
  <c r="M20" i="2"/>
  <c r="N280" i="2"/>
  <c r="N208" i="2"/>
  <c r="N160" i="2"/>
  <c r="N323" i="2"/>
  <c r="N315" i="2"/>
  <c r="N307" i="2"/>
  <c r="N299" i="2"/>
  <c r="N291" i="2"/>
  <c r="N283" i="2"/>
  <c r="N275" i="2"/>
  <c r="N267" i="2"/>
  <c r="N259" i="2"/>
  <c r="N251" i="2"/>
  <c r="N243" i="2"/>
  <c r="N235" i="2"/>
  <c r="N227" i="2"/>
  <c r="N219" i="2"/>
  <c r="N211" i="2"/>
  <c r="N203" i="2"/>
  <c r="N195" i="2"/>
  <c r="N187" i="2"/>
  <c r="N179" i="2"/>
  <c r="N171" i="2"/>
  <c r="N163" i="2"/>
  <c r="N155" i="2"/>
  <c r="N147" i="2"/>
  <c r="N139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N11" i="2"/>
  <c r="M323" i="2"/>
  <c r="N312" i="2"/>
  <c r="N256" i="2"/>
  <c r="N232" i="2"/>
  <c r="N176" i="2"/>
  <c r="N128" i="2"/>
  <c r="N322" i="2"/>
  <c r="N314" i="2"/>
  <c r="N306" i="2"/>
  <c r="N298" i="2"/>
  <c r="N290" i="2"/>
  <c r="N282" i="2"/>
  <c r="N274" i="2"/>
  <c r="N266" i="2"/>
  <c r="N258" i="2"/>
  <c r="N250" i="2"/>
  <c r="N242" i="2"/>
  <c r="N234" i="2"/>
  <c r="N226" i="2"/>
  <c r="N218" i="2"/>
  <c r="N210" i="2"/>
  <c r="N202" i="2"/>
  <c r="N194" i="2"/>
  <c r="N186" i="2"/>
  <c r="N178" i="2"/>
  <c r="N170" i="2"/>
  <c r="N162" i="2"/>
  <c r="N154" i="2"/>
  <c r="N146" i="2"/>
  <c r="N138" i="2"/>
  <c r="N130" i="2"/>
  <c r="N122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" i="2"/>
  <c r="M322" i="2"/>
  <c r="M130" i="2"/>
  <c r="M114" i="2"/>
  <c r="M50" i="2"/>
  <c r="M42" i="2"/>
  <c r="N304" i="2"/>
  <c r="N216" i="2"/>
  <c r="N168" i="2"/>
  <c r="N120" i="2"/>
  <c r="N321" i="2"/>
  <c r="N313" i="2"/>
  <c r="N305" i="2"/>
  <c r="N297" i="2"/>
  <c r="N289" i="2"/>
  <c r="N281" i="2"/>
  <c r="N273" i="2"/>
  <c r="N265" i="2"/>
  <c r="N257" i="2"/>
  <c r="N249" i="2"/>
  <c r="N241" i="2"/>
  <c r="N233" i="2"/>
  <c r="N225" i="2"/>
  <c r="N217" i="2"/>
  <c r="N209" i="2"/>
  <c r="N201" i="2"/>
  <c r="N193" i="2"/>
  <c r="N185" i="2"/>
  <c r="N177" i="2"/>
  <c r="N169" i="2"/>
  <c r="N161" i="2"/>
  <c r="N153" i="2"/>
  <c r="N145" i="2"/>
  <c r="N137" i="2"/>
  <c r="N129" i="2"/>
  <c r="N121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N9" i="2"/>
  <c r="M321" i="2"/>
  <c r="N320" i="2"/>
  <c r="N272" i="2"/>
  <c r="N248" i="2"/>
  <c r="N192" i="2"/>
  <c r="N144" i="2"/>
  <c r="N319" i="2"/>
  <c r="N255" i="2"/>
  <c r="N127" i="2"/>
  <c r="N88" i="2"/>
  <c r="N56" i="2"/>
  <c r="N24" i="2"/>
  <c r="M56" i="2"/>
  <c r="N215" i="2"/>
  <c r="N64" i="2"/>
  <c r="N95" i="2"/>
  <c r="N311" i="2"/>
  <c r="N247" i="2"/>
  <c r="N183" i="2"/>
  <c r="N119" i="2"/>
  <c r="N87" i="2"/>
  <c r="N55" i="2"/>
  <c r="N23" i="2"/>
  <c r="N151" i="2"/>
  <c r="N96" i="2"/>
  <c r="N63" i="2"/>
  <c r="N303" i="2"/>
  <c r="N239" i="2"/>
  <c r="N175" i="2"/>
  <c r="N112" i="2"/>
  <c r="N80" i="2"/>
  <c r="N48" i="2"/>
  <c r="N16" i="2"/>
  <c r="N71" i="2"/>
  <c r="N271" i="2"/>
  <c r="M160" i="2"/>
  <c r="N199" i="2"/>
  <c r="N31" i="2"/>
  <c r="N295" i="2"/>
  <c r="N231" i="2"/>
  <c r="N167" i="2"/>
  <c r="N111" i="2"/>
  <c r="N79" i="2"/>
  <c r="N15" i="2"/>
  <c r="N103" i="2"/>
  <c r="N143" i="2"/>
  <c r="N135" i="2"/>
  <c r="N287" i="2"/>
  <c r="N223" i="2"/>
  <c r="N159" i="2"/>
  <c r="N104" i="2"/>
  <c r="N72" i="2"/>
  <c r="N40" i="2"/>
  <c r="N8" i="2"/>
  <c r="N279" i="2"/>
  <c r="N39" i="2"/>
  <c r="N207" i="2"/>
  <c r="N32" i="2"/>
  <c r="N263" i="2"/>
  <c r="AJ46" i="2"/>
  <c r="AM46" i="2" s="1"/>
  <c r="T319" i="2"/>
  <c r="M319" i="2" s="1"/>
  <c r="T311" i="2"/>
  <c r="M311" i="2" s="1"/>
  <c r="T303" i="2"/>
  <c r="M303" i="2" s="1"/>
  <c r="T326" i="2"/>
  <c r="T318" i="2"/>
  <c r="M318" i="2" s="1"/>
  <c r="T310" i="2"/>
  <c r="M310" i="2" s="1"/>
  <c r="T302" i="2"/>
  <c r="M302" i="2" s="1"/>
  <c r="T325" i="2"/>
  <c r="T317" i="2"/>
  <c r="M317" i="2" s="1"/>
  <c r="T309" i="2"/>
  <c r="M309" i="2" s="1"/>
  <c r="T301" i="2"/>
  <c r="T324" i="2"/>
  <c r="T316" i="2"/>
  <c r="M316" i="2" s="1"/>
  <c r="T308" i="2"/>
  <c r="M308" i="2" s="1"/>
  <c r="T300" i="2"/>
  <c r="T313" i="2"/>
  <c r="M313" i="2" s="1"/>
  <c r="T323" i="2"/>
  <c r="T315" i="2"/>
  <c r="M315" i="2" s="1"/>
  <c r="T307" i="2"/>
  <c r="M307" i="2" s="1"/>
  <c r="T305" i="2"/>
  <c r="M305" i="2" s="1"/>
  <c r="T322" i="2"/>
  <c r="T314" i="2"/>
  <c r="M314" i="2" s="1"/>
  <c r="T306" i="2"/>
  <c r="M306" i="2" s="1"/>
  <c r="T321" i="2"/>
  <c r="T320" i="2"/>
  <c r="M320" i="2" s="1"/>
  <c r="T312" i="2"/>
  <c r="M312" i="2" s="1"/>
  <c r="T304" i="2"/>
  <c r="M304" i="2" s="1"/>
  <c r="O45" i="2"/>
  <c r="D5" i="1"/>
  <c r="F29" i="1"/>
  <c r="AD286" i="2" s="1"/>
  <c r="AD6" i="2"/>
  <c r="O47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I32" i="3"/>
  <c r="I12" i="3"/>
  <c r="S12" i="3" s="1"/>
  <c r="I22" i="3"/>
  <c r="W22" i="3" s="1"/>
  <c r="I31" i="3"/>
  <c r="I30" i="3"/>
  <c r="AJ45" i="2"/>
  <c r="AM45" i="2" s="1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G19" i="3"/>
  <c r="I19" i="3" s="1"/>
  <c r="S19" i="3" s="1"/>
  <c r="Q38" i="3"/>
  <c r="T41" i="3"/>
  <c r="T46" i="3"/>
  <c r="V47" i="3"/>
  <c r="G46" i="2"/>
  <c r="H46" i="2" s="1"/>
  <c r="AJ47" i="2"/>
  <c r="G7" i="3"/>
  <c r="D7" i="3"/>
  <c r="G11" i="3"/>
  <c r="C17" i="3"/>
  <c r="D11" i="3"/>
  <c r="G15" i="3"/>
  <c r="D15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35" i="3"/>
  <c r="U35" i="3"/>
  <c r="S35" i="3"/>
  <c r="V35" i="3"/>
  <c r="U44" i="3"/>
  <c r="Q44" i="3"/>
  <c r="W44" i="3"/>
  <c r="R44" i="3"/>
  <c r="V44" i="3"/>
  <c r="I6" i="3"/>
  <c r="C14" i="3"/>
  <c r="C20" i="3"/>
  <c r="W35" i="3"/>
  <c r="T39" i="3"/>
  <c r="T40" i="3"/>
  <c r="T43" i="3"/>
  <c r="W43" i="3"/>
  <c r="R43" i="3"/>
  <c r="V43" i="3"/>
  <c r="Q43" i="3"/>
  <c r="T44" i="3"/>
  <c r="S45" i="3"/>
  <c r="R46" i="2"/>
  <c r="I27" i="3"/>
  <c r="S36" i="3"/>
  <c r="S37" i="3"/>
  <c r="T42" i="3"/>
  <c r="S42" i="3"/>
  <c r="R47" i="3"/>
  <c r="H14" i="3"/>
  <c r="I23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R47" i="2"/>
  <c r="AC47" i="2" s="1"/>
  <c r="H27" i="4"/>
  <c r="E27" i="4" s="1"/>
  <c r="AG47" i="2"/>
  <c r="H25" i="4" s="1"/>
  <c r="E25" i="4" s="1"/>
  <c r="AA298" i="2"/>
  <c r="AA295" i="2"/>
  <c r="AA290" i="2"/>
  <c r="AA282" i="2"/>
  <c r="AA277" i="2"/>
  <c r="AA274" i="2"/>
  <c r="AA270" i="2"/>
  <c r="AA266" i="2"/>
  <c r="AA262" i="2"/>
  <c r="AA258" i="2"/>
  <c r="AA254" i="2"/>
  <c r="AA250" i="2"/>
  <c r="AA246" i="2"/>
  <c r="AA242" i="2"/>
  <c r="AA238" i="2"/>
  <c r="AA234" i="2"/>
  <c r="AA231" i="2"/>
  <c r="D16" i="4" s="1"/>
  <c r="E16" i="4" s="1"/>
  <c r="AA227" i="2"/>
  <c r="J16" i="4" s="1"/>
  <c r="AA224" i="2"/>
  <c r="AA221" i="2"/>
  <c r="AA213" i="2"/>
  <c r="AA207" i="2"/>
  <c r="AA204" i="2"/>
  <c r="AA201" i="2"/>
  <c r="AA198" i="2"/>
  <c r="AA195" i="2"/>
  <c r="AA193" i="2"/>
  <c r="AA294" i="2"/>
  <c r="AA278" i="2"/>
  <c r="AA272" i="2"/>
  <c r="AA268" i="2"/>
  <c r="AA264" i="2"/>
  <c r="AA256" i="2"/>
  <c r="AA252" i="2"/>
  <c r="AA248" i="2"/>
  <c r="AA244" i="2"/>
  <c r="AA236" i="2"/>
  <c r="AA222" i="2"/>
  <c r="AA217" i="2"/>
  <c r="AA214" i="2"/>
  <c r="AA211" i="2"/>
  <c r="AA299" i="2"/>
  <c r="AA296" i="2"/>
  <c r="AA293" i="2"/>
  <c r="AA291" i="2"/>
  <c r="AA288" i="2"/>
  <c r="AA285" i="2"/>
  <c r="AA283" i="2"/>
  <c r="F16" i="4" s="1"/>
  <c r="AA280" i="2"/>
  <c r="AA275" i="2"/>
  <c r="AA271" i="2"/>
  <c r="AA267" i="2"/>
  <c r="AA263" i="2"/>
  <c r="AA259" i="2"/>
  <c r="AA255" i="2"/>
  <c r="AA251" i="2"/>
  <c r="AA247" i="2"/>
  <c r="AA243" i="2"/>
  <c r="AA239" i="2"/>
  <c r="AA235" i="2"/>
  <c r="AA232" i="2"/>
  <c r="AA228" i="2"/>
  <c r="AA225" i="2"/>
  <c r="AA218" i="2"/>
  <c r="AA216" i="2"/>
  <c r="AA210" i="2"/>
  <c r="AA208" i="2"/>
  <c r="AA205" i="2"/>
  <c r="AA199" i="2"/>
  <c r="AA196" i="2"/>
  <c r="AA191" i="2"/>
  <c r="H16" i="4" s="1"/>
  <c r="AA297" i="2"/>
  <c r="AA292" i="2"/>
  <c r="AA289" i="2"/>
  <c r="AA287" i="2"/>
  <c r="AA284" i="2"/>
  <c r="AA281" i="2"/>
  <c r="AA279" i="2"/>
  <c r="AA276" i="2"/>
  <c r="AA273" i="2"/>
  <c r="AA269" i="2"/>
  <c r="AA265" i="2"/>
  <c r="AA261" i="2"/>
  <c r="AA257" i="2"/>
  <c r="AA253" i="2"/>
  <c r="AA249" i="2"/>
  <c r="AA245" i="2"/>
  <c r="AA241" i="2"/>
  <c r="AA237" i="2"/>
  <c r="AA230" i="2"/>
  <c r="AA226" i="2"/>
  <c r="AA223" i="2"/>
  <c r="AA220" i="2"/>
  <c r="AA215" i="2"/>
  <c r="AA212" i="2"/>
  <c r="AA206" i="2"/>
  <c r="AA203" i="2"/>
  <c r="AA194" i="2"/>
  <c r="AA192" i="2"/>
  <c r="AA286" i="2"/>
  <c r="AA260" i="2"/>
  <c r="AA240" i="2"/>
  <c r="AA233" i="2"/>
  <c r="AA229" i="2"/>
  <c r="AA219" i="2"/>
  <c r="AA209" i="2"/>
  <c r="AA202" i="2"/>
  <c r="AA200" i="2"/>
  <c r="AA197" i="2"/>
  <c r="S47" i="2"/>
  <c r="T47" i="2" s="1"/>
  <c r="M47" i="2" s="1"/>
  <c r="AI299" i="2"/>
  <c r="AI298" i="2"/>
  <c r="AM298" i="2" s="1"/>
  <c r="AI297" i="2"/>
  <c r="AM297" i="2" s="1"/>
  <c r="AI296" i="2"/>
  <c r="AM296" i="2" s="1"/>
  <c r="AI291" i="2"/>
  <c r="AM291" i="2" s="1"/>
  <c r="AI287" i="2"/>
  <c r="AM287" i="2" s="1"/>
  <c r="AI283" i="2"/>
  <c r="AI279" i="2"/>
  <c r="AM279" i="2" s="1"/>
  <c r="AI275" i="2"/>
  <c r="AM275" i="2" s="1"/>
  <c r="AI271" i="2"/>
  <c r="AM271" i="2" s="1"/>
  <c r="AI267" i="2"/>
  <c r="AM267" i="2" s="1"/>
  <c r="AI263" i="2"/>
  <c r="AM263" i="2" s="1"/>
  <c r="AI259" i="2"/>
  <c r="AM259" i="2" s="1"/>
  <c r="AI255" i="2"/>
  <c r="AM255" i="2" s="1"/>
  <c r="AI251" i="2"/>
  <c r="AM251" i="2" s="1"/>
  <c r="AI247" i="2"/>
  <c r="AM247" i="2" s="1"/>
  <c r="AI243" i="2"/>
  <c r="AM243" i="2" s="1"/>
  <c r="AI241" i="2"/>
  <c r="AM241" i="2" s="1"/>
  <c r="AI240" i="2"/>
  <c r="AM240" i="2" s="1"/>
  <c r="AI239" i="2"/>
  <c r="AM239" i="2" s="1"/>
  <c r="AI237" i="2"/>
  <c r="AM237" i="2" s="1"/>
  <c r="AI236" i="2"/>
  <c r="AM236" i="2" s="1"/>
  <c r="AI235" i="2"/>
  <c r="AM235" i="2" s="1"/>
  <c r="AI233" i="2"/>
  <c r="AM233" i="2" s="1"/>
  <c r="AI232" i="2"/>
  <c r="AM232" i="2" s="1"/>
  <c r="AI231" i="2"/>
  <c r="AI229" i="2"/>
  <c r="AM229" i="2" s="1"/>
  <c r="AI228" i="2"/>
  <c r="AM228" i="2" s="1"/>
  <c r="AI227" i="2"/>
  <c r="AI224" i="2"/>
  <c r="AM224" i="2" s="1"/>
  <c r="AI221" i="2"/>
  <c r="AM221" i="2" s="1"/>
  <c r="AI220" i="2"/>
  <c r="AM220" i="2" s="1"/>
  <c r="AI219" i="2"/>
  <c r="AM219" i="2" s="1"/>
  <c r="AI216" i="2"/>
  <c r="AM216" i="2" s="1"/>
  <c r="AI213" i="2"/>
  <c r="AM213" i="2" s="1"/>
  <c r="AI212" i="2"/>
  <c r="AM212" i="2" s="1"/>
  <c r="AI211" i="2"/>
  <c r="AM211" i="2" s="1"/>
  <c r="AI208" i="2"/>
  <c r="AM208" i="2" s="1"/>
  <c r="AI205" i="2"/>
  <c r="AM205" i="2" s="1"/>
  <c r="AI202" i="2"/>
  <c r="AM202" i="2" s="1"/>
  <c r="AI201" i="2"/>
  <c r="AM201" i="2" s="1"/>
  <c r="AI199" i="2"/>
  <c r="AM199" i="2" s="1"/>
  <c r="AI198" i="2"/>
  <c r="AM198" i="2" s="1"/>
  <c r="AI194" i="2"/>
  <c r="AM194" i="2" s="1"/>
  <c r="AI193" i="2"/>
  <c r="AM193" i="2" s="1"/>
  <c r="AI191" i="2"/>
  <c r="H7" i="4" s="1"/>
  <c r="AI290" i="2"/>
  <c r="AM290" i="2" s="1"/>
  <c r="AI289" i="2"/>
  <c r="AM289" i="2" s="1"/>
  <c r="AI288" i="2"/>
  <c r="AM288" i="2" s="1"/>
  <c r="AI282" i="2"/>
  <c r="AM282" i="2" s="1"/>
  <c r="AI281" i="2"/>
  <c r="AM281" i="2" s="1"/>
  <c r="AI280" i="2"/>
  <c r="AM280" i="2" s="1"/>
  <c r="AI274" i="2"/>
  <c r="AM274" i="2" s="1"/>
  <c r="AI273" i="2"/>
  <c r="AM273" i="2" s="1"/>
  <c r="AI272" i="2"/>
  <c r="AM272" i="2" s="1"/>
  <c r="AI266" i="2"/>
  <c r="AM266" i="2" s="1"/>
  <c r="AI265" i="2"/>
  <c r="AM265" i="2" s="1"/>
  <c r="AI264" i="2"/>
  <c r="AM264" i="2" s="1"/>
  <c r="AI258" i="2"/>
  <c r="AM258" i="2" s="1"/>
  <c r="AI257" i="2"/>
  <c r="AM257" i="2" s="1"/>
  <c r="AI256" i="2"/>
  <c r="AM256" i="2" s="1"/>
  <c r="AI250" i="2"/>
  <c r="AM250" i="2" s="1"/>
  <c r="AI249" i="2"/>
  <c r="AM249" i="2" s="1"/>
  <c r="AI248" i="2"/>
  <c r="AM248" i="2" s="1"/>
  <c r="AI242" i="2"/>
  <c r="AM242" i="2" s="1"/>
  <c r="AI234" i="2"/>
  <c r="AM234" i="2" s="1"/>
  <c r="AI226" i="2"/>
  <c r="AM226" i="2" s="1"/>
  <c r="AI225" i="2"/>
  <c r="AM225" i="2" s="1"/>
  <c r="AI218" i="2"/>
  <c r="AM218" i="2" s="1"/>
  <c r="AI217" i="2"/>
  <c r="AM217" i="2" s="1"/>
  <c r="AI210" i="2"/>
  <c r="AM210" i="2" s="1"/>
  <c r="AI209" i="2"/>
  <c r="AM209" i="2" s="1"/>
  <c r="AI204" i="2"/>
  <c r="AM204" i="2" s="1"/>
  <c r="AI203" i="2"/>
  <c r="AM203" i="2" s="1"/>
  <c r="AI200" i="2"/>
  <c r="AM200" i="2" s="1"/>
  <c r="AI197" i="2"/>
  <c r="AM197" i="2" s="1"/>
  <c r="AI196" i="2"/>
  <c r="AM196" i="2" s="1"/>
  <c r="AI195" i="2"/>
  <c r="AM195" i="2" s="1"/>
  <c r="AI192" i="2"/>
  <c r="AM192" i="2" s="1"/>
  <c r="AI295" i="2"/>
  <c r="AM295" i="2" s="1"/>
  <c r="AI294" i="2"/>
  <c r="AM294" i="2" s="1"/>
  <c r="AI293" i="2"/>
  <c r="AM293" i="2" s="1"/>
  <c r="AI292" i="2"/>
  <c r="AM292" i="2" s="1"/>
  <c r="AI286" i="2"/>
  <c r="AM286" i="2" s="1"/>
  <c r="AI285" i="2"/>
  <c r="AM285" i="2" s="1"/>
  <c r="AI284" i="2"/>
  <c r="AM284" i="2" s="1"/>
  <c r="AI278" i="2"/>
  <c r="AM278" i="2" s="1"/>
  <c r="AI277" i="2"/>
  <c r="AM277" i="2" s="1"/>
  <c r="AI276" i="2"/>
  <c r="AM276" i="2" s="1"/>
  <c r="AI270" i="2"/>
  <c r="AM270" i="2" s="1"/>
  <c r="AI269" i="2"/>
  <c r="AM269" i="2" s="1"/>
  <c r="AI268" i="2"/>
  <c r="AM268" i="2" s="1"/>
  <c r="AI262" i="2"/>
  <c r="AM262" i="2" s="1"/>
  <c r="AI261" i="2"/>
  <c r="AM261" i="2" s="1"/>
  <c r="AI260" i="2"/>
  <c r="AM260" i="2" s="1"/>
  <c r="AI254" i="2"/>
  <c r="AM254" i="2" s="1"/>
  <c r="AI253" i="2"/>
  <c r="AM253" i="2" s="1"/>
  <c r="AI252" i="2"/>
  <c r="AM252" i="2" s="1"/>
  <c r="AI246" i="2"/>
  <c r="AM246" i="2" s="1"/>
  <c r="AI245" i="2"/>
  <c r="AM245" i="2" s="1"/>
  <c r="AI244" i="2"/>
  <c r="AM244" i="2" s="1"/>
  <c r="AI238" i="2"/>
  <c r="AM238" i="2" s="1"/>
  <c r="AI230" i="2"/>
  <c r="AM230" i="2" s="1"/>
  <c r="AI223" i="2"/>
  <c r="AM223" i="2" s="1"/>
  <c r="AI222" i="2"/>
  <c r="AM222" i="2" s="1"/>
  <c r="AI215" i="2"/>
  <c r="AM215" i="2" s="1"/>
  <c r="AI214" i="2"/>
  <c r="AM214" i="2" s="1"/>
  <c r="AI207" i="2"/>
  <c r="AM207" i="2" s="1"/>
  <c r="AI206" i="2"/>
  <c r="AM206" i="2" s="1"/>
  <c r="U13" i="2"/>
  <c r="U20" i="2"/>
  <c r="U12" i="2"/>
  <c r="U9" i="2"/>
  <c r="U16" i="2"/>
  <c r="U17" i="2"/>
  <c r="U23" i="2"/>
  <c r="U24" i="2"/>
  <c r="U8" i="2"/>
  <c r="U11" i="2"/>
  <c r="U14" i="2"/>
  <c r="U15" i="2"/>
  <c r="U18" i="2"/>
  <c r="U19" i="2"/>
  <c r="U22" i="2"/>
  <c r="S21" i="3" l="1"/>
  <c r="AH312" i="2"/>
  <c r="M166" i="2"/>
  <c r="M163" i="2"/>
  <c r="M169" i="2"/>
  <c r="M159" i="2"/>
  <c r="M165" i="2"/>
  <c r="M32" i="2"/>
  <c r="M37" i="2"/>
  <c r="M168" i="2"/>
  <c r="M171" i="2"/>
  <c r="M164" i="2"/>
  <c r="AH316" i="2"/>
  <c r="AH307" i="2"/>
  <c r="AH308" i="2"/>
  <c r="AH318" i="2"/>
  <c r="AH314" i="2"/>
  <c r="AH306" i="2"/>
  <c r="AH317" i="2"/>
  <c r="AH315" i="2"/>
  <c r="AH304" i="2"/>
  <c r="AH311" i="2"/>
  <c r="AH320" i="2"/>
  <c r="AH303" i="2"/>
  <c r="AH309" i="2"/>
  <c r="AH313" i="2"/>
  <c r="AH310" i="2"/>
  <c r="AH305" i="2"/>
  <c r="AH321" i="2"/>
  <c r="AH325" i="2"/>
  <c r="AH319" i="2"/>
  <c r="AH326" i="2"/>
  <c r="AH323" i="2"/>
  <c r="AH324" i="2"/>
  <c r="AH302" i="2"/>
  <c r="AH322" i="2"/>
  <c r="F29" i="4"/>
  <c r="G16" i="4"/>
  <c r="K16" i="4" s="1"/>
  <c r="AM231" i="2"/>
  <c r="D7" i="4"/>
  <c r="H21" i="4"/>
  <c r="I21" i="4" s="1"/>
  <c r="J7" i="4"/>
  <c r="AC46" i="2"/>
  <c r="F19" i="4"/>
  <c r="J21" i="4"/>
  <c r="K21" i="4" s="1"/>
  <c r="J19" i="4"/>
  <c r="M46" i="2"/>
  <c r="F21" i="4"/>
  <c r="G21" i="4" s="1"/>
  <c r="AM283" i="2"/>
  <c r="D21" i="4"/>
  <c r="E21" i="4" s="1"/>
  <c r="AM227" i="2"/>
  <c r="AM191" i="2"/>
  <c r="M191" i="2"/>
  <c r="K25" i="4"/>
  <c r="I25" i="4"/>
  <c r="G25" i="4"/>
  <c r="I27" i="4"/>
  <c r="K27" i="4"/>
  <c r="G27" i="4"/>
  <c r="D29" i="4"/>
  <c r="D19" i="4"/>
  <c r="N47" i="2"/>
  <c r="H19" i="4" s="1"/>
  <c r="H10" i="4"/>
  <c r="E10" i="4" s="1"/>
  <c r="P8" i="2"/>
  <c r="AH8" i="2" s="1"/>
  <c r="C15" i="4"/>
  <c r="AM299" i="2"/>
  <c r="AM300" i="2"/>
  <c r="AD200" i="2"/>
  <c r="AD249" i="2"/>
  <c r="AD265" i="2"/>
  <c r="AD291" i="2"/>
  <c r="AD285" i="2"/>
  <c r="AD196" i="2"/>
  <c r="AD231" i="2"/>
  <c r="AD212" i="2"/>
  <c r="AD194" i="2"/>
  <c r="AD229" i="2"/>
  <c r="AD211" i="2"/>
  <c r="AD199" i="2"/>
  <c r="AD248" i="2"/>
  <c r="AD264" i="2"/>
  <c r="AD290" i="2"/>
  <c r="AD279" i="2"/>
  <c r="H22" i="4"/>
  <c r="I22" i="4" s="1"/>
  <c r="AD197" i="2"/>
  <c r="AD232" i="2"/>
  <c r="AD218" i="2"/>
  <c r="AD235" i="2"/>
  <c r="AD251" i="2"/>
  <c r="AD267" i="2"/>
  <c r="AD298" i="2"/>
  <c r="AD287" i="2"/>
  <c r="AD207" i="2"/>
  <c r="AD280" i="2"/>
  <c r="AD220" i="2"/>
  <c r="AD236" i="2"/>
  <c r="AD252" i="2"/>
  <c r="AD268" i="2"/>
  <c r="AD299" i="2"/>
  <c r="AD293" i="2"/>
  <c r="AD209" i="2"/>
  <c r="AD288" i="2"/>
  <c r="AD221" i="2"/>
  <c r="AD240" i="2"/>
  <c r="AD256" i="2"/>
  <c r="AD272" i="2"/>
  <c r="AD205" i="2"/>
  <c r="AD216" i="2"/>
  <c r="AD296" i="2"/>
  <c r="AD277" i="2"/>
  <c r="AD241" i="2"/>
  <c r="AD257" i="2"/>
  <c r="AD273" i="2"/>
  <c r="AD214" i="2"/>
  <c r="AD226" i="2"/>
  <c r="AD193" i="2"/>
  <c r="AD284" i="2"/>
  <c r="AD243" i="2"/>
  <c r="AD259" i="2"/>
  <c r="AD275" i="2"/>
  <c r="AD222" i="2"/>
  <c r="AD227" i="2"/>
  <c r="J11" i="4" s="1"/>
  <c r="AD201" i="2"/>
  <c r="AD191" i="2"/>
  <c r="H11" i="4" s="1"/>
  <c r="AD244" i="2"/>
  <c r="AD260" i="2"/>
  <c r="AD281" i="2"/>
  <c r="AD223" i="2"/>
  <c r="N46" i="2"/>
  <c r="P293" i="2"/>
  <c r="P285" i="2"/>
  <c r="P277" i="2"/>
  <c r="P269" i="2"/>
  <c r="P261" i="2"/>
  <c r="P221" i="2"/>
  <c r="P213" i="2"/>
  <c r="P205" i="2"/>
  <c r="P255" i="2"/>
  <c r="P292" i="2"/>
  <c r="P284" i="2"/>
  <c r="P276" i="2"/>
  <c r="P268" i="2"/>
  <c r="P260" i="2"/>
  <c r="P220" i="2"/>
  <c r="P212" i="2"/>
  <c r="P263" i="2"/>
  <c r="P215" i="2"/>
  <c r="P291" i="2"/>
  <c r="P283" i="2"/>
  <c r="P275" i="2"/>
  <c r="P267" i="2"/>
  <c r="P259" i="2"/>
  <c r="P219" i="2"/>
  <c r="P211" i="2"/>
  <c r="P271" i="2"/>
  <c r="P298" i="2"/>
  <c r="P290" i="2"/>
  <c r="P282" i="2"/>
  <c r="P274" i="2"/>
  <c r="P266" i="2"/>
  <c r="P258" i="2"/>
  <c r="P226" i="2"/>
  <c r="P218" i="2"/>
  <c r="P210" i="2"/>
  <c r="P287" i="2"/>
  <c r="P207" i="2"/>
  <c r="P297" i="2"/>
  <c r="P289" i="2"/>
  <c r="P281" i="2"/>
  <c r="P273" i="2"/>
  <c r="P265" i="2"/>
  <c r="P257" i="2"/>
  <c r="P225" i="2"/>
  <c r="P217" i="2"/>
  <c r="P209" i="2"/>
  <c r="P295" i="2"/>
  <c r="P296" i="2"/>
  <c r="P288" i="2"/>
  <c r="P280" i="2"/>
  <c r="P272" i="2"/>
  <c r="P264" i="2"/>
  <c r="P256" i="2"/>
  <c r="P224" i="2"/>
  <c r="P216" i="2"/>
  <c r="P208" i="2"/>
  <c r="P279" i="2"/>
  <c r="P223" i="2"/>
  <c r="P294" i="2"/>
  <c r="P286" i="2"/>
  <c r="AH286" i="2" s="1"/>
  <c r="P278" i="2"/>
  <c r="P270" i="2"/>
  <c r="P262" i="2"/>
  <c r="P222" i="2"/>
  <c r="AH222" i="2" s="1"/>
  <c r="P214" i="2"/>
  <c r="AH214" i="2" s="1"/>
  <c r="P206" i="2"/>
  <c r="AI47" i="2"/>
  <c r="AM47" i="2" s="1"/>
  <c r="AA47" i="2"/>
  <c r="R22" i="3"/>
  <c r="Q25" i="3"/>
  <c r="E5" i="1"/>
  <c r="P188" i="2"/>
  <c r="AH188" i="2" s="1"/>
  <c r="P180" i="2"/>
  <c r="AH180" i="2" s="1"/>
  <c r="P172" i="2"/>
  <c r="AH172" i="2" s="1"/>
  <c r="P164" i="2"/>
  <c r="P156" i="2"/>
  <c r="AH156" i="2" s="1"/>
  <c r="P148" i="2"/>
  <c r="AH148" i="2" s="1"/>
  <c r="P140" i="2"/>
  <c r="AH140" i="2" s="1"/>
  <c r="P132" i="2"/>
  <c r="AH132" i="2" s="1"/>
  <c r="P124" i="2"/>
  <c r="AH124" i="2" s="1"/>
  <c r="P116" i="2"/>
  <c r="AH116" i="2" s="1"/>
  <c r="P108" i="2"/>
  <c r="AH108" i="2" s="1"/>
  <c r="P100" i="2"/>
  <c r="AH100" i="2" s="1"/>
  <c r="P92" i="2"/>
  <c r="AH92" i="2" s="1"/>
  <c r="P84" i="2"/>
  <c r="AH84" i="2" s="1"/>
  <c r="P76" i="2"/>
  <c r="AH76" i="2" s="1"/>
  <c r="P68" i="2"/>
  <c r="AH68" i="2" s="1"/>
  <c r="P60" i="2"/>
  <c r="AH60" i="2" s="1"/>
  <c r="P52" i="2"/>
  <c r="AH52" i="2" s="1"/>
  <c r="P134" i="2"/>
  <c r="AH134" i="2" s="1"/>
  <c r="P110" i="2"/>
  <c r="AH110" i="2" s="1"/>
  <c r="P187" i="2"/>
  <c r="AH187" i="2" s="1"/>
  <c r="P179" i="2"/>
  <c r="AH179" i="2" s="1"/>
  <c r="P171" i="2"/>
  <c r="P163" i="2"/>
  <c r="P155" i="2"/>
  <c r="AH155" i="2" s="1"/>
  <c r="P147" i="2"/>
  <c r="AH147" i="2" s="1"/>
  <c r="P139" i="2"/>
  <c r="AZ2" i="2" s="1"/>
  <c r="P131" i="2"/>
  <c r="AH131" i="2" s="1"/>
  <c r="P123" i="2"/>
  <c r="AH123" i="2" s="1"/>
  <c r="P115" i="2"/>
  <c r="AH115" i="2" s="1"/>
  <c r="P107" i="2"/>
  <c r="AH107" i="2" s="1"/>
  <c r="P99" i="2"/>
  <c r="AH99" i="2" s="1"/>
  <c r="P91" i="2"/>
  <c r="AH91" i="2" s="1"/>
  <c r="P83" i="2"/>
  <c r="AH83" i="2" s="1"/>
  <c r="P75" i="2"/>
  <c r="AH75" i="2" s="1"/>
  <c r="P67" i="2"/>
  <c r="AH67" i="2" s="1"/>
  <c r="P59" i="2"/>
  <c r="AH59" i="2" s="1"/>
  <c r="P51" i="2"/>
  <c r="AH51" i="2" s="1"/>
  <c r="P182" i="2"/>
  <c r="AH182" i="2" s="1"/>
  <c r="P166" i="2"/>
  <c r="P70" i="2"/>
  <c r="AH70" i="2" s="1"/>
  <c r="P54" i="2"/>
  <c r="AH54" i="2" s="1"/>
  <c r="P186" i="2"/>
  <c r="AH186" i="2" s="1"/>
  <c r="P178" i="2"/>
  <c r="AH178" i="2" s="1"/>
  <c r="P170" i="2"/>
  <c r="AH170" i="2" s="1"/>
  <c r="P162" i="2"/>
  <c r="AH162" i="2" s="1"/>
  <c r="P154" i="2"/>
  <c r="AH154" i="2" s="1"/>
  <c r="P146" i="2"/>
  <c r="AH146" i="2" s="1"/>
  <c r="P138" i="2"/>
  <c r="AH138" i="2" s="1"/>
  <c r="P130" i="2"/>
  <c r="AH130" i="2" s="1"/>
  <c r="P122" i="2"/>
  <c r="AH122" i="2" s="1"/>
  <c r="P114" i="2"/>
  <c r="AH114" i="2" s="1"/>
  <c r="P106" i="2"/>
  <c r="AH106" i="2" s="1"/>
  <c r="P98" i="2"/>
  <c r="AH98" i="2" s="1"/>
  <c r="P90" i="2"/>
  <c r="AH90" i="2" s="1"/>
  <c r="P82" i="2"/>
  <c r="AH82" i="2" s="1"/>
  <c r="P74" i="2"/>
  <c r="AH74" i="2" s="1"/>
  <c r="P66" i="2"/>
  <c r="AH66" i="2" s="1"/>
  <c r="P58" i="2"/>
  <c r="AH58" i="2" s="1"/>
  <c r="P50" i="2"/>
  <c r="AH50" i="2" s="1"/>
  <c r="P158" i="2"/>
  <c r="AH158" i="2" s="1"/>
  <c r="P102" i="2"/>
  <c r="AH102" i="2" s="1"/>
  <c r="P185" i="2"/>
  <c r="AH185" i="2" s="1"/>
  <c r="P177" i="2"/>
  <c r="AH177" i="2" s="1"/>
  <c r="P169" i="2"/>
  <c r="P161" i="2"/>
  <c r="AH161" i="2" s="1"/>
  <c r="P153" i="2"/>
  <c r="AH153" i="2" s="1"/>
  <c r="P145" i="2"/>
  <c r="AH145" i="2" s="1"/>
  <c r="P137" i="2"/>
  <c r="AH137" i="2" s="1"/>
  <c r="P129" i="2"/>
  <c r="AH129" i="2" s="1"/>
  <c r="P121" i="2"/>
  <c r="AH121" i="2" s="1"/>
  <c r="P113" i="2"/>
  <c r="AH113" i="2" s="1"/>
  <c r="P105" i="2"/>
  <c r="AH105" i="2" s="1"/>
  <c r="P97" i="2"/>
  <c r="AH97" i="2" s="1"/>
  <c r="P89" i="2"/>
  <c r="AH89" i="2" s="1"/>
  <c r="P81" i="2"/>
  <c r="AH81" i="2" s="1"/>
  <c r="P73" i="2"/>
  <c r="AH73" i="2" s="1"/>
  <c r="P65" i="2"/>
  <c r="AH65" i="2" s="1"/>
  <c r="P57" i="2"/>
  <c r="AH57" i="2" s="1"/>
  <c r="P49" i="2"/>
  <c r="AH49" i="2" s="1"/>
  <c r="P174" i="2"/>
  <c r="AH174" i="2" s="1"/>
  <c r="P142" i="2"/>
  <c r="AH142" i="2" s="1"/>
  <c r="P86" i="2"/>
  <c r="AH86" i="2" s="1"/>
  <c r="P46" i="2"/>
  <c r="P184" i="2"/>
  <c r="AH184" i="2" s="1"/>
  <c r="P176" i="2"/>
  <c r="AH176" i="2" s="1"/>
  <c r="P168" i="2"/>
  <c r="P160" i="2"/>
  <c r="AH160" i="2" s="1"/>
  <c r="P152" i="2"/>
  <c r="AH152" i="2" s="1"/>
  <c r="P144" i="2"/>
  <c r="AH144" i="2" s="1"/>
  <c r="P136" i="2"/>
  <c r="AH136" i="2" s="1"/>
  <c r="P128" i="2"/>
  <c r="AH128" i="2" s="1"/>
  <c r="P120" i="2"/>
  <c r="AH120" i="2" s="1"/>
  <c r="P112" i="2"/>
  <c r="AH112" i="2" s="1"/>
  <c r="P104" i="2"/>
  <c r="AH104" i="2" s="1"/>
  <c r="P96" i="2"/>
  <c r="AH96" i="2" s="1"/>
  <c r="P88" i="2"/>
  <c r="AH88" i="2" s="1"/>
  <c r="P80" i="2"/>
  <c r="AH80" i="2" s="1"/>
  <c r="P72" i="2"/>
  <c r="AH72" i="2" s="1"/>
  <c r="P64" i="2"/>
  <c r="AH64" i="2" s="1"/>
  <c r="P56" i="2"/>
  <c r="AH56" i="2" s="1"/>
  <c r="P48" i="2"/>
  <c r="AH48" i="2" s="1"/>
  <c r="P126" i="2"/>
  <c r="AH126" i="2" s="1"/>
  <c r="P94" i="2"/>
  <c r="AH94" i="2" s="1"/>
  <c r="P183" i="2"/>
  <c r="AH183" i="2" s="1"/>
  <c r="P175" i="2"/>
  <c r="AH175" i="2" s="1"/>
  <c r="P167" i="2"/>
  <c r="AH167" i="2" s="1"/>
  <c r="P159" i="2"/>
  <c r="P151" i="2"/>
  <c r="AH151" i="2" s="1"/>
  <c r="P143" i="2"/>
  <c r="AH143" i="2" s="1"/>
  <c r="P135" i="2"/>
  <c r="AH135" i="2" s="1"/>
  <c r="P127" i="2"/>
  <c r="AH127" i="2" s="1"/>
  <c r="P119" i="2"/>
  <c r="AH119" i="2" s="1"/>
  <c r="P111" i="2"/>
  <c r="AH111" i="2" s="1"/>
  <c r="P103" i="2"/>
  <c r="AH103" i="2" s="1"/>
  <c r="P95" i="2"/>
  <c r="AH95" i="2" s="1"/>
  <c r="P87" i="2"/>
  <c r="AH87" i="2" s="1"/>
  <c r="P79" i="2"/>
  <c r="AH79" i="2" s="1"/>
  <c r="P71" i="2"/>
  <c r="AH71" i="2" s="1"/>
  <c r="P63" i="2"/>
  <c r="AH63" i="2" s="1"/>
  <c r="P55" i="2"/>
  <c r="AH55" i="2" s="1"/>
  <c r="P47" i="2"/>
  <c r="P150" i="2"/>
  <c r="AH150" i="2" s="1"/>
  <c r="P78" i="2"/>
  <c r="AH78" i="2" s="1"/>
  <c r="P62" i="2"/>
  <c r="AH62" i="2" s="1"/>
  <c r="P189" i="2"/>
  <c r="AH189" i="2" s="1"/>
  <c r="P181" i="2"/>
  <c r="AH181" i="2" s="1"/>
  <c r="P173" i="2"/>
  <c r="AH173" i="2" s="1"/>
  <c r="P165" i="2"/>
  <c r="P157" i="2"/>
  <c r="AH157" i="2" s="1"/>
  <c r="P149" i="2"/>
  <c r="AH149" i="2" s="1"/>
  <c r="P141" i="2"/>
  <c r="AH141" i="2" s="1"/>
  <c r="P133" i="2"/>
  <c r="AH133" i="2" s="1"/>
  <c r="P125" i="2"/>
  <c r="AH125" i="2" s="1"/>
  <c r="P117" i="2"/>
  <c r="AH117" i="2" s="1"/>
  <c r="P109" i="2"/>
  <c r="AH109" i="2" s="1"/>
  <c r="P101" i="2"/>
  <c r="AH101" i="2" s="1"/>
  <c r="P93" i="2"/>
  <c r="AH93" i="2" s="1"/>
  <c r="P85" i="2"/>
  <c r="AH85" i="2" s="1"/>
  <c r="P77" i="2"/>
  <c r="AH77" i="2" s="1"/>
  <c r="P69" i="2"/>
  <c r="AH69" i="2" s="1"/>
  <c r="P61" i="2"/>
  <c r="AH61" i="2" s="1"/>
  <c r="P53" i="2"/>
  <c r="AH53" i="2" s="1"/>
  <c r="P45" i="2"/>
  <c r="AH45" i="2" s="1"/>
  <c r="P190" i="2"/>
  <c r="AH190" i="2" s="1"/>
  <c r="P118" i="2"/>
  <c r="AH118" i="2" s="1"/>
  <c r="W9" i="3"/>
  <c r="S9" i="3"/>
  <c r="T9" i="3"/>
  <c r="Q9" i="3"/>
  <c r="V9" i="3"/>
  <c r="U9" i="3"/>
  <c r="AD206" i="2"/>
  <c r="AD228" i="2"/>
  <c r="AD295" i="2"/>
  <c r="AD213" i="2"/>
  <c r="AD292" i="2"/>
  <c r="AD237" i="2"/>
  <c r="AD245" i="2"/>
  <c r="AD253" i="2"/>
  <c r="AD261" i="2"/>
  <c r="AD269" i="2"/>
  <c r="AD282" i="2"/>
  <c r="AD202" i="2"/>
  <c r="AD224" i="2"/>
  <c r="AD294" i="2"/>
  <c r="AD238" i="2"/>
  <c r="AD246" i="2"/>
  <c r="AD254" i="2"/>
  <c r="AD262" i="2"/>
  <c r="AD270" i="2"/>
  <c r="AD283" i="2"/>
  <c r="F11" i="4" s="1"/>
  <c r="G11" i="4" s="1"/>
  <c r="AD203" i="2"/>
  <c r="AD225" i="2"/>
  <c r="AD208" i="2"/>
  <c r="AD230" i="2"/>
  <c r="AD192" i="2"/>
  <c r="AD219" i="2"/>
  <c r="AD198" i="2"/>
  <c r="AD239" i="2"/>
  <c r="AD247" i="2"/>
  <c r="AD255" i="2"/>
  <c r="AD263" i="2"/>
  <c r="AD271" i="2"/>
  <c r="AD289" i="2"/>
  <c r="AD204" i="2"/>
  <c r="AD278" i="2"/>
  <c r="AD195" i="2"/>
  <c r="AD217" i="2"/>
  <c r="AD233" i="2"/>
  <c r="AD210" i="2"/>
  <c r="AD276" i="2"/>
  <c r="AD234" i="2"/>
  <c r="AD242" i="2"/>
  <c r="AD250" i="2"/>
  <c r="AD258" i="2"/>
  <c r="AD266" i="2"/>
  <c r="AD274" i="2"/>
  <c r="AD297" i="2"/>
  <c r="AD215" i="2"/>
  <c r="P6" i="2"/>
  <c r="T12" i="3"/>
  <c r="Q10" i="3"/>
  <c r="W10" i="3"/>
  <c r="T10" i="3"/>
  <c r="I18" i="3"/>
  <c r="W18" i="3" s="1"/>
  <c r="I8" i="3"/>
  <c r="S8" i="3" s="1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R28" i="3"/>
  <c r="U22" i="3"/>
  <c r="S28" i="3"/>
  <c r="Q12" i="3"/>
  <c r="V12" i="3"/>
  <c r="V28" i="3"/>
  <c r="U12" i="3"/>
  <c r="U16" i="3"/>
  <c r="P13" i="2"/>
  <c r="AH13" i="2" s="1"/>
  <c r="S22" i="3"/>
  <c r="T28" i="3"/>
  <c r="T16" i="3"/>
  <c r="U26" i="3"/>
  <c r="V22" i="3"/>
  <c r="T22" i="3"/>
  <c r="W26" i="3"/>
  <c r="Q19" i="3"/>
  <c r="Q16" i="3"/>
  <c r="S26" i="3"/>
  <c r="V26" i="3"/>
  <c r="Q26" i="3"/>
  <c r="T19" i="3"/>
  <c r="R16" i="3"/>
  <c r="R26" i="3"/>
  <c r="P36" i="2"/>
  <c r="AH36" i="2" s="1"/>
  <c r="P30" i="2"/>
  <c r="AH30" i="2" s="1"/>
  <c r="P15" i="2"/>
  <c r="AH15" i="2" s="1"/>
  <c r="Y42" i="3"/>
  <c r="P37" i="2"/>
  <c r="X36" i="3"/>
  <c r="X43" i="3"/>
  <c r="X40" i="3"/>
  <c r="X35" i="3"/>
  <c r="V19" i="3"/>
  <c r="P19" i="2"/>
  <c r="AH19" i="2" s="1"/>
  <c r="P21" i="2"/>
  <c r="AH21" i="2" s="1"/>
  <c r="P41" i="2"/>
  <c r="AH41" i="2" s="1"/>
  <c r="P26" i="2"/>
  <c r="AH26" i="2" s="1"/>
  <c r="Y43" i="3"/>
  <c r="X39" i="3"/>
  <c r="R19" i="3"/>
  <c r="W16" i="3"/>
  <c r="X46" i="3"/>
  <c r="W28" i="3"/>
  <c r="Q28" i="3"/>
  <c r="P11" i="2"/>
  <c r="AH11" i="2" s="1"/>
  <c r="P17" i="2"/>
  <c r="AH17" i="2" s="1"/>
  <c r="P39" i="2"/>
  <c r="AH39" i="2" s="1"/>
  <c r="P28" i="2"/>
  <c r="AH28" i="2" s="1"/>
  <c r="P10" i="2"/>
  <c r="AH10" i="2" s="1"/>
  <c r="P24" i="2"/>
  <c r="AH24" i="2" s="1"/>
  <c r="P43" i="2"/>
  <c r="AH43" i="2" s="1"/>
  <c r="P35" i="2"/>
  <c r="AH35" i="2" s="1"/>
  <c r="P32" i="2"/>
  <c r="P22" i="2"/>
  <c r="AH22" i="2" s="1"/>
  <c r="Y37" i="3"/>
  <c r="X44" i="3"/>
  <c r="Y39" i="3"/>
  <c r="U19" i="3"/>
  <c r="W19" i="3"/>
  <c r="X41" i="3"/>
  <c r="P14" i="2"/>
  <c r="AH14" i="2" s="1"/>
  <c r="P12" i="2"/>
  <c r="AH12" i="2" s="1"/>
  <c r="P20" i="2"/>
  <c r="AH20" i="2" s="1"/>
  <c r="P34" i="2"/>
  <c r="AH34" i="2" s="1"/>
  <c r="P40" i="2"/>
  <c r="AH40" i="2" s="1"/>
  <c r="P44" i="2"/>
  <c r="AH44" i="2" s="1"/>
  <c r="P29" i="2"/>
  <c r="AH29" i="2" s="1"/>
  <c r="P25" i="2"/>
  <c r="AH25" i="2" s="1"/>
  <c r="P33" i="2"/>
  <c r="AH33" i="2" s="1"/>
  <c r="P9" i="2"/>
  <c r="AH9" i="2" s="1"/>
  <c r="P16" i="2"/>
  <c r="AH16" i="2" s="1"/>
  <c r="P23" i="2"/>
  <c r="AH23" i="2" s="1"/>
  <c r="P38" i="2"/>
  <c r="AH38" i="2" s="1"/>
  <c r="P42" i="2"/>
  <c r="AH42" i="2" s="1"/>
  <c r="P31" i="2"/>
  <c r="AH31" i="2" s="1"/>
  <c r="P27" i="2"/>
  <c r="AH27" i="2" s="1"/>
  <c r="P18" i="2"/>
  <c r="AH18" i="2" s="1"/>
  <c r="G20" i="3"/>
  <c r="D20" i="3"/>
  <c r="W23" i="3"/>
  <c r="S23" i="3"/>
  <c r="V23" i="3"/>
  <c r="Q23" i="3"/>
  <c r="U23" i="3"/>
  <c r="T23" i="3"/>
  <c r="R23" i="3"/>
  <c r="G17" i="3"/>
  <c r="D17" i="3"/>
  <c r="W27" i="3"/>
  <c r="S27" i="3"/>
  <c r="T27" i="3"/>
  <c r="R27" i="3"/>
  <c r="U27" i="3"/>
  <c r="Q27" i="3"/>
  <c r="V27" i="3"/>
  <c r="D14" i="3"/>
  <c r="G14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E29" i="4" l="1"/>
  <c r="AH221" i="2"/>
  <c r="AH163" i="2"/>
  <c r="AH166" i="2"/>
  <c r="AP166" i="2" s="1"/>
  <c r="AH164" i="2"/>
  <c r="AN164" i="2" s="1"/>
  <c r="AT164" i="2" s="1"/>
  <c r="AH165" i="2"/>
  <c r="AH37" i="2"/>
  <c r="AO37" i="2" s="1"/>
  <c r="AH169" i="2"/>
  <c r="AH159" i="2"/>
  <c r="AH168" i="2"/>
  <c r="AH171" i="2"/>
  <c r="AH257" i="2"/>
  <c r="AH275" i="2"/>
  <c r="AP275" i="2" s="1"/>
  <c r="AH256" i="2"/>
  <c r="AN256" i="2" s="1"/>
  <c r="AT256" i="2" s="1"/>
  <c r="AH264" i="2"/>
  <c r="AP264" i="2" s="1"/>
  <c r="AH273" i="2"/>
  <c r="AP273" i="2" s="1"/>
  <c r="AH223" i="2"/>
  <c r="AP223" i="2" s="1"/>
  <c r="AH216" i="2"/>
  <c r="AV216" i="2" s="1"/>
  <c r="AH287" i="2"/>
  <c r="AH267" i="2"/>
  <c r="AV267" i="2" s="1"/>
  <c r="AH268" i="2"/>
  <c r="AN268" i="2" s="1"/>
  <c r="AT268" i="2" s="1"/>
  <c r="AH290" i="2"/>
  <c r="AV290" i="2" s="1"/>
  <c r="AH272" i="2"/>
  <c r="AV272" i="2" s="1"/>
  <c r="AH298" i="2"/>
  <c r="AV298" i="2" s="1"/>
  <c r="AH279" i="2"/>
  <c r="AV279" i="2" s="1"/>
  <c r="AH226" i="2"/>
  <c r="AO226" i="2" s="1"/>
  <c r="AH212" i="2"/>
  <c r="AH205" i="2"/>
  <c r="AH292" i="2"/>
  <c r="AH291" i="2"/>
  <c r="AH218" i="2"/>
  <c r="AV218" i="2" s="1"/>
  <c r="AH285" i="2"/>
  <c r="AU285" i="2" s="1"/>
  <c r="AH281" i="2"/>
  <c r="AO281" i="2" s="1"/>
  <c r="AH259" i="2"/>
  <c r="AH220" i="2"/>
  <c r="AH284" i="2"/>
  <c r="AN284" i="2" s="1"/>
  <c r="AT284" i="2" s="1"/>
  <c r="AH271" i="2"/>
  <c r="AV271" i="2" s="1"/>
  <c r="AH215" i="2"/>
  <c r="AN215" i="2" s="1"/>
  <c r="AT215" i="2" s="1"/>
  <c r="AH296" i="2"/>
  <c r="AN296" i="2" s="1"/>
  <c r="AT296" i="2" s="1"/>
  <c r="AH209" i="2"/>
  <c r="AP209" i="2" s="1"/>
  <c r="AH278" i="2"/>
  <c r="AN278" i="2" s="1"/>
  <c r="AT278" i="2" s="1"/>
  <c r="AH207" i="2"/>
  <c r="AV207" i="2" s="1"/>
  <c r="AH282" i="2"/>
  <c r="AU282" i="2" s="1"/>
  <c r="AH261" i="2"/>
  <c r="AP261" i="2" s="1"/>
  <c r="AH217" i="2"/>
  <c r="AH225" i="2"/>
  <c r="AN225" i="2" s="1"/>
  <c r="AT225" i="2" s="1"/>
  <c r="AH283" i="2"/>
  <c r="AP283" i="2" s="1"/>
  <c r="AH276" i="2"/>
  <c r="AH269" i="2"/>
  <c r="AP269" i="2" s="1"/>
  <c r="AH294" i="2"/>
  <c r="AH210" i="2"/>
  <c r="AN210" i="2" s="1"/>
  <c r="AT210" i="2" s="1"/>
  <c r="AH277" i="2"/>
  <c r="AV277" i="2" s="1"/>
  <c r="AH206" i="2"/>
  <c r="AH280" i="2"/>
  <c r="AP280" i="2" s="1"/>
  <c r="AH265" i="2"/>
  <c r="AH288" i="2"/>
  <c r="AH211" i="2"/>
  <c r="AP211" i="2" s="1"/>
  <c r="AH263" i="2"/>
  <c r="AN263" i="2" s="1"/>
  <c r="AH255" i="2"/>
  <c r="AH293" i="2"/>
  <c r="AH208" i="2"/>
  <c r="AP208" i="2" s="1"/>
  <c r="AH258" i="2"/>
  <c r="AP258" i="2" s="1"/>
  <c r="AH219" i="2"/>
  <c r="AH262" i="2"/>
  <c r="AU262" i="2" s="1"/>
  <c r="AH295" i="2"/>
  <c r="AP295" i="2" s="1"/>
  <c r="AH289" i="2"/>
  <c r="AH266" i="2"/>
  <c r="AV266" i="2" s="1"/>
  <c r="AH213" i="2"/>
  <c r="AN213" i="2" s="1"/>
  <c r="AT213" i="2" s="1"/>
  <c r="AH270" i="2"/>
  <c r="AN270" i="2" s="1"/>
  <c r="AH224" i="2"/>
  <c r="AH297" i="2"/>
  <c r="AP297" i="2" s="1"/>
  <c r="AH274" i="2"/>
  <c r="AN274" i="2" s="1"/>
  <c r="AT274" i="2" s="1"/>
  <c r="AH260" i="2"/>
  <c r="AV260" i="2" s="1"/>
  <c r="AH46" i="2"/>
  <c r="AH47" i="2"/>
  <c r="AH139" i="2"/>
  <c r="H29" i="4"/>
  <c r="I16" i="4"/>
  <c r="E7" i="4"/>
  <c r="F15" i="4"/>
  <c r="F26" i="4"/>
  <c r="K11" i="4"/>
  <c r="I11" i="4"/>
  <c r="E19" i="4"/>
  <c r="K10" i="4"/>
  <c r="K29" i="4" s="1"/>
  <c r="G10" i="4"/>
  <c r="G29" i="4" s="1"/>
  <c r="I10" i="4"/>
  <c r="I29" i="4" s="1"/>
  <c r="AP161" i="2"/>
  <c r="AP162" i="2"/>
  <c r="Y9" i="3"/>
  <c r="P301" i="2"/>
  <c r="AH301" i="2" s="1"/>
  <c r="P253" i="2"/>
  <c r="AH253" i="2" s="1"/>
  <c r="P245" i="2"/>
  <c r="P237" i="2"/>
  <c r="AH237" i="2" s="1"/>
  <c r="P229" i="2"/>
  <c r="AH229" i="2" s="1"/>
  <c r="P197" i="2"/>
  <c r="AH197" i="2" s="1"/>
  <c r="P300" i="2"/>
  <c r="AH300" i="2" s="1"/>
  <c r="P252" i="2"/>
  <c r="AH252" i="2" s="1"/>
  <c r="P244" i="2"/>
  <c r="AH244" i="2" s="1"/>
  <c r="P236" i="2"/>
  <c r="AH236" i="2" s="1"/>
  <c r="P228" i="2"/>
  <c r="AH228" i="2" s="1"/>
  <c r="P204" i="2"/>
  <c r="AH204" i="2" s="1"/>
  <c r="P196" i="2"/>
  <c r="AH196" i="2" s="1"/>
  <c r="P299" i="2"/>
  <c r="AH299" i="2" s="1"/>
  <c r="P251" i="2"/>
  <c r="P243" i="2"/>
  <c r="AH243" i="2" s="1"/>
  <c r="P235" i="2"/>
  <c r="AH235" i="2" s="1"/>
  <c r="P227" i="2"/>
  <c r="AH227" i="2" s="1"/>
  <c r="P203" i="2"/>
  <c r="AH203" i="2" s="1"/>
  <c r="P195" i="2"/>
  <c r="AH195" i="2" s="1"/>
  <c r="P191" i="2"/>
  <c r="AH191" i="2" s="1"/>
  <c r="P250" i="2"/>
  <c r="P242" i="2"/>
  <c r="P234" i="2"/>
  <c r="P202" i="2"/>
  <c r="AH202" i="2" s="1"/>
  <c r="P194" i="2"/>
  <c r="AH194" i="2" s="1"/>
  <c r="P249" i="2"/>
  <c r="AH249" i="2" s="1"/>
  <c r="P241" i="2"/>
  <c r="AH241" i="2" s="1"/>
  <c r="P233" i="2"/>
  <c r="AH233" i="2" s="1"/>
  <c r="P201" i="2"/>
  <c r="P193" i="2"/>
  <c r="AH193" i="2" s="1"/>
  <c r="P248" i="2"/>
  <c r="AH248" i="2" s="1"/>
  <c r="P240" i="2"/>
  <c r="AH240" i="2" s="1"/>
  <c r="P232" i="2"/>
  <c r="AH232" i="2" s="1"/>
  <c r="P200" i="2"/>
  <c r="AH200" i="2" s="1"/>
  <c r="P192" i="2"/>
  <c r="AH192" i="2" s="1"/>
  <c r="P247" i="2"/>
  <c r="P239" i="2"/>
  <c r="AH239" i="2" s="1"/>
  <c r="P231" i="2"/>
  <c r="AH231" i="2" s="1"/>
  <c r="P199" i="2"/>
  <c r="AH199" i="2" s="1"/>
  <c r="P254" i="2"/>
  <c r="AH254" i="2" s="1"/>
  <c r="P246" i="2"/>
  <c r="AH246" i="2" s="1"/>
  <c r="P238" i="2"/>
  <c r="AH238" i="2" s="1"/>
  <c r="P230" i="2"/>
  <c r="P198" i="2"/>
  <c r="AH198" i="2" s="1"/>
  <c r="Q15" i="3"/>
  <c r="X9" i="3"/>
  <c r="V15" i="3"/>
  <c r="S11" i="3"/>
  <c r="Q11" i="3"/>
  <c r="V11" i="3"/>
  <c r="U8" i="3"/>
  <c r="V8" i="3"/>
  <c r="V18" i="3"/>
  <c r="T8" i="3"/>
  <c r="W8" i="3"/>
  <c r="Q8" i="3"/>
  <c r="R8" i="3"/>
  <c r="Y22" i="3"/>
  <c r="T18" i="3"/>
  <c r="Q18" i="3"/>
  <c r="U18" i="3"/>
  <c r="R18" i="3"/>
  <c r="Y10" i="3"/>
  <c r="S18" i="3"/>
  <c r="X25" i="3"/>
  <c r="Y12" i="3"/>
  <c r="AP108" i="2"/>
  <c r="AN108" i="2"/>
  <c r="AT108" i="2" s="1"/>
  <c r="AP214" i="2"/>
  <c r="AN214" i="2"/>
  <c r="AT214" i="2" s="1"/>
  <c r="AP325" i="2"/>
  <c r="AN325" i="2"/>
  <c r="AN305" i="2"/>
  <c r="AT305" i="2" s="1"/>
  <c r="AP305" i="2"/>
  <c r="AP55" i="2"/>
  <c r="AN55" i="2"/>
  <c r="AT55" i="2" s="1"/>
  <c r="AP137" i="2"/>
  <c r="AN137" i="2"/>
  <c r="AT137" i="2" s="1"/>
  <c r="AP170" i="2"/>
  <c r="AN170" i="2"/>
  <c r="AT170" i="2" s="1"/>
  <c r="AP158" i="2"/>
  <c r="AN158" i="2"/>
  <c r="AT158" i="2" s="1"/>
  <c r="AP148" i="2"/>
  <c r="AN148" i="2"/>
  <c r="AT148" i="2" s="1"/>
  <c r="AP323" i="2"/>
  <c r="AN323" i="2"/>
  <c r="AT323" i="2" s="1"/>
  <c r="AP76" i="2"/>
  <c r="AN76" i="2"/>
  <c r="AT76" i="2" s="1"/>
  <c r="AP160" i="2"/>
  <c r="AN160" i="2"/>
  <c r="AP136" i="2"/>
  <c r="AN136" i="2"/>
  <c r="AT136" i="2" s="1"/>
  <c r="AP146" i="2"/>
  <c r="AN146" i="2"/>
  <c r="AT146" i="2" s="1"/>
  <c r="AP109" i="2"/>
  <c r="AN109" i="2"/>
  <c r="AT109" i="2" s="1"/>
  <c r="AP17" i="2"/>
  <c r="AN17" i="2"/>
  <c r="AT17" i="2" s="1"/>
  <c r="AP156" i="2"/>
  <c r="AN156" i="2"/>
  <c r="AT156" i="2" s="1"/>
  <c r="AP133" i="2"/>
  <c r="AN133" i="2"/>
  <c r="AP129" i="2"/>
  <c r="AN129" i="2"/>
  <c r="AP174" i="2"/>
  <c r="AN174" i="2"/>
  <c r="AT174" i="2" s="1"/>
  <c r="AP77" i="2"/>
  <c r="AN77" i="2"/>
  <c r="AT77" i="2" s="1"/>
  <c r="AP303" i="2"/>
  <c r="AN303" i="2"/>
  <c r="AT303" i="2" s="1"/>
  <c r="AP59" i="2"/>
  <c r="AN59" i="2"/>
  <c r="AT59" i="2" s="1"/>
  <c r="AP86" i="2"/>
  <c r="AN86" i="2"/>
  <c r="AT86" i="2" s="1"/>
  <c r="AP135" i="2"/>
  <c r="AN135" i="2"/>
  <c r="AT135" i="2" s="1"/>
  <c r="AP20" i="2"/>
  <c r="AN20" i="2"/>
  <c r="AT20" i="2" s="1"/>
  <c r="AP89" i="2"/>
  <c r="AN89" i="2"/>
  <c r="AT89" i="2" s="1"/>
  <c r="AP38" i="2"/>
  <c r="AN38" i="2"/>
  <c r="AT38" i="2" s="1"/>
  <c r="AP119" i="2"/>
  <c r="AN119" i="2"/>
  <c r="AT119" i="2" s="1"/>
  <c r="AP185" i="2"/>
  <c r="AN185" i="2"/>
  <c r="AT185" i="2" s="1"/>
  <c r="AP123" i="2"/>
  <c r="AN123" i="2"/>
  <c r="AT123" i="2" s="1"/>
  <c r="AP57" i="2"/>
  <c r="AN57" i="2"/>
  <c r="AT57" i="2" s="1"/>
  <c r="AP95" i="2"/>
  <c r="AN95" i="2"/>
  <c r="AT95" i="2" s="1"/>
  <c r="AP12" i="2"/>
  <c r="AN12" i="2"/>
  <c r="AT12" i="2" s="1"/>
  <c r="AP130" i="2"/>
  <c r="AN130" i="2"/>
  <c r="AT130" i="2" s="1"/>
  <c r="AP145" i="2"/>
  <c r="AN145" i="2"/>
  <c r="AT145" i="2" s="1"/>
  <c r="AP116" i="2"/>
  <c r="AN116" i="2"/>
  <c r="AT116" i="2" s="1"/>
  <c r="AP81" i="2"/>
  <c r="AN81" i="2"/>
  <c r="AT81" i="2" s="1"/>
  <c r="AP140" i="2"/>
  <c r="AN140" i="2"/>
  <c r="AT140" i="2" s="1"/>
  <c r="AP114" i="2"/>
  <c r="AN114" i="2"/>
  <c r="AT114" i="2" s="1"/>
  <c r="AP175" i="2"/>
  <c r="AN175" i="2"/>
  <c r="AT175" i="2" s="1"/>
  <c r="AP107" i="2"/>
  <c r="AN107" i="2"/>
  <c r="AP142" i="2"/>
  <c r="AN142" i="2"/>
  <c r="AT142" i="2" s="1"/>
  <c r="AP124" i="2"/>
  <c r="AN124" i="2"/>
  <c r="AT124" i="2" s="1"/>
  <c r="AP302" i="2"/>
  <c r="AN302" i="2"/>
  <c r="AP31" i="2"/>
  <c r="AN31" i="2"/>
  <c r="AT31" i="2" s="1"/>
  <c r="AP126" i="2"/>
  <c r="AN126" i="2"/>
  <c r="AT126" i="2" s="1"/>
  <c r="AP115" i="2"/>
  <c r="AN115" i="2"/>
  <c r="AT115" i="2" s="1"/>
  <c r="AP23" i="2"/>
  <c r="AN23" i="2"/>
  <c r="AT23" i="2" s="1"/>
  <c r="AP188" i="2"/>
  <c r="AN188" i="2"/>
  <c r="AT188" i="2" s="1"/>
  <c r="AP56" i="2"/>
  <c r="AN56" i="2"/>
  <c r="AT56" i="2" s="1"/>
  <c r="AP179" i="2"/>
  <c r="AN179" i="2"/>
  <c r="AT179" i="2" s="1"/>
  <c r="AP110" i="2"/>
  <c r="AN110" i="2"/>
  <c r="AT110" i="2" s="1"/>
  <c r="AP14" i="2"/>
  <c r="AN14" i="2"/>
  <c r="AT14" i="2" s="1"/>
  <c r="AP122" i="2"/>
  <c r="AN122" i="2"/>
  <c r="AT122" i="2" s="1"/>
  <c r="AP92" i="2"/>
  <c r="AN92" i="2"/>
  <c r="AT92" i="2" s="1"/>
  <c r="AP62" i="2"/>
  <c r="AN62" i="2"/>
  <c r="AT62" i="2" s="1"/>
  <c r="AP176" i="2"/>
  <c r="AN176" i="2"/>
  <c r="AT176" i="2" s="1"/>
  <c r="AP36" i="2"/>
  <c r="AN36" i="2"/>
  <c r="AT36" i="2" s="1"/>
  <c r="AN321" i="2"/>
  <c r="AT321" i="2" s="1"/>
  <c r="AP321" i="2"/>
  <c r="AP324" i="2"/>
  <c r="AN324" i="2"/>
  <c r="AP182" i="2"/>
  <c r="AN182" i="2"/>
  <c r="AT182" i="2" s="1"/>
  <c r="AP40" i="2"/>
  <c r="AN40" i="2"/>
  <c r="AP15" i="2"/>
  <c r="AN15" i="2"/>
  <c r="AT15" i="2" s="1"/>
  <c r="AP42" i="2"/>
  <c r="AN42" i="2"/>
  <c r="AT42" i="2" s="1"/>
  <c r="AP85" i="2"/>
  <c r="AN85" i="2"/>
  <c r="AN144" i="2"/>
  <c r="AT144" i="2" s="1"/>
  <c r="AP144" i="2"/>
  <c r="AP70" i="2"/>
  <c r="AN70" i="2"/>
  <c r="AP102" i="2"/>
  <c r="AN102" i="2"/>
  <c r="AT102" i="2" s="1"/>
  <c r="AP83" i="2"/>
  <c r="AN83" i="2"/>
  <c r="AT83" i="2" s="1"/>
  <c r="AP106" i="2"/>
  <c r="AN106" i="2"/>
  <c r="AT106" i="2" s="1"/>
  <c r="AP99" i="2"/>
  <c r="AN99" i="2"/>
  <c r="AT99" i="2" s="1"/>
  <c r="AP105" i="2"/>
  <c r="AN105" i="2"/>
  <c r="AT105" i="2" s="1"/>
  <c r="AP11" i="2"/>
  <c r="AN11" i="2"/>
  <c r="AT11" i="2" s="1"/>
  <c r="AP103" i="2"/>
  <c r="AN103" i="2"/>
  <c r="AP53" i="2"/>
  <c r="AN53" i="2"/>
  <c r="AT53" i="2" s="1"/>
  <c r="AP98" i="2"/>
  <c r="AN98" i="2"/>
  <c r="AT98" i="2" s="1"/>
  <c r="AP100" i="2"/>
  <c r="AN100" i="2"/>
  <c r="AT100" i="2" s="1"/>
  <c r="AP68" i="2"/>
  <c r="AN68" i="2"/>
  <c r="AT68" i="2" s="1"/>
  <c r="AP326" i="2"/>
  <c r="AN326" i="2"/>
  <c r="AT326" i="2" s="1"/>
  <c r="AP152" i="2"/>
  <c r="AN152" i="2"/>
  <c r="AT152" i="2" s="1"/>
  <c r="AP167" i="2"/>
  <c r="AN167" i="2"/>
  <c r="AP113" i="2"/>
  <c r="AN113" i="2"/>
  <c r="AN18" i="2"/>
  <c r="AT18" i="2" s="1"/>
  <c r="AP18" i="2"/>
  <c r="AP9" i="2"/>
  <c r="AN9" i="2"/>
  <c r="AT9" i="2" s="1"/>
  <c r="AP153" i="2"/>
  <c r="AN153" i="2"/>
  <c r="AT153" i="2" s="1"/>
  <c r="AP52" i="2"/>
  <c r="AN52" i="2"/>
  <c r="AT52" i="2" s="1"/>
  <c r="AP43" i="2"/>
  <c r="AN43" i="2"/>
  <c r="AT43" i="2" s="1"/>
  <c r="AP28" i="2"/>
  <c r="AN28" i="2"/>
  <c r="AT28" i="2" s="1"/>
  <c r="AP178" i="2"/>
  <c r="AN178" i="2"/>
  <c r="AT178" i="2" s="1"/>
  <c r="AP128" i="2"/>
  <c r="AN128" i="2"/>
  <c r="AT128" i="2" s="1"/>
  <c r="AP51" i="2"/>
  <c r="AN51" i="2"/>
  <c r="AT51" i="2" s="1"/>
  <c r="AP87" i="2"/>
  <c r="AN87" i="2"/>
  <c r="AT87" i="2" s="1"/>
  <c r="AP143" i="2"/>
  <c r="AN143" i="2"/>
  <c r="AT143" i="2" s="1"/>
  <c r="AP84" i="2"/>
  <c r="AN84" i="2"/>
  <c r="AT84" i="2" s="1"/>
  <c r="AP187" i="2"/>
  <c r="AN187" i="2"/>
  <c r="AT187" i="2" s="1"/>
  <c r="AP322" i="2"/>
  <c r="AN322" i="2"/>
  <c r="AP286" i="2"/>
  <c r="AN286" i="2"/>
  <c r="AT286" i="2" s="1"/>
  <c r="AP78" i="2"/>
  <c r="AN78" i="2"/>
  <c r="AT78" i="2" s="1"/>
  <c r="AP65" i="2"/>
  <c r="AN65" i="2"/>
  <c r="AT65" i="2" s="1"/>
  <c r="AP69" i="2"/>
  <c r="AN69" i="2"/>
  <c r="AT69" i="2" s="1"/>
  <c r="AP64" i="2"/>
  <c r="AN64" i="2"/>
  <c r="AP93" i="2"/>
  <c r="AN93" i="2"/>
  <c r="AT93" i="2" s="1"/>
  <c r="AP141" i="2"/>
  <c r="AN141" i="2"/>
  <c r="AP44" i="2"/>
  <c r="AN44" i="2"/>
  <c r="AT44" i="2" s="1"/>
  <c r="AP149" i="2"/>
  <c r="AN149" i="2"/>
  <c r="AT149" i="2" s="1"/>
  <c r="AP71" i="2"/>
  <c r="AN71" i="2"/>
  <c r="AT71" i="2" s="1"/>
  <c r="AP24" i="2"/>
  <c r="AN24" i="2"/>
  <c r="AT24" i="2" s="1"/>
  <c r="AP74" i="2"/>
  <c r="AN74" i="2"/>
  <c r="AT74" i="2" s="1"/>
  <c r="AP112" i="2"/>
  <c r="AN112" i="2"/>
  <c r="AT112" i="2" s="1"/>
  <c r="AP63" i="2"/>
  <c r="AN63" i="2"/>
  <c r="AP26" i="2"/>
  <c r="AN26" i="2"/>
  <c r="AT26" i="2" s="1"/>
  <c r="AP66" i="2"/>
  <c r="AN66" i="2"/>
  <c r="AT66" i="2" s="1"/>
  <c r="AP125" i="2"/>
  <c r="AN125" i="2"/>
  <c r="AT125" i="2" s="1"/>
  <c r="AP304" i="2"/>
  <c r="AN304" i="2"/>
  <c r="AT304" i="2" s="1"/>
  <c r="AV55" i="2"/>
  <c r="AU55" i="2"/>
  <c r="AV137" i="2"/>
  <c r="AU137" i="2"/>
  <c r="AV170" i="2"/>
  <c r="AU170" i="2"/>
  <c r="AV158" i="2"/>
  <c r="AU158" i="2"/>
  <c r="AV148" i="2"/>
  <c r="AU148" i="2"/>
  <c r="AV323" i="2"/>
  <c r="AU323" i="2"/>
  <c r="AV167" i="2"/>
  <c r="AU167" i="2"/>
  <c r="AV135" i="2"/>
  <c r="AU135" i="2"/>
  <c r="AV42" i="2"/>
  <c r="AU42" i="2"/>
  <c r="AV65" i="2"/>
  <c r="AU65" i="2"/>
  <c r="AV113" i="2"/>
  <c r="AU113" i="2"/>
  <c r="AV20" i="2"/>
  <c r="AU20" i="2"/>
  <c r="AV160" i="2"/>
  <c r="AU160" i="2"/>
  <c r="AV136" i="2"/>
  <c r="AU136" i="2"/>
  <c r="AV146" i="2"/>
  <c r="AU146" i="2"/>
  <c r="AV109" i="2"/>
  <c r="AU109" i="2"/>
  <c r="AV17" i="2"/>
  <c r="AU17" i="2"/>
  <c r="AV156" i="2"/>
  <c r="AU156" i="2"/>
  <c r="AV133" i="2"/>
  <c r="AU133" i="2"/>
  <c r="AV129" i="2"/>
  <c r="AU129" i="2"/>
  <c r="AV174" i="2"/>
  <c r="AU174" i="2"/>
  <c r="AV77" i="2"/>
  <c r="AU77" i="2"/>
  <c r="AU303" i="2"/>
  <c r="AV303" i="2"/>
  <c r="AV89" i="2"/>
  <c r="AU89" i="2"/>
  <c r="AV119" i="2"/>
  <c r="AU119" i="2"/>
  <c r="AV185" i="2"/>
  <c r="AU185" i="2"/>
  <c r="AV123" i="2"/>
  <c r="AU123" i="2"/>
  <c r="AV57" i="2"/>
  <c r="AU57" i="2"/>
  <c r="AV95" i="2"/>
  <c r="AU95" i="2"/>
  <c r="AV12" i="2"/>
  <c r="AU12" i="2"/>
  <c r="AV130" i="2"/>
  <c r="AU130" i="2"/>
  <c r="AV145" i="2"/>
  <c r="AU145" i="2"/>
  <c r="AV116" i="2"/>
  <c r="AU116" i="2"/>
  <c r="AV81" i="2"/>
  <c r="AU81" i="2"/>
  <c r="AV140" i="2"/>
  <c r="AU140" i="2"/>
  <c r="AV114" i="2"/>
  <c r="AU114" i="2"/>
  <c r="AV175" i="2"/>
  <c r="AU175" i="2"/>
  <c r="AV107" i="2"/>
  <c r="AU107" i="2"/>
  <c r="AV142" i="2"/>
  <c r="AU142" i="2"/>
  <c r="AV124" i="2"/>
  <c r="AU124" i="2"/>
  <c r="AV302" i="2"/>
  <c r="AU302" i="2"/>
  <c r="AV38" i="2"/>
  <c r="AU38" i="2"/>
  <c r="AV115" i="2"/>
  <c r="AU115" i="2"/>
  <c r="AV23" i="2"/>
  <c r="AU23" i="2"/>
  <c r="AV188" i="2"/>
  <c r="AU188" i="2"/>
  <c r="AV56" i="2"/>
  <c r="AU56" i="2"/>
  <c r="AV179" i="2"/>
  <c r="AU179" i="2"/>
  <c r="AV110" i="2"/>
  <c r="AU110" i="2"/>
  <c r="AV14" i="2"/>
  <c r="AU14" i="2"/>
  <c r="AV122" i="2"/>
  <c r="AU122" i="2"/>
  <c r="AV92" i="2"/>
  <c r="AU92" i="2"/>
  <c r="AV62" i="2"/>
  <c r="AU62" i="2"/>
  <c r="AV176" i="2"/>
  <c r="AU176" i="2"/>
  <c r="AV36" i="2"/>
  <c r="AU36" i="2"/>
  <c r="AV321" i="2"/>
  <c r="AU321" i="2"/>
  <c r="AV324" i="2"/>
  <c r="AU324" i="2"/>
  <c r="AV85" i="2"/>
  <c r="AU85" i="2"/>
  <c r="AV144" i="2"/>
  <c r="AU144" i="2"/>
  <c r="AV70" i="2"/>
  <c r="AU70" i="2"/>
  <c r="AV102" i="2"/>
  <c r="AU102" i="2"/>
  <c r="AV83" i="2"/>
  <c r="AU83" i="2"/>
  <c r="AV106" i="2"/>
  <c r="AU106" i="2"/>
  <c r="AV99" i="2"/>
  <c r="AU99" i="2"/>
  <c r="AV105" i="2"/>
  <c r="AU105" i="2"/>
  <c r="AV11" i="2"/>
  <c r="AU11" i="2"/>
  <c r="AV103" i="2"/>
  <c r="AU103" i="2"/>
  <c r="AV53" i="2"/>
  <c r="AU53" i="2"/>
  <c r="AV98" i="2"/>
  <c r="AU98" i="2"/>
  <c r="AV100" i="2"/>
  <c r="AU100" i="2"/>
  <c r="AV68" i="2"/>
  <c r="AU68" i="2"/>
  <c r="AV326" i="2"/>
  <c r="AU326" i="2"/>
  <c r="AV18" i="2"/>
  <c r="AU18" i="2"/>
  <c r="AV9" i="2"/>
  <c r="AU9" i="2"/>
  <c r="AV153" i="2"/>
  <c r="AU153" i="2"/>
  <c r="AV52" i="2"/>
  <c r="AU52" i="2"/>
  <c r="AV43" i="2"/>
  <c r="AU43" i="2"/>
  <c r="AV28" i="2"/>
  <c r="AU28" i="2"/>
  <c r="AV178" i="2"/>
  <c r="AU178" i="2"/>
  <c r="AV128" i="2"/>
  <c r="AU128" i="2"/>
  <c r="AV51" i="2"/>
  <c r="AU51" i="2"/>
  <c r="AV87" i="2"/>
  <c r="AU87" i="2"/>
  <c r="AV143" i="2"/>
  <c r="AU143" i="2"/>
  <c r="AV84" i="2"/>
  <c r="AU84" i="2"/>
  <c r="AV187" i="2"/>
  <c r="AU187" i="2"/>
  <c r="AV322" i="2"/>
  <c r="AU322" i="2"/>
  <c r="AV69" i="2"/>
  <c r="AU69" i="2"/>
  <c r="AV64" i="2"/>
  <c r="AU64" i="2"/>
  <c r="AV93" i="2"/>
  <c r="AU93" i="2"/>
  <c r="AV141" i="2"/>
  <c r="AU141" i="2"/>
  <c r="AV44" i="2"/>
  <c r="AU44" i="2"/>
  <c r="AV149" i="2"/>
  <c r="AU149" i="2"/>
  <c r="AV71" i="2"/>
  <c r="AU71" i="2"/>
  <c r="AV24" i="2"/>
  <c r="AU24" i="2"/>
  <c r="AV74" i="2"/>
  <c r="AU74" i="2"/>
  <c r="AV112" i="2"/>
  <c r="AU112" i="2"/>
  <c r="AV63" i="2"/>
  <c r="AU63" i="2"/>
  <c r="AV26" i="2"/>
  <c r="AU26" i="2"/>
  <c r="AV66" i="2"/>
  <c r="AU66" i="2"/>
  <c r="AV125" i="2"/>
  <c r="AU125" i="2"/>
  <c r="AV304" i="2"/>
  <c r="AU304" i="2"/>
  <c r="AV31" i="2"/>
  <c r="AU31" i="2"/>
  <c r="AV108" i="2"/>
  <c r="AU108" i="2"/>
  <c r="AV182" i="2"/>
  <c r="AU182" i="2"/>
  <c r="AV59" i="2"/>
  <c r="AU59" i="2"/>
  <c r="AV76" i="2"/>
  <c r="AU76" i="2"/>
  <c r="AU286" i="2"/>
  <c r="AV286" i="2"/>
  <c r="AV214" i="2"/>
  <c r="AU214" i="2"/>
  <c r="AV152" i="2"/>
  <c r="AU152" i="2"/>
  <c r="AV86" i="2"/>
  <c r="AU86" i="2"/>
  <c r="AV40" i="2"/>
  <c r="AU40" i="2"/>
  <c r="AV126" i="2"/>
  <c r="AU126" i="2"/>
  <c r="AV78" i="2"/>
  <c r="AU78" i="2"/>
  <c r="AV15" i="2"/>
  <c r="AU15" i="2"/>
  <c r="AV325" i="2"/>
  <c r="AU325" i="2"/>
  <c r="AV305" i="2"/>
  <c r="AU305" i="2"/>
  <c r="X10" i="3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O302" i="2"/>
  <c r="AO70" i="2"/>
  <c r="AO74" i="2"/>
  <c r="AO64" i="2"/>
  <c r="AO135" i="2"/>
  <c r="AO158" i="2"/>
  <c r="AO85" i="2"/>
  <c r="AO40" i="2"/>
  <c r="Y28" i="3"/>
  <c r="X28" i="3"/>
  <c r="Y6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Y27" i="3"/>
  <c r="X13" i="3"/>
  <c r="X27" i="3"/>
  <c r="AO15" i="2"/>
  <c r="AO133" i="2"/>
  <c r="AO323" i="2"/>
  <c r="AO38" i="2"/>
  <c r="AO324" i="2"/>
  <c r="AO109" i="2"/>
  <c r="AO187" i="2"/>
  <c r="AO129" i="2"/>
  <c r="AO174" i="2"/>
  <c r="AO105" i="2"/>
  <c r="AO325" i="2"/>
  <c r="AO188" i="2"/>
  <c r="AO303" i="2"/>
  <c r="AO76" i="2"/>
  <c r="AO59" i="2"/>
  <c r="AO153" i="2"/>
  <c r="AO321" i="2"/>
  <c r="AO305" i="2"/>
  <c r="AO42" i="2"/>
  <c r="AO89" i="2"/>
  <c r="AO108" i="2"/>
  <c r="AO26" i="2"/>
  <c r="AO125" i="2"/>
  <c r="AO326" i="2"/>
  <c r="AO44" i="2"/>
  <c r="AO24" i="2"/>
  <c r="AO144" i="2"/>
  <c r="AO136" i="2"/>
  <c r="AO99" i="2"/>
  <c r="AO28" i="2"/>
  <c r="AO86" i="2"/>
  <c r="AO176" i="2"/>
  <c r="AO175" i="2"/>
  <c r="AO36" i="2"/>
  <c r="AO65" i="2"/>
  <c r="AO93" i="2"/>
  <c r="AO322" i="2"/>
  <c r="AO214" i="2"/>
  <c r="AO140" i="2"/>
  <c r="AO9" i="2"/>
  <c r="AO31" i="2"/>
  <c r="AO167" i="2"/>
  <c r="AO83" i="2"/>
  <c r="AO142" i="2"/>
  <c r="AO43" i="2"/>
  <c r="AO68" i="2"/>
  <c r="AO114" i="2"/>
  <c r="AO17" i="2"/>
  <c r="AO11" i="2"/>
  <c r="AO115" i="2"/>
  <c r="AO95" i="2"/>
  <c r="AO51" i="2"/>
  <c r="AO178" i="2"/>
  <c r="AO141" i="2"/>
  <c r="AO78" i="2"/>
  <c r="AO71" i="2"/>
  <c r="AO66" i="2"/>
  <c r="AO119" i="2"/>
  <c r="AO56" i="2"/>
  <c r="AO84" i="2"/>
  <c r="AO87" i="2"/>
  <c r="AO92" i="2"/>
  <c r="AO286" i="2"/>
  <c r="AO98" i="2"/>
  <c r="AO145" i="2"/>
  <c r="AO77" i="2"/>
  <c r="AO102" i="2"/>
  <c r="AO182" i="2"/>
  <c r="AO103" i="2"/>
  <c r="AO149" i="2"/>
  <c r="AO14" i="2"/>
  <c r="AO143" i="2"/>
  <c r="AO116" i="2"/>
  <c r="AO69" i="2"/>
  <c r="AO53" i="2"/>
  <c r="AO107" i="2"/>
  <c r="AO23" i="2"/>
  <c r="AO81" i="2"/>
  <c r="AO164" i="2"/>
  <c r="AO63" i="2"/>
  <c r="AO156" i="2"/>
  <c r="AO57" i="2"/>
  <c r="AO126" i="2"/>
  <c r="AO179" i="2"/>
  <c r="AO62" i="2"/>
  <c r="AO55" i="2"/>
  <c r="AO106" i="2"/>
  <c r="AO52" i="2"/>
  <c r="AO160" i="2"/>
  <c r="AO146" i="2"/>
  <c r="AO100" i="2"/>
  <c r="AO304" i="2"/>
  <c r="AO20" i="2"/>
  <c r="AO112" i="2"/>
  <c r="AO124" i="2"/>
  <c r="AO123" i="2"/>
  <c r="AO12" i="2"/>
  <c r="AO170" i="2"/>
  <c r="AO110" i="2"/>
  <c r="AO113" i="2"/>
  <c r="AO148" i="2"/>
  <c r="AO18" i="2"/>
  <c r="AO122" i="2"/>
  <c r="AO137" i="2"/>
  <c r="AO185" i="2"/>
  <c r="AO152" i="2"/>
  <c r="AO128" i="2"/>
  <c r="AO130" i="2"/>
  <c r="AU164" i="2" l="1"/>
  <c r="AV164" i="2"/>
  <c r="AP164" i="2"/>
  <c r="AS164" i="2" s="1"/>
  <c r="AO166" i="2"/>
  <c r="AV166" i="2"/>
  <c r="AU37" i="2"/>
  <c r="AN37" i="2"/>
  <c r="AT37" i="2" s="1"/>
  <c r="AN166" i="2"/>
  <c r="AT166" i="2" s="1"/>
  <c r="AU166" i="2"/>
  <c r="AP37" i="2"/>
  <c r="AV37" i="2"/>
  <c r="AH245" i="2"/>
  <c r="AP245" i="2" s="1"/>
  <c r="AH230" i="2"/>
  <c r="AP230" i="2" s="1"/>
  <c r="AH234" i="2"/>
  <c r="AP234" i="2" s="1"/>
  <c r="AH242" i="2"/>
  <c r="AN242" i="2" s="1"/>
  <c r="AT242" i="2" s="1"/>
  <c r="AH251" i="2"/>
  <c r="AV251" i="2" s="1"/>
  <c r="AH201" i="2"/>
  <c r="AV201" i="2" s="1"/>
  <c r="AH250" i="2"/>
  <c r="AN250" i="2" s="1"/>
  <c r="AT250" i="2" s="1"/>
  <c r="AH247" i="2"/>
  <c r="AO247" i="2" s="1"/>
  <c r="AU207" i="2"/>
  <c r="AN207" i="2"/>
  <c r="AT207" i="2" s="1"/>
  <c r="AP207" i="2"/>
  <c r="AO207" i="2"/>
  <c r="AV161" i="2"/>
  <c r="AU161" i="2"/>
  <c r="AU162" i="2"/>
  <c r="AO161" i="2"/>
  <c r="AN298" i="2"/>
  <c r="AT298" i="2" s="1"/>
  <c r="AU280" i="2"/>
  <c r="D26" i="4"/>
  <c r="AO162" i="2"/>
  <c r="AV162" i="2"/>
  <c r="AO223" i="2"/>
  <c r="AN162" i="2"/>
  <c r="AT162" i="2" s="1"/>
  <c r="AV280" i="2"/>
  <c r="AN280" i="2"/>
  <c r="AT280" i="2" s="1"/>
  <c r="AO280" i="2"/>
  <c r="AU296" i="2"/>
  <c r="AU298" i="2"/>
  <c r="AP296" i="2"/>
  <c r="AO296" i="2"/>
  <c r="AO298" i="2"/>
  <c r="AV296" i="2"/>
  <c r="AN161" i="2"/>
  <c r="AT161" i="2" s="1"/>
  <c r="AO216" i="2"/>
  <c r="H15" i="4"/>
  <c r="D15" i="4"/>
  <c r="AN216" i="2"/>
  <c r="AT216" i="2" s="1"/>
  <c r="AU216" i="2"/>
  <c r="AP216" i="2"/>
  <c r="J26" i="4"/>
  <c r="J15" i="4"/>
  <c r="I19" i="4"/>
  <c r="G19" i="4"/>
  <c r="K19" i="4"/>
  <c r="AP256" i="2"/>
  <c r="AU256" i="2"/>
  <c r="AV256" i="2"/>
  <c r="AO256" i="2"/>
  <c r="AU209" i="2"/>
  <c r="AV209" i="2"/>
  <c r="AO209" i="2"/>
  <c r="AN209" i="2"/>
  <c r="AT209" i="2" s="1"/>
  <c r="AU264" i="2"/>
  <c r="AV285" i="2"/>
  <c r="AV264" i="2"/>
  <c r="AP284" i="2"/>
  <c r="AN285" i="2"/>
  <c r="AT285" i="2" s="1"/>
  <c r="AO285" i="2"/>
  <c r="AP268" i="2"/>
  <c r="AU301" i="2"/>
  <c r="AP301" i="2"/>
  <c r="AN301" i="2"/>
  <c r="AT301" i="2" s="1"/>
  <c r="AV301" i="2"/>
  <c r="AO284" i="2"/>
  <c r="AO264" i="2"/>
  <c r="AU226" i="2"/>
  <c r="AN223" i="2"/>
  <c r="AT223" i="2" s="1"/>
  <c r="AV268" i="2"/>
  <c r="AV226" i="2"/>
  <c r="AN226" i="2"/>
  <c r="AT226" i="2" s="1"/>
  <c r="AP285" i="2"/>
  <c r="AU223" i="2"/>
  <c r="AU290" i="2"/>
  <c r="AP226" i="2"/>
  <c r="AO268" i="2"/>
  <c r="AV223" i="2"/>
  <c r="AN264" i="2"/>
  <c r="AT264" i="2" s="1"/>
  <c r="AU268" i="2"/>
  <c r="AU284" i="2"/>
  <c r="AV284" i="2"/>
  <c r="AN267" i="2"/>
  <c r="AT267" i="2" s="1"/>
  <c r="AO272" i="2"/>
  <c r="AO273" i="2"/>
  <c r="AO267" i="2"/>
  <c r="AN260" i="2"/>
  <c r="AT260" i="2" s="1"/>
  <c r="AP272" i="2"/>
  <c r="AO260" i="2"/>
  <c r="AU260" i="2"/>
  <c r="AU273" i="2"/>
  <c r="AP260" i="2"/>
  <c r="AN272" i="2"/>
  <c r="AT272" i="2" s="1"/>
  <c r="AV273" i="2"/>
  <c r="AU272" i="2"/>
  <c r="AO211" i="2"/>
  <c r="AN281" i="2"/>
  <c r="AT281" i="2" s="1"/>
  <c r="AV281" i="2"/>
  <c r="AP281" i="2"/>
  <c r="AU211" i="2"/>
  <c r="AU281" i="2"/>
  <c r="AV211" i="2"/>
  <c r="AN211" i="2"/>
  <c r="AT211" i="2" s="1"/>
  <c r="AP277" i="2"/>
  <c r="AN273" i="2"/>
  <c r="AN277" i="2"/>
  <c r="AT277" i="2" s="1"/>
  <c r="AN218" i="2"/>
  <c r="AT218" i="2" s="1"/>
  <c r="AO218" i="2"/>
  <c r="AP218" i="2"/>
  <c r="AU218" i="2"/>
  <c r="AO277" i="2"/>
  <c r="AP279" i="2"/>
  <c r="AP298" i="2"/>
  <c r="AU267" i="2"/>
  <c r="AU277" i="2"/>
  <c r="AP267" i="2"/>
  <c r="AN279" i="2"/>
  <c r="AT279" i="2" s="1"/>
  <c r="AO275" i="2"/>
  <c r="AU275" i="2"/>
  <c r="AO279" i="2"/>
  <c r="AV275" i="2"/>
  <c r="AU279" i="2"/>
  <c r="AN275" i="2"/>
  <c r="AT275" i="2" s="1"/>
  <c r="AN290" i="2"/>
  <c r="AT290" i="2" s="1"/>
  <c r="AO290" i="2"/>
  <c r="AP290" i="2"/>
  <c r="AU225" i="2"/>
  <c r="AV225" i="2"/>
  <c r="AO225" i="2"/>
  <c r="AP225" i="2"/>
  <c r="AO295" i="2"/>
  <c r="AP199" i="2"/>
  <c r="AO232" i="2"/>
  <c r="AV194" i="2"/>
  <c r="AU203" i="2"/>
  <c r="AO228" i="2"/>
  <c r="AN254" i="2"/>
  <c r="AT254" i="2" s="1"/>
  <c r="AP240" i="2"/>
  <c r="AO236" i="2"/>
  <c r="AN202" i="2"/>
  <c r="AT202" i="2" s="1"/>
  <c r="AU239" i="2"/>
  <c r="AP248" i="2"/>
  <c r="AU235" i="2"/>
  <c r="AO244" i="2"/>
  <c r="AO229" i="2"/>
  <c r="AN193" i="2"/>
  <c r="AT193" i="2" s="1"/>
  <c r="AO243" i="2"/>
  <c r="AN252" i="2"/>
  <c r="AT252" i="2" s="1"/>
  <c r="AO237" i="2"/>
  <c r="AV198" i="2"/>
  <c r="AP299" i="2"/>
  <c r="AV233" i="2"/>
  <c r="AU253" i="2"/>
  <c r="AO192" i="2"/>
  <c r="AN241" i="2"/>
  <c r="AT241" i="2" s="1"/>
  <c r="AP246" i="2"/>
  <c r="AU196" i="2"/>
  <c r="AU238" i="2"/>
  <c r="AP200" i="2"/>
  <c r="AP249" i="2"/>
  <c r="AO204" i="2"/>
  <c r="AN195" i="2"/>
  <c r="AT195" i="2" s="1"/>
  <c r="AO195" i="2"/>
  <c r="AO278" i="2"/>
  <c r="AO283" i="2"/>
  <c r="AV283" i="2"/>
  <c r="AP278" i="2"/>
  <c r="AV278" i="2"/>
  <c r="AU278" i="2"/>
  <c r="AU283" i="2"/>
  <c r="AU195" i="2"/>
  <c r="AV195" i="2"/>
  <c r="AP195" i="2"/>
  <c r="AN283" i="2"/>
  <c r="AT283" i="2" s="1"/>
  <c r="AO269" i="2"/>
  <c r="AU213" i="2"/>
  <c r="AP266" i="2"/>
  <c r="AO213" i="2"/>
  <c r="AU295" i="2"/>
  <c r="AV295" i="2"/>
  <c r="AN266" i="2"/>
  <c r="AT266" i="2" s="1"/>
  <c r="AO266" i="2"/>
  <c r="AU266" i="2"/>
  <c r="AO282" i="2"/>
  <c r="AV282" i="2"/>
  <c r="AO261" i="2"/>
  <c r="AN261" i="2"/>
  <c r="AT261" i="2" s="1"/>
  <c r="AU261" i="2"/>
  <c r="AV261" i="2"/>
  <c r="AN295" i="2"/>
  <c r="AT295" i="2" s="1"/>
  <c r="AP213" i="2"/>
  <c r="AV213" i="2"/>
  <c r="AP215" i="2"/>
  <c r="AP271" i="2"/>
  <c r="AO271" i="2"/>
  <c r="AN271" i="2"/>
  <c r="AT271" i="2" s="1"/>
  <c r="AU271" i="2"/>
  <c r="X8" i="3"/>
  <c r="Y8" i="3"/>
  <c r="Y18" i="3"/>
  <c r="AU269" i="2"/>
  <c r="AV269" i="2"/>
  <c r="AN269" i="2"/>
  <c r="AT269" i="2" s="1"/>
  <c r="Y11" i="3"/>
  <c r="X18" i="3"/>
  <c r="AO258" i="2"/>
  <c r="AO263" i="2"/>
  <c r="AU215" i="2"/>
  <c r="AV215" i="2"/>
  <c r="AO215" i="2"/>
  <c r="AU263" i="2"/>
  <c r="AV263" i="2"/>
  <c r="AU258" i="2"/>
  <c r="AP282" i="2"/>
  <c r="AO262" i="2"/>
  <c r="AN262" i="2"/>
  <c r="AT262" i="2" s="1"/>
  <c r="AP262" i="2"/>
  <c r="AS108" i="2"/>
  <c r="AV262" i="2"/>
  <c r="AO297" i="2"/>
  <c r="W17" i="3"/>
  <c r="AU297" i="2"/>
  <c r="AN282" i="2"/>
  <c r="AT282" i="2" s="1"/>
  <c r="AN258" i="2"/>
  <c r="AT258" i="2" s="1"/>
  <c r="AV258" i="2"/>
  <c r="X11" i="3"/>
  <c r="R14" i="3"/>
  <c r="AV297" i="2"/>
  <c r="AP270" i="2"/>
  <c r="AU270" i="2"/>
  <c r="AV270" i="2"/>
  <c r="AO208" i="2"/>
  <c r="AO270" i="2"/>
  <c r="AP263" i="2"/>
  <c r="AP274" i="2"/>
  <c r="AO210" i="2"/>
  <c r="AU210" i="2"/>
  <c r="AV274" i="2"/>
  <c r="AU208" i="2"/>
  <c r="AN297" i="2"/>
  <c r="AT297" i="2" s="1"/>
  <c r="AP210" i="2"/>
  <c r="AO274" i="2"/>
  <c r="AV210" i="2"/>
  <c r="AU274" i="2"/>
  <c r="AV208" i="2"/>
  <c r="AN208" i="2"/>
  <c r="AS77" i="2"/>
  <c r="V17" i="3"/>
  <c r="T17" i="3"/>
  <c r="AS20" i="2"/>
  <c r="AS83" i="2"/>
  <c r="AS86" i="2"/>
  <c r="AS12" i="2"/>
  <c r="AS156" i="2"/>
  <c r="AS116" i="2"/>
  <c r="AS175" i="2"/>
  <c r="AW122" i="2"/>
  <c r="AS174" i="2"/>
  <c r="AS55" i="2"/>
  <c r="AS146" i="2"/>
  <c r="AS89" i="2"/>
  <c r="AS126" i="2"/>
  <c r="AS76" i="2"/>
  <c r="AS65" i="2"/>
  <c r="AW153" i="2"/>
  <c r="AW179" i="2"/>
  <c r="AW182" i="2"/>
  <c r="AW23" i="2"/>
  <c r="AW115" i="2"/>
  <c r="AW59" i="2"/>
  <c r="AW126" i="2"/>
  <c r="AW109" i="2"/>
  <c r="AW187" i="2"/>
  <c r="AW65" i="2"/>
  <c r="AW304" i="2"/>
  <c r="AW9" i="2"/>
  <c r="AW148" i="2"/>
  <c r="AS182" i="2"/>
  <c r="AW28" i="2"/>
  <c r="AW176" i="2"/>
  <c r="AW74" i="2"/>
  <c r="AW44" i="2"/>
  <c r="AW87" i="2"/>
  <c r="AW178" i="2"/>
  <c r="AW52" i="2"/>
  <c r="AW68" i="2"/>
  <c r="AW36" i="2"/>
  <c r="AW140" i="2"/>
  <c r="AW158" i="2"/>
  <c r="AW214" i="2"/>
  <c r="AW83" i="2"/>
  <c r="AW92" i="2"/>
  <c r="AS148" i="2"/>
  <c r="AW321" i="2"/>
  <c r="AW78" i="2"/>
  <c r="AS304" i="2"/>
  <c r="AW116" i="2"/>
  <c r="AS158" i="2"/>
  <c r="AW66" i="2"/>
  <c r="AW112" i="2"/>
  <c r="AW149" i="2"/>
  <c r="AW31" i="2"/>
  <c r="AW142" i="2"/>
  <c r="AW114" i="2"/>
  <c r="AW81" i="2"/>
  <c r="AW145" i="2"/>
  <c r="AW95" i="2"/>
  <c r="AW135" i="2"/>
  <c r="AW17" i="2"/>
  <c r="AW136" i="2"/>
  <c r="AW323" i="2"/>
  <c r="AW137" i="2"/>
  <c r="AS286" i="2"/>
  <c r="AW15" i="2"/>
  <c r="AS114" i="2"/>
  <c r="AW119" i="2"/>
  <c r="AW303" i="2"/>
  <c r="AW144" i="2"/>
  <c r="AS81" i="2"/>
  <c r="AS145" i="2"/>
  <c r="AW51" i="2"/>
  <c r="AS113" i="2"/>
  <c r="AW152" i="2"/>
  <c r="AW326" i="2"/>
  <c r="AS31" i="2"/>
  <c r="AW125" i="2"/>
  <c r="AW24" i="2"/>
  <c r="AW98" i="2"/>
  <c r="AW99" i="2"/>
  <c r="AS105" i="2"/>
  <c r="AS43" i="2"/>
  <c r="AW100" i="2"/>
  <c r="AS129" i="2"/>
  <c r="AT113" i="2"/>
  <c r="AW113" i="2" s="1"/>
  <c r="AW77" i="2"/>
  <c r="AW286" i="2"/>
  <c r="AS302" i="2"/>
  <c r="AW130" i="2"/>
  <c r="AW123" i="2"/>
  <c r="AW38" i="2"/>
  <c r="AW86" i="2"/>
  <c r="AW18" i="2"/>
  <c r="AW305" i="2"/>
  <c r="AS143" i="2"/>
  <c r="AS324" i="2"/>
  <c r="AW62" i="2"/>
  <c r="AW170" i="2"/>
  <c r="AW11" i="2"/>
  <c r="AW84" i="2"/>
  <c r="AW69" i="2"/>
  <c r="AS322" i="2"/>
  <c r="AS85" i="2"/>
  <c r="AS40" i="2"/>
  <c r="AW26" i="2"/>
  <c r="AW20" i="2"/>
  <c r="AW43" i="2"/>
  <c r="AS187" i="2"/>
  <c r="AW55" i="2"/>
  <c r="AW89" i="2"/>
  <c r="AS137" i="2"/>
  <c r="AW56" i="2"/>
  <c r="AW102" i="2"/>
  <c r="AS141" i="2"/>
  <c r="AS103" i="2"/>
  <c r="AW105" i="2"/>
  <c r="AS92" i="2"/>
  <c r="AS23" i="2"/>
  <c r="AS64" i="2"/>
  <c r="AT85" i="2"/>
  <c r="AW85" i="2" s="1"/>
  <c r="AW188" i="2"/>
  <c r="AW175" i="2"/>
  <c r="AW185" i="2"/>
  <c r="AW128" i="2"/>
  <c r="AS160" i="2"/>
  <c r="AS152" i="2"/>
  <c r="AW156" i="2"/>
  <c r="AW12" i="2"/>
  <c r="AW71" i="2"/>
  <c r="AW93" i="2"/>
  <c r="AS305" i="2"/>
  <c r="AS109" i="2"/>
  <c r="AS323" i="2"/>
  <c r="AS71" i="2"/>
  <c r="AS93" i="2"/>
  <c r="AS144" i="2"/>
  <c r="AS133" i="2"/>
  <c r="AW106" i="2"/>
  <c r="AW146" i="2"/>
  <c r="AS115" i="2"/>
  <c r="AT129" i="2"/>
  <c r="AW129" i="2" s="1"/>
  <c r="AS66" i="2"/>
  <c r="AS112" i="2"/>
  <c r="AS78" i="2"/>
  <c r="AS87" i="2"/>
  <c r="AS42" i="2"/>
  <c r="AS321" i="2"/>
  <c r="AS124" i="2"/>
  <c r="AS185" i="2"/>
  <c r="AS59" i="2"/>
  <c r="AS325" i="2"/>
  <c r="AS136" i="2"/>
  <c r="AS63" i="2"/>
  <c r="AS62" i="2"/>
  <c r="AT63" i="2"/>
  <c r="AW63" i="2" s="1"/>
  <c r="AT103" i="2"/>
  <c r="AW103" i="2" s="1"/>
  <c r="AS56" i="2"/>
  <c r="AS214" i="2"/>
  <c r="AW42" i="2"/>
  <c r="AT302" i="2"/>
  <c r="AW302" i="2" s="1"/>
  <c r="AT322" i="2"/>
  <c r="AW322" i="2" s="1"/>
  <c r="AT263" i="2"/>
  <c r="AS149" i="2"/>
  <c r="AS98" i="2"/>
  <c r="AS11" i="2"/>
  <c r="AS188" i="2"/>
  <c r="AT141" i="2"/>
  <c r="AW141" i="2" s="1"/>
  <c r="AS167" i="2"/>
  <c r="AS74" i="2"/>
  <c r="AS69" i="2"/>
  <c r="AS28" i="2"/>
  <c r="AS52" i="2"/>
  <c r="AS99" i="2"/>
  <c r="AS102" i="2"/>
  <c r="AS36" i="2"/>
  <c r="AW110" i="2"/>
  <c r="AS95" i="2"/>
  <c r="AS135" i="2"/>
  <c r="AW143" i="2"/>
  <c r="AW174" i="2"/>
  <c r="AS130" i="2"/>
  <c r="AW76" i="2"/>
  <c r="AT324" i="2"/>
  <c r="AW324" i="2" s="1"/>
  <c r="AW108" i="2"/>
  <c r="AS125" i="2"/>
  <c r="AS53" i="2"/>
  <c r="AS17" i="2"/>
  <c r="AW124" i="2"/>
  <c r="AS100" i="2"/>
  <c r="AT160" i="2"/>
  <c r="AW160" i="2" s="1"/>
  <c r="AS179" i="2"/>
  <c r="AW53" i="2"/>
  <c r="AW14" i="2"/>
  <c r="AT64" i="2"/>
  <c r="AW64" i="2" s="1"/>
  <c r="AT40" i="2"/>
  <c r="AW40" i="2" s="1"/>
  <c r="AT167" i="2"/>
  <c r="AW167" i="2" s="1"/>
  <c r="AS26" i="2"/>
  <c r="AS24" i="2"/>
  <c r="AS44" i="2"/>
  <c r="AS84" i="2"/>
  <c r="AS51" i="2"/>
  <c r="AS326" i="2"/>
  <c r="AS68" i="2"/>
  <c r="AS70" i="2"/>
  <c r="AS15" i="2"/>
  <c r="AS176" i="2"/>
  <c r="AS122" i="2"/>
  <c r="AS107" i="2"/>
  <c r="AS140" i="2"/>
  <c r="AW57" i="2"/>
  <c r="AS303" i="2"/>
  <c r="AP13" i="2"/>
  <c r="AN13" i="2"/>
  <c r="AP97" i="2"/>
  <c r="AN97" i="2"/>
  <c r="AT97" i="2" s="1"/>
  <c r="AP45" i="2"/>
  <c r="AN45" i="2"/>
  <c r="AP104" i="2"/>
  <c r="AN104" i="2"/>
  <c r="AT104" i="2" s="1"/>
  <c r="AP72" i="2"/>
  <c r="AN72" i="2"/>
  <c r="AT72" i="2" s="1"/>
  <c r="AP41" i="2"/>
  <c r="AN41" i="2"/>
  <c r="AP180" i="2"/>
  <c r="AN180" i="2"/>
  <c r="AT180" i="2" s="1"/>
  <c r="AP118" i="2"/>
  <c r="AN118" i="2"/>
  <c r="AT118" i="2" s="1"/>
  <c r="AP79" i="2"/>
  <c r="AN79" i="2"/>
  <c r="AT79" i="2" s="1"/>
  <c r="AP131" i="2"/>
  <c r="AN131" i="2"/>
  <c r="AP10" i="2"/>
  <c r="AN10" i="2"/>
  <c r="AT10" i="2" s="1"/>
  <c r="AP27" i="2"/>
  <c r="AN27" i="2"/>
  <c r="AT27" i="2" s="1"/>
  <c r="AP48" i="2"/>
  <c r="AN48" i="2"/>
  <c r="AT48" i="2" s="1"/>
  <c r="AP165" i="2"/>
  <c r="AN165" i="2"/>
  <c r="AP293" i="2"/>
  <c r="AN293" i="2"/>
  <c r="AT293" i="2" s="1"/>
  <c r="AS110" i="2"/>
  <c r="AS57" i="2"/>
  <c r="AP21" i="2"/>
  <c r="AN21" i="2"/>
  <c r="AP16" i="2"/>
  <c r="AN16" i="2"/>
  <c r="AT16" i="2" s="1"/>
  <c r="AT325" i="2"/>
  <c r="AW325" i="2" s="1"/>
  <c r="AP307" i="2"/>
  <c r="AN307" i="2"/>
  <c r="AT307" i="2" s="1"/>
  <c r="AP294" i="2"/>
  <c r="AN294" i="2"/>
  <c r="AT294" i="2" s="1"/>
  <c r="AP29" i="2"/>
  <c r="AN29" i="2"/>
  <c r="AP221" i="2"/>
  <c r="AN221" i="2"/>
  <c r="AT221" i="2" s="1"/>
  <c r="AP289" i="2"/>
  <c r="AN289" i="2"/>
  <c r="AT289" i="2" s="1"/>
  <c r="AP169" i="2"/>
  <c r="AN169" i="2"/>
  <c r="AT169" i="2" s="1"/>
  <c r="AP120" i="2"/>
  <c r="AN120" i="2"/>
  <c r="AP205" i="2"/>
  <c r="AN205" i="2"/>
  <c r="AT205" i="2" s="1"/>
  <c r="AP186" i="2"/>
  <c r="AN186" i="2"/>
  <c r="AT186" i="2" s="1"/>
  <c r="AP163" i="2"/>
  <c r="AN163" i="2"/>
  <c r="AT163" i="2" s="1"/>
  <c r="AP8" i="2"/>
  <c r="AN8" i="2"/>
  <c r="AT8" i="2" s="1"/>
  <c r="AP61" i="2"/>
  <c r="AN61" i="2"/>
  <c r="AT61" i="2" s="1"/>
  <c r="AP75" i="2"/>
  <c r="AN75" i="2"/>
  <c r="AT75" i="2" s="1"/>
  <c r="AP139" i="2"/>
  <c r="AN139" i="2"/>
  <c r="AT139" i="2" s="1"/>
  <c r="AS153" i="2"/>
  <c r="AS18" i="2"/>
  <c r="AP60" i="2"/>
  <c r="AN60" i="2"/>
  <c r="AT60" i="2" s="1"/>
  <c r="AP117" i="2"/>
  <c r="AN117" i="2"/>
  <c r="AT117" i="2" s="1"/>
  <c r="AT270" i="2"/>
  <c r="AT107" i="2"/>
  <c r="AW107" i="2" s="1"/>
  <c r="AT133" i="2"/>
  <c r="AW133" i="2" s="1"/>
  <c r="AP155" i="2"/>
  <c r="AN155" i="2"/>
  <c r="AT155" i="2" s="1"/>
  <c r="AP172" i="2"/>
  <c r="AN172" i="2"/>
  <c r="AT172" i="2" s="1"/>
  <c r="AP54" i="2"/>
  <c r="AN54" i="2"/>
  <c r="AT54" i="2" s="1"/>
  <c r="AP91" i="2"/>
  <c r="AN91" i="2"/>
  <c r="AT91" i="2" s="1"/>
  <c r="AP90" i="2"/>
  <c r="AN90" i="2"/>
  <c r="AT90" i="2" s="1"/>
  <c r="AP151" i="2"/>
  <c r="AN151" i="2"/>
  <c r="AT151" i="2" s="1"/>
  <c r="AP287" i="2"/>
  <c r="AN287" i="2"/>
  <c r="AT287" i="2" s="1"/>
  <c r="AP101" i="2"/>
  <c r="AN101" i="2"/>
  <c r="AT101" i="2" s="1"/>
  <c r="AP19" i="2"/>
  <c r="AN19" i="2"/>
  <c r="AT19" i="2" s="1"/>
  <c r="AP132" i="2"/>
  <c r="AN132" i="2"/>
  <c r="AT132" i="2" s="1"/>
  <c r="AP147" i="2"/>
  <c r="AN147" i="2"/>
  <c r="AT147" i="2" s="1"/>
  <c r="AP39" i="2"/>
  <c r="AN39" i="2"/>
  <c r="AT39" i="2" s="1"/>
  <c r="AS128" i="2"/>
  <c r="AS178" i="2"/>
  <c r="AS9" i="2"/>
  <c r="AS123" i="2"/>
  <c r="AP189" i="2"/>
  <c r="AN189" i="2"/>
  <c r="AT189" i="2" s="1"/>
  <c r="AP177" i="2"/>
  <c r="AN177" i="2"/>
  <c r="AT177" i="2" s="1"/>
  <c r="AT70" i="2"/>
  <c r="AW70" i="2" s="1"/>
  <c r="AP157" i="2"/>
  <c r="AN157" i="2"/>
  <c r="AT157" i="2" s="1"/>
  <c r="AP184" i="2"/>
  <c r="AN184" i="2"/>
  <c r="AT184" i="2" s="1"/>
  <c r="AP134" i="2"/>
  <c r="AN134" i="2"/>
  <c r="AT134" i="2" s="1"/>
  <c r="AP292" i="2"/>
  <c r="AN292" i="2"/>
  <c r="AT292" i="2" s="1"/>
  <c r="AP159" i="2"/>
  <c r="AN159" i="2"/>
  <c r="AT159" i="2" s="1"/>
  <c r="AP265" i="2"/>
  <c r="AN265" i="2"/>
  <c r="AT265" i="2" s="1"/>
  <c r="AP49" i="2"/>
  <c r="AN49" i="2"/>
  <c r="AT49" i="2" s="1"/>
  <c r="AP217" i="2"/>
  <c r="AN217" i="2"/>
  <c r="AT217" i="2" s="1"/>
  <c r="AP138" i="2"/>
  <c r="AN138" i="2"/>
  <c r="AT138" i="2" s="1"/>
  <c r="AP276" i="2"/>
  <c r="AN276" i="2"/>
  <c r="AT276" i="2" s="1"/>
  <c r="AP190" i="2"/>
  <c r="AN190" i="2"/>
  <c r="AT190" i="2" s="1"/>
  <c r="AP173" i="2"/>
  <c r="AN173" i="2"/>
  <c r="AT173" i="2" s="1"/>
  <c r="AP306" i="2"/>
  <c r="AN306" i="2"/>
  <c r="AT306" i="2" s="1"/>
  <c r="AS106" i="2"/>
  <c r="AS119" i="2"/>
  <c r="AS170" i="2"/>
  <c r="AP96" i="2"/>
  <c r="AN96" i="2"/>
  <c r="AT96" i="2" s="1"/>
  <c r="AP82" i="2"/>
  <c r="AN82" i="2"/>
  <c r="AP257" i="2"/>
  <c r="AN257" i="2"/>
  <c r="AT257" i="2" s="1"/>
  <c r="AS14" i="2"/>
  <c r="AS142" i="2"/>
  <c r="AP168" i="2"/>
  <c r="AN168" i="2"/>
  <c r="AT168" i="2" s="1"/>
  <c r="AP222" i="2"/>
  <c r="AN222" i="2"/>
  <c r="AT222" i="2" s="1"/>
  <c r="AP220" i="2"/>
  <c r="AN220" i="2"/>
  <c r="AT220" i="2" s="1"/>
  <c r="AP25" i="2"/>
  <c r="AN25" i="2"/>
  <c r="AT25" i="2" s="1"/>
  <c r="AP206" i="2"/>
  <c r="AN206" i="2"/>
  <c r="AT206" i="2" s="1"/>
  <c r="AP50" i="2"/>
  <c r="AN50" i="2"/>
  <c r="AT50" i="2" s="1"/>
  <c r="AP127" i="2"/>
  <c r="AN127" i="2"/>
  <c r="AT127" i="2" s="1"/>
  <c r="AP255" i="2"/>
  <c r="AN255" i="2"/>
  <c r="AT255" i="2" s="1"/>
  <c r="AP259" i="2"/>
  <c r="AN259" i="2"/>
  <c r="AT259" i="2" s="1"/>
  <c r="AP111" i="2"/>
  <c r="AN111" i="2"/>
  <c r="AT111" i="2" s="1"/>
  <c r="AP288" i="2"/>
  <c r="AN288" i="2"/>
  <c r="AT288" i="2" s="1"/>
  <c r="AP94" i="2"/>
  <c r="AN94" i="2"/>
  <c r="AT94" i="2" s="1"/>
  <c r="AP73" i="2"/>
  <c r="AN73" i="2"/>
  <c r="AT73" i="2" s="1"/>
  <c r="AP121" i="2"/>
  <c r="AN121" i="2"/>
  <c r="AT121" i="2" s="1"/>
  <c r="AP219" i="2"/>
  <c r="AN219" i="2"/>
  <c r="AP34" i="2"/>
  <c r="AN34" i="2"/>
  <c r="AT34" i="2" s="1"/>
  <c r="AP88" i="2"/>
  <c r="AN88" i="2"/>
  <c r="AT88" i="2" s="1"/>
  <c r="AP291" i="2"/>
  <c r="AN291" i="2"/>
  <c r="AT291" i="2" s="1"/>
  <c r="AP171" i="2"/>
  <c r="AN171" i="2"/>
  <c r="AT171" i="2" s="1"/>
  <c r="AP22" i="2"/>
  <c r="AN22" i="2"/>
  <c r="AP58" i="2"/>
  <c r="AN58" i="2"/>
  <c r="AP47" i="2"/>
  <c r="AN47" i="2"/>
  <c r="AT47" i="2" s="1"/>
  <c r="AP183" i="2"/>
  <c r="AN183" i="2"/>
  <c r="AT183" i="2" s="1"/>
  <c r="AP80" i="2"/>
  <c r="AN80" i="2"/>
  <c r="AT80" i="2" s="1"/>
  <c r="AP212" i="2"/>
  <c r="AN212" i="2"/>
  <c r="AT212" i="2" s="1"/>
  <c r="AP35" i="2"/>
  <c r="AN35" i="2"/>
  <c r="AT35" i="2" s="1"/>
  <c r="AP33" i="2"/>
  <c r="AN33" i="2"/>
  <c r="AP224" i="2"/>
  <c r="AN224" i="2"/>
  <c r="AT224" i="2" s="1"/>
  <c r="AP150" i="2"/>
  <c r="AN150" i="2"/>
  <c r="AT150" i="2" s="1"/>
  <c r="AP181" i="2"/>
  <c r="AN181" i="2"/>
  <c r="AT181" i="2" s="1"/>
  <c r="AP154" i="2"/>
  <c r="AN154" i="2"/>
  <c r="AT154" i="2" s="1"/>
  <c r="AP67" i="2"/>
  <c r="AN67" i="2"/>
  <c r="AP46" i="2"/>
  <c r="AN46" i="2"/>
  <c r="AT46" i="2" s="1"/>
  <c r="AS38" i="2"/>
  <c r="AV47" i="2"/>
  <c r="AU47" i="2"/>
  <c r="AV183" i="2"/>
  <c r="AU183" i="2"/>
  <c r="AV80" i="2"/>
  <c r="AU80" i="2"/>
  <c r="AV212" i="2"/>
  <c r="AU212" i="2"/>
  <c r="AV111" i="2"/>
  <c r="AU111" i="2"/>
  <c r="AV288" i="2"/>
  <c r="AU288" i="2"/>
  <c r="AV94" i="2"/>
  <c r="AU94" i="2"/>
  <c r="AV73" i="2"/>
  <c r="AU73" i="2"/>
  <c r="AV121" i="2"/>
  <c r="AU121" i="2"/>
  <c r="AV219" i="2"/>
  <c r="AU219" i="2"/>
  <c r="AV34" i="2"/>
  <c r="AU34" i="2"/>
  <c r="AV88" i="2"/>
  <c r="AU88" i="2"/>
  <c r="AV60" i="2"/>
  <c r="AU60" i="2"/>
  <c r="AV96" i="2"/>
  <c r="AU96" i="2"/>
  <c r="AV189" i="2"/>
  <c r="AU189" i="2"/>
  <c r="AV21" i="2"/>
  <c r="AU21" i="2"/>
  <c r="AV35" i="2"/>
  <c r="AU35" i="2"/>
  <c r="AV33" i="2"/>
  <c r="AU33" i="2"/>
  <c r="AV224" i="2"/>
  <c r="AU224" i="2"/>
  <c r="AV150" i="2"/>
  <c r="AU150" i="2"/>
  <c r="AV181" i="2"/>
  <c r="AU181" i="2"/>
  <c r="AO154" i="2"/>
  <c r="AV154" i="2"/>
  <c r="AU154" i="2"/>
  <c r="AV67" i="2"/>
  <c r="AU67" i="2"/>
  <c r="AV46" i="2"/>
  <c r="AU46" i="2"/>
  <c r="AV45" i="2"/>
  <c r="AU45" i="2"/>
  <c r="AV104" i="2"/>
  <c r="AU104" i="2"/>
  <c r="AV72" i="2"/>
  <c r="AU72" i="2"/>
  <c r="AV41" i="2"/>
  <c r="AU41" i="2"/>
  <c r="AV13" i="2"/>
  <c r="AU13" i="2"/>
  <c r="AV168" i="2"/>
  <c r="AU168" i="2"/>
  <c r="AV177" i="2"/>
  <c r="AU177" i="2"/>
  <c r="AV291" i="2"/>
  <c r="AU291" i="2"/>
  <c r="AV16" i="2"/>
  <c r="AU16" i="2"/>
  <c r="AV117" i="2"/>
  <c r="AU117" i="2"/>
  <c r="AV97" i="2"/>
  <c r="AU97" i="2"/>
  <c r="AU307" i="2"/>
  <c r="AV307" i="2"/>
  <c r="AU294" i="2"/>
  <c r="AV294" i="2"/>
  <c r="AV29" i="2"/>
  <c r="AU29" i="2"/>
  <c r="AV221" i="2"/>
  <c r="AU221" i="2"/>
  <c r="AV289" i="2"/>
  <c r="AU289" i="2"/>
  <c r="AV180" i="2"/>
  <c r="AU180" i="2"/>
  <c r="AV118" i="2"/>
  <c r="AU118" i="2"/>
  <c r="AV79" i="2"/>
  <c r="AU79" i="2"/>
  <c r="AO131" i="2"/>
  <c r="AV131" i="2"/>
  <c r="AU131" i="2"/>
  <c r="AV10" i="2"/>
  <c r="AU10" i="2"/>
  <c r="AV27" i="2"/>
  <c r="AU27" i="2"/>
  <c r="AV48" i="2"/>
  <c r="AU48" i="2"/>
  <c r="AV165" i="2"/>
  <c r="AU165" i="2"/>
  <c r="AV293" i="2"/>
  <c r="AU293" i="2"/>
  <c r="AV155" i="2"/>
  <c r="AU155" i="2"/>
  <c r="AV172" i="2"/>
  <c r="AU172" i="2"/>
  <c r="AV54" i="2"/>
  <c r="AU54" i="2"/>
  <c r="AV169" i="2"/>
  <c r="AU169" i="2"/>
  <c r="AV120" i="2"/>
  <c r="AU120" i="2"/>
  <c r="AV205" i="2"/>
  <c r="AU205" i="2"/>
  <c r="AV186" i="2"/>
  <c r="AU186" i="2"/>
  <c r="AV163" i="2"/>
  <c r="AU163" i="2"/>
  <c r="AU8" i="2"/>
  <c r="AV8" i="2"/>
  <c r="AV61" i="2"/>
  <c r="AU61" i="2"/>
  <c r="AV75" i="2"/>
  <c r="AU75" i="2"/>
  <c r="AV139" i="2"/>
  <c r="AU139" i="2"/>
  <c r="AV157" i="2"/>
  <c r="AU157" i="2"/>
  <c r="AV184" i="2"/>
  <c r="AU184" i="2"/>
  <c r="AV134" i="2"/>
  <c r="AU134" i="2"/>
  <c r="AV91" i="2"/>
  <c r="AU91" i="2"/>
  <c r="AV90" i="2"/>
  <c r="AU90" i="2"/>
  <c r="AV151" i="2"/>
  <c r="AU151" i="2"/>
  <c r="AV287" i="2"/>
  <c r="AU287" i="2"/>
  <c r="AV101" i="2"/>
  <c r="AU101" i="2"/>
  <c r="AV19" i="2"/>
  <c r="AU19" i="2"/>
  <c r="AV132" i="2"/>
  <c r="AU132" i="2"/>
  <c r="AV147" i="2"/>
  <c r="AU147" i="2"/>
  <c r="AV39" i="2"/>
  <c r="AU39" i="2"/>
  <c r="AV171" i="2"/>
  <c r="AU171" i="2"/>
  <c r="AV222" i="2"/>
  <c r="AU222" i="2"/>
  <c r="AV292" i="2"/>
  <c r="AU292" i="2"/>
  <c r="AV159" i="2"/>
  <c r="AU159" i="2"/>
  <c r="AV265" i="2"/>
  <c r="AU265" i="2"/>
  <c r="AV49" i="2"/>
  <c r="AU49" i="2"/>
  <c r="AV217" i="2"/>
  <c r="AU217" i="2"/>
  <c r="AV138" i="2"/>
  <c r="AU138" i="2"/>
  <c r="AV276" i="2"/>
  <c r="AU276" i="2"/>
  <c r="AV190" i="2"/>
  <c r="AU190" i="2"/>
  <c r="AV173" i="2"/>
  <c r="AU173" i="2"/>
  <c r="AV306" i="2"/>
  <c r="AU306" i="2"/>
  <c r="AV50" i="2"/>
  <c r="AU50" i="2"/>
  <c r="AV127" i="2"/>
  <c r="AU127" i="2"/>
  <c r="AV255" i="2"/>
  <c r="AU255" i="2"/>
  <c r="AV259" i="2"/>
  <c r="AU259" i="2"/>
  <c r="AV22" i="2"/>
  <c r="AU22" i="2"/>
  <c r="AV220" i="2"/>
  <c r="AU220" i="2"/>
  <c r="AV82" i="2"/>
  <c r="AU82" i="2"/>
  <c r="AV58" i="2"/>
  <c r="AU58" i="2"/>
  <c r="AV25" i="2"/>
  <c r="AU25" i="2"/>
  <c r="AV257" i="2"/>
  <c r="AU257" i="2"/>
  <c r="AV206" i="2"/>
  <c r="AU206" i="2"/>
  <c r="X15" i="3"/>
  <c r="Y15" i="3"/>
  <c r="Q17" i="3"/>
  <c r="S17" i="3"/>
  <c r="R17" i="3"/>
  <c r="X7" i="3"/>
  <c r="Y7" i="3"/>
  <c r="W20" i="3"/>
  <c r="AO190" i="2"/>
  <c r="AO48" i="2"/>
  <c r="AO287" i="2"/>
  <c r="AO50" i="2"/>
  <c r="AO212" i="2"/>
  <c r="AO111" i="2"/>
  <c r="AO276" i="2"/>
  <c r="AO168" i="2"/>
  <c r="AO132" i="2"/>
  <c r="AO67" i="2"/>
  <c r="AO35" i="2"/>
  <c r="AO293" i="2"/>
  <c r="AO289" i="2"/>
  <c r="AO224" i="2"/>
  <c r="AO292" i="2"/>
  <c r="AO151" i="2"/>
  <c r="AO169" i="2"/>
  <c r="AO34" i="2"/>
  <c r="AO45" i="2"/>
  <c r="AO165" i="2"/>
  <c r="AO94" i="2"/>
  <c r="AO217" i="2"/>
  <c r="AO259" i="2"/>
  <c r="AO138" i="2"/>
  <c r="AO90" i="2"/>
  <c r="AO294" i="2"/>
  <c r="AO288" i="2"/>
  <c r="AO16" i="2"/>
  <c r="AO147" i="2"/>
  <c r="AO150" i="2"/>
  <c r="AO219" i="2"/>
  <c r="AO172" i="2"/>
  <c r="AO80" i="2"/>
  <c r="AO10" i="2"/>
  <c r="AO25" i="2"/>
  <c r="AO118" i="2"/>
  <c r="AO54" i="2"/>
  <c r="AO206" i="2"/>
  <c r="AO49" i="2"/>
  <c r="AO29" i="2"/>
  <c r="AO255" i="2"/>
  <c r="AO41" i="2"/>
  <c r="AO220" i="2"/>
  <c r="AO13" i="2"/>
  <c r="AO72" i="2"/>
  <c r="AO82" i="2"/>
  <c r="AO186" i="2"/>
  <c r="AO101" i="2"/>
  <c r="AO60" i="2"/>
  <c r="AO91" i="2"/>
  <c r="AO163" i="2"/>
  <c r="AO181" i="2"/>
  <c r="AO61" i="2"/>
  <c r="AO97" i="2"/>
  <c r="AO127" i="2"/>
  <c r="AO75" i="2"/>
  <c r="AO79" i="2"/>
  <c r="AO265" i="2"/>
  <c r="AO104" i="2"/>
  <c r="AO58" i="2"/>
  <c r="AO221" i="2"/>
  <c r="AO27" i="2"/>
  <c r="AO155" i="2"/>
  <c r="AO180" i="2"/>
  <c r="AO121" i="2"/>
  <c r="AO257" i="2"/>
  <c r="AO21" i="2"/>
  <c r="AO33" i="2"/>
  <c r="AO173" i="2"/>
  <c r="AO189" i="2"/>
  <c r="AO73" i="2"/>
  <c r="AO184" i="2"/>
  <c r="AO291" i="2"/>
  <c r="AO157" i="2"/>
  <c r="AO205" i="2"/>
  <c r="AO8" i="2"/>
  <c r="AO134" i="2"/>
  <c r="AO159" i="2"/>
  <c r="AO19" i="2"/>
  <c r="AO177" i="2"/>
  <c r="AO96" i="2"/>
  <c r="AO117" i="2"/>
  <c r="AO183" i="2"/>
  <c r="AO120" i="2"/>
  <c r="AO222" i="2"/>
  <c r="AO171" i="2"/>
  <c r="AO22" i="2"/>
  <c r="S14" i="3"/>
  <c r="U14" i="3"/>
  <c r="R20" i="3"/>
  <c r="W14" i="3"/>
  <c r="Q20" i="3"/>
  <c r="U20" i="3"/>
  <c r="S20" i="3"/>
  <c r="T20" i="3"/>
  <c r="Q14" i="3"/>
  <c r="T14" i="3"/>
  <c r="AO139" i="2"/>
  <c r="AO306" i="2"/>
  <c r="AO39" i="2"/>
  <c r="AO88" i="2"/>
  <c r="AO46" i="2"/>
  <c r="AO47" i="2"/>
  <c r="AO307" i="2"/>
  <c r="AW164" i="2" l="1"/>
  <c r="AS166" i="2"/>
  <c r="AS37" i="2"/>
  <c r="AW37" i="2"/>
  <c r="AW166" i="2"/>
  <c r="AU251" i="2"/>
  <c r="AV230" i="2"/>
  <c r="AV234" i="2"/>
  <c r="AO251" i="2"/>
  <c r="AN251" i="2"/>
  <c r="AT251" i="2" s="1"/>
  <c r="AP251" i="2"/>
  <c r="AO245" i="2"/>
  <c r="AO234" i="2"/>
  <c r="AU201" i="2"/>
  <c r="AP201" i="2"/>
  <c r="AU245" i="2"/>
  <c r="AU234" i="2"/>
  <c r="AN201" i="2"/>
  <c r="AT201" i="2" s="1"/>
  <c r="AN245" i="2"/>
  <c r="AT245" i="2" s="1"/>
  <c r="AV245" i="2"/>
  <c r="AN234" i="2"/>
  <c r="AT234" i="2" s="1"/>
  <c r="AW207" i="2"/>
  <c r="AO201" i="2"/>
  <c r="AN230" i="2"/>
  <c r="AT230" i="2" s="1"/>
  <c r="AU230" i="2"/>
  <c r="AO230" i="2"/>
  <c r="AP250" i="2"/>
  <c r="AO250" i="2"/>
  <c r="AU250" i="2"/>
  <c r="AV250" i="2"/>
  <c r="AN247" i="2"/>
  <c r="AT247" i="2" s="1"/>
  <c r="AV247" i="2"/>
  <c r="AU242" i="2"/>
  <c r="AO242" i="2"/>
  <c r="AU247" i="2"/>
  <c r="AV242" i="2"/>
  <c r="AP242" i="2"/>
  <c r="AP247" i="2"/>
  <c r="AS207" i="2"/>
  <c r="AW298" i="2"/>
  <c r="AW161" i="2"/>
  <c r="AW162" i="2"/>
  <c r="AS162" i="2"/>
  <c r="AS256" i="2"/>
  <c r="AV227" i="2"/>
  <c r="AS161" i="2"/>
  <c r="AS284" i="2"/>
  <c r="AS298" i="2"/>
  <c r="AS280" i="2"/>
  <c r="AO191" i="2"/>
  <c r="H26" i="4"/>
  <c r="E26" i="4" s="1"/>
  <c r="AW296" i="2"/>
  <c r="AW216" i="2"/>
  <c r="AW280" i="2"/>
  <c r="AS296" i="2"/>
  <c r="AS216" i="2"/>
  <c r="AW256" i="2"/>
  <c r="E15" i="4"/>
  <c r="K15" i="4" s="1"/>
  <c r="AW285" i="2"/>
  <c r="AS264" i="2"/>
  <c r="AW264" i="2"/>
  <c r="AW209" i="2"/>
  <c r="AS268" i="2"/>
  <c r="AS209" i="2"/>
  <c r="AW268" i="2"/>
  <c r="AS301" i="2"/>
  <c r="AW284" i="2"/>
  <c r="AS285" i="2"/>
  <c r="AW301" i="2"/>
  <c r="AS279" i="2"/>
  <c r="AS223" i="2"/>
  <c r="AW290" i="2"/>
  <c r="AW267" i="2"/>
  <c r="AW281" i="2"/>
  <c r="AW226" i="2"/>
  <c r="AW223" i="2"/>
  <c r="AS226" i="2"/>
  <c r="AS267" i="2"/>
  <c r="AS272" i="2"/>
  <c r="AS260" i="2"/>
  <c r="AS273" i="2"/>
  <c r="AW272" i="2"/>
  <c r="AT273" i="2"/>
  <c r="AW273" i="2" s="1"/>
  <c r="AW260" i="2"/>
  <c r="AS281" i="2"/>
  <c r="AS218" i="2"/>
  <c r="AW211" i="2"/>
  <c r="AS211" i="2"/>
  <c r="AS277" i="2"/>
  <c r="AS290" i="2"/>
  <c r="AW277" i="2"/>
  <c r="AW218" i="2"/>
  <c r="AS275" i="2"/>
  <c r="AW275" i="2"/>
  <c r="AS225" i="2"/>
  <c r="AW279" i="2"/>
  <c r="AW225" i="2"/>
  <c r="AO233" i="2"/>
  <c r="AU232" i="2"/>
  <c r="AN199" i="2"/>
  <c r="AT199" i="2" s="1"/>
  <c r="AP193" i="2"/>
  <c r="AO199" i="2"/>
  <c r="AO202" i="2"/>
  <c r="AU199" i="2"/>
  <c r="AU202" i="2"/>
  <c r="AP233" i="2"/>
  <c r="AV199" i="2"/>
  <c r="AO194" i="2"/>
  <c r="AU194" i="2"/>
  <c r="AV232" i="2"/>
  <c r="AN253" i="2"/>
  <c r="AT253" i="2" s="1"/>
  <c r="AP194" i="2"/>
  <c r="AN194" i="2"/>
  <c r="AT194" i="2" s="1"/>
  <c r="AP202" i="2"/>
  <c r="AN232" i="2"/>
  <c r="AT232" i="2" s="1"/>
  <c r="AP232" i="2"/>
  <c r="AU244" i="2"/>
  <c r="AP239" i="2"/>
  <c r="AP198" i="2"/>
  <c r="AN249" i="2"/>
  <c r="AT249" i="2" s="1"/>
  <c r="AN243" i="2"/>
  <c r="AT243" i="2" s="1"/>
  <c r="AV243" i="2"/>
  <c r="AN203" i="2"/>
  <c r="AT203" i="2" s="1"/>
  <c r="AU246" i="2"/>
  <c r="AN235" i="2"/>
  <c r="AT235" i="2" s="1"/>
  <c r="AV237" i="2"/>
  <c r="AN237" i="2"/>
  <c r="AT237" i="2" s="1"/>
  <c r="AV203" i="2"/>
  <c r="AO246" i="2"/>
  <c r="AN228" i="2"/>
  <c r="AT228" i="2" s="1"/>
  <c r="AP237" i="2"/>
  <c r="AO203" i="2"/>
  <c r="AV228" i="2"/>
  <c r="AO241" i="2"/>
  <c r="AU228" i="2"/>
  <c r="AU241" i="2"/>
  <c r="AU237" i="2"/>
  <c r="AP228" i="2"/>
  <c r="AP203" i="2"/>
  <c r="AP241" i="2"/>
  <c r="AP254" i="2"/>
  <c r="AV244" i="2"/>
  <c r="AV238" i="2"/>
  <c r="AP238" i="2"/>
  <c r="AU254" i="2"/>
  <c r="AP196" i="2"/>
  <c r="AV254" i="2"/>
  <c r="AO254" i="2"/>
  <c r="AN196" i="2"/>
  <c r="AT196" i="2" s="1"/>
  <c r="AN236" i="2"/>
  <c r="AT236" i="2" s="1"/>
  <c r="AP229" i="2"/>
  <c r="AP191" i="2"/>
  <c r="AU252" i="2"/>
  <c r="AU204" i="2"/>
  <c r="AV192" i="2"/>
  <c r="AO249" i="2"/>
  <c r="AO300" i="2"/>
  <c r="AN300" i="2"/>
  <c r="AT300" i="2" s="1"/>
  <c r="AV300" i="2"/>
  <c r="AN231" i="2"/>
  <c r="AO231" i="2"/>
  <c r="AP231" i="2"/>
  <c r="AU248" i="2"/>
  <c r="AO248" i="2"/>
  <c r="AN248" i="2"/>
  <c r="AT248" i="2" s="1"/>
  <c r="AV236" i="2"/>
  <c r="AP236" i="2"/>
  <c r="AU236" i="2"/>
  <c r="AN238" i="2"/>
  <c r="AT238" i="2" s="1"/>
  <c r="AU192" i="2"/>
  <c r="AV253" i="2"/>
  <c r="AP253" i="2"/>
  <c r="AV204" i="2"/>
  <c r="AU191" i="2"/>
  <c r="AU200" i="2"/>
  <c r="AU249" i="2"/>
  <c r="AV249" i="2"/>
  <c r="AN229" i="2"/>
  <c r="AT229" i="2" s="1"/>
  <c r="AU231" i="2"/>
  <c r="AV191" i="2"/>
  <c r="AV241" i="2"/>
  <c r="AU300" i="2"/>
  <c r="AV231" i="2"/>
  <c r="AV229" i="2"/>
  <c r="AV248" i="2"/>
  <c r="AV299" i="2"/>
  <c r="AO299" i="2"/>
  <c r="AV252" i="2"/>
  <c r="AO252" i="2"/>
  <c r="AN227" i="2"/>
  <c r="AU227" i="2"/>
  <c r="AP227" i="2"/>
  <c r="AO239" i="2"/>
  <c r="AN239" i="2"/>
  <c r="AT239" i="2" s="1"/>
  <c r="AN240" i="2"/>
  <c r="AU240" i="2"/>
  <c r="AN198" i="2"/>
  <c r="AT198" i="2" s="1"/>
  <c r="AO238" i="2"/>
  <c r="AN233" i="2"/>
  <c r="AT233" i="2" s="1"/>
  <c r="AN204" i="2"/>
  <c r="AT204" i="2" s="1"/>
  <c r="AP192" i="2"/>
  <c r="AO196" i="2"/>
  <c r="AV200" i="2"/>
  <c r="AO200" i="2"/>
  <c r="AN244" i="2"/>
  <c r="AT244" i="2" s="1"/>
  <c r="AP300" i="2"/>
  <c r="AV202" i="2"/>
  <c r="AP204" i="2"/>
  <c r="AN192" i="2"/>
  <c r="AT192" i="2" s="1"/>
  <c r="AN299" i="2"/>
  <c r="AT299" i="2" s="1"/>
  <c r="AP252" i="2"/>
  <c r="AO227" i="2"/>
  <c r="AV239" i="2"/>
  <c r="AO240" i="2"/>
  <c r="AN197" i="2"/>
  <c r="AT197" i="2" s="1"/>
  <c r="AV197" i="2"/>
  <c r="AO197" i="2"/>
  <c r="AV246" i="2"/>
  <c r="AO253" i="2"/>
  <c r="AN191" i="2"/>
  <c r="AT191" i="2" s="1"/>
  <c r="AP243" i="2"/>
  <c r="AV196" i="2"/>
  <c r="AU198" i="2"/>
  <c r="AU243" i="2"/>
  <c r="AP244" i="2"/>
  <c r="AU197" i="2"/>
  <c r="AO193" i="2"/>
  <c r="AU193" i="2"/>
  <c r="AO235" i="2"/>
  <c r="AV235" i="2"/>
  <c r="AU233" i="2"/>
  <c r="AO198" i="2"/>
  <c r="AN246" i="2"/>
  <c r="AT246" i="2" s="1"/>
  <c r="AN200" i="2"/>
  <c r="AT200" i="2" s="1"/>
  <c r="AP197" i="2"/>
  <c r="AU299" i="2"/>
  <c r="AU229" i="2"/>
  <c r="AV240" i="2"/>
  <c r="AV193" i="2"/>
  <c r="AP235" i="2"/>
  <c r="Y14" i="3"/>
  <c r="AS195" i="2"/>
  <c r="AS278" i="2"/>
  <c r="AW278" i="2"/>
  <c r="AW195" i="2"/>
  <c r="AW283" i="2"/>
  <c r="AS283" i="2"/>
  <c r="AS295" i="2"/>
  <c r="AW213" i="2"/>
  <c r="AW266" i="2"/>
  <c r="AS261" i="2"/>
  <c r="AS266" i="2"/>
  <c r="AW295" i="2"/>
  <c r="AW271" i="2"/>
  <c r="AS213" i="2"/>
  <c r="AW261" i="2"/>
  <c r="AW282" i="2"/>
  <c r="AS215" i="2"/>
  <c r="AS271" i="2"/>
  <c r="AS262" i="2"/>
  <c r="AW215" i="2"/>
  <c r="AS208" i="2"/>
  <c r="AW269" i="2"/>
  <c r="AS269" i="2"/>
  <c r="AW262" i="2"/>
  <c r="AS263" i="2"/>
  <c r="X17" i="3"/>
  <c r="AS282" i="2"/>
  <c r="AW258" i="2"/>
  <c r="AW263" i="2"/>
  <c r="AW297" i="2"/>
  <c r="AS258" i="2"/>
  <c r="AS297" i="2"/>
  <c r="AS270" i="2"/>
  <c r="AW270" i="2"/>
  <c r="AW274" i="2"/>
  <c r="AS274" i="2"/>
  <c r="AT208" i="2"/>
  <c r="AW208" i="2" s="1"/>
  <c r="AW210" i="2"/>
  <c r="AS210" i="2"/>
  <c r="Y17" i="3"/>
  <c r="AS134" i="2"/>
  <c r="AS117" i="2"/>
  <c r="AS127" i="2"/>
  <c r="AS25" i="2"/>
  <c r="AS47" i="2"/>
  <c r="AW39" i="2"/>
  <c r="AW61" i="2"/>
  <c r="AS173" i="2"/>
  <c r="AW172" i="2"/>
  <c r="AS307" i="2"/>
  <c r="AS289" i="2"/>
  <c r="AW46" i="2"/>
  <c r="AS157" i="2"/>
  <c r="AS75" i="2"/>
  <c r="AS186" i="2"/>
  <c r="AW34" i="2"/>
  <c r="AW155" i="2"/>
  <c r="AW224" i="2"/>
  <c r="AW291" i="2"/>
  <c r="AS61" i="2"/>
  <c r="AS168" i="2"/>
  <c r="AS181" i="2"/>
  <c r="AS293" i="2"/>
  <c r="AS205" i="2"/>
  <c r="AS67" i="2"/>
  <c r="AW50" i="2"/>
  <c r="AW265" i="2"/>
  <c r="AW287" i="2"/>
  <c r="AS221" i="2"/>
  <c r="AS183" i="2"/>
  <c r="AW79" i="2"/>
  <c r="AT67" i="2"/>
  <c r="AW67" i="2" s="1"/>
  <c r="AW181" i="2"/>
  <c r="AS34" i="2"/>
  <c r="AW154" i="2"/>
  <c r="AS184" i="2"/>
  <c r="AW138" i="2"/>
  <c r="AW168" i="2"/>
  <c r="AS147" i="2"/>
  <c r="AW220" i="2"/>
  <c r="AW259" i="2"/>
  <c r="AW54" i="2"/>
  <c r="AW104" i="2"/>
  <c r="AS189" i="2"/>
  <c r="AW139" i="2"/>
  <c r="AW163" i="2"/>
  <c r="AW72" i="2"/>
  <c r="AW97" i="2"/>
  <c r="AW221" i="2"/>
  <c r="AW35" i="2"/>
  <c r="AS58" i="2"/>
  <c r="AS88" i="2"/>
  <c r="AW222" i="2"/>
  <c r="AS82" i="2"/>
  <c r="AS35" i="2"/>
  <c r="AW88" i="2"/>
  <c r="AS73" i="2"/>
  <c r="AS259" i="2"/>
  <c r="AW157" i="2"/>
  <c r="AS39" i="2"/>
  <c r="AS101" i="2"/>
  <c r="AW90" i="2"/>
  <c r="AW127" i="2"/>
  <c r="AS255" i="2"/>
  <c r="AS217" i="2"/>
  <c r="AW151" i="2"/>
  <c r="AW19" i="2"/>
  <c r="AW257" i="2"/>
  <c r="AS154" i="2"/>
  <c r="AW150" i="2"/>
  <c r="AS60" i="2"/>
  <c r="AS45" i="2"/>
  <c r="AW73" i="2"/>
  <c r="AW171" i="2"/>
  <c r="AW25" i="2"/>
  <c r="AW190" i="2"/>
  <c r="AW49" i="2"/>
  <c r="AS120" i="2"/>
  <c r="AS29" i="2"/>
  <c r="AS165" i="2"/>
  <c r="AS131" i="2"/>
  <c r="AS41" i="2"/>
  <c r="AW47" i="2"/>
  <c r="AS177" i="2"/>
  <c r="AW8" i="2"/>
  <c r="AW27" i="2"/>
  <c r="AW212" i="2"/>
  <c r="AS294" i="2"/>
  <c r="AW205" i="2"/>
  <c r="AS21" i="2"/>
  <c r="AW294" i="2"/>
  <c r="AS139" i="2"/>
  <c r="AW60" i="2"/>
  <c r="AW121" i="2"/>
  <c r="AW206" i="2"/>
  <c r="AT131" i="2"/>
  <c r="AW131" i="2" s="1"/>
  <c r="AW80" i="2"/>
  <c r="AW48" i="2"/>
  <c r="AT41" i="2"/>
  <c r="AW41" i="2" s="1"/>
  <c r="AS50" i="2"/>
  <c r="AS190" i="2"/>
  <c r="AS212" i="2"/>
  <c r="AS22" i="2"/>
  <c r="AS206" i="2"/>
  <c r="AW276" i="2"/>
  <c r="AS265" i="2"/>
  <c r="AS90" i="2"/>
  <c r="AS172" i="2"/>
  <c r="AS169" i="2"/>
  <c r="AS48" i="2"/>
  <c r="AS79" i="2"/>
  <c r="AS222" i="2"/>
  <c r="AS19" i="2"/>
  <c r="AW16" i="2"/>
  <c r="AW183" i="2"/>
  <c r="AT120" i="2"/>
  <c r="AW120" i="2" s="1"/>
  <c r="AW101" i="2"/>
  <c r="AS163" i="2"/>
  <c r="AW217" i="2"/>
  <c r="AW255" i="2"/>
  <c r="AW189" i="2"/>
  <c r="AT45" i="2"/>
  <c r="AW45" i="2" s="1"/>
  <c r="AW289" i="2"/>
  <c r="AT82" i="2"/>
  <c r="AW82" i="2" s="1"/>
  <c r="AS224" i="2"/>
  <c r="AS94" i="2"/>
  <c r="AS96" i="2"/>
  <c r="AS306" i="2"/>
  <c r="AS72" i="2"/>
  <c r="AW96" i="2"/>
  <c r="AS80" i="2"/>
  <c r="AW307" i="2"/>
  <c r="AW186" i="2"/>
  <c r="AW159" i="2"/>
  <c r="AW134" i="2"/>
  <c r="AW91" i="2"/>
  <c r="AW147" i="2"/>
  <c r="AW111" i="2"/>
  <c r="AS171" i="2"/>
  <c r="AS138" i="2"/>
  <c r="AS155" i="2"/>
  <c r="AS27" i="2"/>
  <c r="AS97" i="2"/>
  <c r="AS33" i="2"/>
  <c r="AS219" i="2"/>
  <c r="AS288" i="2"/>
  <c r="AS159" i="2"/>
  <c r="AS287" i="2"/>
  <c r="AS91" i="2"/>
  <c r="AS118" i="2"/>
  <c r="AS151" i="2"/>
  <c r="AS46" i="2"/>
  <c r="AW292" i="2"/>
  <c r="AW184" i="2"/>
  <c r="AW75" i="2"/>
  <c r="AS49" i="2"/>
  <c r="AS150" i="2"/>
  <c r="AW132" i="2"/>
  <c r="AS132" i="2"/>
  <c r="AW288" i="2"/>
  <c r="AW173" i="2"/>
  <c r="AW169" i="2"/>
  <c r="AW293" i="2"/>
  <c r="AW10" i="2"/>
  <c r="AW180" i="2"/>
  <c r="AT29" i="2"/>
  <c r="AW29" i="2" s="1"/>
  <c r="AW94" i="2"/>
  <c r="AS291" i="2"/>
  <c r="AS220" i="2"/>
  <c r="AS257" i="2"/>
  <c r="AS10" i="2"/>
  <c r="AS104" i="2"/>
  <c r="AS13" i="2"/>
  <c r="AT58" i="2"/>
  <c r="AW58" i="2" s="1"/>
  <c r="AW306" i="2"/>
  <c r="AW118" i="2"/>
  <c r="AT219" i="2"/>
  <c r="AW219" i="2" s="1"/>
  <c r="AT33" i="2"/>
  <c r="AW33" i="2" s="1"/>
  <c r="AW177" i="2"/>
  <c r="AS111" i="2"/>
  <c r="AT165" i="2"/>
  <c r="AW165" i="2" s="1"/>
  <c r="AW117" i="2"/>
  <c r="AS121" i="2"/>
  <c r="AS292" i="2"/>
  <c r="AS54" i="2"/>
  <c r="AS8" i="2"/>
  <c r="AS16" i="2"/>
  <c r="AS180" i="2"/>
  <c r="AT22" i="2"/>
  <c r="AW22" i="2" s="1"/>
  <c r="AS276" i="2"/>
  <c r="AP308" i="2"/>
  <c r="AN308" i="2"/>
  <c r="AT308" i="2" s="1"/>
  <c r="AT21" i="2"/>
  <c r="AW21" i="2" s="1"/>
  <c r="AT13" i="2"/>
  <c r="AW13" i="2" s="1"/>
  <c r="AV308" i="2"/>
  <c r="AU308" i="2"/>
  <c r="Y20" i="3"/>
  <c r="X14" i="3"/>
  <c r="X20" i="3"/>
  <c r="AO308" i="2"/>
  <c r="AW251" i="2" l="1"/>
  <c r="AS234" i="2"/>
  <c r="AS251" i="2"/>
  <c r="AW234" i="2"/>
  <c r="AS230" i="2"/>
  <c r="AW201" i="2"/>
  <c r="AW230" i="2"/>
  <c r="AS250" i="2"/>
  <c r="AW245" i="2"/>
  <c r="AW242" i="2"/>
  <c r="AS245" i="2"/>
  <c r="AS201" i="2"/>
  <c r="AW247" i="2"/>
  <c r="AW250" i="2"/>
  <c r="AS247" i="2"/>
  <c r="AS242" i="2"/>
  <c r="K26" i="4"/>
  <c r="G26" i="4"/>
  <c r="I26" i="4"/>
  <c r="G15" i="4"/>
  <c r="I15" i="4"/>
  <c r="AS193" i="2"/>
  <c r="AW246" i="2"/>
  <c r="AW192" i="2"/>
  <c r="AW253" i="2"/>
  <c r="AS254" i="2"/>
  <c r="AW232" i="2"/>
  <c r="AW199" i="2"/>
  <c r="AW202" i="2"/>
  <c r="AS202" i="2"/>
  <c r="AS199" i="2"/>
  <c r="AS243" i="2"/>
  <c r="AS232" i="2"/>
  <c r="AS241" i="2"/>
  <c r="AW194" i="2"/>
  <c r="AW243" i="2"/>
  <c r="AW196" i="2"/>
  <c r="AS236" i="2"/>
  <c r="AS194" i="2"/>
  <c r="AS237" i="2"/>
  <c r="AW203" i="2"/>
  <c r="AW238" i="2"/>
  <c r="AS200" i="2"/>
  <c r="AW244" i="2"/>
  <c r="AS203" i="2"/>
  <c r="AS249" i="2"/>
  <c r="AW198" i="2"/>
  <c r="AW237" i="2"/>
  <c r="AS253" i="2"/>
  <c r="AW235" i="2"/>
  <c r="AW241" i="2"/>
  <c r="AW228" i="2"/>
  <c r="AS196" i="2"/>
  <c r="AS204" i="2"/>
  <c r="AW204" i="2"/>
  <c r="AS233" i="2"/>
  <c r="AS238" i="2"/>
  <c r="AS228" i="2"/>
  <c r="AW252" i="2"/>
  <c r="AW200" i="2"/>
  <c r="AW239" i="2"/>
  <c r="AW254" i="2"/>
  <c r="AW233" i="2"/>
  <c r="AS246" i="2"/>
  <c r="AW191" i="2"/>
  <c r="AW248" i="2"/>
  <c r="AW193" i="2"/>
  <c r="AS252" i="2"/>
  <c r="AS235" i="2"/>
  <c r="AS198" i="2"/>
  <c r="AW249" i="2"/>
  <c r="AW229" i="2"/>
  <c r="AS300" i="2"/>
  <c r="AS192" i="2"/>
  <c r="AS248" i="2"/>
  <c r="AS299" i="2"/>
  <c r="AS229" i="2"/>
  <c r="AW236" i="2"/>
  <c r="AT227" i="2"/>
  <c r="AW227" i="2" s="1"/>
  <c r="AS227" i="2"/>
  <c r="AT231" i="2"/>
  <c r="AW231" i="2" s="1"/>
  <c r="AS231" i="2"/>
  <c r="AS197" i="2"/>
  <c r="AS244" i="2"/>
  <c r="AT240" i="2"/>
  <c r="AW240" i="2" s="1"/>
  <c r="AS240" i="2"/>
  <c r="AW300" i="2"/>
  <c r="AW299" i="2"/>
  <c r="AS191" i="2"/>
  <c r="AW197" i="2"/>
  <c r="AS239" i="2"/>
  <c r="AW308" i="2"/>
  <c r="AS308" i="2"/>
  <c r="AP309" i="2"/>
  <c r="AN309" i="2"/>
  <c r="AV309" i="2"/>
  <c r="AU309" i="2"/>
  <c r="AO309" i="2"/>
  <c r="AS309" i="2" l="1"/>
  <c r="AT309" i="2"/>
  <c r="AW309" i="2" s="1"/>
  <c r="AP310" i="2"/>
  <c r="AN310" i="2"/>
  <c r="AT310" i="2" s="1"/>
  <c r="AV310" i="2"/>
  <c r="AU310" i="2"/>
  <c r="AO310" i="2"/>
  <c r="AW310" i="2" l="1"/>
  <c r="AS310" i="2"/>
  <c r="AP311" i="2"/>
  <c r="AN311" i="2"/>
  <c r="AT311" i="2" s="1"/>
  <c r="AU311" i="2"/>
  <c r="AV311" i="2"/>
  <c r="AO311" i="2"/>
  <c r="AS311" i="2" l="1"/>
  <c r="AW311" i="2"/>
  <c r="AP312" i="2"/>
  <c r="AN312" i="2"/>
  <c r="AT312" i="2" s="1"/>
  <c r="AV312" i="2"/>
  <c r="AU312" i="2"/>
  <c r="AO312" i="2"/>
  <c r="AW312" i="2" l="1"/>
  <c r="AS312" i="2"/>
  <c r="AN313" i="2"/>
  <c r="AT313" i="2" s="1"/>
  <c r="AP313" i="2"/>
  <c r="AV313" i="2"/>
  <c r="AU313" i="2"/>
  <c r="AO313" i="2"/>
  <c r="AW313" i="2" l="1"/>
  <c r="AS313" i="2"/>
  <c r="AP314" i="2"/>
  <c r="AN314" i="2"/>
  <c r="AT314" i="2" s="1"/>
  <c r="AV314" i="2"/>
  <c r="AU314" i="2"/>
  <c r="AO314" i="2"/>
  <c r="AW314" i="2" l="1"/>
  <c r="AP315" i="2"/>
  <c r="AN315" i="2"/>
  <c r="AT315" i="2" s="1"/>
  <c r="AS314" i="2"/>
  <c r="AU315" i="2"/>
  <c r="AV315" i="2"/>
  <c r="AO315" i="2"/>
  <c r="AS315" i="2" l="1"/>
  <c r="AW315" i="2"/>
  <c r="AP316" i="2"/>
  <c r="AN316" i="2"/>
  <c r="AT316" i="2" s="1"/>
  <c r="AV316" i="2"/>
  <c r="AU316" i="2"/>
  <c r="AO316" i="2"/>
  <c r="AS316" i="2" l="1"/>
  <c r="AW316" i="2"/>
  <c r="AP317" i="2"/>
  <c r="AN317" i="2"/>
  <c r="AT317" i="2" s="1"/>
  <c r="AV317" i="2"/>
  <c r="AU317" i="2"/>
  <c r="AO317" i="2"/>
  <c r="AW317" i="2" l="1"/>
  <c r="AP318" i="2"/>
  <c r="AN318" i="2"/>
  <c r="AT318" i="2" s="1"/>
  <c r="AS317" i="2"/>
  <c r="AV318" i="2"/>
  <c r="AU318" i="2"/>
  <c r="AO318" i="2"/>
  <c r="AS318" i="2" l="1"/>
  <c r="AW318" i="2"/>
  <c r="AP320" i="2"/>
  <c r="AN320" i="2"/>
  <c r="AT320" i="2" s="1"/>
  <c r="AP319" i="2"/>
  <c r="AN319" i="2"/>
  <c r="AT319" i="2" s="1"/>
  <c r="AV320" i="2"/>
  <c r="AU320" i="2"/>
  <c r="AU319" i="2"/>
  <c r="AV319" i="2"/>
  <c r="AO319" i="2"/>
  <c r="AO320" i="2"/>
  <c r="AS320" i="2" l="1"/>
  <c r="AS319" i="2"/>
  <c r="AW320" i="2"/>
  <c r="AW319" i="2"/>
  <c r="AP30" i="2" l="1"/>
  <c r="AN30" i="2"/>
  <c r="AT30" i="2" s="1"/>
  <c r="AO30" i="2"/>
  <c r="AV30" i="2"/>
  <c r="AU30" i="2"/>
  <c r="AW30" i="2" l="1"/>
  <c r="AS30" i="2"/>
  <c r="G7" i="4"/>
  <c r="I7" i="4"/>
  <c r="K7" i="4"/>
  <c r="AH32" i="2"/>
  <c r="AU32" i="2" s="1"/>
  <c r="AN32" i="2" l="1"/>
  <c r="AT32" i="2" s="1"/>
  <c r="AP32" i="2"/>
  <c r="AO32" i="2"/>
  <c r="AV32" i="2"/>
  <c r="AW32" i="2" l="1"/>
  <c r="AS32" i="2"/>
</calcChain>
</file>

<file path=xl/sharedStrings.xml><?xml version="1.0" encoding="utf-8"?>
<sst xmlns="http://schemas.openxmlformats.org/spreadsheetml/2006/main" count="1562" uniqueCount="817">
  <si>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</si>
  <si>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</si>
  <si>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</si>
  <si>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</si>
  <si>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</si>
  <si>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</si>
  <si>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</si>
  <si>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</si>
  <si>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</si>
  <si>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</si>
  <si>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</si>
  <si>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</si>
  <si>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</si>
  <si>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</si>
  <si>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</si>
  <si>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</si>
  <si>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</si>
  <si>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</si>
  <si>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</si>
  <si>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</si>
  <si>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</si>
  <si>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</si>
  <si>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</si>
  <si>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</si>
  <si>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</si>
  <si>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</si>
  <si>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</si>
  <si>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</si>
  <si>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</si>
  <si>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</si>
  <si>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</si>
  <si>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</si>
  <si>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</si>
  <si>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</si>
  <si>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</si>
  <si>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</si>
  <si>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</si>
  <si>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</si>
  <si>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</si>
  <si>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</si>
  <si>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</si>
  <si>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</si>
  <si>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</si>
  <si>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</si>
  <si>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</si>
  <si>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</si>
  <si>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</si>
  <si>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</si>
  <si>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</si>
  <si>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</si>
  <si>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</si>
  <si>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</si>
  <si>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</si>
  <si>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</si>
  <si>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</si>
  <si>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</si>
  <si>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</si>
  <si>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</si>
  <si>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</si>
  <si>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</si>
  <si>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</si>
  <si>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</si>
  <si>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</si>
  <si>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</si>
  <si>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</si>
  <si>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</si>
  <si>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</si>
  <si>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</si>
  <si>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</si>
  <si>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</si>
  <si>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</si>
  <si>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</si>
  <si>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</si>
  <si>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</si>
  <si>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</si>
  <si>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</si>
  <si>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</si>
  <si>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</si>
  <si>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</si>
  <si>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</si>
  <si>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</si>
  <si>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</si>
  <si>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</si>
  <si>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</si>
  <si>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</si>
  <si>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</si>
  <si>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</si>
  <si>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</si>
  <si>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</si>
  <si>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</si>
  <si>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</si>
  <si>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</si>
  <si>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</si>
  <si>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</si>
  <si>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</si>
  <si>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</si>
  <si>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</si>
  <si>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</si>
  <si>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</si>
  <si>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</si>
  <si>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</si>
  <si>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</si>
  <si>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</si>
  <si>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</si>
  <si>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</si>
  <si>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</si>
  <si>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</si>
  <si>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</si>
  <si>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</si>
  <si>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</si>
  <si>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</si>
  <si>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</si>
  <si>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</si>
  <si>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</si>
  <si>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</si>
  <si>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</si>
  <si>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</si>
  <si>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</si>
  <si>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</si>
  <si>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</si>
  <si>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</si>
  <si>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</si>
  <si>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</si>
  <si>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</si>
  <si>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</si>
  <si>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</si>
  <si>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</si>
  <si>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</si>
  <si>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</si>
  <si>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</si>
  <si>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</si>
  <si>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</si>
  <si>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</si>
  <si>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</si>
  <si>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</si>
  <si>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</si>
  <si>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</si>
  <si>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</si>
  <si>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</si>
  <si>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</si>
  <si>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</si>
  <si>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</si>
  <si>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</si>
  <si>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</si>
  <si>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</si>
  <si>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</si>
  <si>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</si>
  <si>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</si>
  <si>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</si>
  <si>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</si>
  <si>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</si>
  <si>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</si>
  <si>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</si>
  <si>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</si>
  <si>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</si>
  <si>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</si>
  <si>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</si>
  <si>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</si>
  <si>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</si>
  <si>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</si>
  <si>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</si>
  <si>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</si>
  <si>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</si>
  <si>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</si>
  <si>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</si>
  <si>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</si>
  <si>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</si>
  <si>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</si>
  <si>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</si>
  <si>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</si>
  <si>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</si>
  <si>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</si>
  <si>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</si>
  <si>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</si>
  <si>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</si>
  <si>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</si>
  <si>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</si>
  <si>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</si>
  <si>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</si>
  <si>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</si>
  <si>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</si>
  <si>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</si>
  <si>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</si>
  <si>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</si>
  <si>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</si>
  <si>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</si>
  <si>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</si>
  <si>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</si>
  <si>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</si>
  <si>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</si>
  <si>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</si>
  <si>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</si>
  <si>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</si>
  <si>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</si>
  <si>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</si>
  <si>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</si>
  <si>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</si>
  <si>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</si>
  <si>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</si>
  <si>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</si>
  <si>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</si>
  <si>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</si>
  <si>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</si>
  <si>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</si>
  <si>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</si>
  <si>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</si>
  <si>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</si>
  <si>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</si>
  <si>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</si>
  <si>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</si>
  <si>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</si>
  <si>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</si>
  <si>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</si>
  <si>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</si>
  <si>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</si>
  <si>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</si>
  <si>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</si>
  <si>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</si>
  <si>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</si>
  <si>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</si>
  <si>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</si>
  <si>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</si>
  <si>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</si>
  <si>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</si>
  <si>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</si>
  <si>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</si>
  <si>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</si>
  <si>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</si>
  <si>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</si>
  <si>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</si>
  <si>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</si>
  <si>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</si>
  <si>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</si>
  <si>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</si>
  <si>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</si>
  <si>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</si>
  <si>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</si>
  <si>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</si>
  <si>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</si>
  <si>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</si>
  <si>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</si>
  <si>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</si>
  <si>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</si>
  <si>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</si>
  <si>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</si>
  <si>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</si>
  <si>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</si>
  <si>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</si>
  <si>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</si>
  <si>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</si>
  <si>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</si>
  <si>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</si>
  <si>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</si>
  <si>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</si>
  <si>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</si>
  <si>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</si>
  <si>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</si>
  <si>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</si>
  <si>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</si>
  <si>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</si>
  <si>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</si>
  <si>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</si>
  <si>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</si>
  <si>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</si>
  <si>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</si>
  <si>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</si>
  <si>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</si>
  <si>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</si>
  <si>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</si>
  <si>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</si>
  <si>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</si>
  <si>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</si>
  <si>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</si>
  <si>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</si>
  <si>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</si>
  <si>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</si>
  <si>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</si>
  <si>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</si>
  <si>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</si>
  <si>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</si>
  <si>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</si>
  <si>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</si>
  <si>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</si>
  <si>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</si>
  <si>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</si>
  <si>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</si>
  <si>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</si>
  <si>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</si>
  <si>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</si>
  <si>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</si>
  <si>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</si>
  <si>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</si>
  <si>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</si>
  <si>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</si>
  <si>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</si>
  <si>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</si>
  <si>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</si>
  <si>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</si>
  <si>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</si>
  <si>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</si>
  <si>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</si>
  <si>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</si>
  <si>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</si>
  <si>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</si>
  <si>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</si>
  <si>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</si>
  <si>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</si>
  <si>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</si>
  <si>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</si>
  <si>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</si>
  <si>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</si>
  <si>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</si>
  <si>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</si>
  <si>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</si>
  <si>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</si>
  <si>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</si>
  <si>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</si>
  <si>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</si>
  <si>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</si>
  <si>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</si>
  <si>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</si>
  <si>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</si>
  <si>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</si>
  <si>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</si>
  <si>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</si>
  <si>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</si>
  <si>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</si>
  <si>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</si>
  <si>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</si>
  <si>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</si>
  <si>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</si>
  <si>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</si>
  <si>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</si>
  <si>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</si>
  <si>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</si>
  <si>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</si>
  <si>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</si>
  <si>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</si>
  <si>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</si>
  <si>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</si>
  <si>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</si>
  <si>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</si>
  <si>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</si>
  <si>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</si>
  <si>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</si>
  <si>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</si>
  <si>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</si>
  <si>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</si>
  <si>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</si>
  <si>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</si>
  <si>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</si>
  <si>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</si>
  <si>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</si>
  <si>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</si>
  <si>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</si>
  <si>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</si>
  <si>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</si>
  <si>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</si>
  <si>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</si>
  <si>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</si>
  <si>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</si>
  <si>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</si>
  <si>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</si>
  <si>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</si>
  <si>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</si>
  <si>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</si>
  <si>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</si>
  <si>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</si>
  <si>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</si>
  <si>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</si>
  <si>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</si>
  <si>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</si>
  <si>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</si>
  <si>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</si>
  <si>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</si>
  <si>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</si>
  <si>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</si>
  <si>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</si>
  <si>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</si>
  <si>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</si>
  <si>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</si>
  <si>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</si>
  <si>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</si>
  <si>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</si>
  <si>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</si>
  <si>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</si>
  <si>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</si>
  <si>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</si>
  <si>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</si>
  <si>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</si>
  <si>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</si>
  <si>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</si>
  <si>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</si>
  <si>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</si>
  <si>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</si>
  <si>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</si>
  <si>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</si>
  <si>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</si>
  <si>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</si>
  <si>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</si>
  <si>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</si>
  <si>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</si>
  <si>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</si>
  <si>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</si>
  <si>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</si>
  <si>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</si>
  <si>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</si>
  <si>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</si>
  <si>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</si>
  <si>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</si>
  <si>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</si>
  <si>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</si>
  <si>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</si>
  <si>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</si>
  <si>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</si>
  <si>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</si>
  <si>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</si>
  <si>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</si>
  <si>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</si>
  <si>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</si>
  <si>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</si>
  <si>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</si>
  <si>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</si>
  <si>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</si>
  <si>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</si>
  <si>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</si>
  <si>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</si>
  <si>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</si>
  <si>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</si>
  <si>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</si>
  <si>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</si>
  <si>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</si>
  <si>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</si>
  <si>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</si>
  <si>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</si>
  <si>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</si>
  <si>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</si>
  <si>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</si>
  <si>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</si>
  <si>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</si>
  <si>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</si>
  <si>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</si>
  <si>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</si>
  <si>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</si>
  <si>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</si>
  <si>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</si>
  <si>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</si>
  <si>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</si>
  <si>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</si>
  <si>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</si>
  <si>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</si>
  <si>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</si>
  <si>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</si>
  <si>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</si>
  <si>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</si>
  <si>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</si>
  <si>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</si>
  <si>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</si>
  <si>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</si>
  <si>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</si>
  <si>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</si>
  <si>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</si>
  <si>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</si>
  <si>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</si>
  <si>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</si>
  <si>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</si>
  <si>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</si>
  <si>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</si>
  <si>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</si>
  <si>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</si>
  <si>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</si>
  <si>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</si>
  <si>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</si>
  <si>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</si>
  <si>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</si>
  <si>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</si>
  <si>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</si>
  <si>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</si>
  <si>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</si>
  <si>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</si>
  <si>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</si>
  <si>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</si>
  <si>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</si>
  <si>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</si>
  <si>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</si>
  <si>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</si>
  <si>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</si>
  <si>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</si>
  <si>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</si>
  <si>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</si>
  <si>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</si>
  <si>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</si>
  <si>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</si>
  <si>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</si>
  <si>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</si>
  <si>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</si>
  <si>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</si>
  <si>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</si>
  <si>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</si>
  <si>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</si>
  <si>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</si>
  <si>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</si>
  <si>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</si>
  <si>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</si>
  <si>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</si>
  <si>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</si>
  <si>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</si>
  <si>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</si>
  <si>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</si>
  <si>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</si>
  <si>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</si>
  <si>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</si>
  <si>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</si>
  <si>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</si>
  <si>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</si>
  <si>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</si>
  <si>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</si>
  <si>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</si>
  <si>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</si>
  <si>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</si>
  <si>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</si>
  <si>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</si>
  <si>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</si>
  <si>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</si>
  <si>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</si>
  <si>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</si>
  <si>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</si>
  <si>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</si>
  <si>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</si>
  <si>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</si>
  <si>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</si>
  <si>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</si>
  <si>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</si>
  <si>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</si>
  <si>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</si>
  <si>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</si>
  <si>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</si>
  <si>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</si>
  <si>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</si>
  <si>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</si>
  <si>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</si>
  <si>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</si>
  <si>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</si>
  <si>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</si>
  <si>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</si>
  <si>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</si>
  <si>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</si>
  <si>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</si>
  <si>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</si>
  <si>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</si>
  <si>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</si>
  <si>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</si>
  <si>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</si>
  <si>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</si>
  <si>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</si>
  <si>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</si>
  <si>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</si>
  <si>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</si>
  <si>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</si>
  <si>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</si>
  <si>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</si>
  <si>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</si>
  <si>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</si>
  <si>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</si>
  <si>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</si>
  <si>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</si>
  <si>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</si>
  <si>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</si>
  <si>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</si>
  <si>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</si>
  <si>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</si>
  <si>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</si>
  <si>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</si>
  <si>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</si>
  <si>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</si>
  <si>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</si>
  <si>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</si>
  <si>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</si>
  <si>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</si>
  <si>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</si>
  <si>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</si>
  <si>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</si>
  <si>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</si>
  <si>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</si>
  <si>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</si>
  <si>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</si>
  <si>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</si>
  <si>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</si>
  <si>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</si>
  <si>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</si>
  <si>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</si>
  <si>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</si>
  <si>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</si>
  <si>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</si>
  <si>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</si>
  <si>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</si>
  <si>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</si>
  <si>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</si>
  <si>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</si>
  <si>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</si>
  <si>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</si>
  <si>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</si>
  <si>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</si>
  <si>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</si>
  <si>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</si>
  <si>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</si>
  <si>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</si>
  <si>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</si>
  <si>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</si>
  <si>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</si>
  <si>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</si>
  <si>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</si>
  <si>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</si>
  <si>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</si>
  <si>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</si>
  <si>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</si>
  <si>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</si>
  <si>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</si>
  <si>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</si>
  <si>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</si>
  <si>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</si>
  <si>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</si>
  <si>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</si>
  <si>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</si>
  <si>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</si>
  <si>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</si>
  <si>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</si>
  <si>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</si>
  <si>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</si>
  <si>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</si>
  <si>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</si>
  <si>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</si>
  <si>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</si>
  <si>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</si>
  <si>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</si>
  <si>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</si>
  <si>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</si>
  <si>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</si>
  <si>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</si>
  <si>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</si>
  <si>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</si>
  <si>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</si>
  <si>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</si>
  <si>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</si>
  <si>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</si>
  <si>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</si>
  <si>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</si>
  <si>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</si>
  <si>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</si>
  <si>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</si>
  <si>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</si>
  <si>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"2022 - Las Malvinas son argentinas”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</si>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</sst>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9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2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4" fillId="0" borderId="0" xfId="4" applyNumberFormat="1" applyFont="1" applyBorder="1" applyAlignment="1">
      <alignment horizontal="right"/>
    </xf>
    <xf numFmtId="167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8" fillId="0" borderId="0" xfId="0" applyFont="1" applyAlignment="1">
      <alignment horizontal="left"/>
    </xf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266339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zoomScaleNormal="100" workbookViewId="0">
      <pane ySplit="1" topLeftCell="A32" activePane="bottomLeft" state="frozen"/>
      <selection pane="bottomLeft" activeCell="B48" sqref="B48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24.200399999999998</v>
      </c>
      <c r="G2" s="82"/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663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12371.24</v>
      </c>
      <c r="E5" s="95">
        <f>ROUND(D5/15,2)</f>
        <v>824.75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4</v>
      </c>
      <c r="B7" s="163" t="s">
        <v>9</v>
      </c>
      <c r="C7" s="175">
        <v>820.71</v>
      </c>
      <c r="D7" s="95"/>
      <c r="E7" s="83"/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4</v>
      </c>
      <c r="B8" s="164" t="s">
        <v>10</v>
      </c>
      <c r="C8" s="175">
        <v>26798.030000000002</v>
      </c>
      <c r="D8" s="95"/>
      <c r="E8" s="83"/>
      <c r="F8" s="89"/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4</v>
      </c>
      <c r="B9" s="164" t="s">
        <v>11</v>
      </c>
      <c r="C9" s="101">
        <v>26876.42</v>
      </c>
      <c r="D9" s="95"/>
      <c r="E9" s="83"/>
      <c r="F9" s="89"/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622</v>
      </c>
      <c r="C10" s="101">
        <v>23078.870000000003</v>
      </c>
      <c r="D10" s="95"/>
      <c r="E10" s="83"/>
      <c r="F10" s="89"/>
      <c r="I10" s="81">
        <v>8</v>
      </c>
      <c r="J10" s="83">
        <v>0.4</v>
      </c>
      <c r="L10" s="137">
        <v>9</v>
      </c>
    </row>
    <row r="11" spans="1:14" s="81" customFormat="1" x14ac:dyDescent="0.2">
      <c r="A11" s="162"/>
      <c r="B11" s="164" t="s">
        <v>809</v>
      </c>
      <c r="C11" s="101">
        <v>21578.870000000003</v>
      </c>
      <c r="D11" s="95"/>
      <c r="E11" s="83"/>
      <c r="F11" s="89"/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v>50119.41</v>
      </c>
      <c r="D12" s="95"/>
      <c r="E12" s="83"/>
      <c r="F12" s="89"/>
      <c r="G12" s="84"/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22167.01</v>
      </c>
      <c r="D13" s="95"/>
      <c r="E13" s="83"/>
      <c r="F13" s="90"/>
      <c r="G13" s="84"/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2022 11 Cba V 2 7</v>
      </c>
      <c r="N13" s="217"/>
    </row>
    <row r="14" spans="1:14" s="81" customFormat="1" x14ac:dyDescent="0.2">
      <c r="A14" s="162" t="s">
        <v>4</v>
      </c>
      <c r="B14" s="164" t="s">
        <v>14</v>
      </c>
      <c r="C14" s="175">
        <v>22412.35</v>
      </c>
      <c r="D14" s="95"/>
      <c r="E14" s="83"/>
      <c r="F14" s="90"/>
      <c r="G14" s="84"/>
      <c r="I14" s="81">
        <v>12</v>
      </c>
      <c r="J14" s="83">
        <v>0.6</v>
      </c>
      <c r="M14" s="215" t="str">
        <f ca="1">MID($M$13,14,2)</f>
        <v>11</v>
      </c>
    </row>
    <row r="15" spans="1:14" s="81" customFormat="1" x14ac:dyDescent="0.2">
      <c r="A15" s="162" t="s">
        <v>4</v>
      </c>
      <c r="B15" s="164" t="s">
        <v>609</v>
      </c>
      <c r="C15" s="101">
        <v>31433.48</v>
      </c>
      <c r="D15" s="95"/>
      <c r="E15" s="83"/>
      <c r="F15" s="90"/>
      <c r="G15" s="84"/>
      <c r="I15" s="81">
        <v>13</v>
      </c>
      <c r="J15" s="83">
        <v>0.6</v>
      </c>
      <c r="M15" s="215" t="str">
        <f ca="1">MID($M$13,9,4)</f>
        <v>2022</v>
      </c>
    </row>
    <row r="16" spans="1:14" s="81" customFormat="1" x14ac:dyDescent="0.2">
      <c r="A16" s="162"/>
      <c r="B16" s="164" t="s">
        <v>815</v>
      </c>
      <c r="C16" s="101">
        <v>20912.349999999999</v>
      </c>
      <c r="D16" s="95"/>
      <c r="E16" s="83"/>
      <c r="F16" s="90"/>
      <c r="G16" s="84"/>
      <c r="I16" s="81">
        <v>14</v>
      </c>
      <c r="J16" s="83">
        <v>0.6</v>
      </c>
      <c r="M16" s="81" t="str">
        <f ca="1">VLOOKUP(VALUE(M14),L17:M28,2,FALSE)</f>
        <v>NOVIEMBRE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258.13</v>
      </c>
      <c r="D18" s="95"/>
      <c r="E18" s="167"/>
      <c r="F18" s="84"/>
      <c r="G18" s="84"/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11511.67</v>
      </c>
      <c r="D19" s="95"/>
      <c r="E19" s="216" t="s">
        <v>574</v>
      </c>
      <c r="F19" s="84"/>
      <c r="G19" s="84"/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11393.97</v>
      </c>
      <c r="D20" s="95"/>
      <c r="E20" s="167"/>
      <c r="F20" s="84"/>
      <c r="G20" s="84"/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01">
        <v>11037.15</v>
      </c>
      <c r="D22" s="166"/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01">
        <v>10272.65</v>
      </c>
      <c r="D23" s="166"/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505.99</v>
      </c>
      <c r="D25" s="95"/>
      <c r="F25" s="87">
        <f>+C25*1.5</f>
        <v>758.98500000000001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f>C25</f>
        <v>505.99</v>
      </c>
      <c r="D26" s="95"/>
      <c r="F26" s="87">
        <f>C26</f>
        <v>505.99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20.27</v>
      </c>
      <c r="F28" s="87">
        <f>F25</f>
        <v>758.98500000000001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16.88</v>
      </c>
      <c r="D29" s="92"/>
      <c r="E29" s="92"/>
      <c r="F29" s="93">
        <f>F26</f>
        <v>505.99</v>
      </c>
      <c r="G29" s="92">
        <f>C29*30</f>
        <v>506.4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810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811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1">
        <f>(C37*2)+0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660</v>
      </c>
      <c r="C39" s="77">
        <f>C38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5" t="s">
        <v>607</v>
      </c>
      <c r="B40" s="75"/>
      <c r="C40" s="78"/>
      <c r="D40" s="75"/>
      <c r="E40" s="75"/>
      <c r="F40" s="75"/>
      <c r="G40" s="75"/>
      <c r="H40" s="5"/>
      <c r="I40">
        <v>40</v>
      </c>
      <c r="J40" s="3">
        <v>1.5</v>
      </c>
    </row>
    <row r="41" spans="1:13" x14ac:dyDescent="0.2">
      <c r="A41" s="74" t="s">
        <v>4</v>
      </c>
      <c r="B41" s="2" t="s">
        <v>636</v>
      </c>
      <c r="C41" s="100">
        <v>8168.15</v>
      </c>
      <c r="D41" s="6"/>
      <c r="E41" s="165"/>
      <c r="F41" s="5"/>
      <c r="G41" s="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635</v>
      </c>
      <c r="C42" s="101">
        <v>8652.27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634</v>
      </c>
      <c r="C43" s="101">
        <v>9136.5</v>
      </c>
      <c r="D43" s="6"/>
      <c r="E43" s="165"/>
      <c r="H43" s="5"/>
      <c r="I43">
        <v>43</v>
      </c>
      <c r="J43" s="3">
        <v>1.5</v>
      </c>
    </row>
    <row r="44" spans="1:13" x14ac:dyDescent="0.2">
      <c r="A44" s="74"/>
      <c r="B44" s="2" t="s">
        <v>813</v>
      </c>
      <c r="C44" s="101">
        <v>9674.9599999999991</v>
      </c>
      <c r="D44" s="6"/>
      <c r="E44" s="165"/>
      <c r="I44">
        <v>44</v>
      </c>
      <c r="J44" s="3">
        <v>1.5</v>
      </c>
    </row>
    <row r="45" spans="1:13" x14ac:dyDescent="0.2">
      <c r="A45" s="74" t="s">
        <v>4</v>
      </c>
      <c r="B45" s="2" t="s">
        <v>812</v>
      </c>
      <c r="C45" s="101">
        <v>11072.91</v>
      </c>
      <c r="D45" s="6"/>
      <c r="E45" s="165"/>
      <c r="F45" s="8">
        <f>+C46</f>
        <v>13765.22</v>
      </c>
      <c r="G45" s="8"/>
      <c r="I45">
        <v>45</v>
      </c>
      <c r="J45" s="3">
        <v>1.5</v>
      </c>
    </row>
    <row r="46" spans="1:13" x14ac:dyDescent="0.2">
      <c r="A46" s="74"/>
      <c r="B46" s="2" t="s">
        <v>814</v>
      </c>
      <c r="C46" s="101">
        <v>13765.22</v>
      </c>
      <c r="D46" s="6"/>
      <c r="E46" s="165"/>
      <c r="F46" s="8"/>
      <c r="G46" s="8"/>
      <c r="H46" s="5"/>
      <c r="I46">
        <v>46</v>
      </c>
      <c r="J46" s="3">
        <v>1.5</v>
      </c>
    </row>
    <row r="47" spans="1:13" x14ac:dyDescent="0.2">
      <c r="A47" s="74"/>
      <c r="B47" s="2" t="s">
        <v>816</v>
      </c>
      <c r="C47" s="101">
        <v>11611.37</v>
      </c>
      <c r="D47" s="6"/>
      <c r="E47" s="165"/>
      <c r="F47" s="8"/>
      <c r="G47" s="8"/>
      <c r="I47">
        <v>47</v>
      </c>
      <c r="J47" s="3">
        <v>1.5</v>
      </c>
    </row>
    <row r="48" spans="1:13" x14ac:dyDescent="0.2">
      <c r="A48" s="74" t="s">
        <v>4</v>
      </c>
      <c r="B48" s="2" t="s">
        <v>23</v>
      </c>
      <c r="C48" s="101">
        <v>463.62</v>
      </c>
      <c r="D48" s="6"/>
      <c r="E48" s="165"/>
      <c r="I48">
        <v>48</v>
      </c>
      <c r="J48" s="3">
        <v>1.5</v>
      </c>
    </row>
    <row r="49" spans="1:12" x14ac:dyDescent="0.2">
      <c r="A49" s="74" t="s">
        <v>4</v>
      </c>
      <c r="B49" s="2" t="s">
        <v>24</v>
      </c>
      <c r="C49" s="101">
        <v>671.73</v>
      </c>
      <c r="D49" s="6"/>
      <c r="E49" s="165"/>
      <c r="I49">
        <v>49</v>
      </c>
      <c r="J49" s="3">
        <v>1.5</v>
      </c>
    </row>
    <row r="50" spans="1:12" x14ac:dyDescent="0.2">
      <c r="A50" s="74" t="s">
        <v>4</v>
      </c>
      <c r="B50" s="2" t="s">
        <v>654</v>
      </c>
      <c r="C50" s="101">
        <f>ROUND(C49/2,2)</f>
        <v>335.87</v>
      </c>
      <c r="D50" s="6"/>
      <c r="E50" s="165"/>
      <c r="I50">
        <v>50</v>
      </c>
      <c r="J50" s="3">
        <v>1.5</v>
      </c>
      <c r="L50">
        <f>267.87+5.37</f>
        <v>273.24</v>
      </c>
    </row>
    <row r="51" spans="1:12" x14ac:dyDescent="0.2">
      <c r="A51" s="75" t="s">
        <v>607</v>
      </c>
      <c r="B51" s="75"/>
      <c r="C51" s="78"/>
      <c r="D51" s="75"/>
      <c r="E51" s="75"/>
      <c r="F51" s="75"/>
      <c r="G51" s="75"/>
      <c r="I51">
        <v>51</v>
      </c>
      <c r="J51" s="3">
        <v>1.5</v>
      </c>
    </row>
    <row r="52" spans="1:12" ht="12" customHeight="1" x14ac:dyDescent="0.2">
      <c r="A52" s="74"/>
      <c r="B52" s="74" t="s">
        <v>25</v>
      </c>
      <c r="C52" s="94">
        <f>INT((D52/15*100)+0.49)/100</f>
        <v>80.67</v>
      </c>
      <c r="D52" s="74">
        <f>D53</f>
        <v>1210</v>
      </c>
      <c r="E52" s="74"/>
      <c r="F52" s="74">
        <v>1210</v>
      </c>
      <c r="G52" s="74"/>
      <c r="I52">
        <v>52</v>
      </c>
      <c r="J52" s="3">
        <v>1.5</v>
      </c>
    </row>
    <row r="53" spans="1:12" x14ac:dyDescent="0.2">
      <c r="A53" s="74"/>
      <c r="B53" s="74" t="s">
        <v>26</v>
      </c>
      <c r="C53" s="94">
        <v>1210</v>
      </c>
      <c r="D53" s="74">
        <v>1210</v>
      </c>
      <c r="E53" s="74"/>
      <c r="F53" s="74"/>
      <c r="G53" s="74"/>
      <c r="I53">
        <v>53</v>
      </c>
      <c r="J53" s="3">
        <v>1.5</v>
      </c>
    </row>
    <row r="54" spans="1:12" x14ac:dyDescent="0.2">
      <c r="A54" s="74"/>
      <c r="B54" s="2" t="s">
        <v>27</v>
      </c>
      <c r="C54" s="100">
        <v>327.60000000000002</v>
      </c>
    </row>
    <row r="55" spans="1:12" x14ac:dyDescent="0.2">
      <c r="A55" s="74"/>
      <c r="B55" s="2" t="s">
        <v>28</v>
      </c>
      <c r="C55" s="100">
        <v>170.34</v>
      </c>
    </row>
    <row r="56" spans="1:12" x14ac:dyDescent="0.2">
      <c r="A56" s="74"/>
      <c r="B56" s="2" t="s">
        <v>29</v>
      </c>
      <c r="C56" s="101">
        <v>327.60000000000002</v>
      </c>
    </row>
    <row r="57" spans="1:12" x14ac:dyDescent="0.2">
      <c r="A57" s="74"/>
      <c r="B57" s="2" t="s">
        <v>30</v>
      </c>
      <c r="C57" s="101">
        <v>155.18</v>
      </c>
    </row>
    <row r="58" spans="1:12" x14ac:dyDescent="0.2">
      <c r="A58" s="74"/>
      <c r="B58" s="2" t="s">
        <v>31</v>
      </c>
      <c r="C58" s="101">
        <v>149.55200000000002</v>
      </c>
      <c r="I58" s="174">
        <f>+C62/15</f>
        <v>421.55133333333339</v>
      </c>
    </row>
    <row r="59" spans="1:12" x14ac:dyDescent="0.2">
      <c r="A59" s="74"/>
      <c r="B59" s="2" t="s">
        <v>32</v>
      </c>
      <c r="C59" s="101">
        <v>252.66800000000001</v>
      </c>
      <c r="I59" s="3"/>
    </row>
    <row r="60" spans="1:12" x14ac:dyDescent="0.2">
      <c r="A60" s="74"/>
      <c r="B60" s="2" t="s">
        <v>33</v>
      </c>
      <c r="C60" s="101">
        <v>14.195</v>
      </c>
      <c r="E60" s="73">
        <f>F60/C60</f>
        <v>23.078548784783376</v>
      </c>
      <c r="F60" s="5">
        <f>C54</f>
        <v>327.60000000000002</v>
      </c>
      <c r="I60" s="3"/>
    </row>
    <row r="61" spans="1:12" x14ac:dyDescent="0.2">
      <c r="A61" s="74"/>
      <c r="B61" s="2" t="s">
        <v>34</v>
      </c>
      <c r="C61" s="99">
        <v>11.3559</v>
      </c>
      <c r="E61" s="73">
        <f>F61/C61</f>
        <v>28.848440017964233</v>
      </c>
      <c r="F61" s="5">
        <f>C54</f>
        <v>327.60000000000002</v>
      </c>
      <c r="I61" s="3"/>
    </row>
    <row r="62" spans="1:12" x14ac:dyDescent="0.2">
      <c r="A62" s="74" t="s">
        <v>4</v>
      </c>
      <c r="B62" s="2" t="s">
        <v>623</v>
      </c>
      <c r="C62" s="100">
        <v>6323.27</v>
      </c>
      <c r="D62" s="3">
        <f>ROUND(C62/15,2)</f>
        <v>421.55</v>
      </c>
      <c r="E62" s="79">
        <v>38.47</v>
      </c>
      <c r="F62" s="3">
        <f>+C62*2</f>
        <v>12646.54</v>
      </c>
    </row>
    <row r="63" spans="1:12" x14ac:dyDescent="0.2">
      <c r="A63" s="74" t="s">
        <v>4</v>
      </c>
      <c r="B63" s="2" t="s">
        <v>35</v>
      </c>
      <c r="C63" s="100">
        <v>631.44000000000005</v>
      </c>
      <c r="D63" s="172"/>
      <c r="F63" s="3"/>
    </row>
    <row r="64" spans="1:12" x14ac:dyDescent="0.2">
      <c r="A64" s="74" t="s">
        <v>4</v>
      </c>
      <c r="B64" s="2" t="s">
        <v>655</v>
      </c>
      <c r="C64" s="100">
        <f>C63/2</f>
        <v>315.72000000000003</v>
      </c>
      <c r="D64" s="172"/>
      <c r="F64" s="3"/>
    </row>
    <row r="65" spans="1:7" x14ac:dyDescent="0.2">
      <c r="A65" s="75" t="s">
        <v>607</v>
      </c>
      <c r="B65" s="75"/>
      <c r="C65" s="76"/>
      <c r="D65" s="75"/>
      <c r="E65" s="75"/>
      <c r="F65" s="75"/>
      <c r="G65" s="75"/>
    </row>
    <row r="66" spans="1:7" x14ac:dyDescent="0.2">
      <c r="A66" s="104" t="s">
        <v>8</v>
      </c>
      <c r="B66" t="s">
        <v>610</v>
      </c>
      <c r="C66" s="103">
        <v>1210</v>
      </c>
      <c r="D66" s="102"/>
      <c r="E66" s="102"/>
      <c r="F66">
        <v>2420</v>
      </c>
      <c r="G66" s="212"/>
    </row>
    <row r="67" spans="1:7" x14ac:dyDescent="0.2">
      <c r="A67" s="75" t="s">
        <v>607</v>
      </c>
      <c r="B67" s="75"/>
      <c r="C67" s="76"/>
      <c r="D67" s="75"/>
      <c r="E67" s="75"/>
      <c r="F67" s="75"/>
      <c r="G67" s="75"/>
    </row>
    <row r="68" spans="1:7" x14ac:dyDescent="0.2">
      <c r="A68" s="74"/>
      <c r="B68" s="2" t="s">
        <v>36</v>
      </c>
      <c r="C68" s="9">
        <v>0</v>
      </c>
      <c r="D68" s="10"/>
      <c r="G68" s="212"/>
    </row>
    <row r="69" spans="1:7" x14ac:dyDescent="0.2">
      <c r="A69" s="75" t="s">
        <v>607</v>
      </c>
      <c r="B69" s="75"/>
      <c r="C69" s="76"/>
      <c r="D69" s="75"/>
      <c r="E69" s="75"/>
      <c r="F69" s="75"/>
      <c r="G69" s="75"/>
    </row>
    <row r="70" spans="1:7" x14ac:dyDescent="0.2">
      <c r="A70" s="74"/>
      <c r="B70" t="s">
        <v>37</v>
      </c>
      <c r="C70" s="11">
        <v>-0.11</v>
      </c>
    </row>
    <row r="71" spans="1:7" x14ac:dyDescent="0.2">
      <c r="A71" s="74"/>
      <c r="B71" t="s">
        <v>38</v>
      </c>
      <c r="C71" s="11">
        <v>0</v>
      </c>
    </row>
    <row r="72" spans="1:7" x14ac:dyDescent="0.2">
      <c r="A72" s="74"/>
      <c r="B72" t="s">
        <v>39</v>
      </c>
      <c r="C72" s="11">
        <v>-4.4999999999999998E-2</v>
      </c>
    </row>
    <row r="73" spans="1:7" x14ac:dyDescent="0.2">
      <c r="A73" s="74"/>
      <c r="B73" t="s">
        <v>40</v>
      </c>
      <c r="C73" s="11">
        <v>-2.7E-2</v>
      </c>
    </row>
    <row r="74" spans="1:7" x14ac:dyDescent="0.2">
      <c r="A74" s="74"/>
      <c r="B74" t="s">
        <v>41</v>
      </c>
      <c r="C74" s="11">
        <v>-3.0000000000000001E-3</v>
      </c>
      <c r="G74" s="212"/>
    </row>
    <row r="75" spans="1:7" x14ac:dyDescent="0.2">
      <c r="A75" s="75" t="s">
        <v>607</v>
      </c>
      <c r="B75" s="75"/>
      <c r="C75" s="76"/>
      <c r="D75" s="75"/>
      <c r="E75" s="75"/>
      <c r="F75" s="75"/>
      <c r="G75" s="75"/>
    </row>
    <row r="76" spans="1:7" x14ac:dyDescent="0.2">
      <c r="A76" s="74"/>
      <c r="B76" t="s">
        <v>42</v>
      </c>
      <c r="C76" s="11">
        <v>0.16</v>
      </c>
    </row>
    <row r="77" spans="1:7" x14ac:dyDescent="0.2">
      <c r="A77" s="74"/>
      <c r="B77" t="s">
        <v>43</v>
      </c>
      <c r="C77" s="11">
        <v>7.0000000000000007E-2</v>
      </c>
    </row>
    <row r="78" spans="1:7" x14ac:dyDescent="0.2">
      <c r="A78" s="74"/>
      <c r="B78" t="s">
        <v>44</v>
      </c>
      <c r="C78" s="11">
        <v>0.01</v>
      </c>
      <c r="G78" s="212"/>
    </row>
    <row r="79" spans="1:7" x14ac:dyDescent="0.2">
      <c r="A79" s="75" t="s">
        <v>607</v>
      </c>
      <c r="B79" s="75"/>
      <c r="C79" s="76"/>
      <c r="D79" s="75"/>
      <c r="E79" s="75"/>
      <c r="F79" s="75"/>
      <c r="G79" s="75"/>
    </row>
    <row r="80" spans="1:7" x14ac:dyDescent="0.2">
      <c r="A80" s="74"/>
      <c r="B80" t="s">
        <v>45</v>
      </c>
      <c r="C80" s="11">
        <v>3.5000000000000003E-2</v>
      </c>
    </row>
    <row r="81" spans="1:7" x14ac:dyDescent="0.2">
      <c r="A81" s="74"/>
      <c r="B81" t="s">
        <v>46</v>
      </c>
      <c r="C81" s="11">
        <v>6.0000000000000001E-3</v>
      </c>
    </row>
    <row r="82" spans="1:7" x14ac:dyDescent="0.2">
      <c r="A82" s="74"/>
      <c r="B82" t="s">
        <v>47</v>
      </c>
      <c r="C82" s="11">
        <v>5.3999999999999999E-2</v>
      </c>
      <c r="G82" s="212"/>
    </row>
    <row r="83" spans="1:7" x14ac:dyDescent="0.2">
      <c r="A83" s="75" t="s">
        <v>607</v>
      </c>
      <c r="B83" s="75"/>
      <c r="C83" s="76"/>
      <c r="D83" s="75"/>
      <c r="E83" s="75"/>
      <c r="F83" s="75"/>
      <c r="G83" s="75"/>
    </row>
    <row r="84" spans="1:7" x14ac:dyDescent="0.2">
      <c r="A84" s="74"/>
      <c r="B84" t="s">
        <v>48</v>
      </c>
      <c r="C84" s="4">
        <v>0.5</v>
      </c>
      <c r="G84" s="212"/>
    </row>
    <row r="85" spans="1:7" x14ac:dyDescent="0.2">
      <c r="A85" s="75" t="s">
        <v>607</v>
      </c>
      <c r="B85" s="75"/>
      <c r="C85" s="76"/>
      <c r="D85" s="75"/>
      <c r="E85" s="75"/>
      <c r="F85" s="75"/>
      <c r="G85" s="75"/>
    </row>
    <row r="86" spans="1:7" x14ac:dyDescent="0.2">
      <c r="A86" s="74" t="s">
        <v>4</v>
      </c>
      <c r="B86" s="74" t="s">
        <v>624</v>
      </c>
      <c r="C86" s="8">
        <v>0</v>
      </c>
      <c r="E86" s="8"/>
    </row>
    <row r="87" spans="1:7" x14ac:dyDescent="0.2">
      <c r="A87" s="74" t="s">
        <v>4</v>
      </c>
      <c r="B87" s="74" t="s">
        <v>625</v>
      </c>
      <c r="C87" s="8">
        <v>0</v>
      </c>
      <c r="E87" s="8"/>
    </row>
    <row r="88" spans="1:7" x14ac:dyDescent="0.2">
      <c r="A88" s="74" t="s">
        <v>4</v>
      </c>
      <c r="B88" s="74" t="s">
        <v>626</v>
      </c>
      <c r="C88" s="100">
        <v>0</v>
      </c>
      <c r="E88" s="8"/>
      <c r="F88" s="8">
        <f>+C88</f>
        <v>0</v>
      </c>
    </row>
    <row r="89" spans="1:7" x14ac:dyDescent="0.2">
      <c r="A89" s="74" t="s">
        <v>4</v>
      </c>
      <c r="B89" s="74" t="s">
        <v>627</v>
      </c>
      <c r="C89" s="8">
        <v>0</v>
      </c>
      <c r="E89" s="8"/>
    </row>
    <row r="90" spans="1:7" x14ac:dyDescent="0.2">
      <c r="A90" s="74" t="s">
        <v>4</v>
      </c>
      <c r="B90" s="74" t="s">
        <v>656</v>
      </c>
      <c r="C90" s="8">
        <v>0</v>
      </c>
      <c r="E90" s="8"/>
    </row>
    <row r="91" spans="1:7" x14ac:dyDescent="0.2">
      <c r="A91" s="74" t="s">
        <v>4</v>
      </c>
      <c r="B91" s="74" t="s">
        <v>658</v>
      </c>
      <c r="C91" s="8">
        <f>C90/2</f>
        <v>0</v>
      </c>
      <c r="E91" s="8"/>
    </row>
    <row r="92" spans="1:7" x14ac:dyDescent="0.2">
      <c r="A92" s="74"/>
      <c r="B92" s="74"/>
      <c r="C92" s="8"/>
      <c r="E92" s="8"/>
    </row>
    <row r="93" spans="1:7" x14ac:dyDescent="0.2">
      <c r="A93" s="74" t="s">
        <v>4</v>
      </c>
      <c r="B93" s="74" t="s">
        <v>611</v>
      </c>
      <c r="C93" s="8">
        <v>5455.2</v>
      </c>
    </row>
    <row r="94" spans="1:7" x14ac:dyDescent="0.2">
      <c r="A94" s="74" t="s">
        <v>4</v>
      </c>
      <c r="B94" s="74" t="s">
        <v>612</v>
      </c>
      <c r="C94" s="8">
        <v>6546.24</v>
      </c>
      <c r="G94" s="3"/>
    </row>
    <row r="95" spans="1:7" x14ac:dyDescent="0.2">
      <c r="A95" s="74" t="s">
        <v>4</v>
      </c>
      <c r="B95" s="74" t="s">
        <v>613</v>
      </c>
      <c r="C95" s="8">
        <v>10910.4</v>
      </c>
      <c r="F95" s="3">
        <f>+C95</f>
        <v>10910.4</v>
      </c>
    </row>
    <row r="96" spans="1:7" x14ac:dyDescent="0.2">
      <c r="A96" s="74" t="s">
        <v>4</v>
      </c>
      <c r="B96" s="74" t="s">
        <v>614</v>
      </c>
      <c r="C96" s="8">
        <v>279.94</v>
      </c>
    </row>
    <row r="97" spans="1:3" x14ac:dyDescent="0.2">
      <c r="A97" s="74" t="s">
        <v>4</v>
      </c>
      <c r="B97" s="74" t="s">
        <v>657</v>
      </c>
      <c r="C97" s="8">
        <v>545.52</v>
      </c>
    </row>
    <row r="98" spans="1:3" x14ac:dyDescent="0.2">
      <c r="A98" s="74" t="s">
        <v>4</v>
      </c>
      <c r="B98" s="74" t="s">
        <v>659</v>
      </c>
      <c r="C98" s="8">
        <f>C97/2</f>
        <v>272.76</v>
      </c>
    </row>
    <row r="99" spans="1:3" x14ac:dyDescent="0.2">
      <c r="B99" s="74" t="s">
        <v>628</v>
      </c>
      <c r="C99" s="8">
        <v>-280.91000000000003</v>
      </c>
    </row>
    <row r="100" spans="1:3" x14ac:dyDescent="0.2">
      <c r="B100" t="s">
        <v>618</v>
      </c>
      <c r="C100" s="8">
        <v>-329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40" zoomScaleNormal="14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A8" sqref="A8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8.42578125" style="111" customWidth="1"/>
    <col min="5" max="5" width="4.85546875" style="195" hidden="1" customWidth="1"/>
    <col min="6" max="6" width="6.710937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7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6.14062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NOVIEMBRE  2022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4148.2981000000009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4</v>
      </c>
      <c r="G3" s="221" t="s">
        <v>50</v>
      </c>
      <c r="H3" s="221"/>
      <c r="I3" s="222">
        <f>Valores!C2</f>
        <v>24.200399999999998</v>
      </c>
      <c r="J3" s="222"/>
      <c r="K3" s="199"/>
      <c r="L3" s="177" t="e">
        <f>VLOOKUP(K3,Valores!L17:M28,2,)</f>
        <v>#N/A</v>
      </c>
      <c r="M3" s="176"/>
      <c r="N3" s="177"/>
      <c r="O3" s="227" t="s">
        <v>651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24.200399999999998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",TEXT(Valores!D5,"$0,00"),")")</f>
        <v>Est. Doc (tope $12371,24)</v>
      </c>
      <c r="Q6" s="150" t="s">
        <v>59</v>
      </c>
      <c r="R6" s="158" t="str">
        <f>CONCATENATE("Gtos. Inh. Lab. Doc. (tope ",TEXT(Valores!F45,"$0,00"),")")</f>
        <v>Gtos. Inh. Lab. Doc. (tope $13765,22)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",TEXT(Valores!F95,"$0,00"),")")</f>
        <v>Bonif. Compensatoria Rem. (tope $10910,40)</v>
      </c>
      <c r="AA6" s="159" t="str">
        <f>CONCATENATE("Ad R Doc (tope ",TEXT(Valores!F25,"$0,00"),")")</f>
        <v>Ad R Doc (tope $758,99)</v>
      </c>
      <c r="AB6" s="159" t="s">
        <v>697</v>
      </c>
      <c r="AC6" s="150" t="s">
        <v>65</v>
      </c>
      <c r="AD6" s="158" t="str">
        <f>CONCATENATE("Nuevo  A.R.D. (tope ",TEXT(Valores!F26,"$0,00"),")")</f>
        <v>Nuevo  A.R.D. (tope $505,99)</v>
      </c>
      <c r="AE6" s="223" t="s">
        <v>66</v>
      </c>
      <c r="AF6" s="223"/>
      <c r="AG6" s="158" t="str">
        <f>CONCATENATE("Ap Mat Did Rem. (tope ",TEXT(Valores!F62,"$0,00"),")")</f>
        <v>Ap Mat Did Rem. (tope $12646,54)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",TEXT(Valores!C88,"$0,00"),")")</f>
        <v>Bonif. Compensatoria No Rem. (tope $0,00)</v>
      </c>
      <c r="AK6" s="158" t="str">
        <f>CONCATENATE("Adic Extr. (tope ",TEXT(Valores!F38,"$0,00"),")")</f>
        <v>Adic Extr. (tope $0,00)</v>
      </c>
      <c r="AL6" s="159" t="str">
        <f>CONCATENATE("Adel Inc Docente (tope ",TEXT(Valores!C54,"$0,00"),")")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662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689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2589.44</v>
      </c>
      <c r="G8" s="192">
        <v>3779</v>
      </c>
      <c r="H8" s="125">
        <f>ROUND(G8*Valores!$C$2,2)</f>
        <v>91453.31</v>
      </c>
      <c r="I8" s="192">
        <v>219</v>
      </c>
      <c r="J8" s="125">
        <f>ROUND(I8*Valores!$C$2,2)</f>
        <v>5299.89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16562.330000000002</v>
      </c>
      <c r="N8" s="125">
        <f t="shared" ref="N8:N71" si="1">ROUND(SUM(F8,H8,J8,L8,X8,R8)*$H$2,2)</f>
        <v>0</v>
      </c>
      <c r="O8" s="125">
        <f>Valores!$C$11</f>
        <v>21578.870000000003</v>
      </c>
      <c r="P8" s="125">
        <f>Valores!$D$5</f>
        <v>12371.24</v>
      </c>
      <c r="Q8" s="125">
        <v>0</v>
      </c>
      <c r="R8" s="125">
        <f>IF($F$4="NO",Valores!$C$45,Valores!$C$45/2)</f>
        <v>11072.91</v>
      </c>
      <c r="S8" s="125">
        <v>0</v>
      </c>
      <c r="T8" s="125">
        <f>ROUND(S8*(1+$H$2),2)</f>
        <v>0</v>
      </c>
      <c r="U8" s="125">
        <f>SUM(F8,H8,J8)</f>
        <v>99342.64</v>
      </c>
      <c r="V8" s="125">
        <f>INT((SUM(F8,H8,J8)*0.4*100)+0.49)/100</f>
        <v>39737.06</v>
      </c>
      <c r="W8" s="192">
        <v>0</v>
      </c>
      <c r="X8" s="125">
        <f>ROUND(W8*Valores!$C$2,2)</f>
        <v>0</v>
      </c>
      <c r="Y8" s="125">
        <v>0</v>
      </c>
      <c r="Z8" s="125">
        <f>Valores!$C$93</f>
        <v>5455.2</v>
      </c>
      <c r="AA8" s="125">
        <f>Valores!$C$25</f>
        <v>505.99</v>
      </c>
      <c r="AB8" s="214">
        <v>0</v>
      </c>
      <c r="AC8" s="125">
        <f t="shared" ref="AC8:AC71" si="2">ROUND(SUM(F8,H8,J8,X8,R8)*AB8,2)</f>
        <v>0</v>
      </c>
      <c r="AD8" s="125">
        <f>Valores!$C$26</f>
        <v>505.99</v>
      </c>
      <c r="AE8" s="192">
        <v>0</v>
      </c>
      <c r="AF8" s="125">
        <f>ROUND(AE8*Valores!$C$2,2)</f>
        <v>0</v>
      </c>
      <c r="AG8" s="125">
        <f>ROUND(IF($F$4="NO",Valores!$C$62,Valores!$C$62/2),2)</f>
        <v>6323.27</v>
      </c>
      <c r="AH8" s="125">
        <f>SUM(F8,H8,J8,L8,M8,N8,O8,P8,Q8,R8,T8,U8,V8,X8,Y8,Z8,AA8,AC8,AD8,AF8,AG8)</f>
        <v>312798.14</v>
      </c>
      <c r="AI8" s="125">
        <f>Valores!$C$31</f>
        <v>0</v>
      </c>
      <c r="AJ8" s="125">
        <f>Valores!$C$86</f>
        <v>0</v>
      </c>
      <c r="AK8" s="125">
        <f>Valores!C$38*B8</f>
        <v>0</v>
      </c>
      <c r="AL8" s="125">
        <f>IF($F$3="NO",0,Valores!$C$54)</f>
        <v>327.60000000000002</v>
      </c>
      <c r="AM8" s="125">
        <f t="shared" ref="AM8:AM71" si="3">SUM(AI8:AL8)</f>
        <v>327.60000000000002</v>
      </c>
      <c r="AN8" s="125">
        <f>AH8*Valores!$C$70</f>
        <v>-34407.795400000003</v>
      </c>
      <c r="AO8" s="125">
        <f>AH8*-Valores!$C$71</f>
        <v>0</v>
      </c>
      <c r="AP8" s="125">
        <f>AH8*Valores!$C$72</f>
        <v>-14075.916300000001</v>
      </c>
      <c r="AQ8" s="125">
        <f>Valores!$C$99</f>
        <v>-280.91000000000003</v>
      </c>
      <c r="AR8" s="125">
        <f>IF($F$5=0,Valores!$C$100,(Valores!$C$100+$F$5*(Valores!$C$100)))</f>
        <v>-329</v>
      </c>
      <c r="AS8" s="125">
        <f>AH8+AM8+SUM(AN8:AR8)</f>
        <v>264032.11829999997</v>
      </c>
      <c r="AT8" s="125">
        <f t="shared" si="0"/>
        <v>-34407.795400000003</v>
      </c>
      <c r="AU8" s="125">
        <f>AH8*Valores!$C$73</f>
        <v>-8445.5497799999994</v>
      </c>
      <c r="AV8" s="125">
        <f>AH8*Valores!$C$74</f>
        <v>-938.39442000000008</v>
      </c>
      <c r="AW8" s="125">
        <f t="shared" ref="AW8:AW71" si="4">AH8+AM8+SUM(AT8:AV8)</f>
        <v>269334.00040000002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2589.44</v>
      </c>
      <c r="G9" s="192">
        <v>3779</v>
      </c>
      <c r="H9" s="125">
        <f>ROUND(G9*Valores!$C$2,2)</f>
        <v>91453.31</v>
      </c>
      <c r="I9" s="192">
        <v>219</v>
      </c>
      <c r="J9" s="125">
        <f>ROUND(I9*Valores!$C$2,2)</f>
        <v>5299.89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16562.330000000002</v>
      </c>
      <c r="N9" s="125">
        <f t="shared" si="1"/>
        <v>0</v>
      </c>
      <c r="O9" s="125">
        <f>Valores!$C$11</f>
        <v>21578.870000000003</v>
      </c>
      <c r="P9" s="125">
        <f>Valores!$D$5</f>
        <v>12371.24</v>
      </c>
      <c r="Q9" s="125">
        <v>0</v>
      </c>
      <c r="R9" s="125">
        <f>IF($F$4="NO",Valores!$C$45,Valores!$C$45/2)</f>
        <v>11072.91</v>
      </c>
      <c r="S9" s="125">
        <v>0</v>
      </c>
      <c r="T9" s="125">
        <f>ROUND(S9*(1+$H$2),2)</f>
        <v>0</v>
      </c>
      <c r="U9" s="125">
        <f>SUM(F9,H9,J9)</f>
        <v>99342.64</v>
      </c>
      <c r="V9" s="125">
        <f>INT((SUM(F9,H9,J9)*0.4*100)+0.49)/100</f>
        <v>39737.06</v>
      </c>
      <c r="W9" s="192">
        <v>0</v>
      </c>
      <c r="X9" s="125">
        <f>ROUND(W9*Valores!$C$2,2)</f>
        <v>0</v>
      </c>
      <c r="Y9" s="125">
        <v>0</v>
      </c>
      <c r="Z9" s="125">
        <f>Valores!$C$93</f>
        <v>5455.2</v>
      </c>
      <c r="AA9" s="125">
        <f>Valores!$C$25</f>
        <v>505.99</v>
      </c>
      <c r="AB9" s="214">
        <v>0</v>
      </c>
      <c r="AC9" s="125">
        <f t="shared" si="2"/>
        <v>0</v>
      </c>
      <c r="AD9" s="125">
        <f>Valores!$C$26</f>
        <v>505.99</v>
      </c>
      <c r="AE9" s="192">
        <v>0</v>
      </c>
      <c r="AF9" s="125">
        <f>ROUND(AE9*Valores!$C$2,2)</f>
        <v>0</v>
      </c>
      <c r="AG9" s="125">
        <f>ROUND(IF($F$4="NO",Valores!$C$62,Valores!$C$62/2),2)</f>
        <v>6323.27</v>
      </c>
      <c r="AH9" s="125">
        <f t="shared" ref="AH9:AH72" si="5">SUM(F9,H9,J9,L9,M9,N9,O9,P9,Q9,R9,T9,U9,V9,X9,Y9,Z9,AA9,AC9,AD9,AF9,AG9)</f>
        <v>312798.14</v>
      </c>
      <c r="AI9" s="125">
        <f>Valores!$C$31</f>
        <v>0</v>
      </c>
      <c r="AJ9" s="125">
        <f>Valores!$C$86</f>
        <v>0</v>
      </c>
      <c r="AK9" s="125">
        <f>Valores!C$38*B9</f>
        <v>0</v>
      </c>
      <c r="AL9" s="125">
        <f>IF($F$3="NO",0,Valores!$C$54)</f>
        <v>327.60000000000002</v>
      </c>
      <c r="AM9" s="125">
        <f t="shared" si="3"/>
        <v>327.60000000000002</v>
      </c>
      <c r="AN9" s="125">
        <f>AH9*Valores!$C$70</f>
        <v>-34407.795400000003</v>
      </c>
      <c r="AO9" s="125">
        <f>AH9*-Valores!$C$71</f>
        <v>0</v>
      </c>
      <c r="AP9" s="125">
        <f>AH9*Valores!$C$72</f>
        <v>-14075.916300000001</v>
      </c>
      <c r="AQ9" s="125">
        <f>Valores!$C$99</f>
        <v>-280.91000000000003</v>
      </c>
      <c r="AR9" s="125">
        <f>IF($F$5=0,Valores!$C$100,(Valores!$C$100+$F$5*(Valores!$C$100)))</f>
        <v>-329</v>
      </c>
      <c r="AS9" s="125">
        <f t="shared" ref="AS9:AS72" si="6">AH9+SUM(AM9:AR9)</f>
        <v>264032.11829999997</v>
      </c>
      <c r="AT9" s="125">
        <f t="shared" si="0"/>
        <v>-34407.795400000003</v>
      </c>
      <c r="AU9" s="125">
        <f>AH9*Valores!$C$73</f>
        <v>-8445.5497799999994</v>
      </c>
      <c r="AV9" s="125">
        <f>AH9*Valores!$C$74</f>
        <v>-938.39442000000008</v>
      </c>
      <c r="AW9" s="125">
        <f t="shared" si="4"/>
        <v>269334.00040000002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2589.44</v>
      </c>
      <c r="G10" s="192">
        <v>3720</v>
      </c>
      <c r="H10" s="125">
        <f>ROUND(G10*Valores!$C$2,2)</f>
        <v>90025.49</v>
      </c>
      <c r="I10" s="192">
        <v>1226</v>
      </c>
      <c r="J10" s="125">
        <f>ROUND(I10*Valores!$C$2,2)</f>
        <v>29669.69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21730.38</v>
      </c>
      <c r="N10" s="125">
        <f t="shared" si="1"/>
        <v>0</v>
      </c>
      <c r="O10" s="125">
        <f>Valores!$C$13</f>
        <v>22167.01</v>
      </c>
      <c r="P10" s="125">
        <f>Valores!$D$5</f>
        <v>12371.24</v>
      </c>
      <c r="Q10" s="125">
        <v>0</v>
      </c>
      <c r="R10" s="125">
        <f>IF($F$4="NO",Valores!$C$45,Valores!$C$45/2)</f>
        <v>11072.91</v>
      </c>
      <c r="S10" s="125">
        <f>Valores!$C$19</f>
        <v>11511.67</v>
      </c>
      <c r="T10" s="125">
        <f>ROUND(S10*(1+$H$2),2)</f>
        <v>11511.67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Valores!$C$93</f>
        <v>5455.2</v>
      </c>
      <c r="AA10" s="125">
        <f>Valores!$C$25</f>
        <v>505.99</v>
      </c>
      <c r="AB10" s="214">
        <v>0</v>
      </c>
      <c r="AC10" s="125">
        <f t="shared" si="2"/>
        <v>0</v>
      </c>
      <c r="AD10" s="125">
        <f>Valores!$C$26</f>
        <v>505.99</v>
      </c>
      <c r="AE10" s="192">
        <v>0</v>
      </c>
      <c r="AF10" s="125">
        <f>ROUND(AE10*Valores!$C$2,2)</f>
        <v>0</v>
      </c>
      <c r="AG10" s="125">
        <f>ROUND(IF($F$4="NO",Valores!$C$62,Valores!$C$62/2),2)</f>
        <v>6323.27</v>
      </c>
      <c r="AH10" s="125">
        <f t="shared" si="5"/>
        <v>213928.28</v>
      </c>
      <c r="AI10" s="125">
        <f>Valores!$C$31</f>
        <v>0</v>
      </c>
      <c r="AJ10" s="125">
        <f>Valores!$C$86</f>
        <v>0</v>
      </c>
      <c r="AK10" s="125">
        <f>Valores!C$38*B10</f>
        <v>0</v>
      </c>
      <c r="AL10" s="125">
        <f>IF($F$3="NO",0,Valores!$C$54)</f>
        <v>327.60000000000002</v>
      </c>
      <c r="AM10" s="125">
        <f t="shared" si="3"/>
        <v>327.60000000000002</v>
      </c>
      <c r="AN10" s="125">
        <f>AH10*Valores!$C$70</f>
        <v>-23532.110799999999</v>
      </c>
      <c r="AO10" s="125">
        <f>AH10*-Valores!$C$71</f>
        <v>0</v>
      </c>
      <c r="AP10" s="125">
        <f>AH10*Valores!$C$72</f>
        <v>-9626.7726000000002</v>
      </c>
      <c r="AQ10" s="125">
        <f>Valores!$C$99</f>
        <v>-280.91000000000003</v>
      </c>
      <c r="AR10" s="125">
        <f>IF($F$5=0,Valores!$C$100,(Valores!$C$100+$F$5*(Valores!$C$100)))</f>
        <v>-329</v>
      </c>
      <c r="AS10" s="125">
        <f t="shared" si="6"/>
        <v>180487.08659999998</v>
      </c>
      <c r="AT10" s="125">
        <f t="shared" si="0"/>
        <v>-23532.110799999999</v>
      </c>
      <c r="AU10" s="125">
        <f>AH10*Valores!$C$73</f>
        <v>-5776.0635599999996</v>
      </c>
      <c r="AV10" s="125">
        <f>AH10*Valores!$C$74</f>
        <v>-641.78484000000003</v>
      </c>
      <c r="AW10" s="125">
        <f t="shared" si="4"/>
        <v>184305.92080000002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2589.44</v>
      </c>
      <c r="G11" s="192">
        <v>3779</v>
      </c>
      <c r="H11" s="125">
        <f>ROUND(G11*Valores!$C$2,2)</f>
        <v>91453.31</v>
      </c>
      <c r="I11" s="192">
        <v>219</v>
      </c>
      <c r="J11" s="125">
        <f>ROUND(I11*Valores!$C$2,2)</f>
        <v>5299.89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16562.330000000002</v>
      </c>
      <c r="N11" s="125">
        <f t="shared" si="1"/>
        <v>0</v>
      </c>
      <c r="O11" s="125">
        <f>Valores!$C$11</f>
        <v>21578.870000000003</v>
      </c>
      <c r="P11" s="125">
        <f>Valores!$D$5</f>
        <v>12371.24</v>
      </c>
      <c r="Q11" s="125">
        <v>0</v>
      </c>
      <c r="R11" s="125">
        <f>IF($F$4="NO",Valores!$C$45,Valores!$C$45/2)</f>
        <v>11072.91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99342.64</v>
      </c>
      <c r="V11" s="125">
        <f t="shared" ref="V11:V20" si="9">INT((SUM(F11,H11,J11)*0.4*100)+0.49)/100</f>
        <v>39737.06</v>
      </c>
      <c r="W11" s="192">
        <v>0</v>
      </c>
      <c r="X11" s="125">
        <f>ROUND(W11*Valores!$C$2,2)</f>
        <v>0</v>
      </c>
      <c r="Y11" s="125">
        <v>0</v>
      </c>
      <c r="Z11" s="125">
        <f>Valores!$C$93</f>
        <v>5455.2</v>
      </c>
      <c r="AA11" s="125">
        <f>Valores!$C$25</f>
        <v>505.99</v>
      </c>
      <c r="AB11" s="214">
        <v>0</v>
      </c>
      <c r="AC11" s="125">
        <f t="shared" si="2"/>
        <v>0</v>
      </c>
      <c r="AD11" s="125">
        <f>Valores!$C$26</f>
        <v>505.99</v>
      </c>
      <c r="AE11" s="192">
        <v>0</v>
      </c>
      <c r="AF11" s="125">
        <f>ROUND(AE11*Valores!$C$2,2)</f>
        <v>0</v>
      </c>
      <c r="AG11" s="125">
        <f>ROUND(IF($F$4="NO",Valores!$C$62,Valores!$C$62/2),2)</f>
        <v>6323.27</v>
      </c>
      <c r="AH11" s="125">
        <f t="shared" si="5"/>
        <v>312798.14</v>
      </c>
      <c r="AI11" s="125">
        <f>Valores!$C$31</f>
        <v>0</v>
      </c>
      <c r="AJ11" s="125">
        <f>Valores!$C$86</f>
        <v>0</v>
      </c>
      <c r="AK11" s="125">
        <f>Valores!C$38*B11</f>
        <v>0</v>
      </c>
      <c r="AL11" s="125">
        <f>IF($F$3="NO",0,Valores!$C$54)</f>
        <v>327.60000000000002</v>
      </c>
      <c r="AM11" s="125">
        <f t="shared" si="3"/>
        <v>327.60000000000002</v>
      </c>
      <c r="AN11" s="125">
        <f>AH11*Valores!$C$70</f>
        <v>-34407.795400000003</v>
      </c>
      <c r="AO11" s="125">
        <f>AH11*-Valores!$C$71</f>
        <v>0</v>
      </c>
      <c r="AP11" s="125">
        <f>AH11*Valores!$C$72</f>
        <v>-14075.916300000001</v>
      </c>
      <c r="AQ11" s="125">
        <f>Valores!$C$99</f>
        <v>-280.91000000000003</v>
      </c>
      <c r="AR11" s="125">
        <f>IF($F$5=0,Valores!$C$100,(Valores!$C$100+$F$5*(Valores!$C$100)))</f>
        <v>-329</v>
      </c>
      <c r="AS11" s="125">
        <f t="shared" si="6"/>
        <v>264032.11829999997</v>
      </c>
      <c r="AT11" s="125">
        <f t="shared" si="0"/>
        <v>-34407.795400000003</v>
      </c>
      <c r="AU11" s="125">
        <f>AH11*Valores!$C$73</f>
        <v>-8445.5497799999994</v>
      </c>
      <c r="AV11" s="125">
        <f>AH11*Valores!$C$74</f>
        <v>-938.39442000000008</v>
      </c>
      <c r="AW11" s="125">
        <f t="shared" si="4"/>
        <v>269334.00040000002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2589.44</v>
      </c>
      <c r="G12" s="192">
        <v>3779</v>
      </c>
      <c r="H12" s="125">
        <f>ROUND(G12*Valores!$C$2,2)</f>
        <v>91453.31</v>
      </c>
      <c r="I12" s="192">
        <v>219</v>
      </c>
      <c r="J12" s="125">
        <f>ROUND(I12*Valores!$C$2,2)</f>
        <v>5299.89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16562.330000000002</v>
      </c>
      <c r="N12" s="125">
        <f t="shared" si="1"/>
        <v>0</v>
      </c>
      <c r="O12" s="125">
        <f>Valores!$C$11</f>
        <v>21578.870000000003</v>
      </c>
      <c r="P12" s="125">
        <f>Valores!$D$5</f>
        <v>12371.24</v>
      </c>
      <c r="Q12" s="125">
        <v>0</v>
      </c>
      <c r="R12" s="125">
        <f>IF($F$4="NO",Valores!$C$45,Valores!$C$45/2)</f>
        <v>11072.91</v>
      </c>
      <c r="S12" s="125">
        <v>0</v>
      </c>
      <c r="T12" s="125">
        <f t="shared" si="7"/>
        <v>0</v>
      </c>
      <c r="U12" s="125">
        <f t="shared" si="8"/>
        <v>99342.64</v>
      </c>
      <c r="V12" s="125">
        <f t="shared" si="9"/>
        <v>39737.06</v>
      </c>
      <c r="W12" s="192">
        <v>0</v>
      </c>
      <c r="X12" s="125">
        <f>ROUND(W12*Valores!$C$2,2)</f>
        <v>0</v>
      </c>
      <c r="Y12" s="125">
        <v>0</v>
      </c>
      <c r="Z12" s="125">
        <f>Valores!$C$93</f>
        <v>5455.2</v>
      </c>
      <c r="AA12" s="125">
        <f>Valores!$C$25</f>
        <v>505.99</v>
      </c>
      <c r="AB12" s="214">
        <v>0</v>
      </c>
      <c r="AC12" s="125">
        <f t="shared" si="2"/>
        <v>0</v>
      </c>
      <c r="AD12" s="125">
        <f>Valores!$C$26</f>
        <v>505.99</v>
      </c>
      <c r="AE12" s="192">
        <v>0</v>
      </c>
      <c r="AF12" s="125">
        <f>ROUND(AE12*Valores!$C$2,2)</f>
        <v>0</v>
      </c>
      <c r="AG12" s="125">
        <f>ROUND(IF($F$4="NO",Valores!$C$62,Valores!$C$62/2),2)</f>
        <v>6323.27</v>
      </c>
      <c r="AH12" s="125">
        <f t="shared" si="5"/>
        <v>312798.14</v>
      </c>
      <c r="AI12" s="125">
        <f>Valores!$C$31</f>
        <v>0</v>
      </c>
      <c r="AJ12" s="125">
        <f>Valores!$C$86</f>
        <v>0</v>
      </c>
      <c r="AK12" s="125">
        <f>Valores!C$38*B12</f>
        <v>0</v>
      </c>
      <c r="AL12" s="125">
        <f>IF($F$3="NO",0,Valores!$C$54)</f>
        <v>327.60000000000002</v>
      </c>
      <c r="AM12" s="125">
        <f t="shared" si="3"/>
        <v>327.60000000000002</v>
      </c>
      <c r="AN12" s="125">
        <f>AH12*Valores!$C$70</f>
        <v>-34407.795400000003</v>
      </c>
      <c r="AO12" s="125">
        <f>AH12*-Valores!$C$71</f>
        <v>0</v>
      </c>
      <c r="AP12" s="125">
        <f>AH12*Valores!$C$72</f>
        <v>-14075.916300000001</v>
      </c>
      <c r="AQ12" s="125">
        <f>Valores!$C$99</f>
        <v>-280.91000000000003</v>
      </c>
      <c r="AR12" s="125">
        <f>IF($F$5=0,Valores!$C$100,(Valores!$C$100+$F$5*(Valores!$C$100)))</f>
        <v>-329</v>
      </c>
      <c r="AS12" s="125">
        <f t="shared" si="6"/>
        <v>264032.11829999997</v>
      </c>
      <c r="AT12" s="125">
        <f t="shared" si="0"/>
        <v>-34407.795400000003</v>
      </c>
      <c r="AU12" s="125">
        <f>AH12*Valores!$C$73</f>
        <v>-8445.5497799999994</v>
      </c>
      <c r="AV12" s="125">
        <f>AH12*Valores!$C$74</f>
        <v>-938.39442000000008</v>
      </c>
      <c r="AW12" s="125">
        <f t="shared" si="4"/>
        <v>269334.00040000002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2589.44</v>
      </c>
      <c r="G13" s="192">
        <v>3779</v>
      </c>
      <c r="H13" s="125">
        <f>ROUND(G13*Valores!$C$2,2)</f>
        <v>91453.31</v>
      </c>
      <c r="I13" s="192">
        <v>219</v>
      </c>
      <c r="J13" s="125">
        <f>ROUND(I13*Valores!$C$2,2)</f>
        <v>5299.89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16562.330000000002</v>
      </c>
      <c r="N13" s="125">
        <f t="shared" si="1"/>
        <v>0</v>
      </c>
      <c r="O13" s="125">
        <f>Valores!$C$11</f>
        <v>21578.870000000003</v>
      </c>
      <c r="P13" s="125">
        <f>Valores!$D$5</f>
        <v>12371.24</v>
      </c>
      <c r="Q13" s="125">
        <v>0</v>
      </c>
      <c r="R13" s="125">
        <f>IF($F$4="NO",Valores!$C$45,Valores!$C$45/2)</f>
        <v>11072.91</v>
      </c>
      <c r="S13" s="125">
        <v>0</v>
      </c>
      <c r="T13" s="125">
        <f t="shared" si="7"/>
        <v>0</v>
      </c>
      <c r="U13" s="125">
        <f t="shared" si="8"/>
        <v>99342.64</v>
      </c>
      <c r="V13" s="125">
        <f t="shared" si="9"/>
        <v>39737.06</v>
      </c>
      <c r="W13" s="192">
        <v>0</v>
      </c>
      <c r="X13" s="125">
        <f>ROUND(W13*Valores!$C$2,2)</f>
        <v>0</v>
      </c>
      <c r="Y13" s="125">
        <v>0</v>
      </c>
      <c r="Z13" s="125">
        <f>Valores!$C$93</f>
        <v>5455.2</v>
      </c>
      <c r="AA13" s="125">
        <f>Valores!$C$25</f>
        <v>505.99</v>
      </c>
      <c r="AB13" s="214">
        <v>0</v>
      </c>
      <c r="AC13" s="125">
        <f t="shared" si="2"/>
        <v>0</v>
      </c>
      <c r="AD13" s="125">
        <f>Valores!$C$26</f>
        <v>505.99</v>
      </c>
      <c r="AE13" s="192">
        <v>0</v>
      </c>
      <c r="AF13" s="125">
        <f>ROUND(AE13*Valores!$C$2,2)</f>
        <v>0</v>
      </c>
      <c r="AG13" s="125">
        <f>ROUND(IF($F$4="NO",Valores!$C$62,Valores!$C$62/2),2)</f>
        <v>6323.27</v>
      </c>
      <c r="AH13" s="125">
        <f t="shared" si="5"/>
        <v>312798.14</v>
      </c>
      <c r="AI13" s="125">
        <f>Valores!$C$31</f>
        <v>0</v>
      </c>
      <c r="AJ13" s="125">
        <f>Valores!$C$86</f>
        <v>0</v>
      </c>
      <c r="AK13" s="125">
        <f>Valores!C$38*B13</f>
        <v>0</v>
      </c>
      <c r="AL13" s="125">
        <f>IF($F$3="NO",0,Valores!$C$54)</f>
        <v>327.60000000000002</v>
      </c>
      <c r="AM13" s="125">
        <f t="shared" si="3"/>
        <v>327.60000000000002</v>
      </c>
      <c r="AN13" s="125">
        <f>AH13*Valores!$C$70</f>
        <v>-34407.795400000003</v>
      </c>
      <c r="AO13" s="125">
        <f>AH13*-Valores!$C$71</f>
        <v>0</v>
      </c>
      <c r="AP13" s="125">
        <f>AH13*Valores!$C$72</f>
        <v>-14075.916300000001</v>
      </c>
      <c r="AQ13" s="125">
        <f>Valores!$C$99</f>
        <v>-280.91000000000003</v>
      </c>
      <c r="AR13" s="125">
        <f>IF($F$5=0,Valores!$C$100,(Valores!$C$100+$F$5*(Valores!$C$100)))</f>
        <v>-329</v>
      </c>
      <c r="AS13" s="125">
        <f t="shared" si="6"/>
        <v>264032.11829999997</v>
      </c>
      <c r="AT13" s="125">
        <f t="shared" si="0"/>
        <v>-34407.795400000003</v>
      </c>
      <c r="AU13" s="125">
        <f>AH13*Valores!$C$73</f>
        <v>-8445.5497799999994</v>
      </c>
      <c r="AV13" s="125">
        <f>AH13*Valores!$C$74</f>
        <v>-938.39442000000008</v>
      </c>
      <c r="AW13" s="125">
        <f t="shared" si="4"/>
        <v>269334.00040000002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2589.44</v>
      </c>
      <c r="G14" s="192">
        <v>3779</v>
      </c>
      <c r="H14" s="125">
        <f>ROUND(G14*Valores!$C$2,2)</f>
        <v>91453.31</v>
      </c>
      <c r="I14" s="192">
        <v>219</v>
      </c>
      <c r="J14" s="125">
        <f>ROUND(I14*Valores!$C$2,2)</f>
        <v>5299.89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16562.330000000002</v>
      </c>
      <c r="N14" s="125">
        <f t="shared" si="1"/>
        <v>0</v>
      </c>
      <c r="O14" s="125">
        <f>Valores!$C$11</f>
        <v>21578.870000000003</v>
      </c>
      <c r="P14" s="125">
        <f>Valores!$D$5</f>
        <v>12371.24</v>
      </c>
      <c r="Q14" s="125">
        <v>0</v>
      </c>
      <c r="R14" s="125">
        <f>IF($F$4="NO",Valores!$C$45,Valores!$C$45/2)</f>
        <v>11072.91</v>
      </c>
      <c r="S14" s="125">
        <v>0</v>
      </c>
      <c r="T14" s="125">
        <f t="shared" si="7"/>
        <v>0</v>
      </c>
      <c r="U14" s="125">
        <f t="shared" si="8"/>
        <v>99342.64</v>
      </c>
      <c r="V14" s="125">
        <f t="shared" si="9"/>
        <v>39737.06</v>
      </c>
      <c r="W14" s="192">
        <v>0</v>
      </c>
      <c r="X14" s="125">
        <f>ROUND(W14*Valores!$C$2,2)</f>
        <v>0</v>
      </c>
      <c r="Y14" s="125">
        <v>0</v>
      </c>
      <c r="Z14" s="125">
        <f>Valores!$C$93</f>
        <v>5455.2</v>
      </c>
      <c r="AA14" s="125">
        <f>Valores!$C$25</f>
        <v>505.99</v>
      </c>
      <c r="AB14" s="214">
        <v>0</v>
      </c>
      <c r="AC14" s="125">
        <f t="shared" si="2"/>
        <v>0</v>
      </c>
      <c r="AD14" s="125">
        <f>Valores!$C$26</f>
        <v>505.99</v>
      </c>
      <c r="AE14" s="192">
        <v>0</v>
      </c>
      <c r="AF14" s="125">
        <f>ROUND(AE14*Valores!$C$2,2)</f>
        <v>0</v>
      </c>
      <c r="AG14" s="125">
        <f>ROUND(IF($F$4="NO",Valores!$C$62,Valores!$C$62/2),2)</f>
        <v>6323.27</v>
      </c>
      <c r="AH14" s="125">
        <f t="shared" si="5"/>
        <v>312798.14</v>
      </c>
      <c r="AI14" s="125">
        <f>Valores!$C$31</f>
        <v>0</v>
      </c>
      <c r="AJ14" s="125">
        <f>Valores!$C$86</f>
        <v>0</v>
      </c>
      <c r="AK14" s="125">
        <f>Valores!C$38*B14</f>
        <v>0</v>
      </c>
      <c r="AL14" s="125">
        <f>IF($F$3="NO",0,Valores!$C$54)</f>
        <v>327.60000000000002</v>
      </c>
      <c r="AM14" s="125">
        <f t="shared" si="3"/>
        <v>327.60000000000002</v>
      </c>
      <c r="AN14" s="125">
        <f>AH14*Valores!$C$70</f>
        <v>-34407.795400000003</v>
      </c>
      <c r="AO14" s="125">
        <f>AH14*-Valores!$C$71</f>
        <v>0</v>
      </c>
      <c r="AP14" s="125">
        <f>AH14*Valores!$C$72</f>
        <v>-14075.916300000001</v>
      </c>
      <c r="AQ14" s="125">
        <f>Valores!$C$99</f>
        <v>-280.91000000000003</v>
      </c>
      <c r="AR14" s="125">
        <f>IF($F$5=0,Valores!$C$100,(Valores!$C$100+$F$5*(Valores!$C$100)))</f>
        <v>-329</v>
      </c>
      <c r="AS14" s="125">
        <f t="shared" si="6"/>
        <v>264032.11829999997</v>
      </c>
      <c r="AT14" s="125">
        <f t="shared" si="0"/>
        <v>-34407.795400000003</v>
      </c>
      <c r="AU14" s="125">
        <f>AH14*Valores!$C$73</f>
        <v>-8445.5497799999994</v>
      </c>
      <c r="AV14" s="125">
        <f>AH14*Valores!$C$74</f>
        <v>-938.39442000000008</v>
      </c>
      <c r="AW14" s="125">
        <f t="shared" si="4"/>
        <v>269334.00040000002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2589.44</v>
      </c>
      <c r="G15" s="192">
        <v>3779</v>
      </c>
      <c r="H15" s="125">
        <f>ROUND(G15*Valores!$C$2,2)</f>
        <v>91453.31</v>
      </c>
      <c r="I15" s="192">
        <v>219</v>
      </c>
      <c r="J15" s="125">
        <f>ROUND(I15*Valores!$C$2,2)</f>
        <v>5299.89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16562.330000000002</v>
      </c>
      <c r="N15" s="125">
        <f t="shared" si="1"/>
        <v>0</v>
      </c>
      <c r="O15" s="125">
        <f>Valores!$C$11</f>
        <v>21578.870000000003</v>
      </c>
      <c r="P15" s="125">
        <f>Valores!$D$5</f>
        <v>12371.24</v>
      </c>
      <c r="Q15" s="125">
        <v>0</v>
      </c>
      <c r="R15" s="125">
        <f>IF($F$4="NO",Valores!$C$45,Valores!$C$45/2)</f>
        <v>11072.91</v>
      </c>
      <c r="S15" s="125">
        <v>0</v>
      </c>
      <c r="T15" s="125">
        <f t="shared" si="7"/>
        <v>0</v>
      </c>
      <c r="U15" s="125">
        <f t="shared" si="8"/>
        <v>99342.64</v>
      </c>
      <c r="V15" s="125">
        <f t="shared" si="9"/>
        <v>39737.06</v>
      </c>
      <c r="W15" s="192">
        <v>0</v>
      </c>
      <c r="X15" s="125">
        <f>ROUND(W15*Valores!$C$2,2)</f>
        <v>0</v>
      </c>
      <c r="Y15" s="125">
        <v>0</v>
      </c>
      <c r="Z15" s="125">
        <f>Valores!$C$93</f>
        <v>5455.2</v>
      </c>
      <c r="AA15" s="125">
        <f>Valores!$C$25</f>
        <v>505.99</v>
      </c>
      <c r="AB15" s="214">
        <v>0</v>
      </c>
      <c r="AC15" s="125">
        <f t="shared" si="2"/>
        <v>0</v>
      </c>
      <c r="AD15" s="125">
        <f>Valores!$C$26</f>
        <v>505.99</v>
      </c>
      <c r="AE15" s="192">
        <v>0</v>
      </c>
      <c r="AF15" s="125">
        <f>ROUND(AE15*Valores!$C$2,2)</f>
        <v>0</v>
      </c>
      <c r="AG15" s="125">
        <f>ROUND(IF($F$4="NO",Valores!$C$62,Valores!$C$62/2),2)</f>
        <v>6323.27</v>
      </c>
      <c r="AH15" s="125">
        <f t="shared" si="5"/>
        <v>312798.14</v>
      </c>
      <c r="AI15" s="125">
        <f>Valores!$C$31</f>
        <v>0</v>
      </c>
      <c r="AJ15" s="125">
        <f>Valores!$C$86</f>
        <v>0</v>
      </c>
      <c r="AK15" s="125">
        <f>Valores!C$38*B15</f>
        <v>0</v>
      </c>
      <c r="AL15" s="125">
        <f>IF($F$3="NO",0,Valores!$C$54)</f>
        <v>327.60000000000002</v>
      </c>
      <c r="AM15" s="125">
        <f t="shared" si="3"/>
        <v>327.60000000000002</v>
      </c>
      <c r="AN15" s="125">
        <f>AH15*Valores!$C$70</f>
        <v>-34407.795400000003</v>
      </c>
      <c r="AO15" s="125">
        <f>AH15*-Valores!$C$71</f>
        <v>0</v>
      </c>
      <c r="AP15" s="125">
        <f>AH15*Valores!$C$72</f>
        <v>-14075.916300000001</v>
      </c>
      <c r="AQ15" s="125">
        <f>Valores!$C$99</f>
        <v>-280.91000000000003</v>
      </c>
      <c r="AR15" s="125">
        <f>IF($F$5=0,Valores!$C$100,(Valores!$C$100+$F$5*(Valores!$C$100)))</f>
        <v>-329</v>
      </c>
      <c r="AS15" s="125">
        <f t="shared" si="6"/>
        <v>264032.11829999997</v>
      </c>
      <c r="AT15" s="125">
        <f t="shared" si="0"/>
        <v>-34407.795400000003</v>
      </c>
      <c r="AU15" s="125">
        <f>AH15*Valores!$C$73</f>
        <v>-8445.5497799999994</v>
      </c>
      <c r="AV15" s="125">
        <f>AH15*Valores!$C$74</f>
        <v>-938.39442000000008</v>
      </c>
      <c r="AW15" s="125">
        <f t="shared" si="4"/>
        <v>269334.00040000002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2420.04</v>
      </c>
      <c r="G16" s="192">
        <v>3727</v>
      </c>
      <c r="H16" s="125">
        <f>ROUND(G16*Valores!$C$2,2)</f>
        <v>90194.89</v>
      </c>
      <c r="I16" s="192">
        <v>219</v>
      </c>
      <c r="J16" s="125">
        <f>ROUND(I16*Valores!$C$2,2)</f>
        <v>5299.89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16348.16</v>
      </c>
      <c r="N16" s="125">
        <f t="shared" si="1"/>
        <v>0</v>
      </c>
      <c r="O16" s="125">
        <f>Valores!$C$11</f>
        <v>21578.870000000003</v>
      </c>
      <c r="P16" s="125">
        <f>Valores!$D$5</f>
        <v>12371.24</v>
      </c>
      <c r="Q16" s="125">
        <v>0</v>
      </c>
      <c r="R16" s="125">
        <f>IF($F$4="NO",Valores!$C$45,Valores!$C$45/2)</f>
        <v>11072.91</v>
      </c>
      <c r="S16" s="125">
        <v>0</v>
      </c>
      <c r="T16" s="125">
        <f t="shared" si="7"/>
        <v>0</v>
      </c>
      <c r="U16" s="125">
        <f t="shared" si="8"/>
        <v>97914.819999999992</v>
      </c>
      <c r="V16" s="125">
        <f t="shared" si="9"/>
        <v>39165.93</v>
      </c>
      <c r="W16" s="192">
        <v>0</v>
      </c>
      <c r="X16" s="125">
        <f>ROUND(W16*Valores!$C$2,2)</f>
        <v>0</v>
      </c>
      <c r="Y16" s="125">
        <v>0</v>
      </c>
      <c r="Z16" s="125">
        <f>Valores!$C$93</f>
        <v>5455.2</v>
      </c>
      <c r="AA16" s="125">
        <f>Valores!$C$25</f>
        <v>505.99</v>
      </c>
      <c r="AB16" s="214">
        <v>0</v>
      </c>
      <c r="AC16" s="125">
        <f t="shared" si="2"/>
        <v>0</v>
      </c>
      <c r="AD16" s="125">
        <f>Valores!$C$26</f>
        <v>505.99</v>
      </c>
      <c r="AE16" s="192">
        <v>0</v>
      </c>
      <c r="AF16" s="125">
        <f>ROUND(AE16*Valores!$C$2,2)</f>
        <v>0</v>
      </c>
      <c r="AG16" s="125">
        <f>ROUND(IF($F$4="NO",Valores!$C$62,Valores!$C$62/2),2)</f>
        <v>6323.27</v>
      </c>
      <c r="AH16" s="125">
        <f t="shared" si="5"/>
        <v>309157.2</v>
      </c>
      <c r="AI16" s="125">
        <f>Valores!$C$31</f>
        <v>0</v>
      </c>
      <c r="AJ16" s="125">
        <f>Valores!$C$86</f>
        <v>0</v>
      </c>
      <c r="AK16" s="125">
        <f>Valores!C$38*B16</f>
        <v>0</v>
      </c>
      <c r="AL16" s="125">
        <f>IF($F$3="NO",0,Valores!$C$54)</f>
        <v>327.60000000000002</v>
      </c>
      <c r="AM16" s="125">
        <f t="shared" si="3"/>
        <v>327.60000000000002</v>
      </c>
      <c r="AN16" s="125">
        <f>AH16*Valores!$C$70</f>
        <v>-34007.292000000001</v>
      </c>
      <c r="AO16" s="125">
        <f>AH16*-Valores!$C$71</f>
        <v>0</v>
      </c>
      <c r="AP16" s="125">
        <f>AH16*Valores!$C$72</f>
        <v>-13912.074000000001</v>
      </c>
      <c r="AQ16" s="125">
        <f>Valores!$C$99</f>
        <v>-280.91000000000003</v>
      </c>
      <c r="AR16" s="125">
        <f>IF($F$5=0,Valores!$C$100,(Valores!$C$100+$F$5*(Valores!$C$100)))</f>
        <v>-329</v>
      </c>
      <c r="AS16" s="125">
        <f t="shared" si="6"/>
        <v>260955.524</v>
      </c>
      <c r="AT16" s="125">
        <f t="shared" si="0"/>
        <v>-34007.292000000001</v>
      </c>
      <c r="AU16" s="125">
        <f>AH16*Valores!$C$73</f>
        <v>-8347.2443999999996</v>
      </c>
      <c r="AV16" s="125">
        <f>AH16*Valores!$C$74</f>
        <v>-927.47160000000008</v>
      </c>
      <c r="AW16" s="125">
        <f t="shared" si="4"/>
        <v>266202.79200000002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2420.04</v>
      </c>
      <c r="G17" s="192">
        <v>3727</v>
      </c>
      <c r="H17" s="125">
        <f>ROUND(G17*Valores!$C$2,2)</f>
        <v>90194.89</v>
      </c>
      <c r="I17" s="192">
        <v>219</v>
      </c>
      <c r="J17" s="125">
        <f>ROUND(I17*Valores!$C$2,2)</f>
        <v>5299.89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16348.16</v>
      </c>
      <c r="N17" s="125">
        <f t="shared" si="1"/>
        <v>0</v>
      </c>
      <c r="O17" s="125">
        <f>Valores!$C$11</f>
        <v>21578.870000000003</v>
      </c>
      <c r="P17" s="125">
        <f>Valores!$D$5</f>
        <v>12371.24</v>
      </c>
      <c r="Q17" s="125">
        <v>0</v>
      </c>
      <c r="R17" s="125">
        <f>IF($F$4="NO",Valores!$C$45,Valores!$C$45/2)</f>
        <v>11072.91</v>
      </c>
      <c r="S17" s="125">
        <v>0</v>
      </c>
      <c r="T17" s="125">
        <f t="shared" si="7"/>
        <v>0</v>
      </c>
      <c r="U17" s="125">
        <f t="shared" si="8"/>
        <v>97914.819999999992</v>
      </c>
      <c r="V17" s="125">
        <f t="shared" si="9"/>
        <v>39165.93</v>
      </c>
      <c r="W17" s="192">
        <v>0</v>
      </c>
      <c r="X17" s="125">
        <f>ROUND(W17*Valores!$C$2,2)</f>
        <v>0</v>
      </c>
      <c r="Y17" s="125">
        <v>0</v>
      </c>
      <c r="Z17" s="125">
        <f>Valores!$C$93</f>
        <v>5455.2</v>
      </c>
      <c r="AA17" s="125">
        <f>Valores!$C$25</f>
        <v>505.99</v>
      </c>
      <c r="AB17" s="214">
        <v>0</v>
      </c>
      <c r="AC17" s="125">
        <f t="shared" si="2"/>
        <v>0</v>
      </c>
      <c r="AD17" s="125">
        <f>Valores!$C$26</f>
        <v>505.99</v>
      </c>
      <c r="AE17" s="192">
        <v>0</v>
      </c>
      <c r="AF17" s="125">
        <f>ROUND(AE17*Valores!$C$2,2)</f>
        <v>0</v>
      </c>
      <c r="AG17" s="125">
        <f>ROUND(IF($F$4="NO",Valores!$C$62,Valores!$C$62/2),2)</f>
        <v>6323.27</v>
      </c>
      <c r="AH17" s="125">
        <f t="shared" si="5"/>
        <v>309157.2</v>
      </c>
      <c r="AI17" s="125">
        <f>Valores!$C$31</f>
        <v>0</v>
      </c>
      <c r="AJ17" s="125">
        <f>Valores!$C$86</f>
        <v>0</v>
      </c>
      <c r="AK17" s="125">
        <f>Valores!C$38*B17</f>
        <v>0</v>
      </c>
      <c r="AL17" s="125">
        <f>IF($F$3="NO",0,Valores!$C$54)</f>
        <v>327.60000000000002</v>
      </c>
      <c r="AM17" s="125">
        <f t="shared" si="3"/>
        <v>327.60000000000002</v>
      </c>
      <c r="AN17" s="125">
        <f>AH17*Valores!$C$70</f>
        <v>-34007.292000000001</v>
      </c>
      <c r="AO17" s="125">
        <f>AH17*-Valores!$C$71</f>
        <v>0</v>
      </c>
      <c r="AP17" s="125">
        <f>AH17*Valores!$C$72</f>
        <v>-13912.074000000001</v>
      </c>
      <c r="AQ17" s="125">
        <f>Valores!$C$99</f>
        <v>-280.91000000000003</v>
      </c>
      <c r="AR17" s="125">
        <f>IF($F$5=0,Valores!$C$100,(Valores!$C$100+$F$5*(Valores!$C$100)))</f>
        <v>-329</v>
      </c>
      <c r="AS17" s="125">
        <f t="shared" si="6"/>
        <v>260955.524</v>
      </c>
      <c r="AT17" s="125">
        <f t="shared" si="0"/>
        <v>-34007.292000000001</v>
      </c>
      <c r="AU17" s="125">
        <f>AH17*Valores!$C$73</f>
        <v>-8347.2443999999996</v>
      </c>
      <c r="AV17" s="125">
        <f>AH17*Valores!$C$74</f>
        <v>-927.47160000000008</v>
      </c>
      <c r="AW17" s="125">
        <f t="shared" si="4"/>
        <v>266202.79200000002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2420.04</v>
      </c>
      <c r="G18" s="192">
        <v>3727</v>
      </c>
      <c r="H18" s="125">
        <f>ROUND(G18*Valores!$C$2,2)</f>
        <v>90194.89</v>
      </c>
      <c r="I18" s="192">
        <v>219</v>
      </c>
      <c r="J18" s="125">
        <f>ROUND(I18*Valores!$C$2,2)</f>
        <v>5299.89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16348.16</v>
      </c>
      <c r="N18" s="125">
        <f t="shared" si="1"/>
        <v>0</v>
      </c>
      <c r="O18" s="125">
        <f>Valores!$C$11</f>
        <v>21578.870000000003</v>
      </c>
      <c r="P18" s="125">
        <f>Valores!$D$5</f>
        <v>12371.24</v>
      </c>
      <c r="Q18" s="125">
        <v>0</v>
      </c>
      <c r="R18" s="125">
        <f>IF($F$4="NO",Valores!$C$45,Valores!$C$45/2)</f>
        <v>11072.91</v>
      </c>
      <c r="S18" s="125">
        <v>0</v>
      </c>
      <c r="T18" s="125">
        <f t="shared" si="7"/>
        <v>0</v>
      </c>
      <c r="U18" s="125">
        <f t="shared" si="8"/>
        <v>97914.819999999992</v>
      </c>
      <c r="V18" s="125">
        <f t="shared" si="9"/>
        <v>39165.93</v>
      </c>
      <c r="W18" s="192">
        <v>0</v>
      </c>
      <c r="X18" s="125">
        <f>ROUND(W18*Valores!$C$2,2)</f>
        <v>0</v>
      </c>
      <c r="Y18" s="125">
        <v>0</v>
      </c>
      <c r="Z18" s="125">
        <f>Valores!$C$93</f>
        <v>5455.2</v>
      </c>
      <c r="AA18" s="125">
        <f>Valores!$C$25</f>
        <v>505.99</v>
      </c>
      <c r="AB18" s="214">
        <v>0</v>
      </c>
      <c r="AC18" s="125">
        <f t="shared" si="2"/>
        <v>0</v>
      </c>
      <c r="AD18" s="125">
        <f>Valores!$C$26</f>
        <v>505.99</v>
      </c>
      <c r="AE18" s="192">
        <v>0</v>
      </c>
      <c r="AF18" s="125">
        <f>ROUND(AE18*Valores!$C$2,2)</f>
        <v>0</v>
      </c>
      <c r="AG18" s="125">
        <f>ROUND(IF($F$4="NO",Valores!$C$62,Valores!$C$62/2),2)</f>
        <v>6323.27</v>
      </c>
      <c r="AH18" s="125">
        <f t="shared" si="5"/>
        <v>309157.2</v>
      </c>
      <c r="AI18" s="125">
        <f>Valores!$C$31</f>
        <v>0</v>
      </c>
      <c r="AJ18" s="125">
        <f>Valores!$C$86</f>
        <v>0</v>
      </c>
      <c r="AK18" s="125">
        <f>Valores!C$38*B18</f>
        <v>0</v>
      </c>
      <c r="AL18" s="125">
        <f>IF($F$3="NO",0,Valores!$C$54)</f>
        <v>327.60000000000002</v>
      </c>
      <c r="AM18" s="125">
        <f t="shared" si="3"/>
        <v>327.60000000000002</v>
      </c>
      <c r="AN18" s="125">
        <f>AH18*Valores!$C$70</f>
        <v>-34007.292000000001</v>
      </c>
      <c r="AO18" s="125">
        <f>AH18*-Valores!$C$71</f>
        <v>0</v>
      </c>
      <c r="AP18" s="125">
        <f>AH18*Valores!$C$72</f>
        <v>-13912.074000000001</v>
      </c>
      <c r="AQ18" s="125">
        <f>Valores!$C$99</f>
        <v>-280.91000000000003</v>
      </c>
      <c r="AR18" s="125">
        <f>IF($F$5=0,Valores!$C$100,(Valores!$C$100+$F$5*(Valores!$C$100)))</f>
        <v>-329</v>
      </c>
      <c r="AS18" s="125">
        <f t="shared" si="6"/>
        <v>260955.524</v>
      </c>
      <c r="AT18" s="125">
        <f t="shared" si="0"/>
        <v>-34007.292000000001</v>
      </c>
      <c r="AU18" s="125">
        <f>AH18*Valores!$C$73</f>
        <v>-8347.2443999999996</v>
      </c>
      <c r="AV18" s="125">
        <f>AH18*Valores!$C$74</f>
        <v>-927.47160000000008</v>
      </c>
      <c r="AW18" s="125">
        <f t="shared" si="4"/>
        <v>266202.79200000002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2420.04</v>
      </c>
      <c r="G19" s="192">
        <v>3727</v>
      </c>
      <c r="H19" s="125">
        <f>ROUND(G19*Valores!$C$2,2)</f>
        <v>90194.89</v>
      </c>
      <c r="I19" s="192">
        <v>219</v>
      </c>
      <c r="J19" s="125">
        <f>ROUND(I19*Valores!$C$2,2)</f>
        <v>5299.89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16348.16</v>
      </c>
      <c r="N19" s="125">
        <f t="shared" si="1"/>
        <v>0</v>
      </c>
      <c r="O19" s="125">
        <f>Valores!$C$11</f>
        <v>21578.870000000003</v>
      </c>
      <c r="P19" s="125">
        <f>Valores!$D$5</f>
        <v>12371.24</v>
      </c>
      <c r="Q19" s="125">
        <v>0</v>
      </c>
      <c r="R19" s="125">
        <f>IF($F$4="NO",Valores!$C$45,Valores!$C$45/2)</f>
        <v>11072.91</v>
      </c>
      <c r="S19" s="125">
        <v>0</v>
      </c>
      <c r="T19" s="125">
        <f t="shared" si="7"/>
        <v>0</v>
      </c>
      <c r="U19" s="125">
        <f t="shared" si="8"/>
        <v>97914.819999999992</v>
      </c>
      <c r="V19" s="125">
        <f t="shared" si="9"/>
        <v>39165.93</v>
      </c>
      <c r="W19" s="192">
        <v>0</v>
      </c>
      <c r="X19" s="125">
        <f>ROUND(W19*Valores!$C$2,2)</f>
        <v>0</v>
      </c>
      <c r="Y19" s="125">
        <v>0</v>
      </c>
      <c r="Z19" s="125">
        <f>Valores!$C$93</f>
        <v>5455.2</v>
      </c>
      <c r="AA19" s="125">
        <f>Valores!$C$25</f>
        <v>505.99</v>
      </c>
      <c r="AB19" s="214">
        <v>0</v>
      </c>
      <c r="AC19" s="125">
        <f t="shared" si="2"/>
        <v>0</v>
      </c>
      <c r="AD19" s="125">
        <f>Valores!$C$26</f>
        <v>505.99</v>
      </c>
      <c r="AE19" s="192">
        <v>0</v>
      </c>
      <c r="AF19" s="125">
        <f>ROUND(AE19*Valores!$C$2,2)</f>
        <v>0</v>
      </c>
      <c r="AG19" s="125">
        <f>ROUND(IF($F$4="NO",Valores!$C$62,Valores!$C$62/2),2)</f>
        <v>6323.27</v>
      </c>
      <c r="AH19" s="125">
        <f t="shared" si="5"/>
        <v>309157.2</v>
      </c>
      <c r="AI19" s="125">
        <f>Valores!$C$31</f>
        <v>0</v>
      </c>
      <c r="AJ19" s="125">
        <f>Valores!$C$86</f>
        <v>0</v>
      </c>
      <c r="AK19" s="125">
        <f>Valores!C$38*B19</f>
        <v>0</v>
      </c>
      <c r="AL19" s="125">
        <f>IF($F$3="NO",0,Valores!$C$54)</f>
        <v>327.60000000000002</v>
      </c>
      <c r="AM19" s="125">
        <f t="shared" si="3"/>
        <v>327.60000000000002</v>
      </c>
      <c r="AN19" s="125">
        <f>AH19*Valores!$C$70</f>
        <v>-34007.292000000001</v>
      </c>
      <c r="AO19" s="125">
        <f>AH19*-Valores!$C$71</f>
        <v>0</v>
      </c>
      <c r="AP19" s="125">
        <f>AH19*Valores!$C$72</f>
        <v>-13912.074000000001</v>
      </c>
      <c r="AQ19" s="125">
        <f>Valores!$C$99</f>
        <v>-280.91000000000003</v>
      </c>
      <c r="AR19" s="125">
        <f>IF($F$5=0,Valores!$C$100,(Valores!$C$100+$F$5*(Valores!$C$100)))</f>
        <v>-329</v>
      </c>
      <c r="AS19" s="125">
        <f t="shared" si="6"/>
        <v>260955.524</v>
      </c>
      <c r="AT19" s="125">
        <f t="shared" si="0"/>
        <v>-34007.292000000001</v>
      </c>
      <c r="AU19" s="125">
        <f>AH19*Valores!$C$73</f>
        <v>-8347.2443999999996</v>
      </c>
      <c r="AV19" s="125">
        <f>AH19*Valores!$C$74</f>
        <v>-927.47160000000008</v>
      </c>
      <c r="AW19" s="125">
        <f t="shared" si="4"/>
        <v>266202.79200000002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2420.04</v>
      </c>
      <c r="G20" s="192">
        <v>3727</v>
      </c>
      <c r="H20" s="125">
        <f>ROUND(G20*Valores!$C$2,2)</f>
        <v>90194.89</v>
      </c>
      <c r="I20" s="192">
        <v>219</v>
      </c>
      <c r="J20" s="125">
        <f>ROUND(I20*Valores!$C$2,2)</f>
        <v>5299.89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16348.16</v>
      </c>
      <c r="N20" s="125">
        <f t="shared" si="1"/>
        <v>0</v>
      </c>
      <c r="O20" s="125">
        <f>Valores!$C$11</f>
        <v>21578.870000000003</v>
      </c>
      <c r="P20" s="125">
        <f>Valores!$D$5</f>
        <v>12371.24</v>
      </c>
      <c r="Q20" s="125">
        <v>0</v>
      </c>
      <c r="R20" s="125">
        <f>IF($F$4="NO",Valores!$C$45,Valores!$C$45/2)</f>
        <v>11072.91</v>
      </c>
      <c r="S20" s="125">
        <v>0</v>
      </c>
      <c r="T20" s="125">
        <f t="shared" si="7"/>
        <v>0</v>
      </c>
      <c r="U20" s="125">
        <f t="shared" si="8"/>
        <v>97914.819999999992</v>
      </c>
      <c r="V20" s="125">
        <f t="shared" si="9"/>
        <v>39165.93</v>
      </c>
      <c r="W20" s="192">
        <v>0</v>
      </c>
      <c r="X20" s="125">
        <f>ROUND(W20*Valores!$C$2,2)</f>
        <v>0</v>
      </c>
      <c r="Y20" s="125">
        <v>0</v>
      </c>
      <c r="Z20" s="125">
        <f>Valores!$C$93</f>
        <v>5455.2</v>
      </c>
      <c r="AA20" s="125">
        <f>Valores!$C$25</f>
        <v>505.99</v>
      </c>
      <c r="AB20" s="214">
        <v>0</v>
      </c>
      <c r="AC20" s="125">
        <f t="shared" si="2"/>
        <v>0</v>
      </c>
      <c r="AD20" s="125">
        <f>Valores!$C$26</f>
        <v>505.99</v>
      </c>
      <c r="AE20" s="192">
        <v>0</v>
      </c>
      <c r="AF20" s="125">
        <f>ROUND(AE20*Valores!$C$2,2)</f>
        <v>0</v>
      </c>
      <c r="AG20" s="125">
        <f>ROUND(IF($F$4="NO",Valores!$C$62,Valores!$C$62/2),2)</f>
        <v>6323.27</v>
      </c>
      <c r="AH20" s="125">
        <f t="shared" si="5"/>
        <v>309157.2</v>
      </c>
      <c r="AI20" s="125">
        <f>Valores!$C$31</f>
        <v>0</v>
      </c>
      <c r="AJ20" s="125">
        <f>Valores!$C$86</f>
        <v>0</v>
      </c>
      <c r="AK20" s="125">
        <f>Valores!C$38*B20</f>
        <v>0</v>
      </c>
      <c r="AL20" s="125">
        <f>IF($F$3="NO",0,Valores!$C$54)</f>
        <v>327.60000000000002</v>
      </c>
      <c r="AM20" s="125">
        <f t="shared" si="3"/>
        <v>327.60000000000002</v>
      </c>
      <c r="AN20" s="125">
        <f>AH20*Valores!$C$70</f>
        <v>-34007.292000000001</v>
      </c>
      <c r="AO20" s="125">
        <f>AH20*-Valores!$C$71</f>
        <v>0</v>
      </c>
      <c r="AP20" s="125">
        <f>AH20*Valores!$C$72</f>
        <v>-13912.074000000001</v>
      </c>
      <c r="AQ20" s="125">
        <f>Valores!$C$99</f>
        <v>-280.91000000000003</v>
      </c>
      <c r="AR20" s="125">
        <f>IF($F$5=0,Valores!$C$100,(Valores!$C$100+$F$5*(Valores!$C$100)))</f>
        <v>-329</v>
      </c>
      <c r="AS20" s="125">
        <f t="shared" si="6"/>
        <v>260955.524</v>
      </c>
      <c r="AT20" s="125">
        <f t="shared" si="0"/>
        <v>-34007.292000000001</v>
      </c>
      <c r="AU20" s="125">
        <f>AH20*Valores!$C$73</f>
        <v>-8347.2443999999996</v>
      </c>
      <c r="AV20" s="125">
        <f>AH20*Valores!$C$74</f>
        <v>-927.47160000000008</v>
      </c>
      <c r="AW20" s="125">
        <f t="shared" si="4"/>
        <v>266202.79200000002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2589.44</v>
      </c>
      <c r="G21" s="192">
        <v>3720</v>
      </c>
      <c r="H21" s="125">
        <f>ROUND(G21*Valores!$C$2,2)</f>
        <v>90025.49</v>
      </c>
      <c r="I21" s="192">
        <v>1226</v>
      </c>
      <c r="J21" s="125">
        <f>ROUND(I21*Valores!$C$2,2)</f>
        <v>29669.69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22134.23</v>
      </c>
      <c r="N21" s="125">
        <f t="shared" si="1"/>
        <v>0</v>
      </c>
      <c r="O21" s="125">
        <f>Valores!$C$12</f>
        <v>50119.41</v>
      </c>
      <c r="P21" s="125">
        <f>Valores!$D$5</f>
        <v>12371.24</v>
      </c>
      <c r="Q21" s="125">
        <v>0</v>
      </c>
      <c r="R21" s="125">
        <f>IF($F$4="NO",Valores!$C$46,Valores!$C$46/2)</f>
        <v>13765.22</v>
      </c>
      <c r="S21" s="125">
        <f>Valores!$C$19</f>
        <v>11511.67</v>
      </c>
      <c r="T21" s="125">
        <f t="shared" si="7"/>
        <v>11511.67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Valores!$C$95</f>
        <v>10910.4</v>
      </c>
      <c r="AA21" s="125">
        <f>Valores!$C$25</f>
        <v>505.99</v>
      </c>
      <c r="AB21" s="214">
        <v>0</v>
      </c>
      <c r="AC21" s="125">
        <f t="shared" si="2"/>
        <v>0</v>
      </c>
      <c r="AD21" s="125">
        <f>Valores!$C$26</f>
        <v>505.99</v>
      </c>
      <c r="AE21" s="192">
        <v>0</v>
      </c>
      <c r="AF21" s="125">
        <f>ROUND(AE21*Valores!$C$2,2)</f>
        <v>0</v>
      </c>
      <c r="AG21" s="125">
        <f>ROUND(IF($F$4="NO",Valores!$C$62,Valores!$C$62/2),2)</f>
        <v>6323.27</v>
      </c>
      <c r="AH21" s="125">
        <f t="shared" si="5"/>
        <v>250432.03999999998</v>
      </c>
      <c r="AI21" s="125">
        <f>Valores!$C$31</f>
        <v>0</v>
      </c>
      <c r="AJ21" s="125">
        <f>Valores!$C$88</f>
        <v>0</v>
      </c>
      <c r="AK21" s="125">
        <f>Valores!C$38*B21</f>
        <v>0</v>
      </c>
      <c r="AL21" s="125">
        <f>IF($F$3="NO",0,Valores!$C$54)</f>
        <v>327.60000000000002</v>
      </c>
      <c r="AM21" s="125">
        <f t="shared" si="3"/>
        <v>327.60000000000002</v>
      </c>
      <c r="AN21" s="125">
        <f>AH21*Valores!$C$70</f>
        <v>-27547.524399999998</v>
      </c>
      <c r="AO21" s="125">
        <f>AH21*-Valores!$C$71</f>
        <v>0</v>
      </c>
      <c r="AP21" s="125">
        <f>AH21*Valores!$C$72</f>
        <v>-11269.441799999999</v>
      </c>
      <c r="AQ21" s="125">
        <f>Valores!$C$99</f>
        <v>-280.91000000000003</v>
      </c>
      <c r="AR21" s="125">
        <f>IF($F$5=0,Valores!$C$100,(Valores!$C$100+$F$5*(Valores!$C$100)))</f>
        <v>-329</v>
      </c>
      <c r="AS21" s="125">
        <f t="shared" si="6"/>
        <v>211332.76379999999</v>
      </c>
      <c r="AT21" s="125">
        <f t="shared" si="0"/>
        <v>-27547.524399999998</v>
      </c>
      <c r="AU21" s="125">
        <f>AH21*Valores!$C$73</f>
        <v>-6761.6650799999998</v>
      </c>
      <c r="AV21" s="125">
        <f>AH21*Valores!$C$74</f>
        <v>-751.29611999999997</v>
      </c>
      <c r="AW21" s="125">
        <f t="shared" si="4"/>
        <v>215699.1544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2420.04</v>
      </c>
      <c r="G22" s="192">
        <v>3727</v>
      </c>
      <c r="H22" s="125">
        <f>ROUND(G22*Valores!$C$2,2)</f>
        <v>90194.89</v>
      </c>
      <c r="I22" s="192">
        <v>219</v>
      </c>
      <c r="J22" s="125">
        <f>ROUND(I22*Valores!$C$2,2)</f>
        <v>5299.89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16348.16</v>
      </c>
      <c r="N22" s="125">
        <f t="shared" si="1"/>
        <v>0</v>
      </c>
      <c r="O22" s="125">
        <f>Valores!$C$11</f>
        <v>21578.870000000003</v>
      </c>
      <c r="P22" s="125">
        <f>Valores!$D$5</f>
        <v>12371.24</v>
      </c>
      <c r="Q22" s="125">
        <v>0</v>
      </c>
      <c r="R22" s="125">
        <f>IF($F$4="NO",Valores!$C$45,Valores!$C$45/2)</f>
        <v>11072.91</v>
      </c>
      <c r="S22" s="125">
        <v>0</v>
      </c>
      <c r="T22" s="125">
        <f t="shared" si="7"/>
        <v>0</v>
      </c>
      <c r="U22" s="125">
        <f>SUM(F22,H22,J22)</f>
        <v>97914.819999999992</v>
      </c>
      <c r="V22" s="125">
        <f>INT((SUM(F22,H22,J22)*0.4*100)+0.49)/100</f>
        <v>39165.93</v>
      </c>
      <c r="W22" s="192">
        <v>0</v>
      </c>
      <c r="X22" s="125">
        <f>ROUND(W22*Valores!$C$2,2)</f>
        <v>0</v>
      </c>
      <c r="Y22" s="125">
        <v>0</v>
      </c>
      <c r="Z22" s="125">
        <f>Valores!$C$93</f>
        <v>5455.2</v>
      </c>
      <c r="AA22" s="125">
        <f>Valores!$C$25</f>
        <v>505.99</v>
      </c>
      <c r="AB22" s="214">
        <v>0</v>
      </c>
      <c r="AC22" s="125">
        <f t="shared" si="2"/>
        <v>0</v>
      </c>
      <c r="AD22" s="125">
        <f>Valores!$C$26</f>
        <v>505.99</v>
      </c>
      <c r="AE22" s="192">
        <v>0</v>
      </c>
      <c r="AF22" s="125">
        <f>ROUND(AE22*Valores!$C$2,2)</f>
        <v>0</v>
      </c>
      <c r="AG22" s="125">
        <f>ROUND(IF($F$4="NO",Valores!$C$62,Valores!$C$62/2),2)</f>
        <v>6323.27</v>
      </c>
      <c r="AH22" s="125">
        <f t="shared" si="5"/>
        <v>309157.2</v>
      </c>
      <c r="AI22" s="125">
        <f>Valores!$C$31</f>
        <v>0</v>
      </c>
      <c r="AJ22" s="125">
        <f>Valores!$C$86</f>
        <v>0</v>
      </c>
      <c r="AK22" s="125">
        <f>Valores!C$38*B22</f>
        <v>0</v>
      </c>
      <c r="AL22" s="125">
        <f>IF($F$3="NO",0,Valores!$C$54)</f>
        <v>327.60000000000002</v>
      </c>
      <c r="AM22" s="125">
        <f t="shared" si="3"/>
        <v>327.60000000000002</v>
      </c>
      <c r="AN22" s="125">
        <f>AH22*Valores!$C$70</f>
        <v>-34007.292000000001</v>
      </c>
      <c r="AO22" s="125">
        <f>AH22*-Valores!$C$71</f>
        <v>0</v>
      </c>
      <c r="AP22" s="125">
        <f>AH22*Valores!$C$72</f>
        <v>-13912.074000000001</v>
      </c>
      <c r="AQ22" s="125">
        <f>Valores!$C$99</f>
        <v>-280.91000000000003</v>
      </c>
      <c r="AR22" s="125">
        <f>IF($F$5=0,Valores!$C$100,(Valores!$C$100+$F$5*(Valores!$C$100)))</f>
        <v>-329</v>
      </c>
      <c r="AS22" s="125">
        <f t="shared" si="6"/>
        <v>260955.524</v>
      </c>
      <c r="AT22" s="125">
        <f t="shared" si="0"/>
        <v>-34007.292000000001</v>
      </c>
      <c r="AU22" s="125">
        <f>AH22*Valores!$C$73</f>
        <v>-8347.2443999999996</v>
      </c>
      <c r="AV22" s="125">
        <f>AH22*Valores!$C$74</f>
        <v>-927.47160000000008</v>
      </c>
      <c r="AW22" s="125">
        <f t="shared" si="4"/>
        <v>266202.79200000002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2420.04</v>
      </c>
      <c r="G23" s="192">
        <v>3727</v>
      </c>
      <c r="H23" s="125">
        <f>ROUND(G23*Valores!$C$2,2)</f>
        <v>90194.89</v>
      </c>
      <c r="I23" s="192">
        <v>219</v>
      </c>
      <c r="J23" s="125">
        <f>ROUND(I23*Valores!$C$2,2)</f>
        <v>5299.89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16348.16</v>
      </c>
      <c r="N23" s="125">
        <f t="shared" si="1"/>
        <v>0</v>
      </c>
      <c r="O23" s="125">
        <f>Valores!$C$11</f>
        <v>21578.870000000003</v>
      </c>
      <c r="P23" s="125">
        <f>Valores!$D$5</f>
        <v>12371.24</v>
      </c>
      <c r="Q23" s="125">
        <v>0</v>
      </c>
      <c r="R23" s="125">
        <f>IF($F$4="NO",Valores!$C$45,Valores!$C$45/2)</f>
        <v>11072.91</v>
      </c>
      <c r="S23" s="125">
        <v>0</v>
      </c>
      <c r="T23" s="125">
        <f t="shared" si="7"/>
        <v>0</v>
      </c>
      <c r="U23" s="125">
        <f>SUM(F23,H23,J23)</f>
        <v>97914.819999999992</v>
      </c>
      <c r="V23" s="125">
        <f>INT((SUM(F23,H23,J23)*0.4*100)+0.49)/100</f>
        <v>39165.93</v>
      </c>
      <c r="W23" s="192">
        <v>0</v>
      </c>
      <c r="X23" s="125">
        <f>ROUND(W23*Valores!$C$2,2)</f>
        <v>0</v>
      </c>
      <c r="Y23" s="125">
        <v>0</v>
      </c>
      <c r="Z23" s="125">
        <f>Valores!$C$93</f>
        <v>5455.2</v>
      </c>
      <c r="AA23" s="125">
        <f>Valores!$C$25</f>
        <v>505.99</v>
      </c>
      <c r="AB23" s="214">
        <v>0</v>
      </c>
      <c r="AC23" s="125">
        <f t="shared" si="2"/>
        <v>0</v>
      </c>
      <c r="AD23" s="125">
        <f>Valores!$C$26</f>
        <v>505.99</v>
      </c>
      <c r="AE23" s="192">
        <v>0</v>
      </c>
      <c r="AF23" s="125">
        <f>ROUND(AE23*Valores!$C$2,2)</f>
        <v>0</v>
      </c>
      <c r="AG23" s="125">
        <f>ROUND(IF($F$4="NO",Valores!$C$62,Valores!$C$62/2),2)</f>
        <v>6323.27</v>
      </c>
      <c r="AH23" s="125">
        <f t="shared" si="5"/>
        <v>309157.2</v>
      </c>
      <c r="AI23" s="125">
        <f>Valores!$C$31</f>
        <v>0</v>
      </c>
      <c r="AJ23" s="125">
        <f>Valores!$C$86</f>
        <v>0</v>
      </c>
      <c r="AK23" s="125">
        <f>Valores!C$38*B23</f>
        <v>0</v>
      </c>
      <c r="AL23" s="125">
        <f>IF($F$3="NO",0,Valores!$C$54)</f>
        <v>327.60000000000002</v>
      </c>
      <c r="AM23" s="125">
        <f t="shared" si="3"/>
        <v>327.60000000000002</v>
      </c>
      <c r="AN23" s="125">
        <f>AH23*Valores!$C$70</f>
        <v>-34007.292000000001</v>
      </c>
      <c r="AO23" s="125">
        <f>AH23*-Valores!$C$71</f>
        <v>0</v>
      </c>
      <c r="AP23" s="125">
        <f>AH23*Valores!$C$72</f>
        <v>-13912.074000000001</v>
      </c>
      <c r="AQ23" s="125">
        <f>Valores!$C$99</f>
        <v>-280.91000000000003</v>
      </c>
      <c r="AR23" s="125">
        <f>IF($F$5=0,Valores!$C$100,(Valores!$C$100+$F$5*(Valores!$C$100)))</f>
        <v>-329</v>
      </c>
      <c r="AS23" s="125">
        <f t="shared" si="6"/>
        <v>260955.524</v>
      </c>
      <c r="AT23" s="125">
        <f t="shared" si="0"/>
        <v>-34007.292000000001</v>
      </c>
      <c r="AU23" s="125">
        <f>AH23*Valores!$C$73</f>
        <v>-8347.2443999999996</v>
      </c>
      <c r="AV23" s="125">
        <f>AH23*Valores!$C$74</f>
        <v>-927.47160000000008</v>
      </c>
      <c r="AW23" s="125">
        <f t="shared" si="4"/>
        <v>266202.79200000002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2420.04</v>
      </c>
      <c r="G24" s="192">
        <v>3727</v>
      </c>
      <c r="H24" s="125">
        <f>ROUND(G24*Valores!$C$2,2)</f>
        <v>90194.89</v>
      </c>
      <c r="I24" s="192">
        <v>219</v>
      </c>
      <c r="J24" s="125">
        <f>ROUND(I24*Valores!$C$2,2)</f>
        <v>5299.89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16348.16</v>
      </c>
      <c r="N24" s="125">
        <f t="shared" si="1"/>
        <v>0</v>
      </c>
      <c r="O24" s="125">
        <f>Valores!$C$11</f>
        <v>21578.870000000003</v>
      </c>
      <c r="P24" s="125">
        <f>Valores!$D$5</f>
        <v>12371.24</v>
      </c>
      <c r="Q24" s="125">
        <v>0</v>
      </c>
      <c r="R24" s="125">
        <f>IF($F$4="NO",Valores!$C$45,Valores!$C$45/2)</f>
        <v>11072.91</v>
      </c>
      <c r="S24" s="125">
        <v>0</v>
      </c>
      <c r="T24" s="125">
        <f t="shared" si="7"/>
        <v>0</v>
      </c>
      <c r="U24" s="125">
        <f>SUM(F24,H24,J24)</f>
        <v>97914.819999999992</v>
      </c>
      <c r="V24" s="125">
        <f>INT((SUM(F24,H24,J24)*0.4*100)+0.49)/100</f>
        <v>39165.93</v>
      </c>
      <c r="W24" s="192">
        <v>0</v>
      </c>
      <c r="X24" s="125">
        <f>ROUND(W24*Valores!$C$2,2)</f>
        <v>0</v>
      </c>
      <c r="Y24" s="125">
        <v>0</v>
      </c>
      <c r="Z24" s="125">
        <f>Valores!$C$93</f>
        <v>5455.2</v>
      </c>
      <c r="AA24" s="125">
        <f>Valores!$C$25</f>
        <v>505.99</v>
      </c>
      <c r="AB24" s="214">
        <v>0</v>
      </c>
      <c r="AC24" s="125">
        <f t="shared" si="2"/>
        <v>0</v>
      </c>
      <c r="AD24" s="125">
        <f>Valores!$C$26</f>
        <v>505.99</v>
      </c>
      <c r="AE24" s="192">
        <v>0</v>
      </c>
      <c r="AF24" s="125">
        <f>ROUND(AE24*Valores!$C$2,2)</f>
        <v>0</v>
      </c>
      <c r="AG24" s="125">
        <f>ROUND(IF($F$4="NO",Valores!$C$62,Valores!$C$62/2),2)</f>
        <v>6323.27</v>
      </c>
      <c r="AH24" s="125">
        <f t="shared" si="5"/>
        <v>309157.2</v>
      </c>
      <c r="AI24" s="125">
        <f>Valores!$C$31</f>
        <v>0</v>
      </c>
      <c r="AJ24" s="125">
        <f>Valores!$C$86</f>
        <v>0</v>
      </c>
      <c r="AK24" s="125">
        <f>Valores!C$38*B24</f>
        <v>0</v>
      </c>
      <c r="AL24" s="125">
        <f>IF($F$3="NO",0,Valores!$C$54)</f>
        <v>327.60000000000002</v>
      </c>
      <c r="AM24" s="125">
        <f t="shared" si="3"/>
        <v>327.60000000000002</v>
      </c>
      <c r="AN24" s="125">
        <f>AH24*Valores!$C$70</f>
        <v>-34007.292000000001</v>
      </c>
      <c r="AO24" s="125">
        <f>AH24*-Valores!$C$71</f>
        <v>0</v>
      </c>
      <c r="AP24" s="125">
        <f>AH24*Valores!$C$72</f>
        <v>-13912.074000000001</v>
      </c>
      <c r="AQ24" s="125">
        <f>Valores!$C$99</f>
        <v>-280.91000000000003</v>
      </c>
      <c r="AR24" s="125">
        <f>IF($F$5=0,Valores!$C$100,(Valores!$C$100+$F$5*(Valores!$C$100)))</f>
        <v>-329</v>
      </c>
      <c r="AS24" s="125">
        <f t="shared" si="6"/>
        <v>260955.524</v>
      </c>
      <c r="AT24" s="125">
        <f t="shared" si="0"/>
        <v>-34007.292000000001</v>
      </c>
      <c r="AU24" s="125">
        <f>AH24*Valores!$C$73</f>
        <v>-8347.2443999999996</v>
      </c>
      <c r="AV24" s="125">
        <f>AH24*Valores!$C$74</f>
        <v>-927.47160000000008</v>
      </c>
      <c r="AW24" s="125">
        <f t="shared" si="4"/>
        <v>266202.79200000002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2323.2399999999998</v>
      </c>
      <c r="G25" s="192">
        <v>3737</v>
      </c>
      <c r="H25" s="125">
        <f>ROUND(G25*Valores!$C$2,2)</f>
        <v>90436.89</v>
      </c>
      <c r="I25" s="192">
        <v>1220</v>
      </c>
      <c r="J25" s="125">
        <f>ROUND(I25*Valores!$C$2,2)</f>
        <v>29524.49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22134.23</v>
      </c>
      <c r="N25" s="125">
        <f t="shared" si="1"/>
        <v>0</v>
      </c>
      <c r="O25" s="125">
        <f>Valores!$C$12</f>
        <v>50119.41</v>
      </c>
      <c r="P25" s="125">
        <f>Valores!$D$5</f>
        <v>12371.24</v>
      </c>
      <c r="Q25" s="125">
        <v>0</v>
      </c>
      <c r="R25" s="125">
        <f>IF($F$4="NO",Valores!$C$46,Valores!$C$46/2)</f>
        <v>13765.22</v>
      </c>
      <c r="S25" s="125">
        <f>Valores!$C$19</f>
        <v>11511.67</v>
      </c>
      <c r="T25" s="125">
        <f t="shared" si="7"/>
        <v>11511.67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Valores!$C$95</f>
        <v>10910.4</v>
      </c>
      <c r="AA25" s="125">
        <f>Valores!$C$25</f>
        <v>505.99</v>
      </c>
      <c r="AB25" s="214">
        <v>0</v>
      </c>
      <c r="AC25" s="125">
        <f t="shared" si="2"/>
        <v>0</v>
      </c>
      <c r="AD25" s="125">
        <f>Valores!$C$26</f>
        <v>505.99</v>
      </c>
      <c r="AE25" s="192">
        <v>0</v>
      </c>
      <c r="AF25" s="125">
        <f>ROUND(AE25*Valores!$C$2,2)</f>
        <v>0</v>
      </c>
      <c r="AG25" s="125">
        <f>ROUND(IF($F$4="NO",Valores!$C$62,Valores!$C$62/2),2)</f>
        <v>6323.27</v>
      </c>
      <c r="AH25" s="125">
        <f t="shared" si="5"/>
        <v>250432.03999999998</v>
      </c>
      <c r="AI25" s="125">
        <f>Valores!$C$31</f>
        <v>0</v>
      </c>
      <c r="AJ25" s="125">
        <f>Valores!$C$88</f>
        <v>0</v>
      </c>
      <c r="AK25" s="125">
        <f>Valores!C$38*B25</f>
        <v>0</v>
      </c>
      <c r="AL25" s="125">
        <f>IF($F$3="NO",0,Valores!$C$54)</f>
        <v>327.60000000000002</v>
      </c>
      <c r="AM25" s="125">
        <f t="shared" si="3"/>
        <v>327.60000000000002</v>
      </c>
      <c r="AN25" s="125">
        <f>AH25*Valores!$C$70</f>
        <v>-27547.524399999998</v>
      </c>
      <c r="AO25" s="125">
        <f>AH25*-Valores!$C$71</f>
        <v>0</v>
      </c>
      <c r="AP25" s="125">
        <f>AH25*Valores!$C$72</f>
        <v>-11269.441799999999</v>
      </c>
      <c r="AQ25" s="125">
        <f>Valores!$C$99</f>
        <v>-280.91000000000003</v>
      </c>
      <c r="AR25" s="125">
        <f>IF($F$5=0,Valores!$C$100,(Valores!$C$100+$F$5*(Valores!$C$100)))</f>
        <v>-329</v>
      </c>
      <c r="AS25" s="125">
        <f t="shared" si="6"/>
        <v>211332.76379999999</v>
      </c>
      <c r="AT25" s="125">
        <f t="shared" si="0"/>
        <v>-27547.524399999998</v>
      </c>
      <c r="AU25" s="125">
        <f>AH25*Valores!$C$73</f>
        <v>-6761.6650799999998</v>
      </c>
      <c r="AV25" s="125">
        <f>AH25*Valores!$C$74</f>
        <v>-751.29611999999997</v>
      </c>
      <c r="AW25" s="125">
        <f t="shared" si="4"/>
        <v>215699.1544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2323.2399999999998</v>
      </c>
      <c r="G26" s="192">
        <v>3737</v>
      </c>
      <c r="H26" s="125">
        <f>ROUND(G26*Valores!$C$2,2)</f>
        <v>90436.89</v>
      </c>
      <c r="I26" s="192">
        <v>1220</v>
      </c>
      <c r="J26" s="125">
        <f>ROUND(I26*Valores!$C$2,2)</f>
        <v>29524.49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22134.23</v>
      </c>
      <c r="N26" s="125">
        <f t="shared" si="1"/>
        <v>0</v>
      </c>
      <c r="O26" s="125">
        <f>Valores!$C$12</f>
        <v>50119.41</v>
      </c>
      <c r="P26" s="125">
        <f>Valores!$D$5</f>
        <v>12371.24</v>
      </c>
      <c r="Q26" s="125">
        <v>0</v>
      </c>
      <c r="R26" s="125">
        <f>IF($F$4="NO",Valores!$C$46,Valores!$C$46/2)</f>
        <v>13765.22</v>
      </c>
      <c r="S26" s="125">
        <f>Valores!$C$19</f>
        <v>11511.67</v>
      </c>
      <c r="T26" s="125">
        <f t="shared" si="7"/>
        <v>11511.67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Valores!$C$95</f>
        <v>10910.4</v>
      </c>
      <c r="AA26" s="125">
        <f>Valores!$C$25</f>
        <v>505.99</v>
      </c>
      <c r="AB26" s="214">
        <v>0</v>
      </c>
      <c r="AC26" s="125">
        <f t="shared" si="2"/>
        <v>0</v>
      </c>
      <c r="AD26" s="125">
        <f>Valores!$C$26</f>
        <v>505.99</v>
      </c>
      <c r="AE26" s="192">
        <v>0</v>
      </c>
      <c r="AF26" s="125">
        <f>ROUND(AE26*Valores!$C$2,2)</f>
        <v>0</v>
      </c>
      <c r="AG26" s="125">
        <f>ROUND(IF($F$4="NO",Valores!$C$62,Valores!$C$62/2),2)</f>
        <v>6323.27</v>
      </c>
      <c r="AH26" s="125">
        <f t="shared" si="5"/>
        <v>250432.03999999998</v>
      </c>
      <c r="AI26" s="125">
        <f>Valores!$C$31</f>
        <v>0</v>
      </c>
      <c r="AJ26" s="125">
        <f>Valores!$C$88</f>
        <v>0</v>
      </c>
      <c r="AK26" s="125">
        <f>Valores!C$38*B26</f>
        <v>0</v>
      </c>
      <c r="AL26" s="125">
        <f>IF($F$3="NO",0,Valores!$C$54)</f>
        <v>327.60000000000002</v>
      </c>
      <c r="AM26" s="125">
        <f t="shared" si="3"/>
        <v>327.60000000000002</v>
      </c>
      <c r="AN26" s="125">
        <f>AH26*Valores!$C$70</f>
        <v>-27547.524399999998</v>
      </c>
      <c r="AO26" s="125">
        <f>AH26*-Valores!$C$71</f>
        <v>0</v>
      </c>
      <c r="AP26" s="125">
        <f>AH26*Valores!$C$72</f>
        <v>-11269.441799999999</v>
      </c>
      <c r="AQ26" s="125">
        <f>Valores!$C$99</f>
        <v>-280.91000000000003</v>
      </c>
      <c r="AR26" s="125">
        <f>IF($F$5=0,Valores!$C$100,(Valores!$C$100+$F$5*(Valores!$C$100)))</f>
        <v>-329</v>
      </c>
      <c r="AS26" s="125">
        <f t="shared" si="6"/>
        <v>211332.76379999999</v>
      </c>
      <c r="AT26" s="125">
        <f t="shared" si="0"/>
        <v>-27547.524399999998</v>
      </c>
      <c r="AU26" s="125">
        <f>AH26*Valores!$C$73</f>
        <v>-6761.6650799999998</v>
      </c>
      <c r="AV26" s="125">
        <f>AH26*Valores!$C$74</f>
        <v>-751.29611999999997</v>
      </c>
      <c r="AW26" s="125">
        <f t="shared" si="4"/>
        <v>215699.1544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2323.2399999999998</v>
      </c>
      <c r="G27" s="192">
        <v>3737</v>
      </c>
      <c r="H27" s="125">
        <f>ROUND(G27*Valores!$C$2,2)</f>
        <v>90436.89</v>
      </c>
      <c r="I27" s="192">
        <v>1220</v>
      </c>
      <c r="J27" s="125">
        <f>ROUND(I27*Valores!$C$2,2)</f>
        <v>29524.49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22134.23</v>
      </c>
      <c r="N27" s="125">
        <f t="shared" si="1"/>
        <v>0</v>
      </c>
      <c r="O27" s="125">
        <f>Valores!$C$12</f>
        <v>50119.41</v>
      </c>
      <c r="P27" s="125">
        <f>Valores!$D$5</f>
        <v>12371.24</v>
      </c>
      <c r="Q27" s="125">
        <v>0</v>
      </c>
      <c r="R27" s="125">
        <f>IF($F$4="NO",Valores!$C$46,Valores!$C$46/2)</f>
        <v>13765.22</v>
      </c>
      <c r="S27" s="125">
        <f>Valores!$C$19</f>
        <v>11511.67</v>
      </c>
      <c r="T27" s="125">
        <f t="shared" si="7"/>
        <v>11511.67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Valores!$C$95</f>
        <v>10910.4</v>
      </c>
      <c r="AA27" s="125">
        <f>Valores!$C$25</f>
        <v>505.99</v>
      </c>
      <c r="AB27" s="214">
        <v>0</v>
      </c>
      <c r="AC27" s="125">
        <f t="shared" si="2"/>
        <v>0</v>
      </c>
      <c r="AD27" s="125">
        <f>Valores!$C$26</f>
        <v>505.99</v>
      </c>
      <c r="AE27" s="192">
        <v>0</v>
      </c>
      <c r="AF27" s="125">
        <f>ROUND(AE27*Valores!$C$2,2)</f>
        <v>0</v>
      </c>
      <c r="AG27" s="125">
        <f>ROUND(IF($F$4="NO",Valores!$C$62,Valores!$C$62/2),2)</f>
        <v>6323.27</v>
      </c>
      <c r="AH27" s="125">
        <f t="shared" si="5"/>
        <v>250432.03999999998</v>
      </c>
      <c r="AI27" s="125">
        <f>Valores!$C$31</f>
        <v>0</v>
      </c>
      <c r="AJ27" s="125">
        <f>Valores!$C$88</f>
        <v>0</v>
      </c>
      <c r="AK27" s="125">
        <f>Valores!C$38*B27</f>
        <v>0</v>
      </c>
      <c r="AL27" s="125">
        <f>IF($F$3="NO",0,Valores!$C$54)</f>
        <v>327.60000000000002</v>
      </c>
      <c r="AM27" s="125">
        <f t="shared" si="3"/>
        <v>327.60000000000002</v>
      </c>
      <c r="AN27" s="125">
        <f>AH27*Valores!$C$70</f>
        <v>-27547.524399999998</v>
      </c>
      <c r="AO27" s="125">
        <f>AH27*-Valores!$C$71</f>
        <v>0</v>
      </c>
      <c r="AP27" s="125">
        <f>AH27*Valores!$C$72</f>
        <v>-11269.441799999999</v>
      </c>
      <c r="AQ27" s="125">
        <f>Valores!$C$99</f>
        <v>-280.91000000000003</v>
      </c>
      <c r="AR27" s="125">
        <f>IF($F$5=0,Valores!$C$100,(Valores!$C$100+$F$5*(Valores!$C$100)))</f>
        <v>-329</v>
      </c>
      <c r="AS27" s="125">
        <f t="shared" si="6"/>
        <v>211332.76379999999</v>
      </c>
      <c r="AT27" s="125">
        <f t="shared" si="0"/>
        <v>-27547.524399999998</v>
      </c>
      <c r="AU27" s="125">
        <f>AH27*Valores!$C$73</f>
        <v>-6761.6650799999998</v>
      </c>
      <c r="AV27" s="125">
        <f>AH27*Valores!$C$74</f>
        <v>-751.29611999999997</v>
      </c>
      <c r="AW27" s="125">
        <f t="shared" si="4"/>
        <v>215699.1544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2589.44</v>
      </c>
      <c r="G28" s="192">
        <v>3728</v>
      </c>
      <c r="H28" s="125">
        <f>ROUND(G28*Valores!$C$2,2)</f>
        <v>90219.09</v>
      </c>
      <c r="I28" s="192">
        <v>1218</v>
      </c>
      <c r="J28" s="125">
        <f>ROUND(I28*Valores!$C$2,2)</f>
        <v>29476.09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22134.23</v>
      </c>
      <c r="N28" s="125">
        <f t="shared" si="1"/>
        <v>0</v>
      </c>
      <c r="O28" s="125">
        <f>Valores!$C$12</f>
        <v>50119.41</v>
      </c>
      <c r="P28" s="125">
        <f>Valores!$D$5</f>
        <v>12371.24</v>
      </c>
      <c r="Q28" s="125">
        <v>0</v>
      </c>
      <c r="R28" s="125">
        <f>IF($F$4="NO",Valores!$C$46,Valores!$C$46/2)</f>
        <v>13765.22</v>
      </c>
      <c r="S28" s="125">
        <f>Valores!$C$19</f>
        <v>11511.67</v>
      </c>
      <c r="T28" s="125">
        <f t="shared" si="7"/>
        <v>11511.67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Valores!$C$95</f>
        <v>10910.4</v>
      </c>
      <c r="AA28" s="125">
        <f>Valores!$C$25</f>
        <v>505.99</v>
      </c>
      <c r="AB28" s="214">
        <v>0</v>
      </c>
      <c r="AC28" s="125">
        <f t="shared" si="2"/>
        <v>0</v>
      </c>
      <c r="AD28" s="125">
        <f>Valores!$C$26</f>
        <v>505.99</v>
      </c>
      <c r="AE28" s="192">
        <v>0</v>
      </c>
      <c r="AF28" s="125">
        <f>ROUND(AE28*Valores!$C$2,2)</f>
        <v>0</v>
      </c>
      <c r="AG28" s="125">
        <f>ROUND(IF($F$4="NO",Valores!$C$62,Valores!$C$62/2),2)</f>
        <v>6323.27</v>
      </c>
      <c r="AH28" s="125">
        <f t="shared" si="5"/>
        <v>250432.03999999998</v>
      </c>
      <c r="AI28" s="125">
        <f>Valores!$C$31</f>
        <v>0</v>
      </c>
      <c r="AJ28" s="125">
        <f>Valores!$C$88</f>
        <v>0</v>
      </c>
      <c r="AK28" s="125">
        <f>Valores!C$38*B28</f>
        <v>0</v>
      </c>
      <c r="AL28" s="125">
        <f>IF($F$3="NO",0,Valores!$C$54)</f>
        <v>327.60000000000002</v>
      </c>
      <c r="AM28" s="125">
        <f t="shared" si="3"/>
        <v>327.60000000000002</v>
      </c>
      <c r="AN28" s="125">
        <f>AH28*Valores!$C$70</f>
        <v>-27547.524399999998</v>
      </c>
      <c r="AO28" s="125">
        <f>AH28*-Valores!$C$71</f>
        <v>0</v>
      </c>
      <c r="AP28" s="125">
        <f>AH28*Valores!$C$72</f>
        <v>-11269.441799999999</v>
      </c>
      <c r="AQ28" s="125">
        <f>Valores!$C$99</f>
        <v>-280.91000000000003</v>
      </c>
      <c r="AR28" s="125">
        <f>IF($F$5=0,Valores!$C$100,(Valores!$C$100+$F$5*(Valores!$C$100)))</f>
        <v>-329</v>
      </c>
      <c r="AS28" s="125">
        <f t="shared" si="6"/>
        <v>211332.76379999999</v>
      </c>
      <c r="AT28" s="125">
        <f t="shared" si="0"/>
        <v>-27547.524399999998</v>
      </c>
      <c r="AU28" s="125">
        <f>AH28*Valores!$C$73</f>
        <v>-6761.6650799999998</v>
      </c>
      <c r="AV28" s="125">
        <f>AH28*Valores!$C$74</f>
        <v>-751.29611999999997</v>
      </c>
      <c r="AW28" s="125">
        <f t="shared" si="4"/>
        <v>215699.1544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2274.84</v>
      </c>
      <c r="G29" s="192">
        <v>3624</v>
      </c>
      <c r="H29" s="125">
        <f>ROUND(G29*Valores!$C$2,2)</f>
        <v>87702.25</v>
      </c>
      <c r="I29" s="192">
        <v>1219</v>
      </c>
      <c r="J29" s="125">
        <f>ROUND(I29*Valores!$C$2,2)</f>
        <v>29500.29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21713.14</v>
      </c>
      <c r="N29" s="125">
        <f t="shared" si="1"/>
        <v>0</v>
      </c>
      <c r="O29" s="125">
        <f>Valores!$C$12</f>
        <v>50119.41</v>
      </c>
      <c r="P29" s="125">
        <f>Valores!$D$5</f>
        <v>12371.24</v>
      </c>
      <c r="Q29" s="125">
        <v>0</v>
      </c>
      <c r="R29" s="125">
        <f>IF($F$4="NO",Valores!$C$46,Valores!$C$46/2)</f>
        <v>13765.22</v>
      </c>
      <c r="S29" s="125">
        <f>Valores!$C$19</f>
        <v>11511.67</v>
      </c>
      <c r="T29" s="125">
        <f t="shared" si="7"/>
        <v>11511.67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Valores!$C$95</f>
        <v>10910.4</v>
      </c>
      <c r="AA29" s="125">
        <f>Valores!$C$25</f>
        <v>505.99</v>
      </c>
      <c r="AB29" s="214">
        <v>0</v>
      </c>
      <c r="AC29" s="125">
        <f t="shared" si="2"/>
        <v>0</v>
      </c>
      <c r="AD29" s="125">
        <f>Valores!$C$26</f>
        <v>505.99</v>
      </c>
      <c r="AE29" s="192">
        <v>0</v>
      </c>
      <c r="AF29" s="125">
        <f>ROUND(AE29*Valores!$C$2,2)</f>
        <v>0</v>
      </c>
      <c r="AG29" s="125">
        <f>ROUND(IF($F$4="NO",Valores!$C$62,Valores!$C$62/2),2)</f>
        <v>6323.27</v>
      </c>
      <c r="AH29" s="125">
        <f t="shared" si="5"/>
        <v>247203.71</v>
      </c>
      <c r="AI29" s="125">
        <f>Valores!$C$31</f>
        <v>0</v>
      </c>
      <c r="AJ29" s="125">
        <f>Valores!$C$88</f>
        <v>0</v>
      </c>
      <c r="AK29" s="125">
        <f>Valores!C$38*B29</f>
        <v>0</v>
      </c>
      <c r="AL29" s="125">
        <f>IF($F$3="NO",0,Valores!$C$54)</f>
        <v>327.60000000000002</v>
      </c>
      <c r="AM29" s="125">
        <f t="shared" si="3"/>
        <v>327.60000000000002</v>
      </c>
      <c r="AN29" s="125">
        <f>AH29*Valores!$C$70</f>
        <v>-27192.408100000001</v>
      </c>
      <c r="AO29" s="125">
        <f>AH29*-Valores!$C$71</f>
        <v>0</v>
      </c>
      <c r="AP29" s="125">
        <f>AH29*Valores!$C$72</f>
        <v>-11124.166949999999</v>
      </c>
      <c r="AQ29" s="125">
        <f>Valores!$C$99</f>
        <v>-280.91000000000003</v>
      </c>
      <c r="AR29" s="125">
        <f>IF($F$5=0,Valores!$C$100,(Valores!$C$100+$F$5*(Valores!$C$100)))</f>
        <v>-329</v>
      </c>
      <c r="AS29" s="125">
        <f t="shared" si="6"/>
        <v>208604.82494999998</v>
      </c>
      <c r="AT29" s="125">
        <f t="shared" si="0"/>
        <v>-27192.408100000001</v>
      </c>
      <c r="AU29" s="125">
        <f>AH29*Valores!$C$73</f>
        <v>-6674.5001699999993</v>
      </c>
      <c r="AV29" s="125">
        <f>AH29*Valores!$C$74</f>
        <v>-741.61113</v>
      </c>
      <c r="AW29" s="125">
        <f t="shared" si="4"/>
        <v>212922.79060000001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2250.64</v>
      </c>
      <c r="G30" s="192">
        <v>3627</v>
      </c>
      <c r="H30" s="125">
        <f>ROUND(G30*Valores!$C$2,2)</f>
        <v>87774.85</v>
      </c>
      <c r="I30" s="192">
        <v>210</v>
      </c>
      <c r="J30" s="125">
        <f>ROUND(I30*Valores!$C$2,2)</f>
        <v>5082.08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18057.669999999998</v>
      </c>
      <c r="N30" s="125">
        <f t="shared" si="1"/>
        <v>0</v>
      </c>
      <c r="O30" s="125">
        <f>Valores!$C$12</f>
        <v>50119.41</v>
      </c>
      <c r="P30" s="125">
        <f>Valores!$D$5</f>
        <v>12371.24</v>
      </c>
      <c r="Q30" s="125">
        <v>0</v>
      </c>
      <c r="R30" s="125">
        <f>IF($F$4="NO",Valores!$C$46,Valores!$C$46/2)</f>
        <v>13765.22</v>
      </c>
      <c r="S30" s="125">
        <f>Valores!$C$19</f>
        <v>11511.67</v>
      </c>
      <c r="T30" s="125">
        <f t="shared" si="7"/>
        <v>11511.67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Valores!$C$95</f>
        <v>10910.4</v>
      </c>
      <c r="AA30" s="125">
        <f>Valores!$C$25</f>
        <v>505.99</v>
      </c>
      <c r="AB30" s="214">
        <v>0</v>
      </c>
      <c r="AC30" s="125">
        <f t="shared" si="2"/>
        <v>0</v>
      </c>
      <c r="AD30" s="125">
        <f>Valores!$C$26</f>
        <v>505.99</v>
      </c>
      <c r="AE30" s="192">
        <v>0</v>
      </c>
      <c r="AF30" s="125">
        <f>ROUND(AE30*Valores!$C$2,2)</f>
        <v>0</v>
      </c>
      <c r="AG30" s="125">
        <f>ROUND(IF($F$4="NO",Valores!$C$62,Valores!$C$62/2),2)</f>
        <v>6323.27</v>
      </c>
      <c r="AH30" s="125">
        <f t="shared" si="5"/>
        <v>219178.43</v>
      </c>
      <c r="AI30" s="125">
        <f>Valores!$C$31</f>
        <v>0</v>
      </c>
      <c r="AJ30" s="125">
        <f>Valores!$C$88</f>
        <v>0</v>
      </c>
      <c r="AK30" s="125">
        <f>Valores!C$38*B30</f>
        <v>0</v>
      </c>
      <c r="AL30" s="125">
        <f>IF($F$3="NO",0,Valores!$C$54)</f>
        <v>327.60000000000002</v>
      </c>
      <c r="AM30" s="125">
        <f t="shared" si="3"/>
        <v>327.60000000000002</v>
      </c>
      <c r="AN30" s="125">
        <f>AH30*Valores!$C$70</f>
        <v>-24109.6273</v>
      </c>
      <c r="AO30" s="125">
        <f>AH30*-Valores!$C$71</f>
        <v>0</v>
      </c>
      <c r="AP30" s="125">
        <f>AH30*Valores!$C$72</f>
        <v>-9863.0293499999989</v>
      </c>
      <c r="AQ30" s="125">
        <f>Valores!$C$99</f>
        <v>-280.91000000000003</v>
      </c>
      <c r="AR30" s="125">
        <f>IF($F$5=0,Valores!$C$100,(Valores!$C$100+$F$5*(Valores!$C$100)))</f>
        <v>-329</v>
      </c>
      <c r="AS30" s="125">
        <f t="shared" si="6"/>
        <v>184923.46334999998</v>
      </c>
      <c r="AT30" s="125">
        <f t="shared" si="0"/>
        <v>-24109.6273</v>
      </c>
      <c r="AU30" s="125">
        <f>AH30*Valores!$C$73</f>
        <v>-5917.8176100000001</v>
      </c>
      <c r="AV30" s="125">
        <f>AH30*Valores!$C$74</f>
        <v>-657.53529000000003</v>
      </c>
      <c r="AW30" s="125">
        <f t="shared" si="4"/>
        <v>188821.04980000001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2250.64</v>
      </c>
      <c r="G31" s="192">
        <v>3630</v>
      </c>
      <c r="H31" s="125">
        <f>ROUND(G31*Valores!$C$2,2)</f>
        <v>87847.45</v>
      </c>
      <c r="I31" s="192">
        <v>1214</v>
      </c>
      <c r="J31" s="125">
        <f>ROUND(I31*Valores!$C$2,2)</f>
        <v>29379.29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21713.14</v>
      </c>
      <c r="N31" s="125">
        <f t="shared" si="1"/>
        <v>0</v>
      </c>
      <c r="O31" s="125">
        <f>Valores!$C$12</f>
        <v>50119.41</v>
      </c>
      <c r="P31" s="125">
        <f>Valores!$D$5</f>
        <v>12371.24</v>
      </c>
      <c r="Q31" s="125">
        <v>0</v>
      </c>
      <c r="R31" s="125">
        <f>IF($F$4="NO",Valores!$C$46,Valores!$C$46/2)</f>
        <v>13765.22</v>
      </c>
      <c r="S31" s="125">
        <f>Valores!$C$19</f>
        <v>11511.67</v>
      </c>
      <c r="T31" s="125">
        <f t="shared" si="7"/>
        <v>11511.67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Valores!$C$95</f>
        <v>10910.4</v>
      </c>
      <c r="AA31" s="125">
        <f>Valores!$C$25</f>
        <v>505.99</v>
      </c>
      <c r="AB31" s="214">
        <v>0</v>
      </c>
      <c r="AC31" s="125">
        <f t="shared" si="2"/>
        <v>0</v>
      </c>
      <c r="AD31" s="125">
        <f>Valores!$C$26</f>
        <v>505.99</v>
      </c>
      <c r="AE31" s="192">
        <v>0</v>
      </c>
      <c r="AF31" s="125">
        <f>ROUND(AE31*Valores!$C$2,2)</f>
        <v>0</v>
      </c>
      <c r="AG31" s="125">
        <f>ROUND(IF($F$4="NO",Valores!$C$62,Valores!$C$62/2),2)</f>
        <v>6323.27</v>
      </c>
      <c r="AH31" s="125">
        <f t="shared" si="5"/>
        <v>247203.71</v>
      </c>
      <c r="AI31" s="125">
        <f>Valores!$C$31</f>
        <v>0</v>
      </c>
      <c r="AJ31" s="125">
        <f>Valores!$C$88</f>
        <v>0</v>
      </c>
      <c r="AK31" s="125">
        <f>Valores!C$38*B31</f>
        <v>0</v>
      </c>
      <c r="AL31" s="125">
        <f>IF($F$3="NO",0,Valores!$C$54)</f>
        <v>327.60000000000002</v>
      </c>
      <c r="AM31" s="125">
        <f t="shared" si="3"/>
        <v>327.60000000000002</v>
      </c>
      <c r="AN31" s="125">
        <f>AH31*Valores!$C$70</f>
        <v>-27192.408100000001</v>
      </c>
      <c r="AO31" s="125">
        <f>AH31*-Valores!$C$71</f>
        <v>0</v>
      </c>
      <c r="AP31" s="125">
        <f>AH31*Valores!$C$72</f>
        <v>-11124.166949999999</v>
      </c>
      <c r="AQ31" s="125">
        <f>Valores!$C$99</f>
        <v>-280.91000000000003</v>
      </c>
      <c r="AR31" s="125">
        <f>IF($F$5=0,Valores!$C$100,(Valores!$C$100+$F$5*(Valores!$C$100)))</f>
        <v>-329</v>
      </c>
      <c r="AS31" s="125">
        <f t="shared" si="6"/>
        <v>208604.82494999998</v>
      </c>
      <c r="AT31" s="125">
        <f t="shared" si="0"/>
        <v>-27192.408100000001</v>
      </c>
      <c r="AU31" s="125">
        <f>AH31*Valores!$C$73</f>
        <v>-6674.5001699999993</v>
      </c>
      <c r="AV31" s="125">
        <f>AH31*Valores!$C$74</f>
        <v>-741.61113</v>
      </c>
      <c r="AW31" s="125">
        <f t="shared" si="4"/>
        <v>212922.79060000001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2323.2399999999998</v>
      </c>
      <c r="G32" s="192">
        <v>3737</v>
      </c>
      <c r="H32" s="125">
        <f>ROUND(G32*Valores!$C$2,2)</f>
        <v>90436.89</v>
      </c>
      <c r="I32" s="192">
        <v>1220</v>
      </c>
      <c r="J32" s="125">
        <f>ROUND(I32*Valores!$C$2,2)</f>
        <v>29524.49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22134.23</v>
      </c>
      <c r="N32" s="125">
        <f t="shared" si="1"/>
        <v>0</v>
      </c>
      <c r="O32" s="125">
        <f>Valores!$C$12</f>
        <v>50119.41</v>
      </c>
      <c r="P32" s="125">
        <f>Valores!$D$5</f>
        <v>12371.24</v>
      </c>
      <c r="Q32" s="125">
        <v>0</v>
      </c>
      <c r="R32" s="125">
        <f>IF($F$4="NO",Valores!$C$46,Valores!$C$46/2)</f>
        <v>13765.22</v>
      </c>
      <c r="S32" s="125">
        <f>Valores!$C$19</f>
        <v>11511.67</v>
      </c>
      <c r="T32" s="125">
        <f t="shared" si="7"/>
        <v>11511.67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20407.48</v>
      </c>
      <c r="Z32" s="125">
        <f>Valores!$C$95</f>
        <v>10910.4</v>
      </c>
      <c r="AA32" s="125">
        <f>Valores!$C$25</f>
        <v>505.99</v>
      </c>
      <c r="AB32" s="214">
        <v>0</v>
      </c>
      <c r="AC32" s="125">
        <f t="shared" si="2"/>
        <v>0</v>
      </c>
      <c r="AD32" s="125">
        <f>Valores!$C$26</f>
        <v>505.99</v>
      </c>
      <c r="AE32" s="192">
        <v>0</v>
      </c>
      <c r="AF32" s="125">
        <f>ROUND(AE32*Valores!$C$2,2)</f>
        <v>0</v>
      </c>
      <c r="AG32" s="125">
        <f>ROUND(IF($F$4="NO",Valores!$C$62,Valores!$C$62/2),2)</f>
        <v>6323.27</v>
      </c>
      <c r="AH32" s="125">
        <f t="shared" si="5"/>
        <v>270839.52</v>
      </c>
      <c r="AI32" s="125">
        <f>Valores!$C$31</f>
        <v>0</v>
      </c>
      <c r="AJ32" s="125">
        <f>Valores!$C$88</f>
        <v>0</v>
      </c>
      <c r="AK32" s="125">
        <f>Valores!C$38*B32</f>
        <v>0</v>
      </c>
      <c r="AL32" s="125">
        <f>IF($F$3="NO",0,Valores!$C$54)</f>
        <v>327.60000000000002</v>
      </c>
      <c r="AM32" s="125">
        <f t="shared" si="3"/>
        <v>327.60000000000002</v>
      </c>
      <c r="AN32" s="125">
        <f>AH32*Valores!$C$70</f>
        <v>-29792.347200000004</v>
      </c>
      <c r="AO32" s="125">
        <f>AH32*-Valores!$C$71</f>
        <v>0</v>
      </c>
      <c r="AP32" s="125">
        <f>AH32*Valores!$C$72</f>
        <v>-12187.778400000001</v>
      </c>
      <c r="AQ32" s="125">
        <f>Valores!$C$99</f>
        <v>-280.91000000000003</v>
      </c>
      <c r="AR32" s="125">
        <f>IF($F$5=0,Valores!$C$100,(Valores!$C$100+$F$5*(Valores!$C$100)))</f>
        <v>-329</v>
      </c>
      <c r="AS32" s="125">
        <f t="shared" si="6"/>
        <v>228577.08439999999</v>
      </c>
      <c r="AT32" s="125">
        <f t="shared" si="0"/>
        <v>-29792.347200000004</v>
      </c>
      <c r="AU32" s="125">
        <f>AH32*Valores!$C$73</f>
        <v>-7312.6670400000003</v>
      </c>
      <c r="AV32" s="125">
        <f>AH32*Valores!$C$74</f>
        <v>-812.51856000000009</v>
      </c>
      <c r="AW32" s="125">
        <f t="shared" si="4"/>
        <v>233249.58720000001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2226.44</v>
      </c>
      <c r="G33" s="192">
        <v>3483</v>
      </c>
      <c r="H33" s="125">
        <f>ROUND(G33*Valores!$C$2,2)</f>
        <v>84289.99</v>
      </c>
      <c r="I33" s="192">
        <v>1217</v>
      </c>
      <c r="J33" s="125">
        <f>ROUND(I33*Valores!$C$2,2)</f>
        <v>29451.89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21186.78</v>
      </c>
      <c r="N33" s="125">
        <f t="shared" si="1"/>
        <v>0</v>
      </c>
      <c r="O33" s="125">
        <f>Valores!$C$12</f>
        <v>50119.41</v>
      </c>
      <c r="P33" s="125">
        <f>Valores!$D$5</f>
        <v>12371.24</v>
      </c>
      <c r="Q33" s="125">
        <v>0</v>
      </c>
      <c r="R33" s="125">
        <f>IF($F$4="NO",Valores!$C$46,Valores!$C$46/2)</f>
        <v>13765.22</v>
      </c>
      <c r="S33" s="125">
        <f>Valores!$C$19</f>
        <v>11511.67</v>
      </c>
      <c r="T33" s="125">
        <f t="shared" si="7"/>
        <v>11511.67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Valores!$C$95</f>
        <v>10910.4</v>
      </c>
      <c r="AA33" s="125">
        <f>Valores!$C$25</f>
        <v>505.99</v>
      </c>
      <c r="AB33" s="214">
        <v>0</v>
      </c>
      <c r="AC33" s="125">
        <f t="shared" si="2"/>
        <v>0</v>
      </c>
      <c r="AD33" s="125">
        <f>Valores!$C$26</f>
        <v>505.99</v>
      </c>
      <c r="AE33" s="192">
        <v>0</v>
      </c>
      <c r="AF33" s="125">
        <f>ROUND(AE33*Valores!$C$2,2)</f>
        <v>0</v>
      </c>
      <c r="AG33" s="125">
        <f>ROUND(IF($F$4="NO",Valores!$C$62,Valores!$C$62/2),2)</f>
        <v>6323.27</v>
      </c>
      <c r="AH33" s="125">
        <f t="shared" si="5"/>
        <v>243168.28999999998</v>
      </c>
      <c r="AI33" s="125">
        <f>Valores!$C$31</f>
        <v>0</v>
      </c>
      <c r="AJ33" s="125">
        <f>Valores!$C$88</f>
        <v>0</v>
      </c>
      <c r="AK33" s="125">
        <f>Valores!C$38*B33</f>
        <v>0</v>
      </c>
      <c r="AL33" s="125">
        <f>IF($F$3="NO",0,Valores!$C$54)</f>
        <v>327.60000000000002</v>
      </c>
      <c r="AM33" s="125">
        <f t="shared" si="3"/>
        <v>327.60000000000002</v>
      </c>
      <c r="AN33" s="125">
        <f>AH33*Valores!$C$70</f>
        <v>-26748.511899999998</v>
      </c>
      <c r="AO33" s="125">
        <f>AH33*-Valores!$C$71</f>
        <v>0</v>
      </c>
      <c r="AP33" s="125">
        <f>AH33*Valores!$C$72</f>
        <v>-10942.573049999999</v>
      </c>
      <c r="AQ33" s="125">
        <f>Valores!$C$99</f>
        <v>-280.91000000000003</v>
      </c>
      <c r="AR33" s="125">
        <f>IF($F$5=0,Valores!$C$100,(Valores!$C$100+$F$5*(Valores!$C$100)))</f>
        <v>-329</v>
      </c>
      <c r="AS33" s="125">
        <f t="shared" si="6"/>
        <v>205194.89504999999</v>
      </c>
      <c r="AT33" s="125">
        <f t="shared" si="0"/>
        <v>-26748.511899999998</v>
      </c>
      <c r="AU33" s="125">
        <f>AH33*Valores!$C$73</f>
        <v>-6565.5438299999996</v>
      </c>
      <c r="AV33" s="125">
        <f>AH33*Valores!$C$74</f>
        <v>-729.50486999999998</v>
      </c>
      <c r="AW33" s="125">
        <f t="shared" si="4"/>
        <v>209452.32939999999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2057.0300000000002</v>
      </c>
      <c r="G34" s="192">
        <v>3498</v>
      </c>
      <c r="H34" s="125">
        <f>ROUND(G34*Valores!$C$2,2)</f>
        <v>84653</v>
      </c>
      <c r="I34" s="192">
        <v>1209</v>
      </c>
      <c r="J34" s="125">
        <f>ROUND(I34*Valores!$C$2,2)</f>
        <v>29258.28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21186.78</v>
      </c>
      <c r="N34" s="125">
        <f t="shared" si="1"/>
        <v>0</v>
      </c>
      <c r="O34" s="125">
        <f>Valores!$C$12</f>
        <v>50119.41</v>
      </c>
      <c r="P34" s="125">
        <f>Valores!$D$5</f>
        <v>12371.24</v>
      </c>
      <c r="Q34" s="125">
        <v>0</v>
      </c>
      <c r="R34" s="125">
        <f>IF($F$4="NO",Valores!$C$46,Valores!$C$46/2)</f>
        <v>13765.22</v>
      </c>
      <c r="S34" s="125">
        <f>Valores!$C$19</f>
        <v>11511.67</v>
      </c>
      <c r="T34" s="125">
        <f t="shared" si="7"/>
        <v>11511.67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Valores!$C$95</f>
        <v>10910.4</v>
      </c>
      <c r="AA34" s="125">
        <f>Valores!$C$25</f>
        <v>505.99</v>
      </c>
      <c r="AB34" s="214">
        <v>0</v>
      </c>
      <c r="AC34" s="125">
        <f t="shared" si="2"/>
        <v>0</v>
      </c>
      <c r="AD34" s="125">
        <f>Valores!$C$26</f>
        <v>505.99</v>
      </c>
      <c r="AE34" s="192">
        <v>0</v>
      </c>
      <c r="AF34" s="125">
        <f>ROUND(AE34*Valores!$C$2,2)</f>
        <v>0</v>
      </c>
      <c r="AG34" s="125">
        <f>ROUND(IF($F$4="NO",Valores!$C$62,Valores!$C$62/2),2)</f>
        <v>6323.27</v>
      </c>
      <c r="AH34" s="125">
        <f t="shared" si="5"/>
        <v>243168.27999999997</v>
      </c>
      <c r="AI34" s="125">
        <f>Valores!$C$31</f>
        <v>0</v>
      </c>
      <c r="AJ34" s="125">
        <f>Valores!$C$88</f>
        <v>0</v>
      </c>
      <c r="AK34" s="125">
        <f>Valores!C$38*B34</f>
        <v>0</v>
      </c>
      <c r="AL34" s="125">
        <f>IF($F$3="NO",0,Valores!$C$54)</f>
        <v>327.60000000000002</v>
      </c>
      <c r="AM34" s="125">
        <f t="shared" si="3"/>
        <v>327.60000000000002</v>
      </c>
      <c r="AN34" s="125">
        <f>AH34*Valores!$C$70</f>
        <v>-26748.510799999996</v>
      </c>
      <c r="AO34" s="125">
        <f>AH34*-Valores!$C$71</f>
        <v>0</v>
      </c>
      <c r="AP34" s="125">
        <f>AH34*Valores!$C$72</f>
        <v>-10942.572599999998</v>
      </c>
      <c r="AQ34" s="125">
        <f>Valores!$C$99</f>
        <v>-280.91000000000003</v>
      </c>
      <c r="AR34" s="125">
        <f>IF($F$5=0,Valores!$C$100,(Valores!$C$100+$F$5*(Valores!$C$100)))</f>
        <v>-329</v>
      </c>
      <c r="AS34" s="125">
        <f t="shared" si="6"/>
        <v>205194.88659999997</v>
      </c>
      <c r="AT34" s="125">
        <f t="shared" si="0"/>
        <v>-26748.510799999996</v>
      </c>
      <c r="AU34" s="125">
        <f>AH34*Valores!$C$73</f>
        <v>-6565.5435599999992</v>
      </c>
      <c r="AV34" s="125">
        <f>AH34*Valores!$C$74</f>
        <v>-729.50483999999994</v>
      </c>
      <c r="AW34" s="125">
        <f t="shared" si="4"/>
        <v>209452.32079999999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2226.44</v>
      </c>
      <c r="G35" s="192">
        <v>3483</v>
      </c>
      <c r="H35" s="125">
        <f>ROUND(G35*Valores!$C$2,2)</f>
        <v>84289.99</v>
      </c>
      <c r="I35" s="192">
        <v>1217</v>
      </c>
      <c r="J35" s="125">
        <f>ROUND(I35*Valores!$C$2,2)</f>
        <v>29451.89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21186.78</v>
      </c>
      <c r="N35" s="125">
        <f t="shared" si="1"/>
        <v>0</v>
      </c>
      <c r="O35" s="125">
        <f>Valores!$C$12</f>
        <v>50119.41</v>
      </c>
      <c r="P35" s="125">
        <f>Valores!$D$5</f>
        <v>12371.24</v>
      </c>
      <c r="Q35" s="125">
        <v>0</v>
      </c>
      <c r="R35" s="125">
        <f>IF($F$4="NO",Valores!$C$46,Valores!$C$46/2)</f>
        <v>13765.22</v>
      </c>
      <c r="S35" s="125">
        <f>Valores!$C$19</f>
        <v>11511.67</v>
      </c>
      <c r="T35" s="125">
        <f t="shared" si="7"/>
        <v>11511.67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Valores!$C$95</f>
        <v>10910.4</v>
      </c>
      <c r="AA35" s="125">
        <f>Valores!$C$25</f>
        <v>505.99</v>
      </c>
      <c r="AB35" s="214">
        <v>0</v>
      </c>
      <c r="AC35" s="125">
        <f t="shared" si="2"/>
        <v>0</v>
      </c>
      <c r="AD35" s="125">
        <f>Valores!$C$26</f>
        <v>505.99</v>
      </c>
      <c r="AE35" s="192">
        <v>0</v>
      </c>
      <c r="AF35" s="125">
        <f>ROUND(AE35*Valores!$C$2,2)</f>
        <v>0</v>
      </c>
      <c r="AG35" s="125">
        <f>ROUND(IF($F$4="NO",Valores!$C$62,Valores!$C$62/2),2)</f>
        <v>6323.27</v>
      </c>
      <c r="AH35" s="125">
        <f t="shared" si="5"/>
        <v>243168.28999999998</v>
      </c>
      <c r="AI35" s="125">
        <f>Valores!$C$31</f>
        <v>0</v>
      </c>
      <c r="AJ35" s="125">
        <f>Valores!$C$88</f>
        <v>0</v>
      </c>
      <c r="AK35" s="125">
        <f>Valores!C$38*B35</f>
        <v>0</v>
      </c>
      <c r="AL35" s="125">
        <f>IF($F$3="NO",0,Valores!$C$54)</f>
        <v>327.60000000000002</v>
      </c>
      <c r="AM35" s="125">
        <f t="shared" si="3"/>
        <v>327.60000000000002</v>
      </c>
      <c r="AN35" s="125">
        <f>AH35*Valores!$C$70</f>
        <v>-26748.511899999998</v>
      </c>
      <c r="AO35" s="125">
        <f>AH35*-Valores!$C$71</f>
        <v>0</v>
      </c>
      <c r="AP35" s="125">
        <f>AH35*Valores!$C$72</f>
        <v>-10942.573049999999</v>
      </c>
      <c r="AQ35" s="125">
        <f>Valores!$C$99</f>
        <v>-280.91000000000003</v>
      </c>
      <c r="AR35" s="125">
        <f>IF($F$5=0,Valores!$C$100,(Valores!$C$100+$F$5*(Valores!$C$100)))</f>
        <v>-329</v>
      </c>
      <c r="AS35" s="125">
        <f t="shared" si="6"/>
        <v>205194.89504999999</v>
      </c>
      <c r="AT35" s="125">
        <f t="shared" si="0"/>
        <v>-26748.511899999998</v>
      </c>
      <c r="AU35" s="125">
        <f>AH35*Valores!$C$73</f>
        <v>-6565.5438299999996</v>
      </c>
      <c r="AV35" s="125">
        <f>AH35*Valores!$C$74</f>
        <v>-729.50486999999998</v>
      </c>
      <c r="AW35" s="125">
        <f t="shared" si="4"/>
        <v>209452.32939999999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2057.0300000000002</v>
      </c>
      <c r="G36" s="192">
        <v>3498</v>
      </c>
      <c r="H36" s="125">
        <f>ROUND(G36*Valores!$C$2,2)</f>
        <v>84653</v>
      </c>
      <c r="I36" s="192">
        <v>1209</v>
      </c>
      <c r="J36" s="125">
        <f>ROUND(I36*Valores!$C$2,2)</f>
        <v>29258.28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21186.78</v>
      </c>
      <c r="N36" s="125">
        <f t="shared" si="1"/>
        <v>0</v>
      </c>
      <c r="O36" s="125">
        <f>Valores!$C$12</f>
        <v>50119.41</v>
      </c>
      <c r="P36" s="125">
        <f>Valores!$D$5</f>
        <v>12371.24</v>
      </c>
      <c r="Q36" s="125">
        <v>0</v>
      </c>
      <c r="R36" s="125">
        <f>IF($F$4="NO",Valores!$C$46,Valores!$C$46/2)</f>
        <v>13765.22</v>
      </c>
      <c r="S36" s="125">
        <f>Valores!$C$19</f>
        <v>11511.67</v>
      </c>
      <c r="T36" s="125">
        <f t="shared" si="7"/>
        <v>11511.67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Valores!$C$95</f>
        <v>10910.4</v>
      </c>
      <c r="AA36" s="125">
        <f>Valores!$C$25</f>
        <v>505.99</v>
      </c>
      <c r="AB36" s="214">
        <v>0</v>
      </c>
      <c r="AC36" s="125">
        <f t="shared" si="2"/>
        <v>0</v>
      </c>
      <c r="AD36" s="125">
        <f>Valores!$C$26</f>
        <v>505.99</v>
      </c>
      <c r="AE36" s="192">
        <v>0</v>
      </c>
      <c r="AF36" s="125">
        <f>ROUND(AE36*Valores!$C$2,2)</f>
        <v>0</v>
      </c>
      <c r="AG36" s="125">
        <f>ROUND(IF($F$4="NO",Valores!$C$62,Valores!$C$62/2),2)</f>
        <v>6323.27</v>
      </c>
      <c r="AH36" s="125">
        <f t="shared" si="5"/>
        <v>243168.27999999997</v>
      </c>
      <c r="AI36" s="125">
        <f>Valores!$C$31</f>
        <v>0</v>
      </c>
      <c r="AJ36" s="125">
        <f>Valores!$C$88</f>
        <v>0</v>
      </c>
      <c r="AK36" s="125">
        <f>Valores!C$38*B36</f>
        <v>0</v>
      </c>
      <c r="AL36" s="125">
        <f>IF($F$3="NO",0,Valores!$C$54)</f>
        <v>327.60000000000002</v>
      </c>
      <c r="AM36" s="125">
        <f t="shared" si="3"/>
        <v>327.60000000000002</v>
      </c>
      <c r="AN36" s="125">
        <f>AH36*Valores!$C$70</f>
        <v>-26748.510799999996</v>
      </c>
      <c r="AO36" s="125">
        <f>AH36*-Valores!$C$71</f>
        <v>0</v>
      </c>
      <c r="AP36" s="125">
        <f>AH36*Valores!$C$72</f>
        <v>-10942.572599999998</v>
      </c>
      <c r="AQ36" s="125">
        <f>Valores!$C$99</f>
        <v>-280.91000000000003</v>
      </c>
      <c r="AR36" s="125">
        <f>IF($F$5=0,Valores!$C$100,(Valores!$C$100+$F$5*(Valores!$C$100)))</f>
        <v>-329</v>
      </c>
      <c r="AS36" s="125">
        <f t="shared" si="6"/>
        <v>205194.88659999997</v>
      </c>
      <c r="AT36" s="125">
        <f t="shared" si="0"/>
        <v>-26748.510799999996</v>
      </c>
      <c r="AU36" s="125">
        <f>AH36*Valores!$C$73</f>
        <v>-6565.5435599999992</v>
      </c>
      <c r="AV36" s="125">
        <f>AH36*Valores!$C$74</f>
        <v>-729.50483999999994</v>
      </c>
      <c r="AW36" s="125">
        <f t="shared" si="4"/>
        <v>209452.32079999999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2226.44</v>
      </c>
      <c r="G37" s="192">
        <v>3483</v>
      </c>
      <c r="H37" s="125">
        <f>ROUND(G37*Valores!$C$2,2)</f>
        <v>84289.99</v>
      </c>
      <c r="I37" s="192">
        <v>1217</v>
      </c>
      <c r="J37" s="125">
        <f>ROUND(I37*Valores!$C$2,2)</f>
        <v>29451.89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21186.78</v>
      </c>
      <c r="N37" s="125">
        <f t="shared" si="1"/>
        <v>0</v>
      </c>
      <c r="O37" s="125">
        <f>Valores!$C$12</f>
        <v>50119.41</v>
      </c>
      <c r="P37" s="125">
        <f>Valores!$D$5</f>
        <v>12371.24</v>
      </c>
      <c r="Q37" s="125">
        <v>0</v>
      </c>
      <c r="R37" s="125">
        <f>IF($F$4="NO",Valores!$C$46,Valores!$C$46/2)</f>
        <v>13765.22</v>
      </c>
      <c r="S37" s="125">
        <f>Valores!$C$19</f>
        <v>11511.67</v>
      </c>
      <c r="T37" s="125">
        <f t="shared" si="7"/>
        <v>11511.67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19460.03</v>
      </c>
      <c r="Z37" s="125">
        <f>Valores!$C$95</f>
        <v>10910.4</v>
      </c>
      <c r="AA37" s="125">
        <f>Valores!$C$25</f>
        <v>505.99</v>
      </c>
      <c r="AB37" s="214">
        <v>0</v>
      </c>
      <c r="AC37" s="125">
        <f t="shared" si="2"/>
        <v>0</v>
      </c>
      <c r="AD37" s="125">
        <f>Valores!$C$26</f>
        <v>505.99</v>
      </c>
      <c r="AE37" s="192">
        <v>0</v>
      </c>
      <c r="AF37" s="125">
        <f>ROUND(AE37*Valores!$C$2,2)</f>
        <v>0</v>
      </c>
      <c r="AG37" s="125">
        <f>ROUND(IF($F$4="NO",Valores!$C$62,Valores!$C$62/2),2)</f>
        <v>6323.27</v>
      </c>
      <c r="AH37" s="125">
        <f t="shared" si="5"/>
        <v>262628.32</v>
      </c>
      <c r="AI37" s="125">
        <f>Valores!$C$31</f>
        <v>0</v>
      </c>
      <c r="AJ37" s="125">
        <f>Valores!$C$88</f>
        <v>0</v>
      </c>
      <c r="AK37" s="125">
        <f>Valores!C$38*B37</f>
        <v>0</v>
      </c>
      <c r="AL37" s="125">
        <f>IF($F$3="NO",0,Valores!$C$54)</f>
        <v>327.60000000000002</v>
      </c>
      <c r="AM37" s="125">
        <f t="shared" si="3"/>
        <v>327.60000000000002</v>
      </c>
      <c r="AN37" s="125">
        <f>AH37*Valores!$C$70</f>
        <v>-28889.1152</v>
      </c>
      <c r="AO37" s="125">
        <f>AH37*-Valores!$C$71</f>
        <v>0</v>
      </c>
      <c r="AP37" s="125">
        <f>AH37*Valores!$C$72</f>
        <v>-11818.2744</v>
      </c>
      <c r="AQ37" s="125">
        <f>Valores!$C$99</f>
        <v>-280.91000000000003</v>
      </c>
      <c r="AR37" s="125">
        <f>IF($F$5=0,Valores!$C$100,(Valores!$C$100+$F$5*(Valores!$C$100)))</f>
        <v>-329</v>
      </c>
      <c r="AS37" s="125">
        <f t="shared" si="6"/>
        <v>221638.62040000001</v>
      </c>
      <c r="AT37" s="125">
        <f t="shared" si="0"/>
        <v>-28889.1152</v>
      </c>
      <c r="AU37" s="125">
        <f>AH37*Valores!$C$73</f>
        <v>-7090.9646400000001</v>
      </c>
      <c r="AV37" s="125">
        <f>AH37*Valores!$C$74</f>
        <v>-787.88496000000009</v>
      </c>
      <c r="AW37" s="125">
        <f t="shared" si="4"/>
        <v>226187.95519999997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2057.0300000000002</v>
      </c>
      <c r="G38" s="192">
        <v>3498</v>
      </c>
      <c r="H38" s="125">
        <f>ROUND(G38*Valores!$C$2,2)</f>
        <v>84653</v>
      </c>
      <c r="I38" s="192">
        <v>202</v>
      </c>
      <c r="J38" s="125">
        <f>ROUND(I38*Valores!$C$2,2)</f>
        <v>4888.4799999999996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17531.310000000001</v>
      </c>
      <c r="N38" s="125">
        <f t="shared" si="1"/>
        <v>0</v>
      </c>
      <c r="O38" s="125">
        <f>Valores!$C$12</f>
        <v>50119.41</v>
      </c>
      <c r="P38" s="125">
        <f>Valores!$D$5</f>
        <v>12371.24</v>
      </c>
      <c r="Q38" s="125">
        <v>0</v>
      </c>
      <c r="R38" s="125">
        <f>IF($F$4="NO",Valores!$C$46,Valores!$C$46/2)</f>
        <v>13765.22</v>
      </c>
      <c r="S38" s="125">
        <f>Valores!$C$19</f>
        <v>11511.67</v>
      </c>
      <c r="T38" s="125">
        <f t="shared" si="7"/>
        <v>11511.67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Valores!$C$95</f>
        <v>10910.4</v>
      </c>
      <c r="AA38" s="125">
        <f>Valores!$C$25</f>
        <v>505.99</v>
      </c>
      <c r="AB38" s="214">
        <v>0</v>
      </c>
      <c r="AC38" s="125">
        <f t="shared" si="2"/>
        <v>0</v>
      </c>
      <c r="AD38" s="125">
        <f>Valores!$C$26</f>
        <v>505.99</v>
      </c>
      <c r="AE38" s="192">
        <v>0</v>
      </c>
      <c r="AF38" s="125">
        <f>ROUND(AE38*Valores!$C$2,2)</f>
        <v>0</v>
      </c>
      <c r="AG38" s="125">
        <f>ROUND(IF($F$4="NO",Valores!$C$62,Valores!$C$62/2),2)</f>
        <v>6323.27</v>
      </c>
      <c r="AH38" s="125">
        <f t="shared" si="5"/>
        <v>215143.00999999995</v>
      </c>
      <c r="AI38" s="125">
        <f>Valores!$C$31</f>
        <v>0</v>
      </c>
      <c r="AJ38" s="125">
        <f>Valores!$C$88</f>
        <v>0</v>
      </c>
      <c r="AK38" s="125">
        <f>Valores!C$38*B38</f>
        <v>0</v>
      </c>
      <c r="AL38" s="125">
        <f>IF($F$3="NO",0,Valores!$C$54)</f>
        <v>327.60000000000002</v>
      </c>
      <c r="AM38" s="125">
        <f t="shared" si="3"/>
        <v>327.60000000000002</v>
      </c>
      <c r="AN38" s="125">
        <f>AH38*Valores!$C$70</f>
        <v>-23665.731099999994</v>
      </c>
      <c r="AO38" s="125">
        <f>AH38*-Valores!$C$71</f>
        <v>0</v>
      </c>
      <c r="AP38" s="125">
        <f>AH38*Valores!$C$72</f>
        <v>-9681.4354499999972</v>
      </c>
      <c r="AQ38" s="125">
        <f>Valores!$C$99</f>
        <v>-280.91000000000003</v>
      </c>
      <c r="AR38" s="125">
        <f>IF($F$5=0,Valores!$C$100,(Valores!$C$100+$F$5*(Valores!$C$100)))</f>
        <v>-329</v>
      </c>
      <c r="AS38" s="125">
        <f t="shared" si="6"/>
        <v>181513.53344999996</v>
      </c>
      <c r="AT38" s="125">
        <f t="shared" si="0"/>
        <v>-23665.731099999994</v>
      </c>
      <c r="AU38" s="125">
        <f>AH38*Valores!$C$73</f>
        <v>-5808.8612699999985</v>
      </c>
      <c r="AV38" s="125">
        <f>AH38*Valores!$C$74</f>
        <v>-645.4290299999999</v>
      </c>
      <c r="AW38" s="125">
        <f t="shared" si="4"/>
        <v>185350.58859999996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2057.0300000000002</v>
      </c>
      <c r="G39" s="192">
        <v>3498</v>
      </c>
      <c r="H39" s="125">
        <f>ROUND(G39*Valores!$C$2,2)</f>
        <v>84653</v>
      </c>
      <c r="I39" s="192">
        <v>1209</v>
      </c>
      <c r="J39" s="125">
        <f>ROUND(I39*Valores!$C$2,2)</f>
        <v>29258.28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21186.78</v>
      </c>
      <c r="N39" s="125">
        <f t="shared" si="1"/>
        <v>0</v>
      </c>
      <c r="O39" s="125">
        <f>Valores!$C$12</f>
        <v>50119.41</v>
      </c>
      <c r="P39" s="125">
        <f>Valores!$D$5</f>
        <v>12371.24</v>
      </c>
      <c r="Q39" s="125">
        <v>0</v>
      </c>
      <c r="R39" s="125">
        <f>IF($F$4="NO",Valores!$C$46,Valores!$C$46/2)</f>
        <v>13765.22</v>
      </c>
      <c r="S39" s="125">
        <f>Valores!$C$19</f>
        <v>11511.67</v>
      </c>
      <c r="T39" s="125">
        <f t="shared" si="7"/>
        <v>11511.67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Valores!$C$95</f>
        <v>10910.4</v>
      </c>
      <c r="AA39" s="125">
        <f>Valores!$C$25</f>
        <v>505.99</v>
      </c>
      <c r="AB39" s="214">
        <v>0</v>
      </c>
      <c r="AC39" s="125">
        <f t="shared" si="2"/>
        <v>0</v>
      </c>
      <c r="AD39" s="125">
        <f>Valores!$C$26</f>
        <v>505.99</v>
      </c>
      <c r="AE39" s="192">
        <v>0</v>
      </c>
      <c r="AF39" s="125">
        <f>ROUND(AE39*Valores!$C$2,2)</f>
        <v>0</v>
      </c>
      <c r="AG39" s="125">
        <f>ROUND(IF($F$4="NO",Valores!$C$62,Valores!$C$62/2),2)</f>
        <v>6323.27</v>
      </c>
      <c r="AH39" s="125">
        <f t="shared" si="5"/>
        <v>243168.27999999997</v>
      </c>
      <c r="AI39" s="125">
        <f>Valores!$C$31</f>
        <v>0</v>
      </c>
      <c r="AJ39" s="125">
        <f>Valores!$C$88</f>
        <v>0</v>
      </c>
      <c r="AK39" s="125">
        <f>Valores!C$38*B39</f>
        <v>0</v>
      </c>
      <c r="AL39" s="125">
        <f>IF($F$3="NO",0,Valores!$C$54)</f>
        <v>327.60000000000002</v>
      </c>
      <c r="AM39" s="125">
        <f t="shared" si="3"/>
        <v>327.60000000000002</v>
      </c>
      <c r="AN39" s="125">
        <f>AH39*Valores!$C$70</f>
        <v>-26748.510799999996</v>
      </c>
      <c r="AO39" s="125">
        <f>AH39*-Valores!$C$71</f>
        <v>0</v>
      </c>
      <c r="AP39" s="125">
        <f>AH39*Valores!$C$72</f>
        <v>-10942.572599999998</v>
      </c>
      <c r="AQ39" s="125">
        <f>Valores!$C$99</f>
        <v>-280.91000000000003</v>
      </c>
      <c r="AR39" s="125">
        <f>IF($F$5=0,Valores!$C$100,(Valores!$C$100+$F$5*(Valores!$C$100)))</f>
        <v>-329</v>
      </c>
      <c r="AS39" s="125">
        <f t="shared" si="6"/>
        <v>205194.88659999997</v>
      </c>
      <c r="AT39" s="125">
        <f t="shared" si="0"/>
        <v>-26748.510799999996</v>
      </c>
      <c r="AU39" s="125">
        <f>AH39*Valores!$C$73</f>
        <v>-6565.5435599999992</v>
      </c>
      <c r="AV39" s="125">
        <f>AH39*Valores!$C$74</f>
        <v>-729.50483999999994</v>
      </c>
      <c r="AW39" s="125">
        <f t="shared" si="4"/>
        <v>209452.32079999999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2057.0300000000002</v>
      </c>
      <c r="G40" s="192">
        <v>3498</v>
      </c>
      <c r="H40" s="125">
        <f>ROUND(G40*Valores!$C$2,2)</f>
        <v>84653</v>
      </c>
      <c r="I40" s="192">
        <v>1209</v>
      </c>
      <c r="J40" s="125">
        <f>ROUND(I40*Valores!$C$2,2)</f>
        <v>29258.28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21186.78</v>
      </c>
      <c r="N40" s="125">
        <f t="shared" si="1"/>
        <v>0</v>
      </c>
      <c r="O40" s="125">
        <f>Valores!$C$12</f>
        <v>50119.41</v>
      </c>
      <c r="P40" s="125">
        <f>Valores!$D$5</f>
        <v>12371.24</v>
      </c>
      <c r="Q40" s="125">
        <v>0</v>
      </c>
      <c r="R40" s="125">
        <f>IF($F$4="NO",Valores!$C$46,Valores!$C$46/2)</f>
        <v>13765.22</v>
      </c>
      <c r="S40" s="125">
        <f>Valores!$C$19</f>
        <v>11511.67</v>
      </c>
      <c r="T40" s="125">
        <f t="shared" si="7"/>
        <v>11511.67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Valores!$C$95</f>
        <v>10910.4</v>
      </c>
      <c r="AA40" s="125">
        <f>Valores!$C$25</f>
        <v>505.99</v>
      </c>
      <c r="AB40" s="214">
        <v>0</v>
      </c>
      <c r="AC40" s="125">
        <f t="shared" si="2"/>
        <v>0</v>
      </c>
      <c r="AD40" s="125">
        <f>Valores!$C$26</f>
        <v>505.99</v>
      </c>
      <c r="AE40" s="192">
        <v>0</v>
      </c>
      <c r="AF40" s="125">
        <f>ROUND(AE40*Valores!$C$2,2)</f>
        <v>0</v>
      </c>
      <c r="AG40" s="125">
        <f>ROUND(IF($F$4="NO",Valores!$C$62,Valores!$C$62/2),2)</f>
        <v>6323.27</v>
      </c>
      <c r="AH40" s="125">
        <f t="shared" si="5"/>
        <v>243168.27999999997</v>
      </c>
      <c r="AI40" s="125">
        <f>Valores!$C$31</f>
        <v>0</v>
      </c>
      <c r="AJ40" s="125">
        <f>Valores!$C$88</f>
        <v>0</v>
      </c>
      <c r="AK40" s="125">
        <f>Valores!C$38*B40</f>
        <v>0</v>
      </c>
      <c r="AL40" s="125">
        <f>IF($F$3="NO",0,Valores!$C$54)</f>
        <v>327.60000000000002</v>
      </c>
      <c r="AM40" s="125">
        <f t="shared" si="3"/>
        <v>327.60000000000002</v>
      </c>
      <c r="AN40" s="125">
        <f>AH40*Valores!$C$70</f>
        <v>-26748.510799999996</v>
      </c>
      <c r="AO40" s="125">
        <f>AH40*-Valores!$C$71</f>
        <v>0</v>
      </c>
      <c r="AP40" s="125">
        <f>AH40*Valores!$C$72</f>
        <v>-10942.572599999998</v>
      </c>
      <c r="AQ40" s="125">
        <f>Valores!$C$99</f>
        <v>-280.91000000000003</v>
      </c>
      <c r="AR40" s="125">
        <f>IF($F$5=0,Valores!$C$100,(Valores!$C$100+$F$5*(Valores!$C$100)))</f>
        <v>-329</v>
      </c>
      <c r="AS40" s="125">
        <f t="shared" si="6"/>
        <v>205194.88659999997</v>
      </c>
      <c r="AT40" s="125">
        <f t="shared" si="0"/>
        <v>-26748.510799999996</v>
      </c>
      <c r="AU40" s="125">
        <f>AH40*Valores!$C$73</f>
        <v>-6565.5435599999992</v>
      </c>
      <c r="AV40" s="125">
        <f>AH40*Valores!$C$74</f>
        <v>-729.50483999999994</v>
      </c>
      <c r="AW40" s="125">
        <f t="shared" si="4"/>
        <v>209452.32079999999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2444.2399999999998</v>
      </c>
      <c r="G41" s="192">
        <v>2548</v>
      </c>
      <c r="H41" s="125">
        <f>ROUND(G41*Valores!$C$2,2)</f>
        <v>61662.62</v>
      </c>
      <c r="I41" s="192">
        <v>216</v>
      </c>
      <c r="J41" s="125">
        <f>ROUND(I41*Valores!$C$2,2)</f>
        <v>5227.29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13787.81</v>
      </c>
      <c r="N41" s="125">
        <f t="shared" si="1"/>
        <v>0</v>
      </c>
      <c r="O41" s="125">
        <f>Valores!$C$9</f>
        <v>26876.42</v>
      </c>
      <c r="P41" s="125">
        <f>Valores!$D$5</f>
        <v>12371.24</v>
      </c>
      <c r="Q41" s="125">
        <v>0</v>
      </c>
      <c r="R41" s="125">
        <f>IF($F$4="NO",Valores!$C$45,Valores!$C$45/2)</f>
        <v>11072.91</v>
      </c>
      <c r="S41" s="125">
        <f>Valores!$C$19</f>
        <v>11511.67</v>
      </c>
      <c r="T41" s="125">
        <f t="shared" si="7"/>
        <v>11511.67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Valores!$C$93</f>
        <v>5455.2</v>
      </c>
      <c r="AA41" s="125">
        <f>Valores!$C$25</f>
        <v>505.99</v>
      </c>
      <c r="AB41" s="214">
        <v>0</v>
      </c>
      <c r="AC41" s="125">
        <f t="shared" si="2"/>
        <v>0</v>
      </c>
      <c r="AD41" s="125">
        <f>Valores!$C$26</f>
        <v>505.99</v>
      </c>
      <c r="AE41" s="192">
        <v>0</v>
      </c>
      <c r="AF41" s="125">
        <f>ROUND(AE41*Valores!$C$2,2)</f>
        <v>0</v>
      </c>
      <c r="AG41" s="125">
        <f>ROUND(IF($F$4="NO",Valores!$C$62,Valores!$C$62/2),2)</f>
        <v>6323.27</v>
      </c>
      <c r="AH41" s="125">
        <f t="shared" si="5"/>
        <v>157744.65</v>
      </c>
      <c r="AI41" s="125">
        <f>Valores!$C$31</f>
        <v>0</v>
      </c>
      <c r="AJ41" s="125">
        <f>Valores!$C$86</f>
        <v>0</v>
      </c>
      <c r="AK41" s="125">
        <f>Valores!C$38*B41</f>
        <v>0</v>
      </c>
      <c r="AL41" s="125">
        <f>IF($F$3="NO",0,Valores!$C$54)</f>
        <v>327.60000000000002</v>
      </c>
      <c r="AM41" s="125">
        <f t="shared" si="3"/>
        <v>327.60000000000002</v>
      </c>
      <c r="AN41" s="125">
        <f>AH41*Valores!$C$70</f>
        <v>-17351.911499999998</v>
      </c>
      <c r="AO41" s="125">
        <f>AH41*-Valores!$C$71</f>
        <v>0</v>
      </c>
      <c r="AP41" s="125">
        <f>AH41*Valores!$C$72</f>
        <v>-7098.5092499999992</v>
      </c>
      <c r="AQ41" s="125">
        <f>Valores!$C$99</f>
        <v>-280.91000000000003</v>
      </c>
      <c r="AR41" s="125">
        <f>IF($F$5=0,Valores!$C$100,(Valores!$C$100+$F$5*(Valores!$C$100)))</f>
        <v>-329</v>
      </c>
      <c r="AS41" s="125">
        <f t="shared" si="6"/>
        <v>133011.91925000001</v>
      </c>
      <c r="AT41" s="125">
        <f t="shared" si="0"/>
        <v>-17351.911499999998</v>
      </c>
      <c r="AU41" s="125">
        <f>AH41*Valores!$C$73</f>
        <v>-4259.1055500000002</v>
      </c>
      <c r="AV41" s="125">
        <f>AH41*Valores!$C$74</f>
        <v>-473.23394999999999</v>
      </c>
      <c r="AW41" s="125">
        <f t="shared" si="4"/>
        <v>135987.99900000001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2444.2399999999998</v>
      </c>
      <c r="G42" s="192">
        <v>2548</v>
      </c>
      <c r="H42" s="125">
        <f>ROUND(G42*Valores!$C$2,2)</f>
        <v>61662.62</v>
      </c>
      <c r="I42" s="192">
        <v>216</v>
      </c>
      <c r="J42" s="125">
        <f>ROUND(I42*Valores!$C$2,2)</f>
        <v>5227.29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13787.81</v>
      </c>
      <c r="N42" s="125">
        <f t="shared" si="1"/>
        <v>0</v>
      </c>
      <c r="O42" s="125">
        <f>Valores!$C$9</f>
        <v>26876.42</v>
      </c>
      <c r="P42" s="125">
        <f>Valores!$D$5</f>
        <v>12371.24</v>
      </c>
      <c r="Q42" s="125">
        <v>0</v>
      </c>
      <c r="R42" s="125">
        <f>IF($F$4="NO",Valores!$C$45,Valores!$C$45/2)</f>
        <v>11072.91</v>
      </c>
      <c r="S42" s="125">
        <f>Valores!$C$19</f>
        <v>11511.67</v>
      </c>
      <c r="T42" s="125">
        <f t="shared" si="7"/>
        <v>11511.67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Valores!$C$93</f>
        <v>5455.2</v>
      </c>
      <c r="AA42" s="125">
        <f>Valores!$C$25</f>
        <v>505.99</v>
      </c>
      <c r="AB42" s="214">
        <v>0</v>
      </c>
      <c r="AC42" s="125">
        <f t="shared" si="2"/>
        <v>0</v>
      </c>
      <c r="AD42" s="125">
        <f>Valores!$C$26</f>
        <v>505.99</v>
      </c>
      <c r="AE42" s="192">
        <v>0</v>
      </c>
      <c r="AF42" s="125">
        <f>ROUND(AE42*Valores!$C$2,2)</f>
        <v>0</v>
      </c>
      <c r="AG42" s="125">
        <f>ROUND(IF($F$4="NO",Valores!$C$62,Valores!$C$62/2),2)</f>
        <v>6323.27</v>
      </c>
      <c r="AH42" s="125">
        <f t="shared" si="5"/>
        <v>157744.65</v>
      </c>
      <c r="AI42" s="125">
        <f>Valores!$C$31</f>
        <v>0</v>
      </c>
      <c r="AJ42" s="125">
        <f>Valores!$C$86</f>
        <v>0</v>
      </c>
      <c r="AK42" s="125">
        <f>Valores!C$38*B42</f>
        <v>0</v>
      </c>
      <c r="AL42" s="125">
        <f>IF($F$3="NO",0,Valores!$C$54)</f>
        <v>327.60000000000002</v>
      </c>
      <c r="AM42" s="125">
        <f t="shared" si="3"/>
        <v>327.60000000000002</v>
      </c>
      <c r="AN42" s="125">
        <f>AH42*Valores!$C$70</f>
        <v>-17351.911499999998</v>
      </c>
      <c r="AO42" s="125">
        <f>AH42*-Valores!$C$71</f>
        <v>0</v>
      </c>
      <c r="AP42" s="125">
        <f>AH42*Valores!$C$72</f>
        <v>-7098.5092499999992</v>
      </c>
      <c r="AQ42" s="125">
        <f>Valores!$C$99</f>
        <v>-280.91000000000003</v>
      </c>
      <c r="AR42" s="125">
        <f>IF($F$5=0,Valores!$C$100,(Valores!$C$100+$F$5*(Valores!$C$100)))</f>
        <v>-329</v>
      </c>
      <c r="AS42" s="125">
        <f t="shared" si="6"/>
        <v>133011.91925000001</v>
      </c>
      <c r="AT42" s="125">
        <f t="shared" si="0"/>
        <v>-17351.911499999998</v>
      </c>
      <c r="AU42" s="125">
        <f>AH42*Valores!$C$73</f>
        <v>-4259.1055500000002</v>
      </c>
      <c r="AV42" s="125">
        <f>AH42*Valores!$C$74</f>
        <v>-473.23394999999999</v>
      </c>
      <c r="AW42" s="125">
        <f t="shared" si="4"/>
        <v>135987.99900000001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2323.2399999999998</v>
      </c>
      <c r="G43" s="192">
        <v>2475</v>
      </c>
      <c r="H43" s="125">
        <f>ROUND(G43*Valores!$C$2,2)</f>
        <v>59895.99</v>
      </c>
      <c r="I43" s="192">
        <v>213</v>
      </c>
      <c r="J43" s="125">
        <f>ROUND(I43*Valores!$C$2,2)</f>
        <v>5154.6899999999996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13203.31</v>
      </c>
      <c r="N43" s="125">
        <f t="shared" si="1"/>
        <v>0</v>
      </c>
      <c r="O43" s="125">
        <f>Valores!$C$9</f>
        <v>26876.42</v>
      </c>
      <c r="P43" s="125">
        <f>Valores!$D$5</f>
        <v>12371.24</v>
      </c>
      <c r="Q43" s="125">
        <v>0</v>
      </c>
      <c r="R43" s="125">
        <f>IF($F$4="NO",Valores!$C$43,Valores!$C$43/2)</f>
        <v>9136.5</v>
      </c>
      <c r="S43" s="125">
        <f>Valores!$C$19</f>
        <v>11511.67</v>
      </c>
      <c r="T43" s="125">
        <f t="shared" si="7"/>
        <v>11511.67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Valores!$C$93</f>
        <v>5455.2</v>
      </c>
      <c r="AA43" s="125">
        <f>Valores!$C$25</f>
        <v>505.99</v>
      </c>
      <c r="AB43" s="214">
        <v>0</v>
      </c>
      <c r="AC43" s="125">
        <f t="shared" si="2"/>
        <v>0</v>
      </c>
      <c r="AD43" s="125">
        <f>Valores!$C$26</f>
        <v>505.99</v>
      </c>
      <c r="AE43" s="192">
        <v>0</v>
      </c>
      <c r="AF43" s="125">
        <f>ROUND(AE43*Valores!$C$2,2)</f>
        <v>0</v>
      </c>
      <c r="AG43" s="125">
        <f>ROUND(IF($F$4="NO",Valores!$C$62,Valores!$C$62/2),2)</f>
        <v>6323.27</v>
      </c>
      <c r="AH43" s="125">
        <f t="shared" si="5"/>
        <v>153263.50999999998</v>
      </c>
      <c r="AI43" s="125">
        <f>Valores!$C$31</f>
        <v>0</v>
      </c>
      <c r="AJ43" s="125">
        <f>Valores!$C$86</f>
        <v>0</v>
      </c>
      <c r="AK43" s="125">
        <f>Valores!C$38*B43</f>
        <v>0</v>
      </c>
      <c r="AL43" s="125">
        <f>IF($F$3="NO",0,Valores!$C$55)</f>
        <v>170.34</v>
      </c>
      <c r="AM43" s="125">
        <f t="shared" si="3"/>
        <v>170.34</v>
      </c>
      <c r="AN43" s="125">
        <f>AH43*Valores!$C$70</f>
        <v>-16858.986099999998</v>
      </c>
      <c r="AO43" s="125">
        <f>AH43*-Valores!$C$71</f>
        <v>0</v>
      </c>
      <c r="AP43" s="125">
        <f>AH43*Valores!$C$72</f>
        <v>-6896.8579499999987</v>
      </c>
      <c r="AQ43" s="125">
        <f>Valores!$C$99</f>
        <v>-280.91000000000003</v>
      </c>
      <c r="AR43" s="125">
        <f>IF($F$5=0,Valores!$C$100,(Valores!$C$100+$F$5*(Valores!$C$100)))</f>
        <v>-329</v>
      </c>
      <c r="AS43" s="125">
        <f t="shared" si="6"/>
        <v>129068.09594999999</v>
      </c>
      <c r="AT43" s="125">
        <f t="shared" si="0"/>
        <v>-16858.986099999998</v>
      </c>
      <c r="AU43" s="125">
        <f>AH43*Valores!$C$73</f>
        <v>-4138.1147699999992</v>
      </c>
      <c r="AV43" s="125">
        <f>AH43*Valores!$C$74</f>
        <v>-459.79052999999993</v>
      </c>
      <c r="AW43" s="125">
        <f t="shared" si="4"/>
        <v>131976.95859999998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1742.43</v>
      </c>
      <c r="G44" s="192">
        <v>2471</v>
      </c>
      <c r="H44" s="125">
        <f>ROUND(G44*Valores!$C$2,2)</f>
        <v>59799.19</v>
      </c>
      <c r="I44" s="192">
        <v>199</v>
      </c>
      <c r="J44" s="125">
        <f>ROUND(I44*Valores!$C$2,2)</f>
        <v>4815.88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13050.85</v>
      </c>
      <c r="N44" s="125">
        <f t="shared" si="1"/>
        <v>0</v>
      </c>
      <c r="O44" s="125">
        <f>Valores!$C$9</f>
        <v>26876.42</v>
      </c>
      <c r="P44" s="125">
        <f>Valores!$D$5</f>
        <v>12371.24</v>
      </c>
      <c r="Q44" s="125">
        <v>0</v>
      </c>
      <c r="R44" s="125">
        <f>IF($F$4="NO",Valores!$C$43,Valores!$C$43/2)</f>
        <v>9136.5</v>
      </c>
      <c r="S44" s="125">
        <f>Valores!$C$19</f>
        <v>11511.67</v>
      </c>
      <c r="T44" s="125">
        <f t="shared" si="7"/>
        <v>11511.67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Valores!$C$93</f>
        <v>5455.2</v>
      </c>
      <c r="AA44" s="125">
        <f>Valores!$C$25</f>
        <v>505.99</v>
      </c>
      <c r="AB44" s="214">
        <v>0</v>
      </c>
      <c r="AC44" s="125">
        <f t="shared" si="2"/>
        <v>0</v>
      </c>
      <c r="AD44" s="125">
        <f>Valores!$C$26</f>
        <v>505.99</v>
      </c>
      <c r="AE44" s="192">
        <v>0</v>
      </c>
      <c r="AF44" s="125">
        <f>ROUND(AE44*Valores!$C$2,2)</f>
        <v>0</v>
      </c>
      <c r="AG44" s="125">
        <f>ROUND(IF($F$4="NO",Valores!$C$62,Valores!$C$62/2),2)</f>
        <v>6323.27</v>
      </c>
      <c r="AH44" s="125">
        <f t="shared" si="5"/>
        <v>152094.63</v>
      </c>
      <c r="AI44" s="125">
        <f>Valores!$C$31</f>
        <v>0</v>
      </c>
      <c r="AJ44" s="125">
        <f>Valores!$C$86</f>
        <v>0</v>
      </c>
      <c r="AK44" s="125">
        <f>Valores!C$38*B44</f>
        <v>0</v>
      </c>
      <c r="AL44" s="125">
        <f>IF($F$3="NO",0,Valores!$C$55)</f>
        <v>170.34</v>
      </c>
      <c r="AM44" s="125">
        <f t="shared" si="3"/>
        <v>170.34</v>
      </c>
      <c r="AN44" s="125">
        <f>AH44*Valores!$C$70</f>
        <v>-16730.409299999999</v>
      </c>
      <c r="AO44" s="125">
        <f>AH44*-Valores!$C$71</f>
        <v>0</v>
      </c>
      <c r="AP44" s="125">
        <f>AH44*Valores!$C$72</f>
        <v>-6844.2583500000001</v>
      </c>
      <c r="AQ44" s="125">
        <f>Valores!$C$99</f>
        <v>-280.91000000000003</v>
      </c>
      <c r="AR44" s="125">
        <f>IF($F$5=0,Valores!$C$100,(Valores!$C$100+$F$5*(Valores!$C$100)))</f>
        <v>-329</v>
      </c>
      <c r="AS44" s="125">
        <f t="shared" si="6"/>
        <v>128080.39235000001</v>
      </c>
      <c r="AT44" s="125">
        <f t="shared" si="0"/>
        <v>-16730.409299999999</v>
      </c>
      <c r="AU44" s="125">
        <f>AH44*Valores!$C$73</f>
        <v>-4106.55501</v>
      </c>
      <c r="AV44" s="125">
        <f>AH44*Valores!$C$74</f>
        <v>-456.28389000000004</v>
      </c>
      <c r="AW44" s="125">
        <f t="shared" si="4"/>
        <v>130971.7218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2057.0300000000002</v>
      </c>
      <c r="G45" s="192">
        <f>G39</f>
        <v>3498</v>
      </c>
      <c r="H45" s="125">
        <f>ROUND(G45*Valores!$C$2,2)</f>
        <v>84653</v>
      </c>
      <c r="I45" s="192">
        <f>I39</f>
        <v>1209</v>
      </c>
      <c r="J45" s="125">
        <f>ROUND(I45*Valores!$C$2,2)</f>
        <v>29258.28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20782.93</v>
      </c>
      <c r="N45" s="125">
        <f t="shared" si="1"/>
        <v>0</v>
      </c>
      <c r="O45" s="125">
        <f>O39</f>
        <v>50119.41</v>
      </c>
      <c r="P45" s="125">
        <f>Valores!$D$5</f>
        <v>12371.24</v>
      </c>
      <c r="Q45" s="125">
        <v>0</v>
      </c>
      <c r="R45" s="125">
        <f>IF($F$4="NO",Valores!$C$45,Valores!$C$45/2)</f>
        <v>11072.91</v>
      </c>
      <c r="S45" s="125">
        <f>S39</f>
        <v>11511.67</v>
      </c>
      <c r="T45" s="125">
        <f t="shared" si="7"/>
        <v>11511.67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10910.4</v>
      </c>
      <c r="AA45" s="125">
        <f>Valores!$C$25</f>
        <v>505.99</v>
      </c>
      <c r="AB45" s="214">
        <v>0</v>
      </c>
      <c r="AC45" s="125">
        <f t="shared" si="2"/>
        <v>0</v>
      </c>
      <c r="AD45" s="125">
        <f>Valores!$C$26</f>
        <v>505.99</v>
      </c>
      <c r="AE45" s="192">
        <v>0</v>
      </c>
      <c r="AF45" s="125">
        <f>ROUND(AE45*Valores!$C$2,2)</f>
        <v>0</v>
      </c>
      <c r="AG45" s="125">
        <f>ROUND(IF($F$4="NO",Valores!$C$62,Valores!$C$62/2),2)</f>
        <v>6323.27</v>
      </c>
      <c r="AH45" s="125">
        <f t="shared" si="5"/>
        <v>240072.11999999997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IF($F$3="NO",0,Valores!$C$54)</f>
        <v>327.60000000000002</v>
      </c>
      <c r="AM45" s="125">
        <f t="shared" si="3"/>
        <v>327.60000000000002</v>
      </c>
      <c r="AN45" s="125">
        <f>AH45*Valores!$C$70</f>
        <v>-26407.933199999996</v>
      </c>
      <c r="AO45" s="125">
        <f>AH45*-Valores!$C$71</f>
        <v>0</v>
      </c>
      <c r="AP45" s="125">
        <f>AH45*Valores!$C$72</f>
        <v>-10803.245399999998</v>
      </c>
      <c r="AQ45" s="125">
        <f>Valores!$C$99</f>
        <v>-280.91000000000003</v>
      </c>
      <c r="AR45" s="125">
        <f>IF($F$5=0,Valores!$C$100,(Valores!$C$100+$F$5*(Valores!$C$100)))</f>
        <v>-329</v>
      </c>
      <c r="AS45" s="125">
        <f t="shared" si="6"/>
        <v>202578.63139999995</v>
      </c>
      <c r="AT45" s="125">
        <f t="shared" si="0"/>
        <v>-26407.933199999996</v>
      </c>
      <c r="AU45" s="125">
        <f>AH45*Valores!$C$73</f>
        <v>-6481.9472399999986</v>
      </c>
      <c r="AV45" s="125">
        <f>AH45*Valores!$C$74</f>
        <v>-720.2163599999999</v>
      </c>
      <c r="AW45" s="125">
        <f t="shared" si="4"/>
        <v>206789.62319999997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12535.81</v>
      </c>
      <c r="G46" s="192">
        <f>G88+G304</f>
        <v>1997</v>
      </c>
      <c r="H46" s="125">
        <f>ROUND(G46*Valores!$C$2,2)</f>
        <v>48328.2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12574.54</v>
      </c>
      <c r="N46" s="125">
        <f t="shared" si="1"/>
        <v>0</v>
      </c>
      <c r="O46" s="125">
        <f>O88+O304</f>
        <v>31433.48</v>
      </c>
      <c r="P46" s="125">
        <f>Valores!$D$5</f>
        <v>12371.24</v>
      </c>
      <c r="Q46" s="125">
        <f>Q88+Q304</f>
        <v>11037.15</v>
      </c>
      <c r="R46" s="125">
        <f>R88+R304</f>
        <v>11454.6</v>
      </c>
      <c r="S46" s="125">
        <f>S88+S304</f>
        <v>11511.67</v>
      </c>
      <c r="T46" s="125">
        <f t="shared" si="7"/>
        <v>11511.67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5455.2</v>
      </c>
      <c r="AA46" s="125">
        <f>Valores!$C$25</f>
        <v>505.99</v>
      </c>
      <c r="AB46" s="214">
        <v>0</v>
      </c>
      <c r="AC46" s="125">
        <f t="shared" si="2"/>
        <v>0</v>
      </c>
      <c r="AD46" s="125">
        <f>Valores!$C$26</f>
        <v>505.99</v>
      </c>
      <c r="AE46" s="192">
        <v>0</v>
      </c>
      <c r="AF46" s="125">
        <f>ROUND(AE46*Valores!$C$2,2)</f>
        <v>0</v>
      </c>
      <c r="AG46" s="125">
        <f>ROUND(IF($F$4="NO",Valores!$C$62,Valores!$C$62/2),2)</f>
        <v>6323.27</v>
      </c>
      <c r="AH46" s="125">
        <f t="shared" si="5"/>
        <v>164037.13999999998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IF($F$3="NO",0,Valores!$C$55)</f>
        <v>170.34</v>
      </c>
      <c r="AM46" s="125">
        <f t="shared" si="3"/>
        <v>170.34</v>
      </c>
      <c r="AN46" s="125">
        <f>AH46*Valores!$C$70</f>
        <v>-18044.0854</v>
      </c>
      <c r="AO46" s="125">
        <f>AH46*-Valores!$C$71</f>
        <v>0</v>
      </c>
      <c r="AP46" s="125">
        <f>AH46*Valores!$C$72</f>
        <v>-7381.6712999999991</v>
      </c>
      <c r="AQ46" s="125">
        <f>Valores!$C$99</f>
        <v>-280.91000000000003</v>
      </c>
      <c r="AR46" s="125">
        <f>IF($F$5=0,Valores!$C$100,(Valores!$C$100+$F$5*(Valores!$C$100)))</f>
        <v>-329</v>
      </c>
      <c r="AS46" s="125">
        <f t="shared" si="6"/>
        <v>138171.81329999998</v>
      </c>
      <c r="AT46" s="125">
        <f t="shared" si="0"/>
        <v>-18044.0854</v>
      </c>
      <c r="AU46" s="125">
        <f>AH46*Valores!$C$73</f>
        <v>-4429.0027799999998</v>
      </c>
      <c r="AV46" s="125">
        <f>AH46*Valores!$C$74</f>
        <v>-492.11141999999995</v>
      </c>
      <c r="AW46" s="125">
        <f t="shared" si="4"/>
        <v>141242.28039999999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13842.63</v>
      </c>
      <c r="G47" s="192">
        <f>G55+G237</f>
        <v>2686</v>
      </c>
      <c r="H47" s="125">
        <f>ROUND(G47*Valores!$C$2,2)</f>
        <v>65002.27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15654.3</v>
      </c>
      <c r="N47" s="125">
        <f t="shared" si="1"/>
        <v>0</v>
      </c>
      <c r="O47" s="125">
        <f>O55+O237</f>
        <v>31800.68</v>
      </c>
      <c r="P47" s="125">
        <f>Valores!$D$5</f>
        <v>12371.24</v>
      </c>
      <c r="Q47" s="125">
        <f>Q55+Q237</f>
        <v>11037.15</v>
      </c>
      <c r="R47" s="125">
        <f>R55+R237</f>
        <v>12456.68</v>
      </c>
      <c r="S47" s="125">
        <f>S55+S237</f>
        <v>13060.45</v>
      </c>
      <c r="T47" s="125">
        <f t="shared" si="7"/>
        <v>13060.45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8225.8799999999992</v>
      </c>
      <c r="AA47" s="125">
        <f>AA55+AA237</f>
        <v>627.61</v>
      </c>
      <c r="AB47" s="214">
        <v>0</v>
      </c>
      <c r="AC47" s="125">
        <f t="shared" si="2"/>
        <v>0</v>
      </c>
      <c r="AD47" s="125">
        <f>Valores!$C$26</f>
        <v>505.99</v>
      </c>
      <c r="AE47" s="192">
        <v>0</v>
      </c>
      <c r="AF47" s="125">
        <f>ROUND(AE47*Valores!$C$2,2)</f>
        <v>0</v>
      </c>
      <c r="AG47" s="125">
        <f>AG55+AG237</f>
        <v>8852.57</v>
      </c>
      <c r="AH47" s="125">
        <f t="shared" si="5"/>
        <v>193437.44999999998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IF($F$3="NO",0,Valores!$C$55)</f>
        <v>170.34</v>
      </c>
      <c r="AM47" s="125">
        <f t="shared" si="3"/>
        <v>170.34</v>
      </c>
      <c r="AN47" s="125">
        <f>AH47*Valores!$C$70</f>
        <v>-21278.119499999997</v>
      </c>
      <c r="AO47" s="125">
        <f>AH47*-Valores!$C$71</f>
        <v>0</v>
      </c>
      <c r="AP47" s="125">
        <f>AH47*Valores!$C$72</f>
        <v>-8704.6852499999986</v>
      </c>
      <c r="AQ47" s="125">
        <f>Valores!$C$99</f>
        <v>-280.91000000000003</v>
      </c>
      <c r="AR47" s="125">
        <f>IF($F$5=0,Valores!$C$100,(Valores!$C$100+$F$5*(Valores!$C$100)))</f>
        <v>-329</v>
      </c>
      <c r="AS47" s="125">
        <f t="shared" si="6"/>
        <v>163015.07524999999</v>
      </c>
      <c r="AT47" s="125">
        <f t="shared" si="0"/>
        <v>-21278.119499999997</v>
      </c>
      <c r="AU47" s="125">
        <f>AH47*Valores!$C$73</f>
        <v>-5222.8111499999995</v>
      </c>
      <c r="AV47" s="125">
        <f>AH47*Valores!$C$74</f>
        <v>-580.31234999999992</v>
      </c>
      <c r="AW47" s="125">
        <f t="shared" si="4"/>
        <v>166526.54699999999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2613.64</v>
      </c>
      <c r="G48" s="192">
        <v>2907</v>
      </c>
      <c r="H48" s="125">
        <f>ROUND(G48*Valores!$C$2,2)</f>
        <v>70350.559999999998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14122.62</v>
      </c>
      <c r="N48" s="125">
        <f t="shared" si="1"/>
        <v>0</v>
      </c>
      <c r="O48" s="125">
        <f>Valores!$C$9</f>
        <v>26876.42</v>
      </c>
      <c r="P48" s="125">
        <f>Valores!$D$5</f>
        <v>12371.24</v>
      </c>
      <c r="Q48" s="125">
        <f>Valores!$C$22</f>
        <v>11037.15</v>
      </c>
      <c r="R48" s="125">
        <f>IF($F$4="NO",Valores!$C$44,Valores!$C$44/2)</f>
        <v>9674.9599999999991</v>
      </c>
      <c r="S48" s="125">
        <f>Valores!$C$19</f>
        <v>11511.67</v>
      </c>
      <c r="T48" s="125">
        <f t="shared" si="7"/>
        <v>11511.67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Valores!$C$94</f>
        <v>6546.24</v>
      </c>
      <c r="AA48" s="125">
        <f>Valores!$C$25</f>
        <v>505.99</v>
      </c>
      <c r="AB48" s="214">
        <v>0</v>
      </c>
      <c r="AC48" s="125">
        <f t="shared" si="2"/>
        <v>0</v>
      </c>
      <c r="AD48" s="125">
        <f>Valores!$C$26</f>
        <v>505.99</v>
      </c>
      <c r="AE48" s="192">
        <v>0</v>
      </c>
      <c r="AF48" s="125">
        <f>ROUND(AE48*Valores!$C$2,2)</f>
        <v>0</v>
      </c>
      <c r="AG48" s="125">
        <f>ROUND(IF($F$4="NO",Valores!$C$62,Valores!$C$62/2),2)</f>
        <v>6323.27</v>
      </c>
      <c r="AH48" s="125">
        <f t="shared" si="5"/>
        <v>172439.74999999997</v>
      </c>
      <c r="AI48" s="125">
        <f>Valores!$C$31</f>
        <v>0</v>
      </c>
      <c r="AJ48" s="125">
        <f>Valores!$C$87</f>
        <v>0</v>
      </c>
      <c r="AK48" s="125">
        <f>Valores!C$38*B48</f>
        <v>0</v>
      </c>
      <c r="AL48" s="125">
        <f>IF($F$3="NO",0,Valores!$C$55)</f>
        <v>170.34</v>
      </c>
      <c r="AM48" s="125">
        <f t="shared" si="3"/>
        <v>170.34</v>
      </c>
      <c r="AN48" s="125">
        <f>AH48*Valores!$C$70</f>
        <v>-18968.372499999998</v>
      </c>
      <c r="AO48" s="125">
        <f>AH48*-Valores!$C$71</f>
        <v>0</v>
      </c>
      <c r="AP48" s="125">
        <f>AH48*Valores!$C$72</f>
        <v>-7759.7887499999988</v>
      </c>
      <c r="AQ48" s="125">
        <f>Valores!$C$99</f>
        <v>-280.91000000000003</v>
      </c>
      <c r="AR48" s="125">
        <f>IF($F$5=0,Valores!$C$100,(Valores!$C$100+$F$5*(Valores!$C$100)))</f>
        <v>-329</v>
      </c>
      <c r="AS48" s="125">
        <f t="shared" si="6"/>
        <v>145272.01874999999</v>
      </c>
      <c r="AT48" s="125">
        <f t="shared" si="0"/>
        <v>-18968.372499999998</v>
      </c>
      <c r="AU48" s="125">
        <f>AH48*Valores!$C$73</f>
        <v>-4655.8732499999987</v>
      </c>
      <c r="AV48" s="125">
        <f>AH48*Valores!$C$74</f>
        <v>-517.3192499999999</v>
      </c>
      <c r="AW48" s="125">
        <f t="shared" si="4"/>
        <v>148468.52499999997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2129.64</v>
      </c>
      <c r="G49" s="192">
        <v>2622</v>
      </c>
      <c r="H49" s="125">
        <f>ROUND(G49*Valores!$C$2,2)</f>
        <v>63453.45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13015.46</v>
      </c>
      <c r="N49" s="125">
        <f t="shared" si="1"/>
        <v>0</v>
      </c>
      <c r="O49" s="125">
        <f>Valores!$C$9</f>
        <v>26876.42</v>
      </c>
      <c r="P49" s="125">
        <f>Valores!$D$5</f>
        <v>12371.24</v>
      </c>
      <c r="Q49" s="125">
        <f>Valores!$C$22</f>
        <v>11037.15</v>
      </c>
      <c r="R49" s="125">
        <f>IF($F$4="NO",Valores!$C$44,Valores!$C$44/2)</f>
        <v>9674.9599999999991</v>
      </c>
      <c r="S49" s="125">
        <f>Valores!$C$19</f>
        <v>11511.67</v>
      </c>
      <c r="T49" s="125">
        <f t="shared" si="7"/>
        <v>11511.67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Valores!$C$94</f>
        <v>6546.24</v>
      </c>
      <c r="AA49" s="125">
        <f>Valores!$C$25</f>
        <v>505.99</v>
      </c>
      <c r="AB49" s="214">
        <v>0</v>
      </c>
      <c r="AC49" s="125">
        <f t="shared" si="2"/>
        <v>0</v>
      </c>
      <c r="AD49" s="125">
        <f>Valores!$C$26</f>
        <v>505.99</v>
      </c>
      <c r="AE49" s="192">
        <v>0</v>
      </c>
      <c r="AF49" s="125">
        <f>ROUND(AE49*Valores!$C$2,2)</f>
        <v>0</v>
      </c>
      <c r="AG49" s="125">
        <f>ROUND(IF($F$4="NO",Valores!$C$62,Valores!$C$62/2),2)</f>
        <v>6323.27</v>
      </c>
      <c r="AH49" s="125">
        <f t="shared" si="5"/>
        <v>163951.47999999995</v>
      </c>
      <c r="AI49" s="125">
        <f>Valores!$C$31</f>
        <v>0</v>
      </c>
      <c r="AJ49" s="125">
        <f>Valores!$C$87</f>
        <v>0</v>
      </c>
      <c r="AK49" s="125">
        <f>Valores!C$38*B49</f>
        <v>0</v>
      </c>
      <c r="AL49" s="125">
        <f>IF($F$3="NO",0,Valores!$C$55)</f>
        <v>170.34</v>
      </c>
      <c r="AM49" s="125">
        <f t="shared" si="3"/>
        <v>170.34</v>
      </c>
      <c r="AN49" s="125">
        <f>AH49*Valores!$C$70</f>
        <v>-18034.662799999995</v>
      </c>
      <c r="AO49" s="125">
        <f>AH49*-Valores!$C$71</f>
        <v>0</v>
      </c>
      <c r="AP49" s="125">
        <f>AH49*Valores!$C$72</f>
        <v>-7377.8165999999974</v>
      </c>
      <c r="AQ49" s="125">
        <f>Valores!$C$99</f>
        <v>-280.91000000000003</v>
      </c>
      <c r="AR49" s="125">
        <f>IF($F$5=0,Valores!$C$100,(Valores!$C$100+$F$5*(Valores!$C$100)))</f>
        <v>-329</v>
      </c>
      <c r="AS49" s="125">
        <f t="shared" si="6"/>
        <v>138099.43059999996</v>
      </c>
      <c r="AT49" s="125">
        <f t="shared" si="0"/>
        <v>-18034.662799999995</v>
      </c>
      <c r="AU49" s="125">
        <f>AH49*Valores!$C$73</f>
        <v>-4426.6899599999988</v>
      </c>
      <c r="AV49" s="125">
        <f>AH49*Valores!$C$74</f>
        <v>-491.85443999999984</v>
      </c>
      <c r="AW49" s="125">
        <f t="shared" si="4"/>
        <v>141168.61279999994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2129.64</v>
      </c>
      <c r="G50" s="192">
        <v>2622</v>
      </c>
      <c r="H50" s="125">
        <f>ROUND(G50*Valores!$C$2,2)</f>
        <v>63453.45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13015.46</v>
      </c>
      <c r="N50" s="125">
        <f t="shared" si="1"/>
        <v>0</v>
      </c>
      <c r="O50" s="125">
        <f>Valores!$C$9</f>
        <v>26876.42</v>
      </c>
      <c r="P50" s="125">
        <f>Valores!$D$5</f>
        <v>12371.24</v>
      </c>
      <c r="Q50" s="125">
        <f>Valores!$C$22</f>
        <v>11037.15</v>
      </c>
      <c r="R50" s="125">
        <f>IF($F$4="NO",Valores!$C$44,Valores!$C$44/2)</f>
        <v>9674.9599999999991</v>
      </c>
      <c r="S50" s="125">
        <f>Valores!$C$19</f>
        <v>11511.67</v>
      </c>
      <c r="T50" s="125">
        <f t="shared" si="7"/>
        <v>11511.67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Valores!$C$94</f>
        <v>6546.24</v>
      </c>
      <c r="AA50" s="125">
        <f>Valores!$C$25</f>
        <v>505.99</v>
      </c>
      <c r="AB50" s="214">
        <v>0</v>
      </c>
      <c r="AC50" s="125">
        <f t="shared" si="2"/>
        <v>0</v>
      </c>
      <c r="AD50" s="125">
        <f>Valores!$C$26</f>
        <v>505.99</v>
      </c>
      <c r="AE50" s="192">
        <v>0</v>
      </c>
      <c r="AF50" s="125">
        <f>ROUND(AE50*Valores!$C$2,2)</f>
        <v>0</v>
      </c>
      <c r="AG50" s="125">
        <f>ROUND(IF($F$4="NO",Valores!$C$62,Valores!$C$62/2),2)</f>
        <v>6323.27</v>
      </c>
      <c r="AH50" s="125">
        <f t="shared" si="5"/>
        <v>163951.47999999995</v>
      </c>
      <c r="AI50" s="125">
        <f>Valores!$C$31</f>
        <v>0</v>
      </c>
      <c r="AJ50" s="125">
        <f>Valores!$C$87</f>
        <v>0</v>
      </c>
      <c r="AK50" s="125">
        <f>Valores!C$38*B50</f>
        <v>0</v>
      </c>
      <c r="AL50" s="125">
        <f>IF($F$3="NO",0,Valores!$C$55)</f>
        <v>170.34</v>
      </c>
      <c r="AM50" s="125">
        <f t="shared" si="3"/>
        <v>170.34</v>
      </c>
      <c r="AN50" s="125">
        <f>AH50*Valores!$C$70</f>
        <v>-18034.662799999995</v>
      </c>
      <c r="AO50" s="125">
        <f>AH50*-Valores!$C$71</f>
        <v>0</v>
      </c>
      <c r="AP50" s="125">
        <f>AH50*Valores!$C$72</f>
        <v>-7377.8165999999974</v>
      </c>
      <c r="AQ50" s="125">
        <f>Valores!$C$99</f>
        <v>-280.91000000000003</v>
      </c>
      <c r="AR50" s="125">
        <f>IF($F$5=0,Valores!$C$100,(Valores!$C$100+$F$5*(Valores!$C$100)))</f>
        <v>-329</v>
      </c>
      <c r="AS50" s="125">
        <f t="shared" si="6"/>
        <v>138099.43059999996</v>
      </c>
      <c r="AT50" s="125">
        <f t="shared" si="0"/>
        <v>-18034.662799999995</v>
      </c>
      <c r="AU50" s="125">
        <f>AH50*Valores!$C$73</f>
        <v>-4426.6899599999988</v>
      </c>
      <c r="AV50" s="125">
        <f>AH50*Valores!$C$74</f>
        <v>-491.85443999999984</v>
      </c>
      <c r="AW50" s="125">
        <f t="shared" si="4"/>
        <v>141168.61279999994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1936.03</v>
      </c>
      <c r="G51" s="192">
        <v>2278</v>
      </c>
      <c r="H51" s="125">
        <f>ROUND(G51*Valores!$C$2,2)</f>
        <v>55128.51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11737.68</v>
      </c>
      <c r="N51" s="125">
        <f t="shared" si="1"/>
        <v>0</v>
      </c>
      <c r="O51" s="125">
        <f>Valores!$C$9</f>
        <v>26876.42</v>
      </c>
      <c r="P51" s="125">
        <f>Valores!$D$5</f>
        <v>12371.24</v>
      </c>
      <c r="Q51" s="125">
        <f>Valores!$C$22</f>
        <v>11037.15</v>
      </c>
      <c r="R51" s="125">
        <f>IF($F$4="NO",Valores!$C$44,Valores!$C$44/2)</f>
        <v>9674.9599999999991</v>
      </c>
      <c r="S51" s="125">
        <f>Valores!$C$19</f>
        <v>11511.67</v>
      </c>
      <c r="T51" s="125">
        <f t="shared" si="7"/>
        <v>11511.67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Valores!$C$94</f>
        <v>6546.24</v>
      </c>
      <c r="AA51" s="125">
        <f>Valores!$C$25</f>
        <v>505.99</v>
      </c>
      <c r="AB51" s="214">
        <v>0</v>
      </c>
      <c r="AC51" s="125">
        <f t="shared" si="2"/>
        <v>0</v>
      </c>
      <c r="AD51" s="125">
        <f>Valores!$C$26</f>
        <v>505.99</v>
      </c>
      <c r="AE51" s="192">
        <v>0</v>
      </c>
      <c r="AF51" s="125">
        <f>ROUND(AE51*Valores!$C$2,2)</f>
        <v>0</v>
      </c>
      <c r="AG51" s="125">
        <f>ROUND(IF($F$4="NO",Valores!$C$62,Valores!$C$62/2),2)</f>
        <v>6323.27</v>
      </c>
      <c r="AH51" s="125">
        <f t="shared" si="5"/>
        <v>154155.14999999997</v>
      </c>
      <c r="AI51" s="125">
        <f>Valores!$C$31</f>
        <v>0</v>
      </c>
      <c r="AJ51" s="125">
        <f>Valores!$C$87</f>
        <v>0</v>
      </c>
      <c r="AK51" s="125">
        <f>Valores!C$38*B51</f>
        <v>0</v>
      </c>
      <c r="AL51" s="125">
        <f>IF($F$3="NO",0,Valores!$C$55)</f>
        <v>170.34</v>
      </c>
      <c r="AM51" s="125">
        <f t="shared" si="3"/>
        <v>170.34</v>
      </c>
      <c r="AN51" s="125">
        <f>AH51*Valores!$C$70</f>
        <v>-16957.066499999997</v>
      </c>
      <c r="AO51" s="125">
        <f>AH51*-Valores!$C$71</f>
        <v>0</v>
      </c>
      <c r="AP51" s="125">
        <f>AH51*Valores!$C$72</f>
        <v>-6936.9817499999981</v>
      </c>
      <c r="AQ51" s="125">
        <f>Valores!$C$99</f>
        <v>-280.91000000000003</v>
      </c>
      <c r="AR51" s="125">
        <f>IF($F$5=0,Valores!$C$100,(Valores!$C$100+$F$5*(Valores!$C$100)))</f>
        <v>-329</v>
      </c>
      <c r="AS51" s="125">
        <f t="shared" si="6"/>
        <v>129821.53174999997</v>
      </c>
      <c r="AT51" s="125">
        <f t="shared" si="0"/>
        <v>-16957.066499999997</v>
      </c>
      <c r="AU51" s="125">
        <f>AH51*Valores!$C$73</f>
        <v>-4162.189049999999</v>
      </c>
      <c r="AV51" s="125">
        <f>AH51*Valores!$C$74</f>
        <v>-462.46544999999992</v>
      </c>
      <c r="AW51" s="125">
        <f t="shared" si="4"/>
        <v>132743.76899999997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2420.04</v>
      </c>
      <c r="G52" s="192">
        <v>3620</v>
      </c>
      <c r="H52" s="125">
        <f>ROUND(G52*Valores!$C$2,2)</f>
        <v>87605.45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17295.36</v>
      </c>
      <c r="N52" s="125">
        <f t="shared" si="1"/>
        <v>0</v>
      </c>
      <c r="O52" s="125">
        <f>Valores!$C$9</f>
        <v>26876.42</v>
      </c>
      <c r="P52" s="125">
        <f>Valores!$D$5</f>
        <v>12371.24</v>
      </c>
      <c r="Q52" s="125">
        <f>Valores!$C$22</f>
        <v>11037.15</v>
      </c>
      <c r="R52" s="125">
        <f>IF($F$4="NO",Valores!$C$46,Valores!$C$46/2)</f>
        <v>13765.22</v>
      </c>
      <c r="S52" s="125">
        <f>Valores!$C$19</f>
        <v>11511.67</v>
      </c>
      <c r="T52" s="125">
        <f t="shared" si="7"/>
        <v>11511.67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Valores!$C$95</f>
        <v>10910.4</v>
      </c>
      <c r="AA52" s="125">
        <f>Valores!$C$25</f>
        <v>505.99</v>
      </c>
      <c r="AB52" s="214">
        <v>0</v>
      </c>
      <c r="AC52" s="125">
        <f t="shared" si="2"/>
        <v>0</v>
      </c>
      <c r="AD52" s="125">
        <f>Valores!$C$26</f>
        <v>505.99</v>
      </c>
      <c r="AE52" s="192">
        <v>0</v>
      </c>
      <c r="AF52" s="125">
        <f>ROUND(AE52*Valores!$C$2,2)</f>
        <v>0</v>
      </c>
      <c r="AG52" s="125">
        <f>ROUND(IF($F$4="NO",Valores!$C$62,Valores!$C$62/2),2)</f>
        <v>6323.27</v>
      </c>
      <c r="AH52" s="125">
        <f t="shared" si="5"/>
        <v>201128.19999999995</v>
      </c>
      <c r="AI52" s="125">
        <f>Valores!$C$31</f>
        <v>0</v>
      </c>
      <c r="AJ52" s="125">
        <f>Valores!$C$88</f>
        <v>0</v>
      </c>
      <c r="AK52" s="125">
        <f>Valores!C$38*B52</f>
        <v>0</v>
      </c>
      <c r="AL52" s="125">
        <f>IF($F$3="NO",0,Valores!$C$55)</f>
        <v>170.34</v>
      </c>
      <c r="AM52" s="125">
        <f t="shared" si="3"/>
        <v>170.34</v>
      </c>
      <c r="AN52" s="125">
        <f>AH52*Valores!$C$70</f>
        <v>-22124.101999999995</v>
      </c>
      <c r="AO52" s="125">
        <f>AH52*-Valores!$C$71</f>
        <v>0</v>
      </c>
      <c r="AP52" s="125">
        <f>AH52*Valores!$C$72</f>
        <v>-9050.7689999999984</v>
      </c>
      <c r="AQ52" s="125">
        <f>Valores!$C$99</f>
        <v>-280.91000000000003</v>
      </c>
      <c r="AR52" s="125">
        <f>IF($F$5=0,Valores!$C$100,(Valores!$C$100+$F$5*(Valores!$C$100)))</f>
        <v>-329</v>
      </c>
      <c r="AS52" s="125">
        <f t="shared" si="6"/>
        <v>169513.75899999996</v>
      </c>
      <c r="AT52" s="125">
        <f t="shared" si="0"/>
        <v>-22124.101999999995</v>
      </c>
      <c r="AU52" s="125">
        <f>AH52*Valores!$C$73</f>
        <v>-5430.4613999999983</v>
      </c>
      <c r="AV52" s="125">
        <f>AH52*Valores!$C$74</f>
        <v>-603.38459999999986</v>
      </c>
      <c r="AW52" s="125">
        <f t="shared" si="4"/>
        <v>173140.59199999995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2420.04</v>
      </c>
      <c r="G53" s="192">
        <v>3560</v>
      </c>
      <c r="H53" s="125">
        <f>ROUND(G53*Valores!$C$2,2)</f>
        <v>86153.42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17077.55</v>
      </c>
      <c r="N53" s="125">
        <f t="shared" si="1"/>
        <v>0</v>
      </c>
      <c r="O53" s="125">
        <f>Valores!$C$9</f>
        <v>26876.42</v>
      </c>
      <c r="P53" s="125">
        <f>Valores!$D$5</f>
        <v>12371.24</v>
      </c>
      <c r="Q53" s="125">
        <v>0</v>
      </c>
      <c r="R53" s="125">
        <f>IF($F$4="NO",Valores!$C$46,Valores!$C$46/2)</f>
        <v>13765.22</v>
      </c>
      <c r="S53" s="125">
        <f>Valores!$C$19</f>
        <v>11511.67</v>
      </c>
      <c r="T53" s="125">
        <f t="shared" si="7"/>
        <v>11511.67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Valores!$C$95</f>
        <v>10910.4</v>
      </c>
      <c r="AA53" s="125">
        <f>Valores!$C$25</f>
        <v>505.99</v>
      </c>
      <c r="AB53" s="214">
        <v>0</v>
      </c>
      <c r="AC53" s="125">
        <f t="shared" si="2"/>
        <v>0</v>
      </c>
      <c r="AD53" s="125">
        <f>Valores!$C$26</f>
        <v>505.99</v>
      </c>
      <c r="AE53" s="192">
        <v>0</v>
      </c>
      <c r="AF53" s="125">
        <f>ROUND(AE53*Valores!$C$2,2)</f>
        <v>0</v>
      </c>
      <c r="AG53" s="125">
        <f>ROUND(IF($F$4="NO",Valores!$C$62,Valores!$C$62/2),2)</f>
        <v>6323.27</v>
      </c>
      <c r="AH53" s="125">
        <f t="shared" si="5"/>
        <v>188421.20999999996</v>
      </c>
      <c r="AI53" s="125">
        <f>Valores!$C$31</f>
        <v>0</v>
      </c>
      <c r="AJ53" s="125">
        <f>Valores!$C$88</f>
        <v>0</v>
      </c>
      <c r="AK53" s="125">
        <f>Valores!C$38*B53</f>
        <v>0</v>
      </c>
      <c r="AL53" s="125">
        <f>IF($F$3="NO",0,Valores!$C$55)</f>
        <v>170.34</v>
      </c>
      <c r="AM53" s="125">
        <f t="shared" si="3"/>
        <v>170.34</v>
      </c>
      <c r="AN53" s="125">
        <f>AH53*Valores!$C$70</f>
        <v>-20726.333099999996</v>
      </c>
      <c r="AO53" s="125">
        <f>AH53*-Valores!$C$71</f>
        <v>0</v>
      </c>
      <c r="AP53" s="125">
        <f>AH53*Valores!$C$72</f>
        <v>-8478.9544499999975</v>
      </c>
      <c r="AQ53" s="125">
        <f>Valores!$C$99</f>
        <v>-280.91000000000003</v>
      </c>
      <c r="AR53" s="125">
        <f>IF($F$5=0,Valores!$C$100,(Valores!$C$100+$F$5*(Valores!$C$100)))</f>
        <v>-329</v>
      </c>
      <c r="AS53" s="125">
        <f t="shared" si="6"/>
        <v>158776.35244999998</v>
      </c>
      <c r="AT53" s="125">
        <f t="shared" si="0"/>
        <v>-20726.333099999996</v>
      </c>
      <c r="AU53" s="125">
        <f>AH53*Valores!$C$73</f>
        <v>-5087.3726699999988</v>
      </c>
      <c r="AV53" s="125">
        <f>AH53*Valores!$C$74</f>
        <v>-565.26362999999992</v>
      </c>
      <c r="AW53" s="125">
        <f t="shared" si="4"/>
        <v>162212.58059999996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2420.04</v>
      </c>
      <c r="G54" s="192">
        <v>3360</v>
      </c>
      <c r="H54" s="125">
        <f>ROUND(G54*Valores!$C$2,2)</f>
        <v>81313.34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16351.54</v>
      </c>
      <c r="N54" s="125">
        <f t="shared" si="1"/>
        <v>0</v>
      </c>
      <c r="O54" s="125">
        <f>Valores!$C$9</f>
        <v>26876.42</v>
      </c>
      <c r="P54" s="125">
        <f>Valores!$D$5</f>
        <v>12371.24</v>
      </c>
      <c r="Q54" s="125">
        <f>Valores!$C$22</f>
        <v>11037.15</v>
      </c>
      <c r="R54" s="125">
        <f>IF($F$4="NO",Valores!$C$46,Valores!$C$46/2)</f>
        <v>13765.22</v>
      </c>
      <c r="S54" s="125">
        <f>Valores!$C$19</f>
        <v>11511.67</v>
      </c>
      <c r="T54" s="125">
        <f t="shared" si="7"/>
        <v>11511.67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Valores!$C$95</f>
        <v>10910.4</v>
      </c>
      <c r="AA54" s="125">
        <f>Valores!$C$25</f>
        <v>505.99</v>
      </c>
      <c r="AB54" s="214">
        <v>0</v>
      </c>
      <c r="AC54" s="125">
        <f t="shared" si="2"/>
        <v>0</v>
      </c>
      <c r="AD54" s="125">
        <f>Valores!$C$26</f>
        <v>505.99</v>
      </c>
      <c r="AE54" s="192">
        <v>0</v>
      </c>
      <c r="AF54" s="125">
        <f>ROUND(AE54*Valores!$C$2,2)</f>
        <v>0</v>
      </c>
      <c r="AG54" s="125">
        <f>ROUND(IF($F$4="NO",Valores!$C$62,Valores!$C$62/2),2)</f>
        <v>6323.27</v>
      </c>
      <c r="AH54" s="125">
        <f t="shared" si="5"/>
        <v>193892.26999999996</v>
      </c>
      <c r="AI54" s="125">
        <f>Valores!$C$31</f>
        <v>0</v>
      </c>
      <c r="AJ54" s="125">
        <f>Valores!$C$88</f>
        <v>0</v>
      </c>
      <c r="AK54" s="125">
        <f>Valores!C$38*B54</f>
        <v>0</v>
      </c>
      <c r="AL54" s="125">
        <f>IF($F$3="NO",0,Valores!$C$55)</f>
        <v>170.34</v>
      </c>
      <c r="AM54" s="125">
        <f t="shared" si="3"/>
        <v>170.34</v>
      </c>
      <c r="AN54" s="125">
        <f>AH54*Valores!$C$70</f>
        <v>-21328.149699999994</v>
      </c>
      <c r="AO54" s="125">
        <f>AH54*-Valores!$C$71</f>
        <v>0</v>
      </c>
      <c r="AP54" s="125">
        <f>AH54*Valores!$C$72</f>
        <v>-8725.1521499999981</v>
      </c>
      <c r="AQ54" s="125">
        <f>Valores!$C$99</f>
        <v>-280.91000000000003</v>
      </c>
      <c r="AR54" s="125">
        <f>IF($F$5=0,Valores!$C$100,(Valores!$C$100+$F$5*(Valores!$C$100)))</f>
        <v>-329</v>
      </c>
      <c r="AS54" s="125">
        <f t="shared" si="6"/>
        <v>163399.39814999996</v>
      </c>
      <c r="AT54" s="125">
        <f t="shared" si="0"/>
        <v>-21328.149699999994</v>
      </c>
      <c r="AU54" s="125">
        <f>AH54*Valores!$C$73</f>
        <v>-5235.0912899999985</v>
      </c>
      <c r="AV54" s="125">
        <f>AH54*Valores!$C$74</f>
        <v>-581.67680999999993</v>
      </c>
      <c r="AW54" s="125">
        <f t="shared" si="4"/>
        <v>166917.69219999996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2371.64</v>
      </c>
      <c r="G55" s="192">
        <v>2686</v>
      </c>
      <c r="H55" s="125">
        <f>ROUND(G55*Valores!$C$2,2)</f>
        <v>65002.27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13284.08</v>
      </c>
      <c r="N55" s="125">
        <f t="shared" si="1"/>
        <v>0</v>
      </c>
      <c r="O55" s="125">
        <f>Valores!$C$9</f>
        <v>26876.42</v>
      </c>
      <c r="P55" s="125">
        <f>Valores!$D$5</f>
        <v>12371.24</v>
      </c>
      <c r="Q55" s="125">
        <f>Valores!$C$22</f>
        <v>11037.15</v>
      </c>
      <c r="R55" s="125">
        <f>IF($F$4="NO",Valores!$C$44,Valores!$C$44/2)</f>
        <v>9674.9599999999991</v>
      </c>
      <c r="S55" s="125">
        <f>Valores!$C$19</f>
        <v>11511.67</v>
      </c>
      <c r="T55" s="125">
        <f t="shared" si="7"/>
        <v>11511.67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Valores!$C$94</f>
        <v>6546.24</v>
      </c>
      <c r="AA55" s="125">
        <f>Valores!$C$25</f>
        <v>505.99</v>
      </c>
      <c r="AB55" s="214">
        <v>0</v>
      </c>
      <c r="AC55" s="125">
        <f t="shared" si="2"/>
        <v>0</v>
      </c>
      <c r="AD55" s="125">
        <f>Valores!$C$26</f>
        <v>505.99</v>
      </c>
      <c r="AE55" s="192">
        <v>0</v>
      </c>
      <c r="AF55" s="125">
        <f>ROUND(AE55*Valores!$C$2,2)</f>
        <v>0</v>
      </c>
      <c r="AG55" s="125">
        <f>ROUND(IF($F$4="NO",Valores!$C$62,Valores!$C$62/2),2)</f>
        <v>6323.27</v>
      </c>
      <c r="AH55" s="125">
        <f t="shared" si="5"/>
        <v>166010.91999999998</v>
      </c>
      <c r="AI55" s="125">
        <f>Valores!$C$31</f>
        <v>0</v>
      </c>
      <c r="AJ55" s="125">
        <f>Valores!$C$87</f>
        <v>0</v>
      </c>
      <c r="AK55" s="125">
        <f>Valores!C$38*B55</f>
        <v>0</v>
      </c>
      <c r="AL55" s="125">
        <f>IF($F$3="NO",0,Valores!$C$55)</f>
        <v>170.34</v>
      </c>
      <c r="AM55" s="125">
        <f t="shared" si="3"/>
        <v>170.34</v>
      </c>
      <c r="AN55" s="125">
        <f>AH55*Valores!$C$70</f>
        <v>-18261.2012</v>
      </c>
      <c r="AO55" s="125">
        <f>AH55*-Valores!$C$71</f>
        <v>0</v>
      </c>
      <c r="AP55" s="125">
        <f>AH55*Valores!$C$72</f>
        <v>-7470.491399999999</v>
      </c>
      <c r="AQ55" s="125">
        <f>Valores!$C$99</f>
        <v>-280.91000000000003</v>
      </c>
      <c r="AR55" s="125">
        <f>IF($F$5=0,Valores!$C$100,(Valores!$C$100+$F$5*(Valores!$C$100)))</f>
        <v>-329</v>
      </c>
      <c r="AS55" s="125">
        <f t="shared" si="6"/>
        <v>139839.6574</v>
      </c>
      <c r="AT55" s="125">
        <f t="shared" si="0"/>
        <v>-18261.2012</v>
      </c>
      <c r="AU55" s="125">
        <f>AH55*Valores!$C$73</f>
        <v>-4482.2948399999996</v>
      </c>
      <c r="AV55" s="125">
        <f>AH55*Valores!$C$74</f>
        <v>-498.03275999999994</v>
      </c>
      <c r="AW55" s="125">
        <f t="shared" si="4"/>
        <v>142939.73119999998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2274.84</v>
      </c>
      <c r="G56" s="192">
        <v>2690</v>
      </c>
      <c r="H56" s="125">
        <f>ROUND(G56*Valores!$C$2,2)</f>
        <v>65099.08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13284.08</v>
      </c>
      <c r="N56" s="125">
        <f t="shared" si="1"/>
        <v>0</v>
      </c>
      <c r="O56" s="125">
        <f>Valores!$C$9</f>
        <v>26876.42</v>
      </c>
      <c r="P56" s="125">
        <f>Valores!$D$5</f>
        <v>12371.24</v>
      </c>
      <c r="Q56" s="125">
        <f>Valores!$C$22</f>
        <v>11037.15</v>
      </c>
      <c r="R56" s="125">
        <f>IF($F$4="NO",Valores!$C$44,Valores!$C$44/2)</f>
        <v>9674.9599999999991</v>
      </c>
      <c r="S56" s="125">
        <f>Valores!$C$19</f>
        <v>11511.67</v>
      </c>
      <c r="T56" s="125">
        <f t="shared" si="7"/>
        <v>11511.67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Valores!$C$94</f>
        <v>6546.24</v>
      </c>
      <c r="AA56" s="125">
        <f>Valores!$C$25</f>
        <v>505.99</v>
      </c>
      <c r="AB56" s="214">
        <v>0</v>
      </c>
      <c r="AC56" s="125">
        <f t="shared" si="2"/>
        <v>0</v>
      </c>
      <c r="AD56" s="125">
        <f>Valores!$C$26</f>
        <v>505.99</v>
      </c>
      <c r="AE56" s="192">
        <v>94</v>
      </c>
      <c r="AF56" s="125">
        <f>ROUND(AE56*Valores!$C$2,2)</f>
        <v>2274.84</v>
      </c>
      <c r="AG56" s="125">
        <f>ROUND(IF($F$4="NO",Valores!$C$62,Valores!$C$62/2),2)</f>
        <v>6323.27</v>
      </c>
      <c r="AH56" s="125">
        <f t="shared" si="5"/>
        <v>168285.76999999996</v>
      </c>
      <c r="AI56" s="125">
        <f>Valores!$C$31</f>
        <v>0</v>
      </c>
      <c r="AJ56" s="125">
        <f>Valores!$C$87</f>
        <v>0</v>
      </c>
      <c r="AK56" s="125">
        <f>Valores!C$38*B56</f>
        <v>0</v>
      </c>
      <c r="AL56" s="125">
        <f>IF($F$3="NO",0,Valores!$C$55)</f>
        <v>170.34</v>
      </c>
      <c r="AM56" s="125">
        <f t="shared" si="3"/>
        <v>170.34</v>
      </c>
      <c r="AN56" s="125">
        <f>AH56*Valores!$C$70</f>
        <v>-18511.434699999994</v>
      </c>
      <c r="AO56" s="125">
        <f>AH56*-Valores!$C$71</f>
        <v>0</v>
      </c>
      <c r="AP56" s="125">
        <f>AH56*Valores!$C$72</f>
        <v>-7572.8596499999976</v>
      </c>
      <c r="AQ56" s="125">
        <f>Valores!$C$99</f>
        <v>-280.91000000000003</v>
      </c>
      <c r="AR56" s="125">
        <f>IF($F$5=0,Valores!$C$100,(Valores!$C$100+$F$5*(Valores!$C$100)))</f>
        <v>-329</v>
      </c>
      <c r="AS56" s="125">
        <f t="shared" si="6"/>
        <v>141761.90564999997</v>
      </c>
      <c r="AT56" s="125">
        <f t="shared" si="0"/>
        <v>-18511.434699999994</v>
      </c>
      <c r="AU56" s="125">
        <f>AH56*Valores!$C$73</f>
        <v>-4543.7157899999993</v>
      </c>
      <c r="AV56" s="125">
        <f>AH56*Valores!$C$74</f>
        <v>-504.85730999999987</v>
      </c>
      <c r="AW56" s="125">
        <f t="shared" si="4"/>
        <v>144896.10219999996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2250.64</v>
      </c>
      <c r="G57" s="192">
        <v>2547</v>
      </c>
      <c r="H57" s="125">
        <f>ROUND(G57*Valores!$C$2,2)</f>
        <v>61638.42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12761.35</v>
      </c>
      <c r="N57" s="125">
        <f t="shared" si="1"/>
        <v>0</v>
      </c>
      <c r="O57" s="125">
        <f>Valores!$C$9</f>
        <v>26876.42</v>
      </c>
      <c r="P57" s="125">
        <f>Valores!$D$5</f>
        <v>12371.24</v>
      </c>
      <c r="Q57" s="125">
        <f>Valores!$C$22</f>
        <v>11037.15</v>
      </c>
      <c r="R57" s="125">
        <f>IF($F$4="NO",Valores!$C$44,Valores!$C$44/2)</f>
        <v>9674.9599999999991</v>
      </c>
      <c r="S57" s="125">
        <f>Valores!$C$19</f>
        <v>11511.67</v>
      </c>
      <c r="T57" s="125">
        <f t="shared" si="7"/>
        <v>11511.67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Valores!$C$94</f>
        <v>6546.24</v>
      </c>
      <c r="AA57" s="125">
        <f>Valores!$C$25</f>
        <v>505.99</v>
      </c>
      <c r="AB57" s="214">
        <v>0</v>
      </c>
      <c r="AC57" s="125">
        <f t="shared" si="2"/>
        <v>0</v>
      </c>
      <c r="AD57" s="125">
        <f>Valores!$C$26</f>
        <v>505.99</v>
      </c>
      <c r="AE57" s="192">
        <v>0</v>
      </c>
      <c r="AF57" s="125">
        <f>ROUND(AE57*Valores!$C$2,2)</f>
        <v>0</v>
      </c>
      <c r="AG57" s="125">
        <f>ROUND(IF($F$4="NO",Valores!$C$62,Valores!$C$62/2),2)</f>
        <v>6323.27</v>
      </c>
      <c r="AH57" s="125">
        <f t="shared" si="5"/>
        <v>162003.33999999997</v>
      </c>
      <c r="AI57" s="125">
        <f>Valores!$C$31</f>
        <v>0</v>
      </c>
      <c r="AJ57" s="125">
        <f>Valores!$C$87</f>
        <v>0</v>
      </c>
      <c r="AK57" s="125">
        <f>Valores!C$38*B57</f>
        <v>0</v>
      </c>
      <c r="AL57" s="125">
        <f>IF($F$3="NO",0,Valores!$C$55)</f>
        <v>170.34</v>
      </c>
      <c r="AM57" s="125">
        <f t="shared" si="3"/>
        <v>170.34</v>
      </c>
      <c r="AN57" s="125">
        <f>AH57*Valores!$C$70</f>
        <v>-17820.367399999996</v>
      </c>
      <c r="AO57" s="125">
        <f>AH57*-Valores!$C$71</f>
        <v>0</v>
      </c>
      <c r="AP57" s="125">
        <f>AH57*Valores!$C$72</f>
        <v>-7290.1502999999984</v>
      </c>
      <c r="AQ57" s="125">
        <f>Valores!$C$99</f>
        <v>-280.91000000000003</v>
      </c>
      <c r="AR57" s="125">
        <f>IF($F$5=0,Valores!$C$100,(Valores!$C$100+$F$5*(Valores!$C$100)))</f>
        <v>-329</v>
      </c>
      <c r="AS57" s="125">
        <f t="shared" si="6"/>
        <v>136453.25229999996</v>
      </c>
      <c r="AT57" s="125">
        <f t="shared" si="0"/>
        <v>-17820.367399999996</v>
      </c>
      <c r="AU57" s="125">
        <f>AH57*Valores!$C$73</f>
        <v>-4374.0901799999992</v>
      </c>
      <c r="AV57" s="125">
        <f>AH57*Valores!$C$74</f>
        <v>-486.01001999999994</v>
      </c>
      <c r="AW57" s="125">
        <f t="shared" si="4"/>
        <v>139493.21239999996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2153.84</v>
      </c>
      <c r="G58" s="192">
        <v>2551</v>
      </c>
      <c r="H58" s="125">
        <f>ROUND(G58*Valores!$C$2,2)</f>
        <v>61735.22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12761.35</v>
      </c>
      <c r="N58" s="125">
        <f t="shared" si="1"/>
        <v>0</v>
      </c>
      <c r="O58" s="125">
        <f>Valores!$C$9</f>
        <v>26876.42</v>
      </c>
      <c r="P58" s="125">
        <f>Valores!$D$5</f>
        <v>12371.24</v>
      </c>
      <c r="Q58" s="125">
        <f>Valores!$C$22</f>
        <v>11037.15</v>
      </c>
      <c r="R58" s="125">
        <f>IF($F$4="NO",Valores!$C$44,Valores!$C$44/2)</f>
        <v>9674.9599999999991</v>
      </c>
      <c r="S58" s="125">
        <f>Valores!$C$19</f>
        <v>11511.67</v>
      </c>
      <c r="T58" s="125">
        <f t="shared" si="7"/>
        <v>11511.67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Valores!$C$94</f>
        <v>6546.24</v>
      </c>
      <c r="AA58" s="125">
        <f>Valores!$C$25</f>
        <v>505.99</v>
      </c>
      <c r="AB58" s="214">
        <v>0</v>
      </c>
      <c r="AC58" s="125">
        <f t="shared" si="2"/>
        <v>0</v>
      </c>
      <c r="AD58" s="125">
        <f>Valores!$C$26</f>
        <v>505.99</v>
      </c>
      <c r="AE58" s="192">
        <v>94</v>
      </c>
      <c r="AF58" s="125">
        <f>ROUND(AE58*Valores!$C$2,2)</f>
        <v>2274.84</v>
      </c>
      <c r="AG58" s="125">
        <f>ROUND(IF($F$4="NO",Valores!$C$62,Valores!$C$62/2),2)</f>
        <v>6323.27</v>
      </c>
      <c r="AH58" s="125">
        <f t="shared" si="5"/>
        <v>164278.17999999996</v>
      </c>
      <c r="AI58" s="125">
        <f>Valores!$C$31</f>
        <v>0</v>
      </c>
      <c r="AJ58" s="125">
        <f>Valores!$C$87</f>
        <v>0</v>
      </c>
      <c r="AK58" s="125">
        <f>Valores!C$38*B58</f>
        <v>0</v>
      </c>
      <c r="AL58" s="125">
        <f>IF($F$3="NO",0,Valores!$C$55)</f>
        <v>170.34</v>
      </c>
      <c r="AM58" s="125">
        <f t="shared" si="3"/>
        <v>170.34</v>
      </c>
      <c r="AN58" s="125">
        <f>AH58*Valores!$C$70</f>
        <v>-18070.599799999996</v>
      </c>
      <c r="AO58" s="125">
        <f>AH58*-Valores!$C$71</f>
        <v>0</v>
      </c>
      <c r="AP58" s="125">
        <f>AH58*Valores!$C$72</f>
        <v>-7392.5180999999984</v>
      </c>
      <c r="AQ58" s="125">
        <f>Valores!$C$99</f>
        <v>-280.91000000000003</v>
      </c>
      <c r="AR58" s="125">
        <f>IF($F$5=0,Valores!$C$100,(Valores!$C$100+$F$5*(Valores!$C$100)))</f>
        <v>-329</v>
      </c>
      <c r="AS58" s="125">
        <f t="shared" si="6"/>
        <v>138375.49209999997</v>
      </c>
      <c r="AT58" s="125">
        <f t="shared" si="0"/>
        <v>-18070.599799999996</v>
      </c>
      <c r="AU58" s="125">
        <f>AH58*Valores!$C$73</f>
        <v>-4435.5108599999994</v>
      </c>
      <c r="AV58" s="125">
        <f>AH58*Valores!$C$74</f>
        <v>-492.83453999999989</v>
      </c>
      <c r="AW58" s="125">
        <f t="shared" si="4"/>
        <v>141449.57479999997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2153.84</v>
      </c>
      <c r="G59" s="192">
        <v>2251</v>
      </c>
      <c r="H59" s="125">
        <f>ROUND(G59*Valores!$C$2,2)</f>
        <v>54475.1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11672.34</v>
      </c>
      <c r="N59" s="125">
        <f t="shared" si="1"/>
        <v>0</v>
      </c>
      <c r="O59" s="125">
        <f>Valores!$C$9</f>
        <v>26876.42</v>
      </c>
      <c r="P59" s="125">
        <f>Valores!$D$5</f>
        <v>12371.24</v>
      </c>
      <c r="Q59" s="125">
        <f>Valores!$C$22</f>
        <v>11037.15</v>
      </c>
      <c r="R59" s="125">
        <f>IF($F$4="NO",Valores!$C$44,Valores!$C$44/2)</f>
        <v>9674.9599999999991</v>
      </c>
      <c r="S59" s="125">
        <f>Valores!$C$19</f>
        <v>11511.67</v>
      </c>
      <c r="T59" s="125">
        <f t="shared" si="7"/>
        <v>11511.67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Valores!$C$94</f>
        <v>6546.24</v>
      </c>
      <c r="AA59" s="125">
        <f>Valores!$C$25</f>
        <v>505.99</v>
      </c>
      <c r="AB59" s="214">
        <v>0</v>
      </c>
      <c r="AC59" s="125">
        <f t="shared" si="2"/>
        <v>0</v>
      </c>
      <c r="AD59" s="125">
        <f>Valores!$C$26</f>
        <v>505.99</v>
      </c>
      <c r="AE59" s="192">
        <v>0</v>
      </c>
      <c r="AF59" s="125">
        <f>ROUND(AE59*Valores!$C$2,2)</f>
        <v>0</v>
      </c>
      <c r="AG59" s="125">
        <f>ROUND(IF($F$4="NO",Valores!$C$62,Valores!$C$62/2),2)</f>
        <v>6323.27</v>
      </c>
      <c r="AH59" s="125">
        <f t="shared" si="5"/>
        <v>153654.20999999996</v>
      </c>
      <c r="AI59" s="125">
        <f>Valores!$C$31</f>
        <v>0</v>
      </c>
      <c r="AJ59" s="125">
        <f>Valores!$C$87</f>
        <v>0</v>
      </c>
      <c r="AK59" s="125">
        <f>Valores!C$38*B59</f>
        <v>0</v>
      </c>
      <c r="AL59" s="125">
        <f>IF($F$3="NO",0,Valores!$C$55)</f>
        <v>170.34</v>
      </c>
      <c r="AM59" s="125">
        <f t="shared" si="3"/>
        <v>170.34</v>
      </c>
      <c r="AN59" s="125">
        <f>AH59*Valores!$C$70</f>
        <v>-16901.963099999997</v>
      </c>
      <c r="AO59" s="125">
        <f>AH59*-Valores!$C$71</f>
        <v>0</v>
      </c>
      <c r="AP59" s="125">
        <f>AH59*Valores!$C$72</f>
        <v>-6914.439449999998</v>
      </c>
      <c r="AQ59" s="125">
        <f>Valores!$C$99</f>
        <v>-280.91000000000003</v>
      </c>
      <c r="AR59" s="125">
        <f>IF($F$5=0,Valores!$C$100,(Valores!$C$100+$F$5*(Valores!$C$100)))</f>
        <v>-329</v>
      </c>
      <c r="AS59" s="125">
        <f t="shared" si="6"/>
        <v>129398.23744999997</v>
      </c>
      <c r="AT59" s="125">
        <f t="shared" si="0"/>
        <v>-16901.963099999997</v>
      </c>
      <c r="AU59" s="125">
        <f>AH59*Valores!$C$73</f>
        <v>-4148.663669999999</v>
      </c>
      <c r="AV59" s="125">
        <f>AH59*Valores!$C$74</f>
        <v>-460.96262999999988</v>
      </c>
      <c r="AW59" s="125">
        <f t="shared" si="4"/>
        <v>132312.96059999996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2057.0300000000002</v>
      </c>
      <c r="G60" s="192">
        <v>2255</v>
      </c>
      <c r="H60" s="125">
        <f>ROUND(G60*Valores!$C$2,2)</f>
        <v>54571.9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11672.33</v>
      </c>
      <c r="N60" s="125">
        <f t="shared" si="1"/>
        <v>0</v>
      </c>
      <c r="O60" s="125">
        <f>Valores!$C$9</f>
        <v>26876.42</v>
      </c>
      <c r="P60" s="125">
        <f>Valores!$D$5</f>
        <v>12371.24</v>
      </c>
      <c r="Q60" s="125">
        <f>Valores!$C$22</f>
        <v>11037.15</v>
      </c>
      <c r="R60" s="125">
        <f>IF($F$4="NO",Valores!$C$44,Valores!$C$44/2)</f>
        <v>9674.9599999999991</v>
      </c>
      <c r="S60" s="125">
        <f>Valores!$C$19</f>
        <v>11511.67</v>
      </c>
      <c r="T60" s="125">
        <f t="shared" si="7"/>
        <v>11511.67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Valores!$C$94</f>
        <v>6546.24</v>
      </c>
      <c r="AA60" s="125">
        <f>Valores!$C$25</f>
        <v>505.99</v>
      </c>
      <c r="AB60" s="214">
        <v>0</v>
      </c>
      <c r="AC60" s="125">
        <f t="shared" si="2"/>
        <v>0</v>
      </c>
      <c r="AD60" s="125">
        <f>Valores!$C$26</f>
        <v>505.99</v>
      </c>
      <c r="AE60" s="192">
        <v>94</v>
      </c>
      <c r="AF60" s="125">
        <f>ROUND(AE60*Valores!$C$2,2)</f>
        <v>2274.84</v>
      </c>
      <c r="AG60" s="125">
        <f>ROUND(IF($F$4="NO",Valores!$C$62,Valores!$C$62/2),2)</f>
        <v>6323.27</v>
      </c>
      <c r="AH60" s="125">
        <f t="shared" si="5"/>
        <v>155929.02999999997</v>
      </c>
      <c r="AI60" s="125">
        <f>Valores!$C$31</f>
        <v>0</v>
      </c>
      <c r="AJ60" s="125">
        <f>Valores!$C$87</f>
        <v>0</v>
      </c>
      <c r="AK60" s="125">
        <f>Valores!C$38*B60</f>
        <v>0</v>
      </c>
      <c r="AL60" s="125">
        <f>IF($F$3="NO",0,Valores!$C$55)</f>
        <v>170.34</v>
      </c>
      <c r="AM60" s="125">
        <f t="shared" si="3"/>
        <v>170.34</v>
      </c>
      <c r="AN60" s="125">
        <f>AH60*Valores!$C$70</f>
        <v>-17152.193299999995</v>
      </c>
      <c r="AO60" s="125">
        <f>AH60*-Valores!$C$71</f>
        <v>0</v>
      </c>
      <c r="AP60" s="125">
        <f>AH60*Valores!$C$72</f>
        <v>-7016.806349999998</v>
      </c>
      <c r="AQ60" s="125">
        <f>Valores!$C$99</f>
        <v>-280.91000000000003</v>
      </c>
      <c r="AR60" s="125">
        <f>IF($F$5=0,Valores!$C$100,(Valores!$C$100+$F$5*(Valores!$C$100)))</f>
        <v>-329</v>
      </c>
      <c r="AS60" s="125">
        <f t="shared" si="6"/>
        <v>131320.46034999998</v>
      </c>
      <c r="AT60" s="125">
        <f t="shared" si="0"/>
        <v>-17152.193299999995</v>
      </c>
      <c r="AU60" s="125">
        <f>AH60*Valores!$C$73</f>
        <v>-4210.0838099999992</v>
      </c>
      <c r="AV60" s="125">
        <f>AH60*Valores!$C$74</f>
        <v>-467.78708999999992</v>
      </c>
      <c r="AW60" s="125">
        <f t="shared" si="4"/>
        <v>134269.30579999997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2420.04</v>
      </c>
      <c r="G61" s="192">
        <v>3180</v>
      </c>
      <c r="H61" s="125">
        <f>ROUND(G61*Valores!$C$2,2)</f>
        <v>76957.27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15375.05</v>
      </c>
      <c r="N61" s="125">
        <f t="shared" si="1"/>
        <v>0</v>
      </c>
      <c r="O61" s="125">
        <f>Valores!$C$9</f>
        <v>26876.42</v>
      </c>
      <c r="P61" s="125">
        <f>Valores!$D$5</f>
        <v>12371.24</v>
      </c>
      <c r="Q61" s="125">
        <f>Valores!$C$22</f>
        <v>11037.15</v>
      </c>
      <c r="R61" s="125">
        <f>IF($F$4="NO",Valores!$C$47,Valores!$C$47/2)</f>
        <v>11611.37</v>
      </c>
      <c r="S61" s="125">
        <f>Valores!$C$19</f>
        <v>11511.67</v>
      </c>
      <c r="T61" s="125">
        <f t="shared" si="7"/>
        <v>11511.67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Valores!$C$94</f>
        <v>6546.24</v>
      </c>
      <c r="AA61" s="125">
        <f>Valores!$C$25</f>
        <v>505.99</v>
      </c>
      <c r="AB61" s="214">
        <v>0</v>
      </c>
      <c r="AC61" s="125">
        <f t="shared" si="2"/>
        <v>0</v>
      </c>
      <c r="AD61" s="125">
        <f>Valores!$C$26</f>
        <v>505.99</v>
      </c>
      <c r="AE61" s="192">
        <v>0</v>
      </c>
      <c r="AF61" s="125">
        <f>ROUND(AE61*Valores!$C$2,2)</f>
        <v>0</v>
      </c>
      <c r="AG61" s="125">
        <f>ROUND(IF($F$4="NO",Valores!$C$62,Valores!$C$62/2),2)</f>
        <v>6323.27</v>
      </c>
      <c r="AH61" s="125">
        <f t="shared" si="5"/>
        <v>182041.69999999995</v>
      </c>
      <c r="AI61" s="125">
        <f>Valores!$C$31</f>
        <v>0</v>
      </c>
      <c r="AJ61" s="125">
        <f>Valores!$C$87</f>
        <v>0</v>
      </c>
      <c r="AK61" s="125">
        <f>Valores!C$38*B61</f>
        <v>0</v>
      </c>
      <c r="AL61" s="125">
        <f>IF($F$3="NO",0,Valores!$C$55)</f>
        <v>170.34</v>
      </c>
      <c r="AM61" s="125">
        <f t="shared" si="3"/>
        <v>170.34</v>
      </c>
      <c r="AN61" s="125">
        <f>AH61*Valores!$C$70</f>
        <v>-20024.586999999996</v>
      </c>
      <c r="AO61" s="125">
        <f>AH61*-Valores!$C$71</f>
        <v>0</v>
      </c>
      <c r="AP61" s="125">
        <f>AH61*Valores!$C$72</f>
        <v>-8191.8764999999976</v>
      </c>
      <c r="AQ61" s="125">
        <f>Valores!$C$99</f>
        <v>-280.91000000000003</v>
      </c>
      <c r="AR61" s="125">
        <f>IF($F$5=0,Valores!$C$100,(Valores!$C$100+$F$5*(Valores!$C$100)))</f>
        <v>-329</v>
      </c>
      <c r="AS61" s="125">
        <f t="shared" si="6"/>
        <v>153385.66649999996</v>
      </c>
      <c r="AT61" s="125">
        <f t="shared" si="0"/>
        <v>-20024.586999999996</v>
      </c>
      <c r="AU61" s="125">
        <f>AH61*Valores!$C$73</f>
        <v>-4915.1258999999991</v>
      </c>
      <c r="AV61" s="125">
        <f>AH61*Valores!$C$74</f>
        <v>-546.12509999999986</v>
      </c>
      <c r="AW61" s="125">
        <f t="shared" si="4"/>
        <v>156726.20199999996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2008.63</v>
      </c>
      <c r="G62" s="192">
        <v>2352</v>
      </c>
      <c r="H62" s="125">
        <f>ROUND(G62*Valores!$C$2,2)</f>
        <v>56919.34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12017.19</v>
      </c>
      <c r="N62" s="125">
        <f t="shared" si="1"/>
        <v>0</v>
      </c>
      <c r="O62" s="125">
        <f>Valores!$C$9</f>
        <v>26876.42</v>
      </c>
      <c r="P62" s="125">
        <f>Valores!$D$5</f>
        <v>12371.24</v>
      </c>
      <c r="Q62" s="125">
        <f>Valores!$C$22</f>
        <v>11037.15</v>
      </c>
      <c r="R62" s="125">
        <f>IF($F$4="NO",Valores!$C$44,Valores!$C$44/2)</f>
        <v>9674.9599999999991</v>
      </c>
      <c r="S62" s="125">
        <f>Valores!$C$19</f>
        <v>11511.67</v>
      </c>
      <c r="T62" s="125">
        <f t="shared" si="7"/>
        <v>11511.67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Valores!$C$94</f>
        <v>6546.24</v>
      </c>
      <c r="AA62" s="125">
        <f>Valores!$C$25</f>
        <v>505.99</v>
      </c>
      <c r="AB62" s="214">
        <v>0</v>
      </c>
      <c r="AC62" s="125">
        <f t="shared" si="2"/>
        <v>0</v>
      </c>
      <c r="AD62" s="125">
        <f>Valores!$C$26</f>
        <v>505.99</v>
      </c>
      <c r="AE62" s="192">
        <v>0</v>
      </c>
      <c r="AF62" s="125">
        <f>ROUND(AE62*Valores!$C$2,2)</f>
        <v>0</v>
      </c>
      <c r="AG62" s="125">
        <f>ROUND(IF($F$4="NO",Valores!$C$62,Valores!$C$62/2),2)</f>
        <v>6323.27</v>
      </c>
      <c r="AH62" s="125">
        <f t="shared" si="5"/>
        <v>156298.08999999997</v>
      </c>
      <c r="AI62" s="125">
        <f>Valores!$C$31</f>
        <v>0</v>
      </c>
      <c r="AJ62" s="125">
        <f>Valores!$C$87</f>
        <v>0</v>
      </c>
      <c r="AK62" s="125">
        <f>Valores!C$38*B62</f>
        <v>0</v>
      </c>
      <c r="AL62" s="125">
        <f>IF($F$3="NO",0,Valores!$C$55)</f>
        <v>170.34</v>
      </c>
      <c r="AM62" s="125">
        <f t="shared" si="3"/>
        <v>170.34</v>
      </c>
      <c r="AN62" s="125">
        <f>AH62*Valores!$C$70</f>
        <v>-17192.789899999996</v>
      </c>
      <c r="AO62" s="125">
        <f>AH62*-Valores!$C$71</f>
        <v>0</v>
      </c>
      <c r="AP62" s="125">
        <f>AH62*Valores!$C$72</f>
        <v>-7033.4140499999985</v>
      </c>
      <c r="AQ62" s="125">
        <f>Valores!$C$99</f>
        <v>-280.91000000000003</v>
      </c>
      <c r="AR62" s="125">
        <f>IF($F$5=0,Valores!$C$100,(Valores!$C$100+$F$5*(Valores!$C$100)))</f>
        <v>-329</v>
      </c>
      <c r="AS62" s="125">
        <f t="shared" si="6"/>
        <v>131632.31604999996</v>
      </c>
      <c r="AT62" s="125">
        <f t="shared" si="0"/>
        <v>-17192.789899999996</v>
      </c>
      <c r="AU62" s="125">
        <f>AH62*Valores!$C$73</f>
        <v>-4220.0484299999989</v>
      </c>
      <c r="AV62" s="125">
        <f>AH62*Valores!$C$74</f>
        <v>-468.89426999999989</v>
      </c>
      <c r="AW62" s="125">
        <f t="shared" si="4"/>
        <v>134586.69739999998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1960.23</v>
      </c>
      <c r="G63" s="192">
        <v>2354</v>
      </c>
      <c r="H63" s="125">
        <f>ROUND(G63*Valores!$C$2,2)</f>
        <v>56967.74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12017.19</v>
      </c>
      <c r="N63" s="125">
        <f t="shared" si="1"/>
        <v>0</v>
      </c>
      <c r="O63" s="125">
        <f>Valores!$C$9</f>
        <v>26876.42</v>
      </c>
      <c r="P63" s="125">
        <f>Valores!$D$5</f>
        <v>12371.24</v>
      </c>
      <c r="Q63" s="125">
        <f>Valores!$C$22</f>
        <v>11037.15</v>
      </c>
      <c r="R63" s="125">
        <f>IF($F$4="NO",Valores!$C$44,Valores!$C$44/2)</f>
        <v>9674.9599999999991</v>
      </c>
      <c r="S63" s="125">
        <f>Valores!$C$19</f>
        <v>11511.67</v>
      </c>
      <c r="T63" s="125">
        <f t="shared" si="7"/>
        <v>11511.67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Valores!$C$94</f>
        <v>6546.24</v>
      </c>
      <c r="AA63" s="125">
        <f>Valores!$C$25</f>
        <v>505.99</v>
      </c>
      <c r="AB63" s="214">
        <v>0</v>
      </c>
      <c r="AC63" s="125">
        <f t="shared" si="2"/>
        <v>0</v>
      </c>
      <c r="AD63" s="125">
        <f>Valores!$C$26</f>
        <v>505.99</v>
      </c>
      <c r="AE63" s="192">
        <v>94</v>
      </c>
      <c r="AF63" s="125">
        <f>ROUND(AE63*Valores!$C$2,2)</f>
        <v>2274.84</v>
      </c>
      <c r="AG63" s="125">
        <f>ROUND(IF($F$4="NO",Valores!$C$62,Valores!$C$62/2),2)</f>
        <v>6323.27</v>
      </c>
      <c r="AH63" s="125">
        <f t="shared" si="5"/>
        <v>158572.92999999996</v>
      </c>
      <c r="AI63" s="125">
        <f>Valores!$C$31</f>
        <v>0</v>
      </c>
      <c r="AJ63" s="125">
        <f>Valores!$C$87</f>
        <v>0</v>
      </c>
      <c r="AK63" s="125">
        <f>Valores!C$38*B63</f>
        <v>0</v>
      </c>
      <c r="AL63" s="125">
        <f>IF($F$3="NO",0,Valores!$C$55)</f>
        <v>170.34</v>
      </c>
      <c r="AM63" s="125">
        <f t="shared" si="3"/>
        <v>170.34</v>
      </c>
      <c r="AN63" s="125">
        <f>AH63*Valores!$C$70</f>
        <v>-17443.022299999997</v>
      </c>
      <c r="AO63" s="125">
        <f>AH63*-Valores!$C$71</f>
        <v>0</v>
      </c>
      <c r="AP63" s="125">
        <f>AH63*Valores!$C$72</f>
        <v>-7135.7818499999985</v>
      </c>
      <c r="AQ63" s="125">
        <f>Valores!$C$99</f>
        <v>-280.91000000000003</v>
      </c>
      <c r="AR63" s="125">
        <f>IF($F$5=0,Valores!$C$100,(Valores!$C$100+$F$5*(Valores!$C$100)))</f>
        <v>-329</v>
      </c>
      <c r="AS63" s="125">
        <f t="shared" si="6"/>
        <v>133554.55584999998</v>
      </c>
      <c r="AT63" s="125">
        <f t="shared" si="0"/>
        <v>-17443.022299999997</v>
      </c>
      <c r="AU63" s="125">
        <f>AH63*Valores!$C$73</f>
        <v>-4281.4691099999991</v>
      </c>
      <c r="AV63" s="125">
        <f>AH63*Valores!$C$74</f>
        <v>-475.7187899999999</v>
      </c>
      <c r="AW63" s="125">
        <f t="shared" si="4"/>
        <v>136543.05979999996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1960.23</v>
      </c>
      <c r="G64" s="192">
        <v>2094</v>
      </c>
      <c r="H64" s="125">
        <f>ROUND(G64*Valores!$C$2,2)</f>
        <v>50675.64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11073.38</v>
      </c>
      <c r="N64" s="125">
        <f t="shared" si="1"/>
        <v>0</v>
      </c>
      <c r="O64" s="125">
        <f>Valores!$C$9</f>
        <v>26876.42</v>
      </c>
      <c r="P64" s="125">
        <f>Valores!$D$5</f>
        <v>12371.24</v>
      </c>
      <c r="Q64" s="125">
        <f>Valores!$C$22</f>
        <v>11037.15</v>
      </c>
      <c r="R64" s="125">
        <f>IF($F$4="NO",Valores!$C$44,Valores!$C$44/2)</f>
        <v>9674.9599999999991</v>
      </c>
      <c r="S64" s="125">
        <f>Valores!$C$19</f>
        <v>11511.67</v>
      </c>
      <c r="T64" s="125">
        <f t="shared" si="7"/>
        <v>11511.67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Valores!$C$94</f>
        <v>6546.24</v>
      </c>
      <c r="AA64" s="125">
        <f>Valores!$C$25</f>
        <v>505.99</v>
      </c>
      <c r="AB64" s="214">
        <v>0</v>
      </c>
      <c r="AC64" s="125">
        <f t="shared" si="2"/>
        <v>0</v>
      </c>
      <c r="AD64" s="125">
        <f>Valores!$C$26</f>
        <v>505.99</v>
      </c>
      <c r="AE64" s="192">
        <v>0</v>
      </c>
      <c r="AF64" s="125">
        <f>ROUND(AE64*Valores!$C$2,2)</f>
        <v>0</v>
      </c>
      <c r="AG64" s="125">
        <f>ROUND(IF($F$4="NO",Valores!$C$62,Valores!$C$62/2),2)</f>
        <v>6323.27</v>
      </c>
      <c r="AH64" s="125">
        <f t="shared" si="5"/>
        <v>149062.17999999996</v>
      </c>
      <c r="AI64" s="125">
        <f>Valores!$C$31</f>
        <v>0</v>
      </c>
      <c r="AJ64" s="125">
        <f>Valores!$C$87</f>
        <v>0</v>
      </c>
      <c r="AK64" s="125">
        <f>Valores!C$38*B64</f>
        <v>0</v>
      </c>
      <c r="AL64" s="125">
        <f>IF($F$3="NO",0,Valores!$C$55)</f>
        <v>170.34</v>
      </c>
      <c r="AM64" s="125">
        <f t="shared" si="3"/>
        <v>170.34</v>
      </c>
      <c r="AN64" s="125">
        <f>AH64*Valores!$C$70</f>
        <v>-16396.839799999998</v>
      </c>
      <c r="AO64" s="125">
        <f>AH64*-Valores!$C$71</f>
        <v>0</v>
      </c>
      <c r="AP64" s="125">
        <f>AH64*Valores!$C$72</f>
        <v>-6707.7980999999982</v>
      </c>
      <c r="AQ64" s="125">
        <f>Valores!$C$99</f>
        <v>-280.91000000000003</v>
      </c>
      <c r="AR64" s="125">
        <f>IF($F$5=0,Valores!$C$100,(Valores!$C$100+$F$5*(Valores!$C$100)))</f>
        <v>-329</v>
      </c>
      <c r="AS64" s="125">
        <f t="shared" si="6"/>
        <v>125517.97209999997</v>
      </c>
      <c r="AT64" s="125">
        <f t="shared" si="0"/>
        <v>-16396.839799999998</v>
      </c>
      <c r="AU64" s="125">
        <f>AH64*Valores!$C$73</f>
        <v>-4024.6788599999991</v>
      </c>
      <c r="AV64" s="125">
        <f>AH64*Valores!$C$74</f>
        <v>-447.18653999999992</v>
      </c>
      <c r="AW64" s="125">
        <f t="shared" si="4"/>
        <v>128363.81479999996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1936.03</v>
      </c>
      <c r="G65" s="192">
        <v>2095</v>
      </c>
      <c r="H65" s="125">
        <f>ROUND(G65*Valores!$C$2,2)</f>
        <v>50699.839999999997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11073.38</v>
      </c>
      <c r="N65" s="125">
        <f t="shared" si="1"/>
        <v>0</v>
      </c>
      <c r="O65" s="125">
        <f>Valores!$C$9</f>
        <v>26876.42</v>
      </c>
      <c r="P65" s="125">
        <f>Valores!$D$5</f>
        <v>12371.24</v>
      </c>
      <c r="Q65" s="125">
        <f>Valores!$C$22</f>
        <v>11037.15</v>
      </c>
      <c r="R65" s="125">
        <f>IF($F$4="NO",Valores!$C$44,Valores!$C$44/2)</f>
        <v>9674.9599999999991</v>
      </c>
      <c r="S65" s="125">
        <f>Valores!$C$19</f>
        <v>11511.67</v>
      </c>
      <c r="T65" s="125">
        <f t="shared" si="7"/>
        <v>11511.67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Valores!$C$94</f>
        <v>6546.24</v>
      </c>
      <c r="AA65" s="125">
        <f>Valores!$C$25</f>
        <v>505.99</v>
      </c>
      <c r="AB65" s="214">
        <v>0</v>
      </c>
      <c r="AC65" s="125">
        <f t="shared" si="2"/>
        <v>0</v>
      </c>
      <c r="AD65" s="125">
        <f>Valores!$C$26</f>
        <v>505.99</v>
      </c>
      <c r="AE65" s="192">
        <v>94</v>
      </c>
      <c r="AF65" s="125">
        <f>ROUND(AE65*Valores!$C$2,2)</f>
        <v>2274.84</v>
      </c>
      <c r="AG65" s="125">
        <f>ROUND(IF($F$4="NO",Valores!$C$62,Valores!$C$62/2),2)</f>
        <v>6323.27</v>
      </c>
      <c r="AH65" s="125">
        <f t="shared" si="5"/>
        <v>151337.01999999996</v>
      </c>
      <c r="AI65" s="125">
        <f>Valores!$C$31</f>
        <v>0</v>
      </c>
      <c r="AJ65" s="125">
        <f>Valores!$C$87</f>
        <v>0</v>
      </c>
      <c r="AK65" s="125">
        <f>Valores!C$38*B65</f>
        <v>0</v>
      </c>
      <c r="AL65" s="125">
        <f>IF($F$3="NO",0,Valores!$C$55)</f>
        <v>170.34</v>
      </c>
      <c r="AM65" s="125">
        <f t="shared" si="3"/>
        <v>170.34</v>
      </c>
      <c r="AN65" s="125">
        <f>AH65*Valores!$C$70</f>
        <v>-16647.072199999995</v>
      </c>
      <c r="AO65" s="125">
        <f>AH65*-Valores!$C$71</f>
        <v>0</v>
      </c>
      <c r="AP65" s="125">
        <f>AH65*Valores!$C$72</f>
        <v>-6810.1658999999981</v>
      </c>
      <c r="AQ65" s="125">
        <f>Valores!$C$99</f>
        <v>-280.91000000000003</v>
      </c>
      <c r="AR65" s="125">
        <f>IF($F$5=0,Valores!$C$100,(Valores!$C$100+$F$5*(Valores!$C$100)))</f>
        <v>-329</v>
      </c>
      <c r="AS65" s="125">
        <f t="shared" si="6"/>
        <v>127440.21189999997</v>
      </c>
      <c r="AT65" s="125">
        <f t="shared" si="0"/>
        <v>-16647.072199999995</v>
      </c>
      <c r="AU65" s="125">
        <f>AH65*Valores!$C$73</f>
        <v>-4086.0995399999988</v>
      </c>
      <c r="AV65" s="125">
        <f>AH65*Valores!$C$74</f>
        <v>-454.01105999999987</v>
      </c>
      <c r="AW65" s="125">
        <f t="shared" si="4"/>
        <v>130320.17719999996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1911.83</v>
      </c>
      <c r="G66" s="192">
        <v>1944</v>
      </c>
      <c r="H66" s="125">
        <f>ROUND(G66*Valores!$C$2,2)</f>
        <v>47045.58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10521.61</v>
      </c>
      <c r="N66" s="125">
        <f t="shared" si="1"/>
        <v>0</v>
      </c>
      <c r="O66" s="125">
        <f>Valores!$C$9</f>
        <v>26876.42</v>
      </c>
      <c r="P66" s="125">
        <f>Valores!$D$5</f>
        <v>12371.24</v>
      </c>
      <c r="Q66" s="125">
        <f>Valores!$C$22</f>
        <v>11037.15</v>
      </c>
      <c r="R66" s="125">
        <f>IF($F$4="NO",Valores!$C$44,Valores!$C$44/2)</f>
        <v>9674.9599999999991</v>
      </c>
      <c r="S66" s="125">
        <f>Valores!$C$19</f>
        <v>11511.67</v>
      </c>
      <c r="T66" s="125">
        <f t="shared" si="7"/>
        <v>11511.67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Valores!$C$94</f>
        <v>6546.24</v>
      </c>
      <c r="AA66" s="125">
        <f>Valores!$C$25</f>
        <v>505.99</v>
      </c>
      <c r="AB66" s="214">
        <v>0</v>
      </c>
      <c r="AC66" s="125">
        <f t="shared" si="2"/>
        <v>0</v>
      </c>
      <c r="AD66" s="125">
        <f>Valores!$C$26</f>
        <v>505.99</v>
      </c>
      <c r="AE66" s="192">
        <v>0</v>
      </c>
      <c r="AF66" s="125">
        <f>ROUND(AE66*Valores!$C$2,2)</f>
        <v>0</v>
      </c>
      <c r="AG66" s="125">
        <f>ROUND(IF($F$4="NO",Valores!$C$62,Valores!$C$62/2),2)</f>
        <v>6323.27</v>
      </c>
      <c r="AH66" s="125">
        <f t="shared" si="5"/>
        <v>144831.94999999998</v>
      </c>
      <c r="AI66" s="125">
        <f>Valores!$C$31</f>
        <v>0</v>
      </c>
      <c r="AJ66" s="125">
        <f>Valores!$C$87</f>
        <v>0</v>
      </c>
      <c r="AK66" s="125">
        <f>Valores!C$38*B66</f>
        <v>0</v>
      </c>
      <c r="AL66" s="125">
        <f>IF($F$3="NO",0,Valores!$C$55)</f>
        <v>170.34</v>
      </c>
      <c r="AM66" s="125">
        <f t="shared" si="3"/>
        <v>170.34</v>
      </c>
      <c r="AN66" s="125">
        <f>AH66*Valores!$C$70</f>
        <v>-15931.514499999997</v>
      </c>
      <c r="AO66" s="125">
        <f>AH66*-Valores!$C$71</f>
        <v>0</v>
      </c>
      <c r="AP66" s="125">
        <f>AH66*Valores!$C$72</f>
        <v>-6517.4377499999991</v>
      </c>
      <c r="AQ66" s="125">
        <f>Valores!$C$99</f>
        <v>-280.91000000000003</v>
      </c>
      <c r="AR66" s="125">
        <f>IF($F$5=0,Valores!$C$100,(Valores!$C$100+$F$5*(Valores!$C$100)))</f>
        <v>-329</v>
      </c>
      <c r="AS66" s="125">
        <f t="shared" si="6"/>
        <v>121943.42774999999</v>
      </c>
      <c r="AT66" s="125">
        <f t="shared" si="0"/>
        <v>-15931.514499999997</v>
      </c>
      <c r="AU66" s="125">
        <f>AH66*Valores!$C$73</f>
        <v>-3910.4626499999995</v>
      </c>
      <c r="AV66" s="125">
        <f>AH66*Valores!$C$74</f>
        <v>-434.49584999999996</v>
      </c>
      <c r="AW66" s="125">
        <f t="shared" si="4"/>
        <v>124725.81699999998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1911.83</v>
      </c>
      <c r="G67" s="192">
        <v>1944</v>
      </c>
      <c r="H67" s="125">
        <f>ROUND(G67*Valores!$C$2,2)</f>
        <v>47045.58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10521.61</v>
      </c>
      <c r="N67" s="125">
        <f t="shared" si="1"/>
        <v>0</v>
      </c>
      <c r="O67" s="125">
        <f>Valores!$C$9</f>
        <v>26876.42</v>
      </c>
      <c r="P67" s="125">
        <f>Valores!$D$5</f>
        <v>12371.24</v>
      </c>
      <c r="Q67" s="125">
        <f>Valores!$C$22</f>
        <v>11037.15</v>
      </c>
      <c r="R67" s="125">
        <f>IF($F$4="NO",Valores!$C$44,Valores!$C$44/2)</f>
        <v>9674.9599999999991</v>
      </c>
      <c r="S67" s="125">
        <f>Valores!$C$19</f>
        <v>11511.67</v>
      </c>
      <c r="T67" s="125">
        <f t="shared" si="7"/>
        <v>11511.67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Valores!$C$94</f>
        <v>6546.24</v>
      </c>
      <c r="AA67" s="125">
        <f>Valores!$C$25</f>
        <v>505.99</v>
      </c>
      <c r="AB67" s="214">
        <v>0</v>
      </c>
      <c r="AC67" s="125">
        <f t="shared" si="2"/>
        <v>0</v>
      </c>
      <c r="AD67" s="125">
        <f>Valores!$C$26</f>
        <v>505.99</v>
      </c>
      <c r="AE67" s="192">
        <v>94</v>
      </c>
      <c r="AF67" s="125">
        <f>ROUND(AE67*Valores!$C$2,2)</f>
        <v>2274.84</v>
      </c>
      <c r="AG67" s="125">
        <f>ROUND(IF($F$4="NO",Valores!$C$62,Valores!$C$62/2),2)</f>
        <v>6323.27</v>
      </c>
      <c r="AH67" s="125">
        <f t="shared" si="5"/>
        <v>147106.78999999998</v>
      </c>
      <c r="AI67" s="125">
        <f>Valores!$C$31</f>
        <v>0</v>
      </c>
      <c r="AJ67" s="125">
        <f>Valores!$C$87</f>
        <v>0</v>
      </c>
      <c r="AK67" s="125">
        <f>Valores!C$38*B67</f>
        <v>0</v>
      </c>
      <c r="AL67" s="125">
        <f>IF($F$3="NO",0,Valores!$C$55)</f>
        <v>170.34</v>
      </c>
      <c r="AM67" s="125">
        <f t="shared" si="3"/>
        <v>170.34</v>
      </c>
      <c r="AN67" s="125">
        <f>AH67*Valores!$C$70</f>
        <v>-16181.746899999998</v>
      </c>
      <c r="AO67" s="125">
        <f>AH67*-Valores!$C$71</f>
        <v>0</v>
      </c>
      <c r="AP67" s="125">
        <f>AH67*Valores!$C$72</f>
        <v>-6619.8055499999991</v>
      </c>
      <c r="AQ67" s="125">
        <f>Valores!$C$99</f>
        <v>-280.91000000000003</v>
      </c>
      <c r="AR67" s="125">
        <f>IF($F$5=0,Valores!$C$100,(Valores!$C$100+$F$5*(Valores!$C$100)))</f>
        <v>-329</v>
      </c>
      <c r="AS67" s="125">
        <f t="shared" si="6"/>
        <v>123865.66754999998</v>
      </c>
      <c r="AT67" s="125">
        <f t="shared" si="0"/>
        <v>-16181.746899999998</v>
      </c>
      <c r="AU67" s="125">
        <f>AH67*Valores!$C$73</f>
        <v>-3971.8833299999992</v>
      </c>
      <c r="AV67" s="125">
        <f>AH67*Valores!$C$74</f>
        <v>-441.32036999999997</v>
      </c>
      <c r="AW67" s="125">
        <f t="shared" si="4"/>
        <v>126682.17939999998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2420.04</v>
      </c>
      <c r="G68" s="192">
        <v>2864</v>
      </c>
      <c r="H68" s="125">
        <f>ROUND(G68*Valores!$C$2,2)</f>
        <v>69309.95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13856.72</v>
      </c>
      <c r="N68" s="125">
        <f t="shared" si="1"/>
        <v>0</v>
      </c>
      <c r="O68" s="125">
        <f>Valores!$C$9</f>
        <v>26876.42</v>
      </c>
      <c r="P68" s="125">
        <f>Valores!$D$5</f>
        <v>12371.24</v>
      </c>
      <c r="Q68" s="125">
        <v>0</v>
      </c>
      <c r="R68" s="125">
        <f>IF($F$4="NO",Valores!$C$43,Valores!$C$43/2)</f>
        <v>9136.5</v>
      </c>
      <c r="S68" s="125">
        <f>Valores!$C$19</f>
        <v>11511.67</v>
      </c>
      <c r="T68" s="125">
        <f t="shared" si="7"/>
        <v>11511.67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Valores!$C$93</f>
        <v>5455.2</v>
      </c>
      <c r="AA68" s="125">
        <f>Valores!$C$25</f>
        <v>505.99</v>
      </c>
      <c r="AB68" s="214">
        <v>0</v>
      </c>
      <c r="AC68" s="125">
        <f t="shared" si="2"/>
        <v>0</v>
      </c>
      <c r="AD68" s="125">
        <f>Valores!$C$26</f>
        <v>505.99</v>
      </c>
      <c r="AE68" s="192">
        <v>0</v>
      </c>
      <c r="AF68" s="125">
        <f>ROUND(AE68*Valores!$C$2,2)</f>
        <v>0</v>
      </c>
      <c r="AG68" s="125">
        <f>ROUND(IF($F$4="NO",Valores!$C$62,Valores!$C$62/2),2)</f>
        <v>6323.27</v>
      </c>
      <c r="AH68" s="125">
        <f t="shared" si="5"/>
        <v>158272.99</v>
      </c>
      <c r="AI68" s="125">
        <f>Valores!$C$31</f>
        <v>0</v>
      </c>
      <c r="AJ68" s="125">
        <f>Valores!$C$86</f>
        <v>0</v>
      </c>
      <c r="AK68" s="125">
        <f>Valores!C$38*B68</f>
        <v>0</v>
      </c>
      <c r="AL68" s="125">
        <f>IF($F$3="NO",0,Valores!$C$54)</f>
        <v>327.60000000000002</v>
      </c>
      <c r="AM68" s="125">
        <f t="shared" si="3"/>
        <v>327.60000000000002</v>
      </c>
      <c r="AN68" s="125">
        <f>AH68*Valores!$C$70</f>
        <v>-17410.028899999998</v>
      </c>
      <c r="AO68" s="125">
        <f>AH68*-Valores!$C$71</f>
        <v>0</v>
      </c>
      <c r="AP68" s="125">
        <f>AH68*Valores!$C$72</f>
        <v>-7122.2845499999994</v>
      </c>
      <c r="AQ68" s="125">
        <f>Valores!$C$99</f>
        <v>-280.91000000000003</v>
      </c>
      <c r="AR68" s="125">
        <f>IF($F$5=0,Valores!$C$100,(Valores!$C$100+$F$5*(Valores!$C$100)))</f>
        <v>-329</v>
      </c>
      <c r="AS68" s="125">
        <f t="shared" si="6"/>
        <v>133458.36654999998</v>
      </c>
      <c r="AT68" s="125">
        <f t="shared" si="0"/>
        <v>-17410.028899999998</v>
      </c>
      <c r="AU68" s="125">
        <f>AH68*Valores!$C$73</f>
        <v>-4273.3707299999996</v>
      </c>
      <c r="AV68" s="125">
        <f>AH68*Valores!$C$74</f>
        <v>-474.81896999999998</v>
      </c>
      <c r="AW68" s="125">
        <f t="shared" si="4"/>
        <v>136442.3714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1911.83</v>
      </c>
      <c r="G69" s="192">
        <v>2161</v>
      </c>
      <c r="H69" s="125">
        <f>ROUND(G69*Valores!$C$2,2)</f>
        <v>52297.06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11309.33</v>
      </c>
      <c r="N69" s="125">
        <f t="shared" si="1"/>
        <v>0</v>
      </c>
      <c r="O69" s="125">
        <f>Valores!$C$9</f>
        <v>26876.42</v>
      </c>
      <c r="P69" s="125">
        <f>Valores!$D$5</f>
        <v>12371.24</v>
      </c>
      <c r="Q69" s="125">
        <f>Valores!$C$22</f>
        <v>11037.15</v>
      </c>
      <c r="R69" s="125">
        <f>IF($F$4="NO",Valores!$C$44,Valores!$C$44/2)</f>
        <v>9674.9599999999991</v>
      </c>
      <c r="S69" s="125">
        <f>Valores!$C$19</f>
        <v>11511.67</v>
      </c>
      <c r="T69" s="125">
        <f t="shared" si="7"/>
        <v>11511.67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Valores!$C$94</f>
        <v>6546.24</v>
      </c>
      <c r="AA69" s="125">
        <f>Valores!$C$25</f>
        <v>505.99</v>
      </c>
      <c r="AB69" s="214">
        <v>0</v>
      </c>
      <c r="AC69" s="125">
        <f t="shared" si="2"/>
        <v>0</v>
      </c>
      <c r="AD69" s="125">
        <f>Valores!$C$26</f>
        <v>505.99</v>
      </c>
      <c r="AE69" s="192">
        <v>0</v>
      </c>
      <c r="AF69" s="125">
        <f>ROUND(AE69*Valores!$C$2,2)</f>
        <v>0</v>
      </c>
      <c r="AG69" s="125">
        <f>ROUND(IF($F$4="NO",Valores!$C$62,Valores!$C$62/2),2)</f>
        <v>6323.27</v>
      </c>
      <c r="AH69" s="125">
        <f t="shared" si="5"/>
        <v>150871.14999999997</v>
      </c>
      <c r="AI69" s="125">
        <f>Valores!$C$31</f>
        <v>0</v>
      </c>
      <c r="AJ69" s="125">
        <f>Valores!$C$87</f>
        <v>0</v>
      </c>
      <c r="AK69" s="125">
        <f>Valores!C$38*B69</f>
        <v>0</v>
      </c>
      <c r="AL69" s="125">
        <f>IF($F$3="NO",0,Valores!$C$55)</f>
        <v>170.34</v>
      </c>
      <c r="AM69" s="125">
        <f t="shared" si="3"/>
        <v>170.34</v>
      </c>
      <c r="AN69" s="125">
        <f>AH69*Valores!$C$70</f>
        <v>-16595.826499999996</v>
      </c>
      <c r="AO69" s="125">
        <f>AH69*-Valores!$C$71</f>
        <v>0</v>
      </c>
      <c r="AP69" s="125">
        <f>AH69*Valores!$C$72</f>
        <v>-6789.2017499999984</v>
      </c>
      <c r="AQ69" s="125">
        <f>Valores!$C$99</f>
        <v>-280.91000000000003</v>
      </c>
      <c r="AR69" s="125">
        <f>IF($F$5=0,Valores!$C$100,(Valores!$C$100+$F$5*(Valores!$C$100)))</f>
        <v>-329</v>
      </c>
      <c r="AS69" s="125">
        <f t="shared" si="6"/>
        <v>127046.55174999997</v>
      </c>
      <c r="AT69" s="125">
        <f t="shared" si="0"/>
        <v>-16595.826499999996</v>
      </c>
      <c r="AU69" s="125">
        <f>AH69*Valores!$C$73</f>
        <v>-4073.5210499999989</v>
      </c>
      <c r="AV69" s="125">
        <f>AH69*Valores!$C$74</f>
        <v>-452.61344999999989</v>
      </c>
      <c r="AW69" s="125">
        <f t="shared" si="4"/>
        <v>129919.52899999997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2178.04</v>
      </c>
      <c r="G70" s="192">
        <v>3010</v>
      </c>
      <c r="H70" s="125">
        <f>ROUND(G70*Valores!$C$2,2)</f>
        <v>72843.199999999997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14640.87</v>
      </c>
      <c r="N70" s="125">
        <f t="shared" si="1"/>
        <v>0</v>
      </c>
      <c r="O70" s="125">
        <f>Valores!$C$9</f>
        <v>26876.42</v>
      </c>
      <c r="P70" s="125">
        <f>Valores!$D$5</f>
        <v>12371.24</v>
      </c>
      <c r="Q70" s="125">
        <f>Valores!$C$22</f>
        <v>11037.15</v>
      </c>
      <c r="R70" s="125">
        <f>IF($F$4="NO",Valores!$C$45,Valores!$C$45/2)</f>
        <v>11072.91</v>
      </c>
      <c r="S70" s="125">
        <f>Valores!$C$19</f>
        <v>11511.67</v>
      </c>
      <c r="T70" s="125">
        <f t="shared" si="7"/>
        <v>11511.67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Valores!$C$94</f>
        <v>6546.24</v>
      </c>
      <c r="AA70" s="125">
        <f>Valores!$C$25</f>
        <v>505.99</v>
      </c>
      <c r="AB70" s="214">
        <v>0</v>
      </c>
      <c r="AC70" s="125">
        <f t="shared" si="2"/>
        <v>0</v>
      </c>
      <c r="AD70" s="125">
        <f>Valores!$C$26</f>
        <v>505.99</v>
      </c>
      <c r="AE70" s="192">
        <v>0</v>
      </c>
      <c r="AF70" s="125">
        <f>ROUND(AE70*Valores!$C$2,2)</f>
        <v>0</v>
      </c>
      <c r="AG70" s="125">
        <f>ROUND(IF($F$4="NO",Valores!$C$62,Valores!$C$62/2),2)</f>
        <v>6323.27</v>
      </c>
      <c r="AH70" s="125">
        <f t="shared" si="5"/>
        <v>176412.98999999996</v>
      </c>
      <c r="AI70" s="125">
        <f>Valores!$C$31</f>
        <v>0</v>
      </c>
      <c r="AJ70" s="125">
        <f>Valores!$C$87</f>
        <v>0</v>
      </c>
      <c r="AK70" s="125">
        <f>Valores!C$38*B70</f>
        <v>0</v>
      </c>
      <c r="AL70" s="125">
        <f>IF($F$3="NO",0,Valores!$C$55)</f>
        <v>170.34</v>
      </c>
      <c r="AM70" s="125">
        <f t="shared" si="3"/>
        <v>170.34</v>
      </c>
      <c r="AN70" s="125">
        <f>AH70*Valores!$C$70</f>
        <v>-19405.428899999995</v>
      </c>
      <c r="AO70" s="125">
        <f>AH70*-Valores!$C$71</f>
        <v>0</v>
      </c>
      <c r="AP70" s="125">
        <f>AH70*Valores!$C$72</f>
        <v>-7938.5845499999978</v>
      </c>
      <c r="AQ70" s="125">
        <f>Valores!$C$99</f>
        <v>-280.91000000000003</v>
      </c>
      <c r="AR70" s="125">
        <f>IF($F$5=0,Valores!$C$100,(Valores!$C$100+$F$5*(Valores!$C$100)))</f>
        <v>-329</v>
      </c>
      <c r="AS70" s="125">
        <f t="shared" si="6"/>
        <v>148629.40654999996</v>
      </c>
      <c r="AT70" s="125">
        <f t="shared" si="0"/>
        <v>-19405.428899999995</v>
      </c>
      <c r="AU70" s="125">
        <f>AH70*Valores!$C$73</f>
        <v>-4763.1507299999985</v>
      </c>
      <c r="AV70" s="125">
        <f>AH70*Valores!$C$74</f>
        <v>-529.23896999999988</v>
      </c>
      <c r="AW70" s="125">
        <f t="shared" si="4"/>
        <v>151885.51139999996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1887.63</v>
      </c>
      <c r="G71" s="192">
        <v>2162</v>
      </c>
      <c r="H71" s="125">
        <f>ROUND(G71*Valores!$C$2,2)</f>
        <v>52321.26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11309.33</v>
      </c>
      <c r="N71" s="125">
        <f t="shared" si="1"/>
        <v>0</v>
      </c>
      <c r="O71" s="125">
        <f>Valores!$C$9</f>
        <v>26876.42</v>
      </c>
      <c r="P71" s="125">
        <f>Valores!$D$5</f>
        <v>12371.24</v>
      </c>
      <c r="Q71" s="125">
        <f>Valores!$C$22</f>
        <v>11037.15</v>
      </c>
      <c r="R71" s="125">
        <f>IF($F$4="NO",Valores!$C$44,Valores!$C$44/2)</f>
        <v>9674.9599999999991</v>
      </c>
      <c r="S71" s="125">
        <f>Valores!$C$19</f>
        <v>11511.67</v>
      </c>
      <c r="T71" s="125">
        <f t="shared" si="7"/>
        <v>11511.67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Valores!$C$94</f>
        <v>6546.24</v>
      </c>
      <c r="AA71" s="125">
        <f>Valores!$C$25</f>
        <v>505.99</v>
      </c>
      <c r="AB71" s="214">
        <v>0</v>
      </c>
      <c r="AC71" s="125">
        <f t="shared" si="2"/>
        <v>0</v>
      </c>
      <c r="AD71" s="125">
        <f>Valores!$C$26</f>
        <v>505.99</v>
      </c>
      <c r="AE71" s="192">
        <v>0</v>
      </c>
      <c r="AF71" s="125">
        <f>ROUND(AE71*Valores!$C$2,2)</f>
        <v>0</v>
      </c>
      <c r="AG71" s="125">
        <f>ROUND(IF($F$4="NO",Valores!$C$62,Valores!$C$62/2),2)</f>
        <v>6323.27</v>
      </c>
      <c r="AH71" s="125">
        <f t="shared" si="5"/>
        <v>150871.14999999997</v>
      </c>
      <c r="AI71" s="125">
        <f>Valores!$C$31</f>
        <v>0</v>
      </c>
      <c r="AJ71" s="125">
        <f>Valores!$C$87</f>
        <v>0</v>
      </c>
      <c r="AK71" s="125">
        <f>Valores!C$38*B71</f>
        <v>0</v>
      </c>
      <c r="AL71" s="125">
        <f>IF($F$3="NO",0,Valores!$C$55)</f>
        <v>170.34</v>
      </c>
      <c r="AM71" s="125">
        <f t="shared" si="3"/>
        <v>170.34</v>
      </c>
      <c r="AN71" s="125">
        <f>AH71*Valores!$C$70</f>
        <v>-16595.826499999996</v>
      </c>
      <c r="AO71" s="125">
        <f>AH71*-Valores!$C$71</f>
        <v>0</v>
      </c>
      <c r="AP71" s="125">
        <f>AH71*Valores!$C$72</f>
        <v>-6789.2017499999984</v>
      </c>
      <c r="AQ71" s="125">
        <f>Valores!$C$99</f>
        <v>-280.91000000000003</v>
      </c>
      <c r="AR71" s="125">
        <f>IF($F$5=0,Valores!$C$100,(Valores!$C$100+$F$5*(Valores!$C$100)))</f>
        <v>-329</v>
      </c>
      <c r="AS71" s="125">
        <f t="shared" si="6"/>
        <v>127046.55174999997</v>
      </c>
      <c r="AT71" s="125">
        <f t="shared" ref="AT71:AT133" si="10">AN71</f>
        <v>-16595.826499999996</v>
      </c>
      <c r="AU71" s="125">
        <f>AH71*Valores!$C$73</f>
        <v>-4073.5210499999989</v>
      </c>
      <c r="AV71" s="125">
        <f>AH71*Valores!$C$74</f>
        <v>-452.61344999999989</v>
      </c>
      <c r="AW71" s="125">
        <f t="shared" si="4"/>
        <v>129919.52899999997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2178.04</v>
      </c>
      <c r="G72" s="192">
        <v>2800</v>
      </c>
      <c r="H72" s="125">
        <f>ROUND(G72*Valores!$C$2,2)</f>
        <v>67761.119999999995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13878.56</v>
      </c>
      <c r="N72" s="125">
        <f t="shared" ref="N72:N135" si="11">ROUND(SUM(F72,H72,J72,L72,X72,R72)*$H$2,2)</f>
        <v>0</v>
      </c>
      <c r="O72" s="125">
        <f>Valores!$C$9</f>
        <v>26876.42</v>
      </c>
      <c r="P72" s="125">
        <f>Valores!$D$5</f>
        <v>12371.24</v>
      </c>
      <c r="Q72" s="125">
        <v>0</v>
      </c>
      <c r="R72" s="125">
        <f>IF($F$4="NO",Valores!$C$45,Valores!$C$45/2)</f>
        <v>11072.91</v>
      </c>
      <c r="S72" s="125">
        <f>Valores!$C$19</f>
        <v>11511.67</v>
      </c>
      <c r="T72" s="125">
        <f t="shared" si="7"/>
        <v>11511.67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Valores!$C$94</f>
        <v>6546.24</v>
      </c>
      <c r="AA72" s="125">
        <f>Valores!$C$25</f>
        <v>505.99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505.99</v>
      </c>
      <c r="AE72" s="192">
        <v>0</v>
      </c>
      <c r="AF72" s="125">
        <f>ROUND(AE72*Valores!$C$2,2)</f>
        <v>0</v>
      </c>
      <c r="AG72" s="125">
        <f>ROUND(IF($F$4="NO",Valores!$C$62,Valores!$C$62/2),2)</f>
        <v>6323.27</v>
      </c>
      <c r="AH72" s="125">
        <f t="shared" si="5"/>
        <v>159531.44999999995</v>
      </c>
      <c r="AI72" s="125">
        <f>Valores!$C$31</f>
        <v>0</v>
      </c>
      <c r="AJ72" s="125">
        <f>Valores!$C$87</f>
        <v>0</v>
      </c>
      <c r="AK72" s="125">
        <f>Valores!C$38*B72</f>
        <v>0</v>
      </c>
      <c r="AL72" s="125">
        <f>IF($F$3="NO",0,Valores!$C$55)</f>
        <v>170.34</v>
      </c>
      <c r="AM72" s="125">
        <f t="shared" ref="AM72:AM135" si="13">SUM(AI72:AL72)</f>
        <v>170.34</v>
      </c>
      <c r="AN72" s="125">
        <f>AH72*Valores!$C$70</f>
        <v>-17548.459499999994</v>
      </c>
      <c r="AO72" s="125">
        <f>AH72*-Valores!$C$71</f>
        <v>0</v>
      </c>
      <c r="AP72" s="125">
        <f>AH72*Valores!$C$72</f>
        <v>-7178.9152499999973</v>
      </c>
      <c r="AQ72" s="125">
        <f>Valores!$C$99</f>
        <v>-280.91000000000003</v>
      </c>
      <c r="AR72" s="125">
        <f>IF($F$5=0,Valores!$C$100,(Valores!$C$100+$F$5*(Valores!$C$100)))</f>
        <v>-329</v>
      </c>
      <c r="AS72" s="125">
        <f t="shared" si="6"/>
        <v>134364.50524999996</v>
      </c>
      <c r="AT72" s="125">
        <f t="shared" si="10"/>
        <v>-17548.459499999994</v>
      </c>
      <c r="AU72" s="125">
        <f>AH72*Valores!$C$73</f>
        <v>-4307.3491499999991</v>
      </c>
      <c r="AV72" s="125">
        <f>AH72*Valores!$C$74</f>
        <v>-478.59434999999985</v>
      </c>
      <c r="AW72" s="125">
        <f t="shared" ref="AW72:AW135" si="14">AH72+AM72+SUM(AT72:AV72)</f>
        <v>137367.38699999996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1911.83</v>
      </c>
      <c r="G73" s="192">
        <v>2161</v>
      </c>
      <c r="H73" s="125">
        <f>ROUND(G73*Valores!$C$2,2)</f>
        <v>52297.06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11309.33</v>
      </c>
      <c r="N73" s="125">
        <f t="shared" si="11"/>
        <v>0</v>
      </c>
      <c r="O73" s="125">
        <f>Valores!$C$9</f>
        <v>26876.42</v>
      </c>
      <c r="P73" s="125">
        <f>Valores!$D$5</f>
        <v>12371.24</v>
      </c>
      <c r="Q73" s="125">
        <f>Valores!$C$22</f>
        <v>11037.15</v>
      </c>
      <c r="R73" s="125">
        <f>IF($F$4="NO",Valores!$C$44,Valores!$C$44/2)</f>
        <v>9674.9599999999991</v>
      </c>
      <c r="S73" s="125">
        <f>Valores!$C$19</f>
        <v>11511.67</v>
      </c>
      <c r="T73" s="125">
        <f t="shared" si="7"/>
        <v>11511.67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Valores!$C$94</f>
        <v>6546.24</v>
      </c>
      <c r="AA73" s="125">
        <f>Valores!$C$25</f>
        <v>505.99</v>
      </c>
      <c r="AB73" s="214">
        <v>0</v>
      </c>
      <c r="AC73" s="125">
        <f t="shared" si="12"/>
        <v>0</v>
      </c>
      <c r="AD73" s="125">
        <f>Valores!$C$26</f>
        <v>505.99</v>
      </c>
      <c r="AE73" s="192">
        <v>0</v>
      </c>
      <c r="AF73" s="125">
        <f>ROUND(AE73*Valores!$C$2,2)</f>
        <v>0</v>
      </c>
      <c r="AG73" s="125">
        <f>ROUND(IF($F$4="NO",Valores!$C$62,Valores!$C$62/2),2)</f>
        <v>6323.27</v>
      </c>
      <c r="AH73" s="125">
        <f t="shared" ref="AH73:AH136" si="15">SUM(F73,H73,J73,L73,M73,N73,O73,P73,Q73,R73,T73,U73,V73,X73,Y73,Z73,AA73,AC73,AD73,AF73,AG73)</f>
        <v>150871.14999999997</v>
      </c>
      <c r="AI73" s="125">
        <f>Valores!$C$31</f>
        <v>0</v>
      </c>
      <c r="AJ73" s="125">
        <f>Valores!$C$87</f>
        <v>0</v>
      </c>
      <c r="AK73" s="125">
        <f>Valores!C$38*B73</f>
        <v>0</v>
      </c>
      <c r="AL73" s="125">
        <f>IF($F$3="NO",0,Valores!$C$55)</f>
        <v>170.34</v>
      </c>
      <c r="AM73" s="125">
        <f t="shared" si="13"/>
        <v>170.34</v>
      </c>
      <c r="AN73" s="125">
        <f>AH73*Valores!$C$70</f>
        <v>-16595.826499999996</v>
      </c>
      <c r="AO73" s="125">
        <f>AH73*-Valores!$C$71</f>
        <v>0</v>
      </c>
      <c r="AP73" s="125">
        <f>AH73*Valores!$C$72</f>
        <v>-6789.2017499999984</v>
      </c>
      <c r="AQ73" s="125">
        <f>Valores!$C$99</f>
        <v>-280.91000000000003</v>
      </c>
      <c r="AR73" s="125">
        <f>IF($F$5=0,Valores!$C$100,(Valores!$C$100+$F$5*(Valores!$C$100)))</f>
        <v>-329</v>
      </c>
      <c r="AS73" s="125">
        <f t="shared" ref="AS73:AS136" si="16">AH73+SUM(AM73:AR73)</f>
        <v>127046.55174999997</v>
      </c>
      <c r="AT73" s="125">
        <f t="shared" si="10"/>
        <v>-16595.826499999996</v>
      </c>
      <c r="AU73" s="125">
        <f>AH73*Valores!$C$73</f>
        <v>-4073.5210499999989</v>
      </c>
      <c r="AV73" s="125">
        <f>AH73*Valores!$C$74</f>
        <v>-452.61344999999989</v>
      </c>
      <c r="AW73" s="125">
        <f t="shared" si="14"/>
        <v>129919.52899999997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2178.04</v>
      </c>
      <c r="G74" s="192">
        <v>2720</v>
      </c>
      <c r="H74" s="125">
        <f>ROUND(G74*Valores!$C$2,2)</f>
        <v>65825.09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13588.16</v>
      </c>
      <c r="N74" s="125">
        <f t="shared" si="11"/>
        <v>0</v>
      </c>
      <c r="O74" s="125">
        <f>Valores!$C$9</f>
        <v>26876.42</v>
      </c>
      <c r="P74" s="125">
        <f>Valores!$D$5</f>
        <v>12371.24</v>
      </c>
      <c r="Q74" s="125">
        <v>0</v>
      </c>
      <c r="R74" s="125">
        <f>IF($F$4="NO",Valores!$C$45,Valores!$C$45/2)</f>
        <v>11072.91</v>
      </c>
      <c r="S74" s="125">
        <f>Valores!$C$19</f>
        <v>11511.67</v>
      </c>
      <c r="T74" s="125">
        <f t="shared" si="7"/>
        <v>11511.67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Valores!$C$94</f>
        <v>6546.24</v>
      </c>
      <c r="AA74" s="125">
        <f>Valores!$C$25</f>
        <v>505.99</v>
      </c>
      <c r="AB74" s="214">
        <v>0</v>
      </c>
      <c r="AC74" s="125">
        <f t="shared" si="12"/>
        <v>0</v>
      </c>
      <c r="AD74" s="125">
        <f>Valores!$C$26</f>
        <v>505.99</v>
      </c>
      <c r="AE74" s="192">
        <v>0</v>
      </c>
      <c r="AF74" s="125">
        <f>ROUND(AE74*Valores!$C$2,2)</f>
        <v>0</v>
      </c>
      <c r="AG74" s="125">
        <f>ROUND(IF($F$4="NO",Valores!$C$62,Valores!$C$62/2),2)</f>
        <v>6323.27</v>
      </c>
      <c r="AH74" s="125">
        <f t="shared" si="15"/>
        <v>157305.01999999996</v>
      </c>
      <c r="AI74" s="125">
        <f>Valores!$C$31</f>
        <v>0</v>
      </c>
      <c r="AJ74" s="125">
        <f>Valores!$C$87</f>
        <v>0</v>
      </c>
      <c r="AK74" s="125">
        <f>Valores!C$38*B74</f>
        <v>0</v>
      </c>
      <c r="AL74" s="125">
        <f>IF($F$3="NO",0,Valores!$C$55)</f>
        <v>170.34</v>
      </c>
      <c r="AM74" s="125">
        <f t="shared" si="13"/>
        <v>170.34</v>
      </c>
      <c r="AN74" s="125">
        <f>AH74*Valores!$C$70</f>
        <v>-17303.552199999995</v>
      </c>
      <c r="AO74" s="125">
        <f>AH74*-Valores!$C$71</f>
        <v>0</v>
      </c>
      <c r="AP74" s="125">
        <f>AH74*Valores!$C$72</f>
        <v>-7078.7258999999976</v>
      </c>
      <c r="AQ74" s="125">
        <f>Valores!$C$99</f>
        <v>-280.91000000000003</v>
      </c>
      <c r="AR74" s="125">
        <f>IF($F$5=0,Valores!$C$100,(Valores!$C$100+$F$5*(Valores!$C$100)))</f>
        <v>-329</v>
      </c>
      <c r="AS74" s="125">
        <f t="shared" si="16"/>
        <v>132483.17189999996</v>
      </c>
      <c r="AT74" s="125">
        <f t="shared" si="10"/>
        <v>-17303.552199999995</v>
      </c>
      <c r="AU74" s="125">
        <f>AH74*Valores!$C$73</f>
        <v>-4247.2355399999988</v>
      </c>
      <c r="AV74" s="125">
        <f>AH74*Valores!$C$74</f>
        <v>-471.91505999999987</v>
      </c>
      <c r="AW74" s="125">
        <f t="shared" si="14"/>
        <v>135452.65719999996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1887.63</v>
      </c>
      <c r="G75" s="192">
        <v>1284</v>
      </c>
      <c r="H75" s="125">
        <f>ROUND(G75*Valores!$C$2,2)</f>
        <v>31073.31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8023.71</v>
      </c>
      <c r="N75" s="125">
        <f t="shared" si="11"/>
        <v>0</v>
      </c>
      <c r="O75" s="125">
        <f>Valores!$C$8</f>
        <v>26798.030000000002</v>
      </c>
      <c r="P75" s="125">
        <f>Valores!$D$5</f>
        <v>12371.24</v>
      </c>
      <c r="Q75" s="125">
        <f>Valores!$C$22</f>
        <v>11037.15</v>
      </c>
      <c r="R75" s="125">
        <f>IF($F$4="NO",Valores!$C$43,Valores!$C$43/2)</f>
        <v>9136.5</v>
      </c>
      <c r="S75" s="125">
        <f>Valores!$C$20</f>
        <v>11393.97</v>
      </c>
      <c r="T75" s="125">
        <f t="shared" ref="T75:T138" si="17">ROUND(S75*(1+$H$2),2)</f>
        <v>11393.97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Valores!$C$93</f>
        <v>5455.2</v>
      </c>
      <c r="AA75" s="125">
        <f>Valores!$C$25</f>
        <v>505.99</v>
      </c>
      <c r="AB75" s="214">
        <v>0</v>
      </c>
      <c r="AC75" s="125">
        <f t="shared" si="12"/>
        <v>0</v>
      </c>
      <c r="AD75" s="125">
        <f>Valores!$C$26</f>
        <v>505.99</v>
      </c>
      <c r="AE75" s="192">
        <v>0</v>
      </c>
      <c r="AF75" s="125">
        <f>ROUND(AE75*Valores!$C$2,2)</f>
        <v>0</v>
      </c>
      <c r="AG75" s="125">
        <f>ROUND(IF($F$4="NO",Valores!$C$62,Valores!$C$62/2),2)</f>
        <v>6323.27</v>
      </c>
      <c r="AH75" s="125">
        <f t="shared" si="15"/>
        <v>124511.99000000002</v>
      </c>
      <c r="AI75" s="125">
        <f>Valores!$C$31</f>
        <v>0</v>
      </c>
      <c r="AJ75" s="125">
        <f>Valores!$C$86</f>
        <v>0</v>
      </c>
      <c r="AK75" s="125">
        <f>Valores!C$38*B75</f>
        <v>0</v>
      </c>
      <c r="AL75" s="125">
        <f>IF($F$3="NO",0,Valores!$C$55)</f>
        <v>170.34</v>
      </c>
      <c r="AM75" s="125">
        <f t="shared" si="13"/>
        <v>170.34</v>
      </c>
      <c r="AN75" s="125">
        <f>AH75*Valores!$C$70</f>
        <v>-13696.318900000002</v>
      </c>
      <c r="AO75" s="125">
        <f>AH75*-Valores!$C$71</f>
        <v>0</v>
      </c>
      <c r="AP75" s="125">
        <f>AH75*Valores!$C$72</f>
        <v>-5603.0395500000004</v>
      </c>
      <c r="AQ75" s="125">
        <f>Valores!$C$99</f>
        <v>-280.91000000000003</v>
      </c>
      <c r="AR75" s="125">
        <f>IF($F$5=0,Valores!$C$100,(Valores!$C$100+$F$5*(Valores!$C$100)))</f>
        <v>-329</v>
      </c>
      <c r="AS75" s="125">
        <f t="shared" si="16"/>
        <v>104773.06155000001</v>
      </c>
      <c r="AT75" s="125">
        <f t="shared" si="10"/>
        <v>-13696.318900000002</v>
      </c>
      <c r="AU75" s="125">
        <f>AH75*Valores!$C$73</f>
        <v>-3361.8237300000005</v>
      </c>
      <c r="AV75" s="125">
        <f>AH75*Valores!$C$74</f>
        <v>-373.53597000000008</v>
      </c>
      <c r="AW75" s="125">
        <f t="shared" si="14"/>
        <v>107250.65140000002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1887.63</v>
      </c>
      <c r="G76" s="192">
        <v>1284</v>
      </c>
      <c r="H76" s="125">
        <f>ROUND(G76*Valores!$C$2,2)</f>
        <v>31073.31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8023.71</v>
      </c>
      <c r="N76" s="125">
        <f t="shared" si="11"/>
        <v>0</v>
      </c>
      <c r="O76" s="125">
        <f>Valores!$C$8</f>
        <v>26798.030000000002</v>
      </c>
      <c r="P76" s="125">
        <f>Valores!$D$5</f>
        <v>12371.24</v>
      </c>
      <c r="Q76" s="125">
        <f>Valores!$C$22</f>
        <v>11037.15</v>
      </c>
      <c r="R76" s="125">
        <f>IF($F$4="NO",Valores!$C$43,Valores!$C$43/2)</f>
        <v>9136.5</v>
      </c>
      <c r="S76" s="125">
        <f>Valores!$C$20</f>
        <v>11393.97</v>
      </c>
      <c r="T76" s="125">
        <f t="shared" si="17"/>
        <v>11393.97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Valores!$C$93</f>
        <v>5455.2</v>
      </c>
      <c r="AA76" s="125">
        <f>Valores!$C$25</f>
        <v>505.99</v>
      </c>
      <c r="AB76" s="214">
        <v>0</v>
      </c>
      <c r="AC76" s="125">
        <f t="shared" si="12"/>
        <v>0</v>
      </c>
      <c r="AD76" s="125">
        <f>Valores!$C$26</f>
        <v>505.99</v>
      </c>
      <c r="AE76" s="192">
        <v>0</v>
      </c>
      <c r="AF76" s="125">
        <f>ROUND(AE76*Valores!$C$2,2)</f>
        <v>0</v>
      </c>
      <c r="AG76" s="125">
        <f>ROUND(IF($F$4="NO",Valores!$C$62,Valores!$C$62/2),2)</f>
        <v>6323.27</v>
      </c>
      <c r="AH76" s="125">
        <f t="shared" si="15"/>
        <v>124511.99000000002</v>
      </c>
      <c r="AI76" s="125">
        <f>Valores!$C$31</f>
        <v>0</v>
      </c>
      <c r="AJ76" s="125">
        <f>Valores!$C$86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AH76*Valores!$C$70</f>
        <v>-13696.318900000002</v>
      </c>
      <c r="AO76" s="125">
        <f>AH76*-Valores!$C$71</f>
        <v>0</v>
      </c>
      <c r="AP76" s="125">
        <f>AH76*Valores!$C$72</f>
        <v>-5603.0395500000004</v>
      </c>
      <c r="AQ76" s="125">
        <f>Valores!$C$99</f>
        <v>-280.91000000000003</v>
      </c>
      <c r="AR76" s="125">
        <f>IF($F$5=0,Valores!$C$100,(Valores!$C$100+$F$5*(Valores!$C$100)))</f>
        <v>-329</v>
      </c>
      <c r="AS76" s="125">
        <f t="shared" si="16"/>
        <v>104602.72155000002</v>
      </c>
      <c r="AT76" s="125">
        <f t="shared" si="10"/>
        <v>-13696.318900000002</v>
      </c>
      <c r="AU76" s="125">
        <f>AH76*Valores!$C$73</f>
        <v>-3361.8237300000005</v>
      </c>
      <c r="AV76" s="125">
        <f>AH76*Valores!$C$74</f>
        <v>-373.53597000000008</v>
      </c>
      <c r="AW76" s="125">
        <f t="shared" si="14"/>
        <v>107080.31140000002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1887.63</v>
      </c>
      <c r="G77" s="192">
        <v>1284</v>
      </c>
      <c r="H77" s="125">
        <f>ROUND(G77*Valores!$C$2,2)</f>
        <v>31073.31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6314.62</v>
      </c>
      <c r="N77" s="125">
        <f t="shared" si="11"/>
        <v>0</v>
      </c>
      <c r="O77" s="125">
        <f>Valores!$C$14</f>
        <v>22412.35</v>
      </c>
      <c r="P77" s="125">
        <f>Valores!$D$5</f>
        <v>12371.24</v>
      </c>
      <c r="Q77" s="125">
        <f>Valores!$C$22</f>
        <v>11037.15</v>
      </c>
      <c r="R77" s="125">
        <f>IF($F$4="NO",Valores!$C$43,Valores!$C$43/2)</f>
        <v>9136.5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Valores!$C$93</f>
        <v>5455.2</v>
      </c>
      <c r="AA77" s="125">
        <f>Valores!$C$25</f>
        <v>505.99</v>
      </c>
      <c r="AB77" s="214">
        <v>0</v>
      </c>
      <c r="AC77" s="125">
        <f t="shared" si="12"/>
        <v>0</v>
      </c>
      <c r="AD77" s="125">
        <f>Valores!$C$26</f>
        <v>505.99</v>
      </c>
      <c r="AE77" s="192">
        <v>0</v>
      </c>
      <c r="AF77" s="125">
        <f>ROUND(AE77*Valores!$C$2,2)</f>
        <v>0</v>
      </c>
      <c r="AG77" s="125">
        <f>ROUND(IF($F$4="NO",Valores!$C$62,Valores!$C$62/2),2)</f>
        <v>6323.27</v>
      </c>
      <c r="AH77" s="125">
        <f t="shared" si="15"/>
        <v>107023.25000000001</v>
      </c>
      <c r="AI77" s="125">
        <f>Valores!$C$31</f>
        <v>0</v>
      </c>
      <c r="AJ77" s="125">
        <f>Valores!$C$86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AH77*Valores!$C$70</f>
        <v>-11772.557500000001</v>
      </c>
      <c r="AO77" s="125">
        <f>AH77*-Valores!$C$71</f>
        <v>0</v>
      </c>
      <c r="AP77" s="125">
        <f>AH77*Valores!$C$72</f>
        <v>-4816.0462500000003</v>
      </c>
      <c r="AQ77" s="125">
        <f>Valores!$C$99</f>
        <v>-280.91000000000003</v>
      </c>
      <c r="AR77" s="125">
        <f>IF($F$5=0,Valores!$C$100,(Valores!$C$100+$F$5*(Valores!$C$100)))</f>
        <v>-329</v>
      </c>
      <c r="AS77" s="125">
        <f t="shared" si="16"/>
        <v>89824.736250000016</v>
      </c>
      <c r="AT77" s="125">
        <f t="shared" si="10"/>
        <v>-11772.557500000001</v>
      </c>
      <c r="AU77" s="125">
        <f>AH77*Valores!$C$73</f>
        <v>-2889.6277500000006</v>
      </c>
      <c r="AV77" s="125">
        <f>AH77*Valores!$C$74</f>
        <v>-321.06975000000006</v>
      </c>
      <c r="AW77" s="125">
        <f t="shared" si="14"/>
        <v>92039.99500000001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1984.43</v>
      </c>
      <c r="G78" s="192">
        <v>2038</v>
      </c>
      <c r="H78" s="125">
        <f>ROUND(G78*Valores!$C$2,2)</f>
        <v>49320.42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10792.95</v>
      </c>
      <c r="N78" s="125">
        <f t="shared" si="11"/>
        <v>0</v>
      </c>
      <c r="O78" s="125">
        <f>Valores!$C$9</f>
        <v>26876.42</v>
      </c>
      <c r="P78" s="125">
        <f>Valores!$D$5</f>
        <v>12371.24</v>
      </c>
      <c r="Q78" s="125">
        <f>Valores!$C$22</f>
        <v>11037.15</v>
      </c>
      <c r="R78" s="125">
        <f>IF($F$4="NO",Valores!$C$43,Valores!$C$43/2)</f>
        <v>9136.5</v>
      </c>
      <c r="S78" s="125">
        <f>Valores!$C$19</f>
        <v>11511.67</v>
      </c>
      <c r="T78" s="125">
        <f t="shared" si="17"/>
        <v>11511.67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Valores!$C$93</f>
        <v>5455.2</v>
      </c>
      <c r="AA78" s="125">
        <f>Valores!$C$25</f>
        <v>505.99</v>
      </c>
      <c r="AB78" s="214">
        <v>0</v>
      </c>
      <c r="AC78" s="125">
        <f t="shared" si="12"/>
        <v>0</v>
      </c>
      <c r="AD78" s="125">
        <f>Valores!$C$26</f>
        <v>505.99</v>
      </c>
      <c r="AE78" s="192">
        <v>0</v>
      </c>
      <c r="AF78" s="125">
        <f>ROUND(AE78*Valores!$C$2,2)</f>
        <v>0</v>
      </c>
      <c r="AG78" s="125">
        <f>ROUND(IF($F$4="NO",Valores!$C$62,Valores!$C$62/2),2)</f>
        <v>6323.27</v>
      </c>
      <c r="AH78" s="125">
        <f t="shared" si="15"/>
        <v>145821.22999999998</v>
      </c>
      <c r="AI78" s="125">
        <f>Valores!$C$31</f>
        <v>0</v>
      </c>
      <c r="AJ78" s="125">
        <f>Valores!$C$86</f>
        <v>0</v>
      </c>
      <c r="AK78" s="125">
        <f>Valores!C$38*B78</f>
        <v>0</v>
      </c>
      <c r="AL78" s="125">
        <f>IF($F$3="NO",0,Valores!$C$55)</f>
        <v>170.34</v>
      </c>
      <c r="AM78" s="125">
        <f t="shared" si="13"/>
        <v>170.34</v>
      </c>
      <c r="AN78" s="125">
        <f>AH78*Valores!$C$70</f>
        <v>-16040.335299999999</v>
      </c>
      <c r="AO78" s="125">
        <f>AH78*-Valores!$C$71</f>
        <v>0</v>
      </c>
      <c r="AP78" s="125">
        <f>AH78*Valores!$C$72</f>
        <v>-6561.9553499999993</v>
      </c>
      <c r="AQ78" s="125">
        <f>Valores!$C$99</f>
        <v>-280.91000000000003</v>
      </c>
      <c r="AR78" s="125">
        <f>IF($F$5=0,Valores!$C$100,(Valores!$C$100+$F$5*(Valores!$C$100)))</f>
        <v>-329</v>
      </c>
      <c r="AS78" s="125">
        <f t="shared" si="16"/>
        <v>122779.36934999998</v>
      </c>
      <c r="AT78" s="125">
        <f t="shared" si="10"/>
        <v>-16040.335299999999</v>
      </c>
      <c r="AU78" s="125">
        <f>AH78*Valores!$C$73</f>
        <v>-3937.1732099999995</v>
      </c>
      <c r="AV78" s="125">
        <f>AH78*Valores!$C$74</f>
        <v>-437.46368999999993</v>
      </c>
      <c r="AW78" s="125">
        <f t="shared" si="14"/>
        <v>125576.59779999997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1887.63</v>
      </c>
      <c r="G79" s="192">
        <v>2072</v>
      </c>
      <c r="H79" s="125">
        <f>ROUND(G79*Valores!$C$2,2)</f>
        <v>50143.23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10982.62</v>
      </c>
      <c r="N79" s="125">
        <f t="shared" si="11"/>
        <v>0</v>
      </c>
      <c r="O79" s="125">
        <f>Valores!$C$9</f>
        <v>26876.42</v>
      </c>
      <c r="P79" s="125">
        <f>Valores!$D$5</f>
        <v>12371.24</v>
      </c>
      <c r="Q79" s="125">
        <f>Valores!$C$22</f>
        <v>11037.15</v>
      </c>
      <c r="R79" s="125">
        <f>IF($F$4="NO",Valores!$C$44,Valores!$C$44/2)</f>
        <v>9674.9599999999991</v>
      </c>
      <c r="S79" s="125">
        <f>Valores!$C$19</f>
        <v>11511.67</v>
      </c>
      <c r="T79" s="125">
        <f t="shared" si="17"/>
        <v>11511.67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Valores!$C$94</f>
        <v>6546.24</v>
      </c>
      <c r="AA79" s="125">
        <f>Valores!$C$25</f>
        <v>505.99</v>
      </c>
      <c r="AB79" s="214">
        <v>0</v>
      </c>
      <c r="AC79" s="125">
        <f t="shared" si="12"/>
        <v>0</v>
      </c>
      <c r="AD79" s="125">
        <f>Valores!$C$26</f>
        <v>505.99</v>
      </c>
      <c r="AE79" s="192">
        <v>0</v>
      </c>
      <c r="AF79" s="125">
        <f>ROUND(AE79*Valores!$C$2,2)</f>
        <v>0</v>
      </c>
      <c r="AG79" s="125">
        <f>ROUND(IF($F$4="NO",Valores!$C$62,Valores!$C$62/2),2)</f>
        <v>6323.27</v>
      </c>
      <c r="AH79" s="125">
        <f t="shared" si="15"/>
        <v>148366.40999999997</v>
      </c>
      <c r="AI79" s="125">
        <f>Valores!$C$31</f>
        <v>0</v>
      </c>
      <c r="AJ79" s="125">
        <f>Valores!$C$87</f>
        <v>0</v>
      </c>
      <c r="AK79" s="125">
        <f>Valores!C$38*B79</f>
        <v>0</v>
      </c>
      <c r="AL79" s="125">
        <f>IF($F$3="NO",0,Valores!$C$55)</f>
        <v>170.34</v>
      </c>
      <c r="AM79" s="125">
        <f t="shared" si="13"/>
        <v>170.34</v>
      </c>
      <c r="AN79" s="125">
        <f>AH79*Valores!$C$70</f>
        <v>-16320.305099999998</v>
      </c>
      <c r="AO79" s="125">
        <f>AH79*-Valores!$C$71</f>
        <v>0</v>
      </c>
      <c r="AP79" s="125">
        <f>AH79*Valores!$C$72</f>
        <v>-6676.4884499999989</v>
      </c>
      <c r="AQ79" s="125">
        <f>Valores!$C$99</f>
        <v>-280.91000000000003</v>
      </c>
      <c r="AR79" s="125">
        <f>IF($F$5=0,Valores!$C$100,(Valores!$C$100+$F$5*(Valores!$C$100)))</f>
        <v>-329</v>
      </c>
      <c r="AS79" s="125">
        <f t="shared" si="16"/>
        <v>124930.04644999998</v>
      </c>
      <c r="AT79" s="125">
        <f t="shared" si="10"/>
        <v>-16320.305099999998</v>
      </c>
      <c r="AU79" s="125">
        <f>AH79*Valores!$C$73</f>
        <v>-4005.8930699999992</v>
      </c>
      <c r="AV79" s="125">
        <f>AH79*Valores!$C$74</f>
        <v>-445.09922999999992</v>
      </c>
      <c r="AW79" s="125">
        <f t="shared" si="14"/>
        <v>127765.45259999998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1887.63</v>
      </c>
      <c r="G80" s="192">
        <v>1770</v>
      </c>
      <c r="H80" s="125">
        <f>ROUND(G80*Valores!$C$2,2)</f>
        <v>42834.71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9886.35</v>
      </c>
      <c r="N80" s="125">
        <f t="shared" si="11"/>
        <v>0</v>
      </c>
      <c r="O80" s="125">
        <f>Valores!$C$9</f>
        <v>26876.42</v>
      </c>
      <c r="P80" s="125">
        <f>Valores!$D$5</f>
        <v>12371.24</v>
      </c>
      <c r="Q80" s="125">
        <f>Valores!$C$22</f>
        <v>11037.15</v>
      </c>
      <c r="R80" s="125">
        <f>IF($F$4="NO",Valores!$C$44,Valores!$C$44/2)</f>
        <v>9674.9599999999991</v>
      </c>
      <c r="S80" s="125">
        <f>Valores!$C$19</f>
        <v>11511.67</v>
      </c>
      <c r="T80" s="125">
        <f t="shared" si="17"/>
        <v>11511.67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Valores!$C$94</f>
        <v>6546.24</v>
      </c>
      <c r="AA80" s="125">
        <f>Valores!$C$25</f>
        <v>505.99</v>
      </c>
      <c r="AB80" s="214">
        <v>0</v>
      </c>
      <c r="AC80" s="125">
        <f t="shared" si="12"/>
        <v>0</v>
      </c>
      <c r="AD80" s="125">
        <f>Valores!$C$26</f>
        <v>505.99</v>
      </c>
      <c r="AE80" s="192">
        <v>0</v>
      </c>
      <c r="AF80" s="125">
        <f>ROUND(AE80*Valores!$C$2,2)</f>
        <v>0</v>
      </c>
      <c r="AG80" s="125">
        <f>ROUND(IF($F$4="NO",Valores!$C$62,Valores!$C$62/2),2)</f>
        <v>6323.27</v>
      </c>
      <c r="AH80" s="125">
        <f t="shared" si="15"/>
        <v>139961.61999999997</v>
      </c>
      <c r="AI80" s="125">
        <f>Valores!$C$31</f>
        <v>0</v>
      </c>
      <c r="AJ80" s="125">
        <f>Valores!$C$87</f>
        <v>0</v>
      </c>
      <c r="AK80" s="125">
        <f>Valores!C$38*B80</f>
        <v>0</v>
      </c>
      <c r="AL80" s="125">
        <f>IF($F$3="NO",0,Valores!$C$55)</f>
        <v>170.34</v>
      </c>
      <c r="AM80" s="125">
        <f t="shared" si="13"/>
        <v>170.34</v>
      </c>
      <c r="AN80" s="125">
        <f>AH80*Valores!$C$70</f>
        <v>-15395.778199999997</v>
      </c>
      <c r="AO80" s="125">
        <f>AH80*-Valores!$C$71</f>
        <v>0</v>
      </c>
      <c r="AP80" s="125">
        <f>AH80*Valores!$C$72</f>
        <v>-6298.2728999999981</v>
      </c>
      <c r="AQ80" s="125">
        <f>Valores!$C$99</f>
        <v>-280.91000000000003</v>
      </c>
      <c r="AR80" s="125">
        <f>IF($F$5=0,Valores!$C$100,(Valores!$C$100+$F$5*(Valores!$C$100)))</f>
        <v>-329</v>
      </c>
      <c r="AS80" s="125">
        <f t="shared" si="16"/>
        <v>117827.99889999998</v>
      </c>
      <c r="AT80" s="125">
        <f t="shared" si="10"/>
        <v>-15395.778199999997</v>
      </c>
      <c r="AU80" s="125">
        <f>AH80*Valores!$C$73</f>
        <v>-3778.9637399999992</v>
      </c>
      <c r="AV80" s="125">
        <f>AH80*Valores!$C$74</f>
        <v>-419.88485999999989</v>
      </c>
      <c r="AW80" s="125">
        <f t="shared" si="14"/>
        <v>120537.33319999996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1863.43</v>
      </c>
      <c r="G81" s="192">
        <v>2073</v>
      </c>
      <c r="H81" s="125">
        <f>ROUND(G81*Valores!$C$2,2)</f>
        <v>50167.43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10982.62</v>
      </c>
      <c r="N81" s="125">
        <f t="shared" si="11"/>
        <v>0</v>
      </c>
      <c r="O81" s="125">
        <f>Valores!$C$9</f>
        <v>26876.42</v>
      </c>
      <c r="P81" s="125">
        <f>Valores!$D$5</f>
        <v>12371.24</v>
      </c>
      <c r="Q81" s="125">
        <f>Valores!$C$22</f>
        <v>11037.15</v>
      </c>
      <c r="R81" s="125">
        <f>IF($F$4="NO",Valores!$C$44,Valores!$C$44/2)</f>
        <v>9674.9599999999991</v>
      </c>
      <c r="S81" s="125">
        <f>Valores!$C$19</f>
        <v>11511.67</v>
      </c>
      <c r="T81" s="125">
        <f t="shared" si="17"/>
        <v>11511.67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Valores!$C$94</f>
        <v>6546.24</v>
      </c>
      <c r="AA81" s="125">
        <f>Valores!$C$25</f>
        <v>505.99</v>
      </c>
      <c r="AB81" s="214">
        <v>0</v>
      </c>
      <c r="AC81" s="125">
        <f t="shared" si="12"/>
        <v>0</v>
      </c>
      <c r="AD81" s="125">
        <f>Valores!$C$26</f>
        <v>505.99</v>
      </c>
      <c r="AE81" s="192">
        <v>0</v>
      </c>
      <c r="AF81" s="125">
        <f>ROUND(AE81*Valores!$C$2,2)</f>
        <v>0</v>
      </c>
      <c r="AG81" s="125">
        <f>ROUND(IF($F$4="NO",Valores!$C$62,Valores!$C$62/2),2)</f>
        <v>6323.27</v>
      </c>
      <c r="AH81" s="125">
        <f t="shared" si="15"/>
        <v>148366.40999999997</v>
      </c>
      <c r="AI81" s="125">
        <f>Valores!$C$31</f>
        <v>0</v>
      </c>
      <c r="AJ81" s="125">
        <f>Valores!$C$87</f>
        <v>0</v>
      </c>
      <c r="AK81" s="125">
        <f>Valores!C$38*B81</f>
        <v>0</v>
      </c>
      <c r="AL81" s="125">
        <f>IF($F$3="NO",0,Valores!$C$55)</f>
        <v>170.34</v>
      </c>
      <c r="AM81" s="125">
        <f t="shared" si="13"/>
        <v>170.34</v>
      </c>
      <c r="AN81" s="125">
        <f>AH81*Valores!$C$70</f>
        <v>-16320.305099999998</v>
      </c>
      <c r="AO81" s="125">
        <f>AH81*-Valores!$C$71</f>
        <v>0</v>
      </c>
      <c r="AP81" s="125">
        <f>AH81*Valores!$C$72</f>
        <v>-6676.4884499999989</v>
      </c>
      <c r="AQ81" s="125">
        <f>Valores!$C$99</f>
        <v>-280.91000000000003</v>
      </c>
      <c r="AR81" s="125">
        <f>IF($F$5=0,Valores!$C$100,(Valores!$C$100+$F$5*(Valores!$C$100)))</f>
        <v>-329</v>
      </c>
      <c r="AS81" s="125">
        <f t="shared" si="16"/>
        <v>124930.04644999998</v>
      </c>
      <c r="AT81" s="125">
        <f t="shared" si="10"/>
        <v>-16320.305099999998</v>
      </c>
      <c r="AU81" s="125">
        <f>AH81*Valores!$C$73</f>
        <v>-4005.8930699999992</v>
      </c>
      <c r="AV81" s="125">
        <f>AH81*Valores!$C$74</f>
        <v>-445.09922999999992</v>
      </c>
      <c r="AW81" s="125">
        <f t="shared" si="14"/>
        <v>127765.45259999998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1839.23</v>
      </c>
      <c r="G82" s="192">
        <v>1872</v>
      </c>
      <c r="H82" s="125">
        <f>ROUND(G82*Valores!$C$2,2)</f>
        <v>45303.15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10249.35</v>
      </c>
      <c r="N82" s="125">
        <f t="shared" si="11"/>
        <v>0</v>
      </c>
      <c r="O82" s="125">
        <f>Valores!$C$9</f>
        <v>26876.42</v>
      </c>
      <c r="P82" s="125">
        <f>Valores!$D$5</f>
        <v>12371.24</v>
      </c>
      <c r="Q82" s="125">
        <v>0</v>
      </c>
      <c r="R82" s="125">
        <f>IF($F$4="NO",Valores!$C$44,Valores!$C$44/2)</f>
        <v>9674.9599999999991</v>
      </c>
      <c r="S82" s="125">
        <f>Valores!$C$19</f>
        <v>11511.67</v>
      </c>
      <c r="T82" s="125">
        <f t="shared" si="17"/>
        <v>11511.67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Valores!$C$94</f>
        <v>6546.24</v>
      </c>
      <c r="AA82" s="125">
        <f>Valores!$C$25</f>
        <v>505.99</v>
      </c>
      <c r="AB82" s="214">
        <v>0</v>
      </c>
      <c r="AC82" s="125">
        <f t="shared" si="12"/>
        <v>0</v>
      </c>
      <c r="AD82" s="125">
        <f>Valores!$C$26</f>
        <v>505.99</v>
      </c>
      <c r="AE82" s="192">
        <v>0</v>
      </c>
      <c r="AF82" s="125">
        <f>ROUND(AE82*Valores!$C$2,2)</f>
        <v>0</v>
      </c>
      <c r="AG82" s="125">
        <f>ROUND(IF($F$4="NO",Valores!$C$62,Valores!$C$62/2),2)</f>
        <v>6323.27</v>
      </c>
      <c r="AH82" s="125">
        <f t="shared" si="15"/>
        <v>131707.51</v>
      </c>
      <c r="AI82" s="125">
        <f>Valores!$C$31</f>
        <v>0</v>
      </c>
      <c r="AJ82" s="125">
        <f>Valores!$C$87</f>
        <v>0</v>
      </c>
      <c r="AK82" s="125">
        <f>Valores!C$38*B82</f>
        <v>0</v>
      </c>
      <c r="AL82" s="125">
        <f>IF($F$3="NO",0,Valores!$C$55)</f>
        <v>170.34</v>
      </c>
      <c r="AM82" s="125">
        <f t="shared" si="13"/>
        <v>170.34</v>
      </c>
      <c r="AN82" s="125">
        <f>AH82*Valores!$C$70</f>
        <v>-14487.8261</v>
      </c>
      <c r="AO82" s="125">
        <f>AH82*-Valores!$C$71</f>
        <v>0</v>
      </c>
      <c r="AP82" s="125">
        <f>AH82*Valores!$C$72</f>
        <v>-5926.8379500000001</v>
      </c>
      <c r="AQ82" s="125">
        <f>Valores!$C$99</f>
        <v>-280.91000000000003</v>
      </c>
      <c r="AR82" s="125">
        <f>IF($F$5=0,Valores!$C$100,(Valores!$C$100+$F$5*(Valores!$C$100)))</f>
        <v>-329</v>
      </c>
      <c r="AS82" s="125">
        <f t="shared" si="16"/>
        <v>110853.27595000001</v>
      </c>
      <c r="AT82" s="125">
        <f t="shared" si="10"/>
        <v>-14487.8261</v>
      </c>
      <c r="AU82" s="125">
        <f>AH82*Valores!$C$73</f>
        <v>-3556.1027700000004</v>
      </c>
      <c r="AV82" s="125">
        <f>AH82*Valores!$C$74</f>
        <v>-395.12253000000004</v>
      </c>
      <c r="AW82" s="125">
        <f t="shared" si="14"/>
        <v>113438.79860000001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1815.03</v>
      </c>
      <c r="G83" s="192">
        <v>1873</v>
      </c>
      <c r="H83" s="125">
        <f>ROUND(G83*Valores!$C$2,2)</f>
        <v>45327.35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10249.35</v>
      </c>
      <c r="N83" s="125">
        <f t="shared" si="11"/>
        <v>0</v>
      </c>
      <c r="O83" s="125">
        <f>Valores!$C$9</f>
        <v>26876.42</v>
      </c>
      <c r="P83" s="125">
        <f>Valores!$D$5</f>
        <v>12371.24</v>
      </c>
      <c r="Q83" s="125">
        <f>Valores!$C$22</f>
        <v>11037.15</v>
      </c>
      <c r="R83" s="125">
        <f>IF($F$4="NO",Valores!$C$44,Valores!$C$44/2)</f>
        <v>9674.9599999999991</v>
      </c>
      <c r="S83" s="125">
        <f>Valores!$C$19</f>
        <v>11511.67</v>
      </c>
      <c r="T83" s="125">
        <f t="shared" si="17"/>
        <v>11511.67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Valores!$C$94</f>
        <v>6546.24</v>
      </c>
      <c r="AA83" s="125">
        <f>Valores!$C$25</f>
        <v>505.99</v>
      </c>
      <c r="AB83" s="214">
        <v>0</v>
      </c>
      <c r="AC83" s="125">
        <f t="shared" si="12"/>
        <v>0</v>
      </c>
      <c r="AD83" s="125">
        <f>Valores!$C$26</f>
        <v>505.99</v>
      </c>
      <c r="AE83" s="192">
        <v>0</v>
      </c>
      <c r="AF83" s="125">
        <f>ROUND(AE83*Valores!$C$2,2)</f>
        <v>0</v>
      </c>
      <c r="AG83" s="125">
        <f>ROUND(IF($F$4="NO",Valores!$C$62,Valores!$C$62/2),2)</f>
        <v>6323.27</v>
      </c>
      <c r="AH83" s="125">
        <f t="shared" si="15"/>
        <v>142744.65999999997</v>
      </c>
      <c r="AI83" s="125">
        <f>Valores!$C$31</f>
        <v>0</v>
      </c>
      <c r="AJ83" s="125">
        <f>Valores!$C$87</f>
        <v>0</v>
      </c>
      <c r="AK83" s="125">
        <f>Valores!C$38*B83</f>
        <v>0</v>
      </c>
      <c r="AL83" s="125">
        <f>IF($F$3="NO",0,Valores!$C$55)</f>
        <v>170.34</v>
      </c>
      <c r="AM83" s="125">
        <f t="shared" si="13"/>
        <v>170.34</v>
      </c>
      <c r="AN83" s="125">
        <f>AH83*Valores!$C$70</f>
        <v>-15701.912599999998</v>
      </c>
      <c r="AO83" s="125">
        <f>AH83*-Valores!$C$71</f>
        <v>0</v>
      </c>
      <c r="AP83" s="125">
        <f>AH83*Valores!$C$72</f>
        <v>-6423.5096999999987</v>
      </c>
      <c r="AQ83" s="125">
        <f>Valores!$C$99</f>
        <v>-280.91000000000003</v>
      </c>
      <c r="AR83" s="125">
        <f>IF($F$5=0,Valores!$C$100,(Valores!$C$100+$F$5*(Valores!$C$100)))</f>
        <v>-329</v>
      </c>
      <c r="AS83" s="125">
        <f t="shared" si="16"/>
        <v>120179.66769999998</v>
      </c>
      <c r="AT83" s="125">
        <f t="shared" si="10"/>
        <v>-15701.912599999998</v>
      </c>
      <c r="AU83" s="125">
        <f>AH83*Valores!$C$73</f>
        <v>-3854.1058199999993</v>
      </c>
      <c r="AV83" s="125">
        <f>AH83*Valores!$C$74</f>
        <v>-428.23397999999992</v>
      </c>
      <c r="AW83" s="125">
        <f t="shared" si="14"/>
        <v>122930.74759999997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1839.23</v>
      </c>
      <c r="G84" s="192">
        <v>1752</v>
      </c>
      <c r="H84" s="125">
        <f>ROUND(G84*Valores!$C$2,2)</f>
        <v>42399.1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9732.98</v>
      </c>
      <c r="N84" s="125">
        <f t="shared" si="11"/>
        <v>0</v>
      </c>
      <c r="O84" s="125">
        <f>Valores!$C$8</f>
        <v>26798.030000000002</v>
      </c>
      <c r="P84" s="125">
        <f>Valores!$D$5</f>
        <v>12371.24</v>
      </c>
      <c r="Q84" s="125">
        <f>Valores!$C$22</f>
        <v>11037.15</v>
      </c>
      <c r="R84" s="125">
        <f>IF($F$4="NO",Valores!$C$43,Valores!$C$43/2)</f>
        <v>9136.5</v>
      </c>
      <c r="S84" s="125">
        <f>Valores!$C$19</f>
        <v>11511.67</v>
      </c>
      <c r="T84" s="125">
        <f t="shared" si="17"/>
        <v>11511.67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Valores!$C$93</f>
        <v>5455.2</v>
      </c>
      <c r="AA84" s="125">
        <f>Valores!$C$25</f>
        <v>505.99</v>
      </c>
      <c r="AB84" s="214">
        <v>0</v>
      </c>
      <c r="AC84" s="125">
        <f t="shared" si="12"/>
        <v>0</v>
      </c>
      <c r="AD84" s="125">
        <f>Valores!$C$26</f>
        <v>505.99</v>
      </c>
      <c r="AE84" s="192">
        <v>0</v>
      </c>
      <c r="AF84" s="125">
        <f>ROUND(AE84*Valores!$C$2,2)</f>
        <v>0</v>
      </c>
      <c r="AG84" s="125">
        <f>ROUND(IF($F$4="NO",Valores!$C$62,Valores!$C$62/2),2)</f>
        <v>6323.27</v>
      </c>
      <c r="AH84" s="125">
        <f t="shared" si="15"/>
        <v>137616.34999999998</v>
      </c>
      <c r="AI84" s="125">
        <f>Valores!$C$31</f>
        <v>0</v>
      </c>
      <c r="AJ84" s="125">
        <f>Valores!$C$86</f>
        <v>0</v>
      </c>
      <c r="AK84" s="125">
        <f>Valores!C$38*B84</f>
        <v>0</v>
      </c>
      <c r="AL84" s="125">
        <f>IF($F$3="NO",0,Valores!$C$55)</f>
        <v>170.34</v>
      </c>
      <c r="AM84" s="125">
        <f t="shared" si="13"/>
        <v>170.34</v>
      </c>
      <c r="AN84" s="125">
        <f>AH84*Valores!$C$70</f>
        <v>-15137.798499999997</v>
      </c>
      <c r="AO84" s="125">
        <f>AH84*-Valores!$C$71</f>
        <v>0</v>
      </c>
      <c r="AP84" s="125">
        <f>AH84*Valores!$C$72</f>
        <v>-6192.7357499999989</v>
      </c>
      <c r="AQ84" s="125">
        <f>Valores!$C$99</f>
        <v>-280.91000000000003</v>
      </c>
      <c r="AR84" s="125">
        <f>IF($F$5=0,Valores!$C$100,(Valores!$C$100+$F$5*(Valores!$C$100)))</f>
        <v>-329</v>
      </c>
      <c r="AS84" s="125">
        <f t="shared" si="16"/>
        <v>115846.24574999997</v>
      </c>
      <c r="AT84" s="125">
        <f t="shared" si="10"/>
        <v>-15137.798499999997</v>
      </c>
      <c r="AU84" s="125">
        <f>AH84*Valores!$C$73</f>
        <v>-3715.6414499999992</v>
      </c>
      <c r="AV84" s="125">
        <f>AH84*Valores!$C$74</f>
        <v>-412.84904999999992</v>
      </c>
      <c r="AW84" s="125">
        <f t="shared" si="14"/>
        <v>118520.40099999998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1887.63</v>
      </c>
      <c r="G85" s="192">
        <v>1770</v>
      </c>
      <c r="H85" s="125">
        <f>ROUND(G85*Valores!$C$2,2)</f>
        <v>42834.71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9732.94</v>
      </c>
      <c r="N85" s="125">
        <f t="shared" si="11"/>
        <v>0</v>
      </c>
      <c r="O85" s="125">
        <f>Valores!$C$10</f>
        <v>23078.870000000003</v>
      </c>
      <c r="P85" s="125">
        <f>Valores!$D$5</f>
        <v>12371.24</v>
      </c>
      <c r="Q85" s="125">
        <f>Valores!$C$22</f>
        <v>11037.15</v>
      </c>
      <c r="R85" s="125">
        <f>IF($F$4="NO",Valores!$C$42,Valores!$C$42/2)</f>
        <v>8652.27</v>
      </c>
      <c r="S85" s="125">
        <f>Valores!$C$19</f>
        <v>11511.67</v>
      </c>
      <c r="T85" s="125">
        <f t="shared" si="17"/>
        <v>11511.67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Valores!$C$93</f>
        <v>5455.2</v>
      </c>
      <c r="AA85" s="125">
        <f>Valores!$C$25</f>
        <v>505.99</v>
      </c>
      <c r="AB85" s="214">
        <v>0</v>
      </c>
      <c r="AC85" s="125">
        <f t="shared" si="12"/>
        <v>0</v>
      </c>
      <c r="AD85" s="125">
        <f>Valores!$C$26</f>
        <v>505.99</v>
      </c>
      <c r="AE85" s="192">
        <v>0</v>
      </c>
      <c r="AF85" s="125">
        <f>ROUND(AE85*Valores!$C$2,2)</f>
        <v>0</v>
      </c>
      <c r="AG85" s="125">
        <f>ROUND(IF($F$4="NO",Valores!$C$62,Valores!$C$62/2),2)</f>
        <v>6323.27</v>
      </c>
      <c r="AH85" s="125">
        <f t="shared" si="15"/>
        <v>133896.93</v>
      </c>
      <c r="AI85" s="125">
        <f>Valores!$C$31</f>
        <v>0</v>
      </c>
      <c r="AJ85" s="125">
        <f>Valores!$C$86</f>
        <v>0</v>
      </c>
      <c r="AK85" s="125">
        <f>Valores!C$38*B85</f>
        <v>0</v>
      </c>
      <c r="AL85" s="125">
        <f>IF($F$3="NO",0,Valores!$C$55)</f>
        <v>170.34</v>
      </c>
      <c r="AM85" s="125">
        <f t="shared" si="13"/>
        <v>170.34</v>
      </c>
      <c r="AN85" s="125">
        <f>AH85*Valores!$C$70</f>
        <v>-14728.6623</v>
      </c>
      <c r="AO85" s="125">
        <f>AH85*-Valores!$C$71</f>
        <v>0</v>
      </c>
      <c r="AP85" s="125">
        <f>AH85*Valores!$C$72</f>
        <v>-6025.3618499999993</v>
      </c>
      <c r="AQ85" s="125">
        <f>Valores!$C$99</f>
        <v>-280.91000000000003</v>
      </c>
      <c r="AR85" s="125">
        <f>IF($F$5=0,Valores!$C$100,(Valores!$C$100+$F$5*(Valores!$C$100)))</f>
        <v>-329</v>
      </c>
      <c r="AS85" s="125">
        <f t="shared" si="16"/>
        <v>112703.33584999999</v>
      </c>
      <c r="AT85" s="125">
        <f t="shared" si="10"/>
        <v>-14728.6623</v>
      </c>
      <c r="AU85" s="125">
        <f>AH85*Valores!$C$73</f>
        <v>-3615.2171099999996</v>
      </c>
      <c r="AV85" s="125">
        <f>AH85*Valores!$C$74</f>
        <v>-401.69078999999999</v>
      </c>
      <c r="AW85" s="125">
        <f t="shared" si="14"/>
        <v>115321.69979999999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1839.23</v>
      </c>
      <c r="G86" s="192">
        <v>1872</v>
      </c>
      <c r="H86" s="125">
        <f>ROUND(G86*Valores!$C$2,2)</f>
        <v>45303.15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10095.950000000001</v>
      </c>
      <c r="N86" s="125">
        <f t="shared" si="11"/>
        <v>0</v>
      </c>
      <c r="O86" s="125">
        <f>Valores!$C$10</f>
        <v>23078.870000000003</v>
      </c>
      <c r="P86" s="125">
        <f>Valores!$D$5</f>
        <v>12371.24</v>
      </c>
      <c r="Q86" s="125">
        <v>0</v>
      </c>
      <c r="R86" s="125">
        <f>IF($F$4="NO",Valores!$C$42,Valores!$C$42/2)</f>
        <v>8652.27</v>
      </c>
      <c r="S86" s="125">
        <f>Valores!$C$19</f>
        <v>11511.67</v>
      </c>
      <c r="T86" s="125">
        <f t="shared" si="17"/>
        <v>11511.67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Valores!$C$93</f>
        <v>5455.2</v>
      </c>
      <c r="AA86" s="125">
        <f>Valores!$C$25</f>
        <v>505.99</v>
      </c>
      <c r="AB86" s="214">
        <v>0</v>
      </c>
      <c r="AC86" s="125">
        <f t="shared" si="12"/>
        <v>0</v>
      </c>
      <c r="AD86" s="125">
        <f>Valores!$C$26</f>
        <v>505.99</v>
      </c>
      <c r="AE86" s="192">
        <v>0</v>
      </c>
      <c r="AF86" s="125">
        <f>ROUND(AE86*Valores!$C$2,2)</f>
        <v>0</v>
      </c>
      <c r="AG86" s="125">
        <f>ROUND(IF($F$4="NO",Valores!$C$62,Valores!$C$62/2),2)</f>
        <v>6323.27</v>
      </c>
      <c r="AH86" s="125">
        <f t="shared" si="15"/>
        <v>125642.83000000003</v>
      </c>
      <c r="AI86" s="125">
        <f>Valores!$C$31</f>
        <v>0</v>
      </c>
      <c r="AJ86" s="125">
        <f>Valores!$C$86</f>
        <v>0</v>
      </c>
      <c r="AK86" s="125">
        <f>Valores!C$38*B86</f>
        <v>0</v>
      </c>
      <c r="AL86" s="125">
        <f>IF($F$3="NO",0,Valores!$C$55)</f>
        <v>170.34</v>
      </c>
      <c r="AM86" s="125">
        <f t="shared" si="13"/>
        <v>170.34</v>
      </c>
      <c r="AN86" s="125">
        <f>AH86*Valores!$C$70</f>
        <v>-13820.711300000003</v>
      </c>
      <c r="AO86" s="125">
        <f>AH86*-Valores!$C$71</f>
        <v>0</v>
      </c>
      <c r="AP86" s="125">
        <f>AH86*Valores!$C$72</f>
        <v>-5653.9273500000008</v>
      </c>
      <c r="AQ86" s="125">
        <f>Valores!$C$99</f>
        <v>-280.91000000000003</v>
      </c>
      <c r="AR86" s="125">
        <f>IF($F$5=0,Valores!$C$100,(Valores!$C$100+$F$5*(Valores!$C$100)))</f>
        <v>-329</v>
      </c>
      <c r="AS86" s="125">
        <f t="shared" si="16"/>
        <v>105728.62135000003</v>
      </c>
      <c r="AT86" s="125">
        <f t="shared" si="10"/>
        <v>-13820.711300000003</v>
      </c>
      <c r="AU86" s="125">
        <f>AH86*Valores!$C$73</f>
        <v>-3392.3564100000008</v>
      </c>
      <c r="AV86" s="125">
        <f>AH86*Valores!$C$74</f>
        <v>-376.92849000000012</v>
      </c>
      <c r="AW86" s="125">
        <f t="shared" si="14"/>
        <v>108223.17380000002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4089.87</v>
      </c>
      <c r="G87" s="192">
        <f>1997</f>
        <v>1997</v>
      </c>
      <c r="H87" s="125">
        <f>ROUND(G87*Valores!$C$2,2)</f>
        <v>48328.2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10959.94</v>
      </c>
      <c r="N87" s="125">
        <f t="shared" si="11"/>
        <v>0</v>
      </c>
      <c r="O87" s="125">
        <f>Valores!$C$9</f>
        <v>26876.42</v>
      </c>
      <c r="P87" s="125">
        <f>Valores!$D$5</f>
        <v>12371.24</v>
      </c>
      <c r="Q87" s="125">
        <f>Valores!$C$22</f>
        <v>11037.15</v>
      </c>
      <c r="R87" s="125">
        <f>IF($F$4="NO",Valores!$C$43,Valores!$C$43/2)</f>
        <v>9136.5</v>
      </c>
      <c r="S87" s="125">
        <f>Valores!$C$19</f>
        <v>11511.67</v>
      </c>
      <c r="T87" s="125">
        <f t="shared" si="17"/>
        <v>11511.67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Valores!$C$93</f>
        <v>5455.2</v>
      </c>
      <c r="AA87" s="125">
        <f>Valores!$C$25</f>
        <v>505.99</v>
      </c>
      <c r="AB87" s="214">
        <v>0</v>
      </c>
      <c r="AC87" s="125">
        <f t="shared" si="12"/>
        <v>0</v>
      </c>
      <c r="AD87" s="125">
        <f>Valores!$C$26</f>
        <v>505.99</v>
      </c>
      <c r="AE87" s="192">
        <v>0</v>
      </c>
      <c r="AF87" s="125">
        <f>ROUND(AE87*Valores!$C$2,2)</f>
        <v>0</v>
      </c>
      <c r="AG87" s="125">
        <f>ROUND(IF($F$4="NO",Valores!$C$62,Valores!$C$62/2),2)</f>
        <v>6323.27</v>
      </c>
      <c r="AH87" s="125">
        <f t="shared" si="15"/>
        <v>147101.43999999997</v>
      </c>
      <c r="AI87" s="125">
        <f>Valores!$C$31</f>
        <v>0</v>
      </c>
      <c r="AJ87" s="125">
        <f>Valores!$C$86</f>
        <v>0</v>
      </c>
      <c r="AK87" s="125">
        <f>Valores!C$38*B87</f>
        <v>0</v>
      </c>
      <c r="AL87" s="125">
        <f>IF($F$3="NO",0,Valores!$C$55)</f>
        <v>170.34</v>
      </c>
      <c r="AM87" s="125">
        <f t="shared" si="13"/>
        <v>170.34</v>
      </c>
      <c r="AN87" s="125">
        <f>AH87*Valores!$C$70</f>
        <v>-16181.158399999997</v>
      </c>
      <c r="AO87" s="125">
        <f>AH87*-Valores!$C$71</f>
        <v>0</v>
      </c>
      <c r="AP87" s="125">
        <f>AH87*Valores!$C$72</f>
        <v>-6619.5647999999983</v>
      </c>
      <c r="AQ87" s="125">
        <f>Valores!$C$99</f>
        <v>-280.91000000000003</v>
      </c>
      <c r="AR87" s="125">
        <f>IF($F$5=0,Valores!$C$100,(Valores!$C$100+$F$5*(Valores!$C$100)))</f>
        <v>-329</v>
      </c>
      <c r="AS87" s="125">
        <f t="shared" si="16"/>
        <v>123861.14679999997</v>
      </c>
      <c r="AT87" s="125">
        <f t="shared" si="10"/>
        <v>-16181.158399999997</v>
      </c>
      <c r="AU87" s="125">
        <f>AH87*Valores!$C$73</f>
        <v>-3971.7388799999994</v>
      </c>
      <c r="AV87" s="125">
        <f>AH87*Valores!$C$74</f>
        <v>-441.3043199999999</v>
      </c>
      <c r="AW87" s="125">
        <f t="shared" si="14"/>
        <v>126677.57839999997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5275.69</v>
      </c>
      <c r="G88" s="192">
        <f>1997</f>
        <v>1997</v>
      </c>
      <c r="H88" s="125">
        <f>ROUND(G88*Valores!$C$2,2)</f>
        <v>48328.2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11137.81</v>
      </c>
      <c r="N88" s="125">
        <f t="shared" si="11"/>
        <v>0</v>
      </c>
      <c r="O88" s="125">
        <f>Valores!$C$15</f>
        <v>31433.48</v>
      </c>
      <c r="P88" s="125">
        <f>Valores!$D$5</f>
        <v>12371.24</v>
      </c>
      <c r="Q88" s="125">
        <f>Valores!$C$22</f>
        <v>11037.15</v>
      </c>
      <c r="R88" s="125">
        <f>IF($F$4="NO",Valores!$C$43,Valores!$C$43/2)</f>
        <v>9136.5</v>
      </c>
      <c r="S88" s="125">
        <f>Valores!$C$19</f>
        <v>11511.67</v>
      </c>
      <c r="T88" s="125">
        <f t="shared" si="17"/>
        <v>11511.67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Valores!$C$93</f>
        <v>5455.2</v>
      </c>
      <c r="AA88" s="125">
        <f>Valores!$C$25</f>
        <v>505.99</v>
      </c>
      <c r="AB88" s="214">
        <v>0</v>
      </c>
      <c r="AC88" s="125">
        <f t="shared" si="12"/>
        <v>0</v>
      </c>
      <c r="AD88" s="125">
        <f>Valores!$C$26</f>
        <v>505.99</v>
      </c>
      <c r="AE88" s="192">
        <v>0</v>
      </c>
      <c r="AF88" s="125">
        <f>ROUND(AE88*Valores!$C$2,2)</f>
        <v>0</v>
      </c>
      <c r="AG88" s="125">
        <f>ROUND(IF($F$4="NO",Valores!$C$62,Valores!$C$62/2),2)</f>
        <v>6323.27</v>
      </c>
      <c r="AH88" s="125">
        <f t="shared" si="15"/>
        <v>153022.18999999997</v>
      </c>
      <c r="AI88" s="125">
        <f>Valores!$C$31</f>
        <v>0</v>
      </c>
      <c r="AJ88" s="125">
        <f>Valores!$C$86</f>
        <v>0</v>
      </c>
      <c r="AK88" s="125">
        <f>Valores!C$38*B88</f>
        <v>0</v>
      </c>
      <c r="AL88" s="125">
        <f>IF($F$3="NO",0,Valores!$C$55)</f>
        <v>170.34</v>
      </c>
      <c r="AM88" s="125">
        <f t="shared" si="13"/>
        <v>170.34</v>
      </c>
      <c r="AN88" s="125">
        <f>AH88*Valores!$C$70</f>
        <v>-16832.440899999998</v>
      </c>
      <c r="AO88" s="125">
        <f>AH88*-Valores!$C$71</f>
        <v>0</v>
      </c>
      <c r="AP88" s="125">
        <f>AH88*Valores!$C$72</f>
        <v>-6885.9985499999984</v>
      </c>
      <c r="AQ88" s="125">
        <f>Valores!$C$99</f>
        <v>-280.91000000000003</v>
      </c>
      <c r="AR88" s="125">
        <f>IF($F$5=0,Valores!$C$100,(Valores!$C$100+$F$5*(Valores!$C$100)))</f>
        <v>-329</v>
      </c>
      <c r="AS88" s="125">
        <f t="shared" si="16"/>
        <v>128864.18054999998</v>
      </c>
      <c r="AT88" s="125">
        <f t="shared" si="10"/>
        <v>-16832.440899999998</v>
      </c>
      <c r="AU88" s="125">
        <f>AH88*Valores!$C$73</f>
        <v>-4131.5991299999996</v>
      </c>
      <c r="AV88" s="125">
        <f>AH88*Valores!$C$74</f>
        <v>-459.06656999999996</v>
      </c>
      <c r="AW88" s="125">
        <f t="shared" si="14"/>
        <v>131769.42339999997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5275.69</v>
      </c>
      <c r="G89" s="192">
        <f>1997</f>
        <v>1997</v>
      </c>
      <c r="H89" s="125">
        <f>ROUND(G89*Valores!$C$2,2)</f>
        <v>48328.2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11137.81</v>
      </c>
      <c r="N89" s="125">
        <f t="shared" si="11"/>
        <v>0</v>
      </c>
      <c r="O89" s="125">
        <f>Valores!$C$15</f>
        <v>31433.48</v>
      </c>
      <c r="P89" s="125">
        <f>Valores!$D$5</f>
        <v>12371.24</v>
      </c>
      <c r="Q89" s="125">
        <f>Valores!$C$22</f>
        <v>11037.15</v>
      </c>
      <c r="R89" s="125">
        <f>IF($F$4="NO",Valores!$C$43,Valores!$C$43/2)</f>
        <v>9136.5</v>
      </c>
      <c r="S89" s="125">
        <f>Valores!$C$19</f>
        <v>11511.67</v>
      </c>
      <c r="T89" s="125">
        <f t="shared" si="17"/>
        <v>11511.67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Valores!$C$93</f>
        <v>5455.2</v>
      </c>
      <c r="AA89" s="125">
        <f>Valores!$C$25</f>
        <v>505.99</v>
      </c>
      <c r="AB89" s="214">
        <v>0</v>
      </c>
      <c r="AC89" s="125">
        <f t="shared" si="12"/>
        <v>0</v>
      </c>
      <c r="AD89" s="125">
        <f>Valores!$C$26</f>
        <v>505.99</v>
      </c>
      <c r="AE89" s="192">
        <v>19</v>
      </c>
      <c r="AF89" s="125">
        <f>ROUND(AE89*Valores!$C$2,2)</f>
        <v>459.81</v>
      </c>
      <c r="AG89" s="125">
        <f>ROUND(IF($F$4="NO",Valores!$C$62,Valores!$C$62/2),2)</f>
        <v>6323.27</v>
      </c>
      <c r="AH89" s="125">
        <f t="shared" si="15"/>
        <v>153481.99999999997</v>
      </c>
      <c r="AI89" s="125">
        <f>Valores!$C$31</f>
        <v>0</v>
      </c>
      <c r="AJ89" s="125">
        <f>Valores!$C$86</f>
        <v>0</v>
      </c>
      <c r="AK89" s="125">
        <f>Valores!C$38*B89</f>
        <v>0</v>
      </c>
      <c r="AL89" s="125">
        <f>IF($F$3="NO",0,Valores!$C$55)</f>
        <v>170.34</v>
      </c>
      <c r="AM89" s="125">
        <f t="shared" si="13"/>
        <v>170.34</v>
      </c>
      <c r="AN89" s="125">
        <f>AH89*Valores!$C$70</f>
        <v>-16883.019999999997</v>
      </c>
      <c r="AO89" s="125">
        <f>AH89*-Valores!$C$71</f>
        <v>0</v>
      </c>
      <c r="AP89" s="125">
        <f>AH89*Valores!$C$72</f>
        <v>-6906.6899999999987</v>
      </c>
      <c r="AQ89" s="125">
        <f>Valores!$C$99</f>
        <v>-280.91000000000003</v>
      </c>
      <c r="AR89" s="125">
        <f>IF($F$5=0,Valores!$C$100,(Valores!$C$100+$F$5*(Valores!$C$100)))</f>
        <v>-329</v>
      </c>
      <c r="AS89" s="125">
        <f t="shared" si="16"/>
        <v>129252.71999999997</v>
      </c>
      <c r="AT89" s="125">
        <f t="shared" si="10"/>
        <v>-16883.019999999997</v>
      </c>
      <c r="AU89" s="125">
        <f>AH89*Valores!$C$73</f>
        <v>-4144.0139999999992</v>
      </c>
      <c r="AV89" s="125">
        <f>AH89*Valores!$C$74</f>
        <v>-460.44599999999991</v>
      </c>
      <c r="AW89" s="125">
        <f t="shared" si="14"/>
        <v>132164.85999999999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4525.47</v>
      </c>
      <c r="G90" s="192">
        <v>1704</v>
      </c>
      <c r="H90" s="125">
        <f>ROUND(G90*Valores!$C$2,2)</f>
        <v>41237.480000000003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9961.67</v>
      </c>
      <c r="N90" s="125">
        <f t="shared" si="11"/>
        <v>0</v>
      </c>
      <c r="O90" s="125">
        <f>Valores!$C$9</f>
        <v>26876.42</v>
      </c>
      <c r="P90" s="125">
        <f>Valores!$D$5</f>
        <v>12371.24</v>
      </c>
      <c r="Q90" s="125">
        <f>Valores!$C$22</f>
        <v>11037.15</v>
      </c>
      <c r="R90" s="125">
        <f>IF($F$4="NO",Valores!$C$43,Valores!$C$43/2)</f>
        <v>9136.5</v>
      </c>
      <c r="S90" s="125">
        <f>Valores!$C$19</f>
        <v>11511.67</v>
      </c>
      <c r="T90" s="125">
        <f t="shared" si="17"/>
        <v>11511.67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Valores!$C$93</f>
        <v>5455.2</v>
      </c>
      <c r="AA90" s="125">
        <f>Valores!$C$25</f>
        <v>505.99</v>
      </c>
      <c r="AB90" s="214">
        <v>0</v>
      </c>
      <c r="AC90" s="125">
        <f t="shared" si="12"/>
        <v>0</v>
      </c>
      <c r="AD90" s="125">
        <f>Valores!$C$26</f>
        <v>505.99</v>
      </c>
      <c r="AE90" s="192">
        <v>0</v>
      </c>
      <c r="AF90" s="125">
        <f>ROUND(AE90*Valores!$C$2,2)</f>
        <v>0</v>
      </c>
      <c r="AG90" s="125">
        <f>ROUND(IF($F$4="NO",Valores!$C$62,Valores!$C$62/2),2)</f>
        <v>6323.27</v>
      </c>
      <c r="AH90" s="125">
        <f t="shared" si="15"/>
        <v>139448.04999999999</v>
      </c>
      <c r="AI90" s="125">
        <f>Valores!$C$31</f>
        <v>0</v>
      </c>
      <c r="AJ90" s="125">
        <f>Valores!$C$86</f>
        <v>0</v>
      </c>
      <c r="AK90" s="125">
        <f>Valores!C$38*B90</f>
        <v>0</v>
      </c>
      <c r="AL90" s="125">
        <f>IF($F$3="NO",0,Valores!$C$55)</f>
        <v>170.34</v>
      </c>
      <c r="AM90" s="125">
        <f t="shared" si="13"/>
        <v>170.34</v>
      </c>
      <c r="AN90" s="125">
        <f>AH90*Valores!$C$70</f>
        <v>-15339.285499999998</v>
      </c>
      <c r="AO90" s="125">
        <f>AH90*-Valores!$C$71</f>
        <v>0</v>
      </c>
      <c r="AP90" s="125">
        <f>AH90*Valores!$C$72</f>
        <v>-6275.1622499999994</v>
      </c>
      <c r="AQ90" s="125">
        <f>Valores!$C$99</f>
        <v>-280.91000000000003</v>
      </c>
      <c r="AR90" s="125">
        <f>IF($F$5=0,Valores!$C$100,(Valores!$C$100+$F$5*(Valores!$C$100)))</f>
        <v>-329</v>
      </c>
      <c r="AS90" s="125">
        <f t="shared" si="16"/>
        <v>117394.03224999999</v>
      </c>
      <c r="AT90" s="125">
        <f t="shared" si="10"/>
        <v>-15339.285499999998</v>
      </c>
      <c r="AU90" s="125">
        <f>AH90*Valores!$C$73</f>
        <v>-3765.0973499999996</v>
      </c>
      <c r="AV90" s="125">
        <f>AH90*Valores!$C$74</f>
        <v>-418.34414999999996</v>
      </c>
      <c r="AW90" s="125">
        <f t="shared" si="14"/>
        <v>120095.66299999999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4525.47</v>
      </c>
      <c r="G91" s="192">
        <v>1704</v>
      </c>
      <c r="H91" s="125">
        <f>ROUND(G91*Valores!$C$2,2)</f>
        <v>41237.480000000003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9961.67</v>
      </c>
      <c r="N91" s="125">
        <f t="shared" si="11"/>
        <v>0</v>
      </c>
      <c r="O91" s="125">
        <f>Valores!$C$9</f>
        <v>26876.42</v>
      </c>
      <c r="P91" s="125">
        <f>Valores!$D$5</f>
        <v>12371.24</v>
      </c>
      <c r="Q91" s="125">
        <f>Valores!$C$22</f>
        <v>11037.15</v>
      </c>
      <c r="R91" s="125">
        <f>IF($F$4="NO",Valores!$C$43,Valores!$C$43/2)</f>
        <v>9136.5</v>
      </c>
      <c r="S91" s="125">
        <f>Valores!$C$19</f>
        <v>11511.67</v>
      </c>
      <c r="T91" s="125">
        <f t="shared" si="17"/>
        <v>11511.67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Valores!$C$93</f>
        <v>5455.2</v>
      </c>
      <c r="AA91" s="125">
        <f>Valores!$C$25</f>
        <v>505.99</v>
      </c>
      <c r="AB91" s="214">
        <v>0</v>
      </c>
      <c r="AC91" s="125">
        <f t="shared" si="12"/>
        <v>0</v>
      </c>
      <c r="AD91" s="125">
        <f>Valores!$C$26</f>
        <v>505.99</v>
      </c>
      <c r="AE91" s="192">
        <v>19</v>
      </c>
      <c r="AF91" s="125">
        <f>ROUND(AE91*Valores!$C$2,2)</f>
        <v>459.81</v>
      </c>
      <c r="AG91" s="125">
        <f>ROUND(IF($F$4="NO",Valores!$C$62,Valores!$C$62/2),2)</f>
        <v>6323.27</v>
      </c>
      <c r="AH91" s="125">
        <f t="shared" si="15"/>
        <v>139907.85999999999</v>
      </c>
      <c r="AI91" s="125">
        <f>Valores!$C$31</f>
        <v>0</v>
      </c>
      <c r="AJ91" s="125">
        <f>Valores!$C$86</f>
        <v>0</v>
      </c>
      <c r="AK91" s="125">
        <f>Valores!C$38*B91</f>
        <v>0</v>
      </c>
      <c r="AL91" s="125">
        <f>IF($F$3="NO",0,Valores!$C$55)</f>
        <v>170.34</v>
      </c>
      <c r="AM91" s="125">
        <f t="shared" si="13"/>
        <v>170.34</v>
      </c>
      <c r="AN91" s="125">
        <f>AH91*Valores!$C$70</f>
        <v>-15389.864599999999</v>
      </c>
      <c r="AO91" s="125">
        <f>AH91*-Valores!$C$71</f>
        <v>0</v>
      </c>
      <c r="AP91" s="125">
        <f>AH91*Valores!$C$72</f>
        <v>-6295.8536999999988</v>
      </c>
      <c r="AQ91" s="125">
        <f>Valores!$C$99</f>
        <v>-280.91000000000003</v>
      </c>
      <c r="AR91" s="125">
        <f>IF($F$5=0,Valores!$C$100,(Valores!$C$100+$F$5*(Valores!$C$100)))</f>
        <v>-329</v>
      </c>
      <c r="AS91" s="125">
        <f t="shared" si="16"/>
        <v>117782.57169999999</v>
      </c>
      <c r="AT91" s="125">
        <f t="shared" si="10"/>
        <v>-15389.864599999999</v>
      </c>
      <c r="AU91" s="125">
        <f>AH91*Valores!$C$73</f>
        <v>-3777.5122199999996</v>
      </c>
      <c r="AV91" s="125">
        <f>AH91*Valores!$C$74</f>
        <v>-419.72357999999997</v>
      </c>
      <c r="AW91" s="125">
        <f t="shared" si="14"/>
        <v>120491.09959999999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3896.26</v>
      </c>
      <c r="G92" s="192">
        <f>1480</f>
        <v>1480</v>
      </c>
      <c r="H92" s="125">
        <f>ROUND(G92*Valores!$C$2,2)</f>
        <v>35816.589999999997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9054.15</v>
      </c>
      <c r="N92" s="125">
        <f t="shared" si="11"/>
        <v>0</v>
      </c>
      <c r="O92" s="125">
        <f>Valores!$C$9</f>
        <v>26876.42</v>
      </c>
      <c r="P92" s="125">
        <f>Valores!$D$5</f>
        <v>12371.24</v>
      </c>
      <c r="Q92" s="125">
        <f>Valores!$C$22</f>
        <v>11037.15</v>
      </c>
      <c r="R92" s="125">
        <f>IF($F$4="NO",Valores!$C$43,Valores!$C$43/2)</f>
        <v>9136.5</v>
      </c>
      <c r="S92" s="125">
        <f>Valores!$C$19</f>
        <v>11511.67</v>
      </c>
      <c r="T92" s="125">
        <f t="shared" si="17"/>
        <v>11511.67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Valores!$C$93</f>
        <v>5455.2</v>
      </c>
      <c r="AA92" s="125">
        <f>Valores!$C$25</f>
        <v>505.99</v>
      </c>
      <c r="AB92" s="214">
        <v>0</v>
      </c>
      <c r="AC92" s="125">
        <f t="shared" si="12"/>
        <v>0</v>
      </c>
      <c r="AD92" s="125">
        <f>Valores!$C$26</f>
        <v>505.99</v>
      </c>
      <c r="AE92" s="192">
        <v>0</v>
      </c>
      <c r="AF92" s="125">
        <f>ROUND(AE92*Valores!$C$2,2)</f>
        <v>0</v>
      </c>
      <c r="AG92" s="125">
        <f>ROUND(IF($F$4="NO",Valores!$C$62,Valores!$C$62/2),2)</f>
        <v>6323.27</v>
      </c>
      <c r="AH92" s="125">
        <f t="shared" si="15"/>
        <v>132490.43</v>
      </c>
      <c r="AI92" s="125">
        <f>Valores!$C$31</f>
        <v>0</v>
      </c>
      <c r="AJ92" s="125">
        <f>Valores!$C$86</f>
        <v>0</v>
      </c>
      <c r="AK92" s="125">
        <f>Valores!C$38*B92</f>
        <v>0</v>
      </c>
      <c r="AL92" s="125">
        <f>IF($F$3="NO",0,Valores!$C$55)</f>
        <v>170.34</v>
      </c>
      <c r="AM92" s="125">
        <f t="shared" si="13"/>
        <v>170.34</v>
      </c>
      <c r="AN92" s="125">
        <f>AH92*Valores!$C$70</f>
        <v>-14573.9473</v>
      </c>
      <c r="AO92" s="125">
        <f>AH92*-Valores!$C$71</f>
        <v>0</v>
      </c>
      <c r="AP92" s="125">
        <f>AH92*Valores!$C$72</f>
        <v>-5962.0693499999998</v>
      </c>
      <c r="AQ92" s="125">
        <f>Valores!$C$99</f>
        <v>-280.91000000000003</v>
      </c>
      <c r="AR92" s="125">
        <f>IF($F$5=0,Valores!$C$100,(Valores!$C$100+$F$5*(Valores!$C$100)))</f>
        <v>-329</v>
      </c>
      <c r="AS92" s="125">
        <f t="shared" si="16"/>
        <v>111514.84335</v>
      </c>
      <c r="AT92" s="125">
        <f t="shared" si="10"/>
        <v>-14573.9473</v>
      </c>
      <c r="AU92" s="125">
        <f>AH92*Valores!$C$73</f>
        <v>-3577.2416099999996</v>
      </c>
      <c r="AV92" s="125">
        <f>AH92*Valores!$C$74</f>
        <v>-397.47129000000001</v>
      </c>
      <c r="AW92" s="125">
        <f t="shared" si="14"/>
        <v>114112.10979999999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3896.26</v>
      </c>
      <c r="G93" s="192">
        <f>1480</f>
        <v>1480</v>
      </c>
      <c r="H93" s="125">
        <f>ROUND(G93*Valores!$C$2,2)</f>
        <v>35816.589999999997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9054.15</v>
      </c>
      <c r="N93" s="125">
        <f t="shared" si="11"/>
        <v>0</v>
      </c>
      <c r="O93" s="125">
        <f>Valores!$C$9</f>
        <v>26876.42</v>
      </c>
      <c r="P93" s="125">
        <f>Valores!$D$5</f>
        <v>12371.24</v>
      </c>
      <c r="Q93" s="125">
        <f>Valores!$C$22</f>
        <v>11037.15</v>
      </c>
      <c r="R93" s="125">
        <f>IF($F$4="NO",Valores!$C$43,Valores!$C$43/2)</f>
        <v>9136.5</v>
      </c>
      <c r="S93" s="125">
        <f>Valores!$C$19</f>
        <v>11511.67</v>
      </c>
      <c r="T93" s="125">
        <f t="shared" si="17"/>
        <v>11511.67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Valores!$C$93</f>
        <v>5455.2</v>
      </c>
      <c r="AA93" s="125">
        <f>Valores!$C$25</f>
        <v>505.99</v>
      </c>
      <c r="AB93" s="214">
        <v>0</v>
      </c>
      <c r="AC93" s="125">
        <f t="shared" si="12"/>
        <v>0</v>
      </c>
      <c r="AD93" s="125">
        <f>Valores!$C$26</f>
        <v>505.99</v>
      </c>
      <c r="AE93" s="192">
        <v>19</v>
      </c>
      <c r="AF93" s="125">
        <f>ROUND(AE93*Valores!$C$2,2)</f>
        <v>459.81</v>
      </c>
      <c r="AG93" s="125">
        <f>ROUND(IF($F$4="NO",Valores!$C$62,Valores!$C$62/2),2)</f>
        <v>6323.27</v>
      </c>
      <c r="AH93" s="125">
        <f t="shared" si="15"/>
        <v>132950.24</v>
      </c>
      <c r="AI93" s="125">
        <f>Valores!$C$31</f>
        <v>0</v>
      </c>
      <c r="AJ93" s="125">
        <f>Valores!$C$86</f>
        <v>0</v>
      </c>
      <c r="AK93" s="125">
        <f>Valores!C$38*B93</f>
        <v>0</v>
      </c>
      <c r="AL93" s="125">
        <f>IF($F$3="NO",0,Valores!$C$55)</f>
        <v>170.34</v>
      </c>
      <c r="AM93" s="125">
        <f t="shared" si="13"/>
        <v>170.34</v>
      </c>
      <c r="AN93" s="125">
        <f>AH93*Valores!$C$70</f>
        <v>-14624.526399999999</v>
      </c>
      <c r="AO93" s="125">
        <f>AH93*-Valores!$C$71</f>
        <v>0</v>
      </c>
      <c r="AP93" s="125">
        <f>AH93*Valores!$C$72</f>
        <v>-5982.7607999999991</v>
      </c>
      <c r="AQ93" s="125">
        <f>Valores!$C$99</f>
        <v>-280.91000000000003</v>
      </c>
      <c r="AR93" s="125">
        <f>IF($F$5=0,Valores!$C$100,(Valores!$C$100+$F$5*(Valores!$C$100)))</f>
        <v>-329</v>
      </c>
      <c r="AS93" s="125">
        <f t="shared" si="16"/>
        <v>111903.38279999999</v>
      </c>
      <c r="AT93" s="125">
        <f t="shared" si="10"/>
        <v>-14624.526399999999</v>
      </c>
      <c r="AU93" s="125">
        <f>AH93*Valores!$C$73</f>
        <v>-3589.6564799999996</v>
      </c>
      <c r="AV93" s="125">
        <f>AH93*Valores!$C$74</f>
        <v>-398.85071999999997</v>
      </c>
      <c r="AW93" s="125">
        <f t="shared" si="14"/>
        <v>114507.54639999999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4331.87</v>
      </c>
      <c r="G94" s="192">
        <v>1712</v>
      </c>
      <c r="H94" s="125">
        <f>ROUND(G94*Valores!$C$2,2)</f>
        <v>41431.08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9961.67</v>
      </c>
      <c r="N94" s="125">
        <f t="shared" si="11"/>
        <v>0</v>
      </c>
      <c r="O94" s="125">
        <f>Valores!$C$9</f>
        <v>26876.42</v>
      </c>
      <c r="P94" s="125">
        <f>Valores!$D$5</f>
        <v>12371.24</v>
      </c>
      <c r="Q94" s="125">
        <f>Valores!$C$22</f>
        <v>11037.15</v>
      </c>
      <c r="R94" s="125">
        <f>IF($F$4="NO",Valores!$C$43,Valores!$C$43/2)</f>
        <v>9136.5</v>
      </c>
      <c r="S94" s="125">
        <f>Valores!$C$19</f>
        <v>11511.67</v>
      </c>
      <c r="T94" s="125">
        <f t="shared" si="17"/>
        <v>11511.67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Valores!$C$93</f>
        <v>5455.2</v>
      </c>
      <c r="AA94" s="125">
        <f>Valores!$C$25</f>
        <v>505.99</v>
      </c>
      <c r="AB94" s="214">
        <v>0</v>
      </c>
      <c r="AC94" s="125">
        <f t="shared" si="12"/>
        <v>0</v>
      </c>
      <c r="AD94" s="125">
        <f>Valores!$C$26</f>
        <v>505.99</v>
      </c>
      <c r="AE94" s="192">
        <v>0</v>
      </c>
      <c r="AF94" s="125">
        <f>ROUND(AE94*Valores!$C$2,2)</f>
        <v>0</v>
      </c>
      <c r="AG94" s="125">
        <f>ROUND(IF($F$4="NO",Valores!$C$62,Valores!$C$62/2),2)</f>
        <v>6323.27</v>
      </c>
      <c r="AH94" s="125">
        <f t="shared" si="15"/>
        <v>139448.04999999999</v>
      </c>
      <c r="AI94" s="125">
        <f>Valores!$C$31</f>
        <v>0</v>
      </c>
      <c r="AJ94" s="125">
        <f>Valores!$C$86</f>
        <v>0</v>
      </c>
      <c r="AK94" s="125">
        <f>Valores!C$38*B94</f>
        <v>0</v>
      </c>
      <c r="AL94" s="125">
        <f>IF($F$3="NO",0,Valores!$C$55)</f>
        <v>170.34</v>
      </c>
      <c r="AM94" s="125">
        <f t="shared" si="13"/>
        <v>170.34</v>
      </c>
      <c r="AN94" s="125">
        <f>AH94*Valores!$C$70</f>
        <v>-15339.285499999998</v>
      </c>
      <c r="AO94" s="125">
        <f>AH94*-Valores!$C$71</f>
        <v>0</v>
      </c>
      <c r="AP94" s="125">
        <f>AH94*Valores!$C$72</f>
        <v>-6275.1622499999994</v>
      </c>
      <c r="AQ94" s="125">
        <f>Valores!$C$99</f>
        <v>-280.91000000000003</v>
      </c>
      <c r="AR94" s="125">
        <f>IF($F$5=0,Valores!$C$100,(Valores!$C$100+$F$5*(Valores!$C$100)))</f>
        <v>-329</v>
      </c>
      <c r="AS94" s="125">
        <f t="shared" si="16"/>
        <v>117394.03224999999</v>
      </c>
      <c r="AT94" s="125">
        <f t="shared" si="10"/>
        <v>-15339.285499999998</v>
      </c>
      <c r="AU94" s="125">
        <f>AH94*Valores!$C$73</f>
        <v>-3765.0973499999996</v>
      </c>
      <c r="AV94" s="125">
        <f>AH94*Valores!$C$74</f>
        <v>-418.34414999999996</v>
      </c>
      <c r="AW94" s="125">
        <f t="shared" si="14"/>
        <v>120095.66299999999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1548.83</v>
      </c>
      <c r="G95" s="192">
        <v>2086</v>
      </c>
      <c r="H95" s="125">
        <f>ROUND(G95*Valores!$C$2,2)</f>
        <v>50482.03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10982.62</v>
      </c>
      <c r="N95" s="125">
        <f t="shared" si="11"/>
        <v>0</v>
      </c>
      <c r="O95" s="125">
        <f>Valores!$C$9</f>
        <v>26876.42</v>
      </c>
      <c r="P95" s="125">
        <f>Valores!$D$5</f>
        <v>12371.24</v>
      </c>
      <c r="Q95" s="125">
        <f>Valores!$C$22</f>
        <v>11037.15</v>
      </c>
      <c r="R95" s="125">
        <f>IF($F$4="NO",Valores!$C$44,Valores!$C$44/2)</f>
        <v>9674.9599999999991</v>
      </c>
      <c r="S95" s="125">
        <f>Valores!$C$19</f>
        <v>11511.67</v>
      </c>
      <c r="T95" s="125">
        <f t="shared" si="17"/>
        <v>11511.67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Valores!$C$94</f>
        <v>6546.24</v>
      </c>
      <c r="AA95" s="125">
        <f>Valores!$C$25</f>
        <v>505.99</v>
      </c>
      <c r="AB95" s="214">
        <v>0</v>
      </c>
      <c r="AC95" s="125">
        <f t="shared" si="12"/>
        <v>0</v>
      </c>
      <c r="AD95" s="125">
        <f>Valores!$C$26</f>
        <v>505.99</v>
      </c>
      <c r="AE95" s="192">
        <v>0</v>
      </c>
      <c r="AF95" s="125">
        <f>ROUND(AE95*Valores!$C$2,2)</f>
        <v>0</v>
      </c>
      <c r="AG95" s="125">
        <f>ROUND(IF($F$4="NO",Valores!$C$62,Valores!$C$62/2),2)</f>
        <v>6323.27</v>
      </c>
      <c r="AH95" s="125">
        <f t="shared" si="15"/>
        <v>148366.40999999997</v>
      </c>
      <c r="AI95" s="125">
        <f>Valores!$C$31</f>
        <v>0</v>
      </c>
      <c r="AJ95" s="125">
        <f>Valores!$C$87</f>
        <v>0</v>
      </c>
      <c r="AK95" s="125">
        <f>Valores!C$38*B95</f>
        <v>0</v>
      </c>
      <c r="AL95" s="125">
        <f>IF($F$3="NO",0,Valores!$C$55)</f>
        <v>170.34</v>
      </c>
      <c r="AM95" s="125">
        <f t="shared" si="13"/>
        <v>170.34</v>
      </c>
      <c r="AN95" s="125">
        <f>AH95*Valores!$C$70</f>
        <v>-16320.305099999998</v>
      </c>
      <c r="AO95" s="125">
        <f>AH95*-Valores!$C$71</f>
        <v>0</v>
      </c>
      <c r="AP95" s="125">
        <f>AH95*Valores!$C$72</f>
        <v>-6676.4884499999989</v>
      </c>
      <c r="AQ95" s="125">
        <f>Valores!$C$99</f>
        <v>-280.91000000000003</v>
      </c>
      <c r="AR95" s="125">
        <f>IF($F$5=0,Valores!$C$100,(Valores!$C$100+$F$5*(Valores!$C$100)))</f>
        <v>-329</v>
      </c>
      <c r="AS95" s="125">
        <f t="shared" si="16"/>
        <v>124930.04644999998</v>
      </c>
      <c r="AT95" s="125">
        <f t="shared" si="10"/>
        <v>-16320.305099999998</v>
      </c>
      <c r="AU95" s="125">
        <f>AH95*Valores!$C$73</f>
        <v>-4005.8930699999992</v>
      </c>
      <c r="AV95" s="125">
        <f>AH95*Valores!$C$74</f>
        <v>-445.09922999999992</v>
      </c>
      <c r="AW95" s="125">
        <f t="shared" si="14"/>
        <v>127765.45259999998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2153.84</v>
      </c>
      <c r="G96" s="192">
        <v>2481</v>
      </c>
      <c r="H96" s="125">
        <f>ROUND(G96*Valores!$C$2,2)</f>
        <v>60041.19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12426.48</v>
      </c>
      <c r="N96" s="125">
        <f t="shared" si="11"/>
        <v>0</v>
      </c>
      <c r="O96" s="125">
        <f>Valores!$C$8</f>
        <v>26798.030000000002</v>
      </c>
      <c r="P96" s="125">
        <f>Valores!$D$5</f>
        <v>12371.24</v>
      </c>
      <c r="Q96" s="125">
        <v>0</v>
      </c>
      <c r="R96" s="125">
        <f>IF($F$4="NO",Valores!$C$43,Valores!$C$43/2)</f>
        <v>9136.5</v>
      </c>
      <c r="S96" s="125">
        <f>Valores!$C$19</f>
        <v>11511.67</v>
      </c>
      <c r="T96" s="125">
        <f t="shared" si="17"/>
        <v>11511.67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Valores!$C$93</f>
        <v>5455.2</v>
      </c>
      <c r="AA96" s="125">
        <f>Valores!$C$25</f>
        <v>505.99</v>
      </c>
      <c r="AB96" s="214">
        <v>0</v>
      </c>
      <c r="AC96" s="125">
        <f t="shared" si="12"/>
        <v>0</v>
      </c>
      <c r="AD96" s="125">
        <f>Valores!$C$26</f>
        <v>505.99</v>
      </c>
      <c r="AE96" s="192">
        <v>0</v>
      </c>
      <c r="AF96" s="125">
        <f>ROUND(AE96*Valores!$C$2,2)</f>
        <v>0</v>
      </c>
      <c r="AG96" s="125">
        <f>ROUND(IF($F$4="NO",Valores!$C$62,Valores!$C$62/2),2)</f>
        <v>6323.27</v>
      </c>
      <c r="AH96" s="125">
        <f t="shared" si="15"/>
        <v>147229.4</v>
      </c>
      <c r="AI96" s="125">
        <f>Valores!$C$31</f>
        <v>0</v>
      </c>
      <c r="AJ96" s="125">
        <f>Valores!$C$86</f>
        <v>0</v>
      </c>
      <c r="AK96" s="125">
        <f>Valores!C$38*B96</f>
        <v>0</v>
      </c>
      <c r="AL96" s="125">
        <f>IF($F$3="NO",0,Valores!$C$55)</f>
        <v>170.34</v>
      </c>
      <c r="AM96" s="125">
        <f t="shared" si="13"/>
        <v>170.34</v>
      </c>
      <c r="AN96" s="125">
        <f>AH96*Valores!$C$70</f>
        <v>-16195.233999999999</v>
      </c>
      <c r="AO96" s="125">
        <f>AH96*-Valores!$C$71</f>
        <v>0</v>
      </c>
      <c r="AP96" s="125">
        <f>AH96*Valores!$C$72</f>
        <v>-6625.3229999999994</v>
      </c>
      <c r="AQ96" s="125">
        <f>Valores!$C$99</f>
        <v>-280.91000000000003</v>
      </c>
      <c r="AR96" s="125">
        <f>IF($F$5=0,Valores!$C$100,(Valores!$C$100+$F$5*(Valores!$C$100)))</f>
        <v>-329</v>
      </c>
      <c r="AS96" s="125">
        <f t="shared" si="16"/>
        <v>123969.273</v>
      </c>
      <c r="AT96" s="125">
        <f t="shared" si="10"/>
        <v>-16195.233999999999</v>
      </c>
      <c r="AU96" s="125">
        <f>AH96*Valores!$C$73</f>
        <v>-3975.1938</v>
      </c>
      <c r="AV96" s="125">
        <f>AH96*Valores!$C$74</f>
        <v>-441.68819999999999</v>
      </c>
      <c r="AW96" s="125">
        <f t="shared" si="14"/>
        <v>126787.624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2153.84</v>
      </c>
      <c r="G97" s="192">
        <v>2381</v>
      </c>
      <c r="H97" s="125">
        <f>ROUND(G97*Valores!$C$2,2)</f>
        <v>57621.15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12063.47</v>
      </c>
      <c r="N97" s="125">
        <f t="shared" si="11"/>
        <v>0</v>
      </c>
      <c r="O97" s="125">
        <f>Valores!$C$16</f>
        <v>20912.349999999999</v>
      </c>
      <c r="P97" s="125">
        <f>Valores!$D$5</f>
        <v>12371.24</v>
      </c>
      <c r="Q97" s="125">
        <f>Valores!$C$22</f>
        <v>11037.15</v>
      </c>
      <c r="R97" s="125">
        <f>IF($F$4="NO",Valores!$C$43,Valores!$C$43/2)</f>
        <v>9136.5</v>
      </c>
      <c r="S97" s="125">
        <f>Valores!$C$19</f>
        <v>11511.67</v>
      </c>
      <c r="T97" s="125">
        <f t="shared" si="17"/>
        <v>11511.67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Valores!$C$93</f>
        <v>5455.2</v>
      </c>
      <c r="AA97" s="125">
        <f>Valores!$C$25</f>
        <v>505.99</v>
      </c>
      <c r="AB97" s="214">
        <v>0</v>
      </c>
      <c r="AC97" s="125">
        <f t="shared" si="12"/>
        <v>0</v>
      </c>
      <c r="AD97" s="125">
        <f>Valores!$C$26</f>
        <v>505.99</v>
      </c>
      <c r="AE97" s="192">
        <v>0</v>
      </c>
      <c r="AF97" s="125">
        <f>ROUND(AE97*Valores!$C$2,2)</f>
        <v>0</v>
      </c>
      <c r="AG97" s="125">
        <f>ROUND(IF($F$4="NO",Valores!$C$62,Valores!$C$62/2),2)</f>
        <v>6323.27</v>
      </c>
      <c r="AH97" s="125">
        <f t="shared" si="15"/>
        <v>149597.81999999998</v>
      </c>
      <c r="AI97" s="125">
        <f>Valores!$C$31</f>
        <v>0</v>
      </c>
      <c r="AJ97" s="125">
        <f>Valores!$C$86</f>
        <v>0</v>
      </c>
      <c r="AK97" s="125">
        <f>Valores!C$38*B97</f>
        <v>0</v>
      </c>
      <c r="AL97" s="125">
        <f>IF($F$3="NO",0,Valores!$C$55)</f>
        <v>170.34</v>
      </c>
      <c r="AM97" s="125">
        <f t="shared" si="13"/>
        <v>170.34</v>
      </c>
      <c r="AN97" s="125">
        <f>AH97*Valores!$C$70</f>
        <v>-16455.760199999997</v>
      </c>
      <c r="AO97" s="125">
        <f>AH97*-Valores!$C$71</f>
        <v>0</v>
      </c>
      <c r="AP97" s="125">
        <f>AH97*Valores!$C$72</f>
        <v>-6731.9018999999989</v>
      </c>
      <c r="AQ97" s="125">
        <f>Valores!$C$99</f>
        <v>-280.91000000000003</v>
      </c>
      <c r="AR97" s="125">
        <f>IF($F$5=0,Valores!$C$100,(Valores!$C$100+$F$5*(Valores!$C$100)))</f>
        <v>-329</v>
      </c>
      <c r="AS97" s="125">
        <f t="shared" si="16"/>
        <v>125970.58789999998</v>
      </c>
      <c r="AT97" s="125">
        <f t="shared" si="10"/>
        <v>-16455.760199999997</v>
      </c>
      <c r="AU97" s="125">
        <f>AH97*Valores!$C$73</f>
        <v>-4039.1411399999993</v>
      </c>
      <c r="AV97" s="125">
        <f>AH97*Valores!$C$74</f>
        <v>-448.79345999999993</v>
      </c>
      <c r="AW97" s="125">
        <f t="shared" si="14"/>
        <v>128824.46519999998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2153.84</v>
      </c>
      <c r="G98" s="192">
        <v>1768</v>
      </c>
      <c r="H98" s="125">
        <f>ROUND(G98*Valores!$C$2,2)</f>
        <v>42786.31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9838.25</v>
      </c>
      <c r="N98" s="125">
        <f t="shared" si="11"/>
        <v>0</v>
      </c>
      <c r="O98" s="125">
        <f>Valores!$C$16</f>
        <v>20912.349999999999</v>
      </c>
      <c r="P98" s="125">
        <f>Valores!$D$5</f>
        <v>12371.24</v>
      </c>
      <c r="Q98" s="125">
        <f>Valores!$C$22</f>
        <v>11037.15</v>
      </c>
      <c r="R98" s="125">
        <f>IF($F$4="NO",Valores!$C$43,Valores!$C$43/2)</f>
        <v>9136.5</v>
      </c>
      <c r="S98" s="125">
        <f>Valores!$C$19</f>
        <v>11511.67</v>
      </c>
      <c r="T98" s="125">
        <f t="shared" si="17"/>
        <v>11511.67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Valores!$C$93</f>
        <v>5455.2</v>
      </c>
      <c r="AA98" s="125">
        <f>Valores!$C$25</f>
        <v>505.99</v>
      </c>
      <c r="AB98" s="214">
        <v>0</v>
      </c>
      <c r="AC98" s="125">
        <f t="shared" si="12"/>
        <v>0</v>
      </c>
      <c r="AD98" s="125">
        <f>Valores!$C$26</f>
        <v>505.99</v>
      </c>
      <c r="AE98" s="192">
        <v>0</v>
      </c>
      <c r="AF98" s="125">
        <f>ROUND(AE98*Valores!$C$2,2)</f>
        <v>0</v>
      </c>
      <c r="AG98" s="125">
        <f>ROUND(IF($F$4="NO",Valores!$C$62,Valores!$C$62/2),2)</f>
        <v>6323.27</v>
      </c>
      <c r="AH98" s="125">
        <f t="shared" si="15"/>
        <v>132537.76</v>
      </c>
      <c r="AI98" s="125">
        <f>Valores!$C$31</f>
        <v>0</v>
      </c>
      <c r="AJ98" s="125">
        <f>Valores!$C$86</f>
        <v>0</v>
      </c>
      <c r="AK98" s="125">
        <f>Valores!C$38*B98</f>
        <v>0</v>
      </c>
      <c r="AL98" s="125">
        <f>IF($F$3="NO",0,Valores!$C$55)</f>
        <v>170.34</v>
      </c>
      <c r="AM98" s="125">
        <f t="shared" si="13"/>
        <v>170.34</v>
      </c>
      <c r="AN98" s="125">
        <f>AH98*Valores!$C$70</f>
        <v>-14579.153600000001</v>
      </c>
      <c r="AO98" s="125">
        <f>AH98*-Valores!$C$71</f>
        <v>0</v>
      </c>
      <c r="AP98" s="125">
        <f>AH98*Valores!$C$72</f>
        <v>-5964.1992</v>
      </c>
      <c r="AQ98" s="125">
        <f>Valores!$C$99</f>
        <v>-280.91000000000003</v>
      </c>
      <c r="AR98" s="125">
        <f>IF($F$5=0,Valores!$C$100,(Valores!$C$100+$F$5*(Valores!$C$100)))</f>
        <v>-329</v>
      </c>
      <c r="AS98" s="125">
        <f t="shared" si="16"/>
        <v>111554.83720000001</v>
      </c>
      <c r="AT98" s="125">
        <f t="shared" si="10"/>
        <v>-14579.153600000001</v>
      </c>
      <c r="AU98" s="125">
        <f>AH98*Valores!$C$73</f>
        <v>-3578.5195200000003</v>
      </c>
      <c r="AV98" s="125">
        <f>AH98*Valores!$C$74</f>
        <v>-397.61328000000003</v>
      </c>
      <c r="AW98" s="125">
        <f t="shared" si="14"/>
        <v>114152.81359999999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2153.84</v>
      </c>
      <c r="G99" s="192">
        <v>1768</v>
      </c>
      <c r="H99" s="125">
        <f>ROUND(G99*Valores!$C$2,2)</f>
        <v>42786.31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9838.25</v>
      </c>
      <c r="N99" s="125">
        <f t="shared" si="11"/>
        <v>0</v>
      </c>
      <c r="O99" s="125">
        <f>Valores!$C$8</f>
        <v>26798.030000000002</v>
      </c>
      <c r="P99" s="125">
        <f>Valores!$D$5</f>
        <v>12371.24</v>
      </c>
      <c r="Q99" s="125">
        <f>Valores!$C$22</f>
        <v>11037.15</v>
      </c>
      <c r="R99" s="125">
        <f>IF($F$4="NO",Valores!$C$43,Valores!$C$43/2)</f>
        <v>9136.5</v>
      </c>
      <c r="S99" s="125">
        <f>Valores!$C$19</f>
        <v>11511.67</v>
      </c>
      <c r="T99" s="125">
        <f t="shared" si="17"/>
        <v>11511.67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Valores!$C$93</f>
        <v>5455.2</v>
      </c>
      <c r="AA99" s="125">
        <f>Valores!$C$25</f>
        <v>505.99</v>
      </c>
      <c r="AB99" s="214">
        <v>0</v>
      </c>
      <c r="AC99" s="125">
        <f t="shared" si="12"/>
        <v>0</v>
      </c>
      <c r="AD99" s="125">
        <f>Valores!$C$26</f>
        <v>505.99</v>
      </c>
      <c r="AE99" s="192">
        <v>0</v>
      </c>
      <c r="AF99" s="125">
        <f>ROUND(AE99*Valores!$C$2,2)</f>
        <v>0</v>
      </c>
      <c r="AG99" s="125">
        <f>ROUND(IF($F$4="NO",Valores!$C$62,Valores!$C$62/2),2)</f>
        <v>6323.27</v>
      </c>
      <c r="AH99" s="125">
        <f t="shared" si="15"/>
        <v>138423.43999999997</v>
      </c>
      <c r="AI99" s="125">
        <f>Valores!$C$31</f>
        <v>0</v>
      </c>
      <c r="AJ99" s="125">
        <f>Valores!$C$86</f>
        <v>0</v>
      </c>
      <c r="AK99" s="125">
        <f>Valores!C$38*B99</f>
        <v>0</v>
      </c>
      <c r="AL99" s="125">
        <f>IF($F$3="NO",0,Valores!$C$55)</f>
        <v>170.34</v>
      </c>
      <c r="AM99" s="125">
        <f t="shared" si="13"/>
        <v>170.34</v>
      </c>
      <c r="AN99" s="125">
        <f>AH99*Valores!$C$70</f>
        <v>-15226.578399999997</v>
      </c>
      <c r="AO99" s="125">
        <f>AH99*-Valores!$C$71</f>
        <v>0</v>
      </c>
      <c r="AP99" s="125">
        <f>AH99*Valores!$C$72</f>
        <v>-6229.054799999999</v>
      </c>
      <c r="AQ99" s="125">
        <f>Valores!$C$99</f>
        <v>-280.91000000000003</v>
      </c>
      <c r="AR99" s="125">
        <f>IF($F$5=0,Valores!$C$100,(Valores!$C$100+$F$5*(Valores!$C$100)))</f>
        <v>-329</v>
      </c>
      <c r="AS99" s="125">
        <f t="shared" si="16"/>
        <v>116528.23679999998</v>
      </c>
      <c r="AT99" s="125">
        <f t="shared" si="10"/>
        <v>-15226.578399999997</v>
      </c>
      <c r="AU99" s="125">
        <f>AH99*Valores!$C$73</f>
        <v>-3737.4328799999994</v>
      </c>
      <c r="AV99" s="125">
        <f>AH99*Valores!$C$74</f>
        <v>-415.27031999999991</v>
      </c>
      <c r="AW99" s="125">
        <f t="shared" si="14"/>
        <v>119214.49839999998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2153.84</v>
      </c>
      <c r="G100" s="192">
        <v>2211</v>
      </c>
      <c r="H100" s="125">
        <f>ROUND(G100*Valores!$C$2,2)</f>
        <v>53507.08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11446.36</v>
      </c>
      <c r="N100" s="125">
        <f t="shared" si="11"/>
        <v>0</v>
      </c>
      <c r="O100" s="125">
        <f>Valores!$C$8</f>
        <v>26798.030000000002</v>
      </c>
      <c r="P100" s="125">
        <f>Valores!$D$5</f>
        <v>12371.24</v>
      </c>
      <c r="Q100" s="125">
        <f>Valores!$C$22</f>
        <v>11037.15</v>
      </c>
      <c r="R100" s="125">
        <f>IF($F$4="NO",Valores!$C$43,Valores!$C$43/2)</f>
        <v>9136.5</v>
      </c>
      <c r="S100" s="125">
        <f>Valores!$C$19</f>
        <v>11511.67</v>
      </c>
      <c r="T100" s="125">
        <f t="shared" si="17"/>
        <v>11511.67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Valores!$C$93</f>
        <v>5455.2</v>
      </c>
      <c r="AA100" s="125">
        <f>Valores!$C$25</f>
        <v>505.99</v>
      </c>
      <c r="AB100" s="214">
        <v>0</v>
      </c>
      <c r="AC100" s="125">
        <f t="shared" si="12"/>
        <v>0</v>
      </c>
      <c r="AD100" s="125">
        <f>Valores!$C$26</f>
        <v>505.99</v>
      </c>
      <c r="AE100" s="192">
        <v>0</v>
      </c>
      <c r="AF100" s="125">
        <f>ROUND(AE100*Valores!$C$2,2)</f>
        <v>0</v>
      </c>
      <c r="AG100" s="125">
        <f>ROUND(IF($F$4="NO",Valores!$C$62,Valores!$C$62/2),2)</f>
        <v>6323.27</v>
      </c>
      <c r="AH100" s="125">
        <f t="shared" si="15"/>
        <v>150752.31999999998</v>
      </c>
      <c r="AI100" s="125">
        <f>Valores!$C$31</f>
        <v>0</v>
      </c>
      <c r="AJ100" s="125">
        <f>Valores!$C$86</f>
        <v>0</v>
      </c>
      <c r="AK100" s="125">
        <f>Valores!C$38*B100</f>
        <v>0</v>
      </c>
      <c r="AL100" s="125">
        <f>IF($F$3="NO",0,Valores!$C$55)</f>
        <v>170.34</v>
      </c>
      <c r="AM100" s="125">
        <f t="shared" si="13"/>
        <v>170.34</v>
      </c>
      <c r="AN100" s="125">
        <f>AH100*Valores!$C$70</f>
        <v>-16582.755199999996</v>
      </c>
      <c r="AO100" s="125">
        <f>AH100*-Valores!$C$71</f>
        <v>0</v>
      </c>
      <c r="AP100" s="125">
        <f>AH100*Valores!$C$72</f>
        <v>-6783.8543999999983</v>
      </c>
      <c r="AQ100" s="125">
        <f>Valores!$C$99</f>
        <v>-280.91000000000003</v>
      </c>
      <c r="AR100" s="125">
        <f>IF($F$5=0,Valores!$C$100,(Valores!$C$100+$F$5*(Valores!$C$100)))</f>
        <v>-329</v>
      </c>
      <c r="AS100" s="125">
        <f t="shared" si="16"/>
        <v>126946.14039999999</v>
      </c>
      <c r="AT100" s="125">
        <f t="shared" si="10"/>
        <v>-16582.755199999996</v>
      </c>
      <c r="AU100" s="125">
        <f>AH100*Valores!$C$73</f>
        <v>-4070.3126399999992</v>
      </c>
      <c r="AV100" s="125">
        <f>AH100*Valores!$C$74</f>
        <v>-452.25695999999994</v>
      </c>
      <c r="AW100" s="125">
        <f t="shared" si="14"/>
        <v>129817.33519999997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2153.84</v>
      </c>
      <c r="G101" s="192">
        <v>1956</v>
      </c>
      <c r="H101" s="125">
        <f>ROUND(G101*Valores!$C$2,2)</f>
        <v>47335.98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10520.7</v>
      </c>
      <c r="N101" s="125">
        <f t="shared" si="11"/>
        <v>0</v>
      </c>
      <c r="O101" s="125">
        <f>Valores!$C$16</f>
        <v>20912.349999999999</v>
      </c>
      <c r="P101" s="125">
        <f>Valores!$D$5</f>
        <v>12371.24</v>
      </c>
      <c r="Q101" s="125">
        <v>0</v>
      </c>
      <c r="R101" s="125">
        <f>IF($F$4="NO",Valores!$C$43,Valores!$C$43/2)</f>
        <v>9136.5</v>
      </c>
      <c r="S101" s="125">
        <f>Valores!$C$19</f>
        <v>11511.67</v>
      </c>
      <c r="T101" s="125">
        <f t="shared" si="17"/>
        <v>11511.67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Valores!$C$93</f>
        <v>5455.2</v>
      </c>
      <c r="AA101" s="125">
        <f>Valores!$C$25</f>
        <v>505.99</v>
      </c>
      <c r="AB101" s="214">
        <v>0</v>
      </c>
      <c r="AC101" s="125">
        <f t="shared" si="12"/>
        <v>0</v>
      </c>
      <c r="AD101" s="125">
        <f>Valores!$C$26</f>
        <v>505.99</v>
      </c>
      <c r="AE101" s="192">
        <v>0</v>
      </c>
      <c r="AF101" s="125">
        <f>ROUND(AE101*Valores!$C$2,2)</f>
        <v>0</v>
      </c>
      <c r="AG101" s="125">
        <f>ROUND(IF($F$4="NO",Valores!$C$62,Valores!$C$62/2),2)</f>
        <v>6323.27</v>
      </c>
      <c r="AH101" s="125">
        <f t="shared" si="15"/>
        <v>126732.73000000001</v>
      </c>
      <c r="AI101" s="125">
        <f>Valores!$C$31</f>
        <v>0</v>
      </c>
      <c r="AJ101" s="125">
        <f>Valores!$C$86</f>
        <v>0</v>
      </c>
      <c r="AK101" s="125">
        <f>Valores!C$38*B101</f>
        <v>0</v>
      </c>
      <c r="AL101" s="125">
        <f>IF($F$3="NO",0,Valores!$C$55)</f>
        <v>170.34</v>
      </c>
      <c r="AM101" s="125">
        <f t="shared" si="13"/>
        <v>170.34</v>
      </c>
      <c r="AN101" s="125">
        <f>AH101*Valores!$C$70</f>
        <v>-13940.600300000002</v>
      </c>
      <c r="AO101" s="125">
        <f>AH101*-Valores!$C$71</f>
        <v>0</v>
      </c>
      <c r="AP101" s="125">
        <f>AH101*Valores!$C$72</f>
        <v>-5702.9728500000001</v>
      </c>
      <c r="AQ101" s="125">
        <f>Valores!$C$99</f>
        <v>-280.91000000000003</v>
      </c>
      <c r="AR101" s="125">
        <f>IF($F$5=0,Valores!$C$100,(Valores!$C$100+$F$5*(Valores!$C$100)))</f>
        <v>-329</v>
      </c>
      <c r="AS101" s="125">
        <f t="shared" si="16"/>
        <v>106649.58685000001</v>
      </c>
      <c r="AT101" s="125">
        <f t="shared" si="10"/>
        <v>-13940.600300000002</v>
      </c>
      <c r="AU101" s="125">
        <f>AH101*Valores!$C$73</f>
        <v>-3421.7837100000002</v>
      </c>
      <c r="AV101" s="125">
        <f>AH101*Valores!$C$74</f>
        <v>-380.19819000000001</v>
      </c>
      <c r="AW101" s="125">
        <f t="shared" si="14"/>
        <v>109160.4878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2153.84</v>
      </c>
      <c r="G102" s="192">
        <v>1267</v>
      </c>
      <c r="H102" s="125">
        <f>ROUND(G102*Valores!$C$2,2)</f>
        <v>30661.91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8019.59</v>
      </c>
      <c r="N102" s="125">
        <f t="shared" si="11"/>
        <v>0</v>
      </c>
      <c r="O102" s="125">
        <f>Valores!$C$16</f>
        <v>20912.349999999999</v>
      </c>
      <c r="P102" s="125">
        <f>Valores!$D$5</f>
        <v>12371.24</v>
      </c>
      <c r="Q102" s="125">
        <v>0</v>
      </c>
      <c r="R102" s="125">
        <f>IF($F$4="NO",Valores!$C$43,Valores!$C$43/2)</f>
        <v>9136.5</v>
      </c>
      <c r="S102" s="125">
        <f>Valores!$C$19</f>
        <v>11511.67</v>
      </c>
      <c r="T102" s="125">
        <f t="shared" si="17"/>
        <v>11511.67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Valores!$C$93</f>
        <v>5455.2</v>
      </c>
      <c r="AA102" s="125">
        <f>Valores!$C$25</f>
        <v>505.99</v>
      </c>
      <c r="AB102" s="214">
        <v>0</v>
      </c>
      <c r="AC102" s="125">
        <f t="shared" si="12"/>
        <v>0</v>
      </c>
      <c r="AD102" s="125">
        <f>Valores!$C$26</f>
        <v>505.99</v>
      </c>
      <c r="AE102" s="192">
        <v>0</v>
      </c>
      <c r="AF102" s="125">
        <f>ROUND(AE102*Valores!$C$2,2)</f>
        <v>0</v>
      </c>
      <c r="AG102" s="125">
        <f>ROUND(IF($F$4="NO",Valores!$C$62,Valores!$C$62/2),2)</f>
        <v>6323.27</v>
      </c>
      <c r="AH102" s="125">
        <f t="shared" si="15"/>
        <v>107557.55</v>
      </c>
      <c r="AI102" s="125">
        <f>Valores!$C$31</f>
        <v>0</v>
      </c>
      <c r="AJ102" s="125">
        <f>Valores!$C$86</f>
        <v>0</v>
      </c>
      <c r="AK102" s="125">
        <f>Valores!C$38*B102</f>
        <v>0</v>
      </c>
      <c r="AL102" s="125">
        <f>IF($F$3="NO",0,Valores!$C$55)</f>
        <v>170.34</v>
      </c>
      <c r="AM102" s="125">
        <f t="shared" si="13"/>
        <v>170.34</v>
      </c>
      <c r="AN102" s="125">
        <f>AH102*Valores!$C$70</f>
        <v>-11831.3305</v>
      </c>
      <c r="AO102" s="125">
        <f>AH102*-Valores!$C$71</f>
        <v>0</v>
      </c>
      <c r="AP102" s="125">
        <f>AH102*Valores!$C$72</f>
        <v>-4840.0897500000001</v>
      </c>
      <c r="AQ102" s="125">
        <f>Valores!$C$99</f>
        <v>-280.91000000000003</v>
      </c>
      <c r="AR102" s="125">
        <f>IF($F$5=0,Valores!$C$100,(Valores!$C$100+$F$5*(Valores!$C$100)))</f>
        <v>-329</v>
      </c>
      <c r="AS102" s="125">
        <f t="shared" si="16"/>
        <v>90446.55975</v>
      </c>
      <c r="AT102" s="125">
        <f t="shared" si="10"/>
        <v>-11831.3305</v>
      </c>
      <c r="AU102" s="125">
        <f>AH102*Valores!$C$73</f>
        <v>-2904.0538500000002</v>
      </c>
      <c r="AV102" s="125">
        <f>AH102*Valores!$C$74</f>
        <v>-322.67265000000003</v>
      </c>
      <c r="AW102" s="125">
        <f t="shared" si="14"/>
        <v>92669.832999999999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1621.43</v>
      </c>
      <c r="G103" s="192">
        <v>2108</v>
      </c>
      <c r="H103" s="125">
        <f>ROUND(G103*Valores!$C$2,2)</f>
        <v>51014.44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10829.7</v>
      </c>
      <c r="N103" s="125">
        <f t="shared" si="11"/>
        <v>0</v>
      </c>
      <c r="O103" s="125">
        <f>Valores!$C$14</f>
        <v>22412.35</v>
      </c>
      <c r="P103" s="125">
        <f>Valores!$D$5</f>
        <v>12371.24</v>
      </c>
      <c r="Q103" s="125">
        <v>0</v>
      </c>
      <c r="R103" s="125">
        <f>IF($F$4="NO",Valores!$C$41,Valores!$C$41/2)</f>
        <v>8168.15</v>
      </c>
      <c r="S103" s="125">
        <f>Valores!$C$20</f>
        <v>11393.97</v>
      </c>
      <c r="T103" s="125">
        <f t="shared" si="17"/>
        <v>11393.97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Valores!$C$93</f>
        <v>5455.2</v>
      </c>
      <c r="AA103" s="125">
        <f>Valores!$C$25</f>
        <v>505.99</v>
      </c>
      <c r="AB103" s="214">
        <v>0</v>
      </c>
      <c r="AC103" s="125">
        <f t="shared" si="12"/>
        <v>0</v>
      </c>
      <c r="AD103" s="125">
        <f>Valores!$C$26</f>
        <v>505.99</v>
      </c>
      <c r="AE103" s="192">
        <v>0</v>
      </c>
      <c r="AF103" s="125">
        <f>ROUND(AE103*Valores!$C$2,2)</f>
        <v>0</v>
      </c>
      <c r="AG103" s="125">
        <f>ROUND(IF($F$4="NO",Valores!$C$62,Valores!$C$62/2),2)</f>
        <v>6323.27</v>
      </c>
      <c r="AH103" s="125">
        <f t="shared" si="15"/>
        <v>130601.73000000003</v>
      </c>
      <c r="AI103" s="125">
        <f>Valores!$C$31</f>
        <v>0</v>
      </c>
      <c r="AJ103" s="125">
        <f>Valores!$C$86</f>
        <v>0</v>
      </c>
      <c r="AK103" s="125">
        <f>Valores!C$38*B103</f>
        <v>0</v>
      </c>
      <c r="AL103" s="125">
        <f>IF($F$3="NO",0,Valores!$C$55)</f>
        <v>170.34</v>
      </c>
      <c r="AM103" s="125">
        <f t="shared" si="13"/>
        <v>170.34</v>
      </c>
      <c r="AN103" s="125">
        <f>AH103*Valores!$C$70</f>
        <v>-14366.190300000002</v>
      </c>
      <c r="AO103" s="125">
        <f>AH103*-Valores!$C$71</f>
        <v>0</v>
      </c>
      <c r="AP103" s="125">
        <f>AH103*Valores!$C$72</f>
        <v>-5877.0778500000006</v>
      </c>
      <c r="AQ103" s="125">
        <f>Valores!$C$99</f>
        <v>-280.91000000000003</v>
      </c>
      <c r="AR103" s="125">
        <f>IF($F$5=0,Valores!$C$100,(Valores!$C$100+$F$5*(Valores!$C$100)))</f>
        <v>-329</v>
      </c>
      <c r="AS103" s="125">
        <f t="shared" si="16"/>
        <v>109918.89185000001</v>
      </c>
      <c r="AT103" s="125">
        <f t="shared" si="10"/>
        <v>-14366.190300000002</v>
      </c>
      <c r="AU103" s="125">
        <f>AH103*Valores!$C$73</f>
        <v>-3526.2467100000008</v>
      </c>
      <c r="AV103" s="125">
        <f>AH103*Valores!$C$74</f>
        <v>-391.8051900000001</v>
      </c>
      <c r="AW103" s="125">
        <f t="shared" si="14"/>
        <v>112487.82780000003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1089.02</v>
      </c>
      <c r="G104" s="192">
        <v>1502</v>
      </c>
      <c r="H104" s="125">
        <f>ROUND(G104*Valores!$C$2,2)</f>
        <v>36349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8550.02</v>
      </c>
      <c r="N104" s="125">
        <f t="shared" si="11"/>
        <v>0</v>
      </c>
      <c r="O104" s="125">
        <f>Valores!$C$14</f>
        <v>22412.35</v>
      </c>
      <c r="P104" s="125">
        <f>Valores!$D$5</f>
        <v>12371.24</v>
      </c>
      <c r="Q104" s="125">
        <v>0</v>
      </c>
      <c r="R104" s="125">
        <f>IF($F$4="NO",Valores!$C$41,Valores!$C$41/2)</f>
        <v>8168.15</v>
      </c>
      <c r="S104" s="125">
        <f>Valores!$C$20</f>
        <v>11393.97</v>
      </c>
      <c r="T104" s="125">
        <f t="shared" si="17"/>
        <v>11393.97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Valores!$C$93</f>
        <v>5455.2</v>
      </c>
      <c r="AA104" s="125">
        <f>Valores!$C$25</f>
        <v>505.99</v>
      </c>
      <c r="AB104" s="214">
        <v>0</v>
      </c>
      <c r="AC104" s="125">
        <f t="shared" si="12"/>
        <v>0</v>
      </c>
      <c r="AD104" s="125">
        <f>Valores!$C$26</f>
        <v>505.99</v>
      </c>
      <c r="AE104" s="192">
        <v>0</v>
      </c>
      <c r="AF104" s="125">
        <f>ROUND(AE104*Valores!$C$2,2)</f>
        <v>0</v>
      </c>
      <c r="AG104" s="125">
        <f>ROUND(IF($F$4="NO",Valores!$C$62,Valores!$C$62/2),2)</f>
        <v>6323.27</v>
      </c>
      <c r="AH104" s="125">
        <f t="shared" si="15"/>
        <v>113124.2</v>
      </c>
      <c r="AI104" s="125">
        <f>Valores!$C$31</f>
        <v>0</v>
      </c>
      <c r="AJ104" s="125">
        <f>Valores!$C$86</f>
        <v>0</v>
      </c>
      <c r="AK104" s="125">
        <f>Valores!C$38*B104</f>
        <v>0</v>
      </c>
      <c r="AL104" s="125">
        <f>IF($F$3="NO",0,Valores!$C$55)</f>
        <v>170.34</v>
      </c>
      <c r="AM104" s="125">
        <f t="shared" si="13"/>
        <v>170.34</v>
      </c>
      <c r="AN104" s="125">
        <f>AH104*Valores!$C$70</f>
        <v>-12443.662</v>
      </c>
      <c r="AO104" s="125">
        <f>AH104*-Valores!$C$71</f>
        <v>0</v>
      </c>
      <c r="AP104" s="125">
        <f>AH104*Valores!$C$72</f>
        <v>-5090.5889999999999</v>
      </c>
      <c r="AQ104" s="125">
        <f>Valores!$C$99</f>
        <v>-280.91000000000003</v>
      </c>
      <c r="AR104" s="125">
        <f>IF($F$5=0,Valores!$C$100,(Valores!$C$100+$F$5*(Valores!$C$100)))</f>
        <v>-329</v>
      </c>
      <c r="AS104" s="125">
        <f t="shared" si="16"/>
        <v>95150.379000000001</v>
      </c>
      <c r="AT104" s="125">
        <f t="shared" si="10"/>
        <v>-12443.662</v>
      </c>
      <c r="AU104" s="125">
        <f>AH104*Valores!$C$73</f>
        <v>-3054.3534</v>
      </c>
      <c r="AV104" s="125">
        <f>AH104*Valores!$C$74</f>
        <v>-339.37259999999998</v>
      </c>
      <c r="AW104" s="125">
        <f t="shared" si="14"/>
        <v>97457.151999999987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1476.22</v>
      </c>
      <c r="G105" s="192">
        <v>2114</v>
      </c>
      <c r="H105" s="125">
        <f>ROUND(G105*Valores!$C$2,2)</f>
        <v>51159.65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10829.7</v>
      </c>
      <c r="N105" s="125">
        <f t="shared" si="11"/>
        <v>0</v>
      </c>
      <c r="O105" s="125">
        <f>Valores!$C$14</f>
        <v>22412.35</v>
      </c>
      <c r="P105" s="125">
        <f>Valores!$D$5</f>
        <v>12371.24</v>
      </c>
      <c r="Q105" s="125">
        <v>0</v>
      </c>
      <c r="R105" s="125">
        <f>IF($F$4="NO",Valores!$C$41,Valores!$C$41/2)</f>
        <v>8168.15</v>
      </c>
      <c r="S105" s="125">
        <f>Valores!$C$20</f>
        <v>11393.97</v>
      </c>
      <c r="T105" s="125">
        <f t="shared" si="17"/>
        <v>11393.97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Valores!$C$93</f>
        <v>5455.2</v>
      </c>
      <c r="AA105" s="125">
        <f>Valores!$C$25</f>
        <v>505.99</v>
      </c>
      <c r="AB105" s="214">
        <v>0</v>
      </c>
      <c r="AC105" s="125">
        <f t="shared" si="12"/>
        <v>0</v>
      </c>
      <c r="AD105" s="125">
        <f>Valores!$C$26</f>
        <v>505.99</v>
      </c>
      <c r="AE105" s="192">
        <v>0</v>
      </c>
      <c r="AF105" s="125">
        <f>ROUND(AE105*Valores!$C$2,2)</f>
        <v>0</v>
      </c>
      <c r="AG105" s="125">
        <f>ROUND(IF($F$4="NO",Valores!$C$62,Valores!$C$62/2),2)</f>
        <v>6323.27</v>
      </c>
      <c r="AH105" s="125">
        <f t="shared" si="15"/>
        <v>130601.73000000003</v>
      </c>
      <c r="AI105" s="125">
        <f>Valores!$C$31</f>
        <v>0</v>
      </c>
      <c r="AJ105" s="125">
        <f>Valores!$C$86</f>
        <v>0</v>
      </c>
      <c r="AK105" s="125">
        <f>Valores!C$38*B105</f>
        <v>0</v>
      </c>
      <c r="AL105" s="125">
        <f>IF($F$3="NO",0,Valores!$C$55)</f>
        <v>170.34</v>
      </c>
      <c r="AM105" s="125">
        <f t="shared" si="13"/>
        <v>170.34</v>
      </c>
      <c r="AN105" s="125">
        <f>AH105*Valores!$C$70</f>
        <v>-14366.190300000002</v>
      </c>
      <c r="AO105" s="125">
        <f>AH105*-Valores!$C$71</f>
        <v>0</v>
      </c>
      <c r="AP105" s="125">
        <f>AH105*Valores!$C$72</f>
        <v>-5877.0778500000006</v>
      </c>
      <c r="AQ105" s="125">
        <f>Valores!$C$99</f>
        <v>-280.91000000000003</v>
      </c>
      <c r="AR105" s="125">
        <f>IF($F$5=0,Valores!$C$100,(Valores!$C$100+$F$5*(Valores!$C$100)))</f>
        <v>-329</v>
      </c>
      <c r="AS105" s="125">
        <f t="shared" si="16"/>
        <v>109918.89185000001</v>
      </c>
      <c r="AT105" s="125">
        <f t="shared" si="10"/>
        <v>-14366.190300000002</v>
      </c>
      <c r="AU105" s="125">
        <f>AH105*Valores!$C$73</f>
        <v>-3526.2467100000008</v>
      </c>
      <c r="AV105" s="125">
        <f>AH105*Valores!$C$74</f>
        <v>-391.8051900000001</v>
      </c>
      <c r="AW105" s="125">
        <f t="shared" si="14"/>
        <v>112487.82780000003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1427.82</v>
      </c>
      <c r="G106" s="192">
        <v>2013</v>
      </c>
      <c r="H106" s="125">
        <f>ROUND(G106*Valores!$C$2,2)</f>
        <v>48715.41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10455.799999999999</v>
      </c>
      <c r="N106" s="125">
        <f t="shared" si="11"/>
        <v>0</v>
      </c>
      <c r="O106" s="125">
        <f>Valores!$C$14</f>
        <v>22412.35</v>
      </c>
      <c r="P106" s="125">
        <f>Valores!$D$5</f>
        <v>12371.24</v>
      </c>
      <c r="Q106" s="125">
        <v>0</v>
      </c>
      <c r="R106" s="125">
        <f>IF($F$4="NO",Valores!$C$41,Valores!$C$41/2)</f>
        <v>8168.15</v>
      </c>
      <c r="S106" s="125">
        <f>Valores!$C$20</f>
        <v>11393.97</v>
      </c>
      <c r="T106" s="125">
        <f t="shared" si="17"/>
        <v>11393.97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Valores!$C$93</f>
        <v>5455.2</v>
      </c>
      <c r="AA106" s="125">
        <f>Valores!$C$25</f>
        <v>505.99</v>
      </c>
      <c r="AB106" s="214">
        <v>0</v>
      </c>
      <c r="AC106" s="125">
        <f t="shared" si="12"/>
        <v>0</v>
      </c>
      <c r="AD106" s="125">
        <f>Valores!$C$26</f>
        <v>505.99</v>
      </c>
      <c r="AE106" s="192">
        <v>0</v>
      </c>
      <c r="AF106" s="125">
        <f>ROUND(AE106*Valores!$C$2,2)</f>
        <v>0</v>
      </c>
      <c r="AG106" s="125">
        <f>ROUND(IF($F$4="NO",Valores!$C$62,Valores!$C$62/2),2)</f>
        <v>6323.27</v>
      </c>
      <c r="AH106" s="125">
        <f t="shared" si="15"/>
        <v>127735.19000000002</v>
      </c>
      <c r="AI106" s="125">
        <f>Valores!$C$31</f>
        <v>0</v>
      </c>
      <c r="AJ106" s="125">
        <f>Valores!$C$86</f>
        <v>0</v>
      </c>
      <c r="AK106" s="125">
        <f>Valores!C$38*B106</f>
        <v>0</v>
      </c>
      <c r="AL106" s="125">
        <f>IF($F$3="NO",0,Valores!$C$55)</f>
        <v>170.34</v>
      </c>
      <c r="AM106" s="125">
        <f t="shared" si="13"/>
        <v>170.34</v>
      </c>
      <c r="AN106" s="125">
        <f>AH106*Valores!$C$70</f>
        <v>-14050.870900000002</v>
      </c>
      <c r="AO106" s="125">
        <f>AH106*-Valores!$C$71</f>
        <v>0</v>
      </c>
      <c r="AP106" s="125">
        <f>AH106*Valores!$C$72</f>
        <v>-5748.0835500000003</v>
      </c>
      <c r="AQ106" s="125">
        <f>Valores!$C$99</f>
        <v>-280.91000000000003</v>
      </c>
      <c r="AR106" s="125">
        <f>IF($F$5=0,Valores!$C$100,(Valores!$C$100+$F$5*(Valores!$C$100)))</f>
        <v>-329</v>
      </c>
      <c r="AS106" s="125">
        <f t="shared" si="16"/>
        <v>107496.66555000002</v>
      </c>
      <c r="AT106" s="125">
        <f t="shared" si="10"/>
        <v>-14050.870900000002</v>
      </c>
      <c r="AU106" s="125">
        <f>AH106*Valores!$C$73</f>
        <v>-3448.8501300000003</v>
      </c>
      <c r="AV106" s="125">
        <f>AH106*Valores!$C$74</f>
        <v>-383.20557000000008</v>
      </c>
      <c r="AW106" s="125">
        <f t="shared" si="14"/>
        <v>110022.60340000002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1355.22</v>
      </c>
      <c r="G107" s="192">
        <v>1720</v>
      </c>
      <c r="H107" s="125">
        <f>ROUND(G107*Valores!$C$2,2)</f>
        <v>41624.69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9381.2999999999993</v>
      </c>
      <c r="N107" s="125">
        <f t="shared" si="11"/>
        <v>0</v>
      </c>
      <c r="O107" s="125">
        <f>Valores!$C$14</f>
        <v>22412.35</v>
      </c>
      <c r="P107" s="125">
        <f>Valores!$D$5</f>
        <v>12371.24</v>
      </c>
      <c r="Q107" s="125">
        <v>0</v>
      </c>
      <c r="R107" s="125">
        <f>IF($F$4="NO",Valores!$C$41,Valores!$C$41/2)</f>
        <v>8168.15</v>
      </c>
      <c r="S107" s="125">
        <f>Valores!$C$20</f>
        <v>11393.97</v>
      </c>
      <c r="T107" s="125">
        <f t="shared" si="17"/>
        <v>11393.97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Valores!$C$93</f>
        <v>5455.2</v>
      </c>
      <c r="AA107" s="125">
        <f>Valores!$C$25</f>
        <v>505.99</v>
      </c>
      <c r="AB107" s="214">
        <v>0</v>
      </c>
      <c r="AC107" s="125">
        <f t="shared" si="12"/>
        <v>0</v>
      </c>
      <c r="AD107" s="125">
        <f>Valores!$C$26</f>
        <v>505.99</v>
      </c>
      <c r="AE107" s="192">
        <v>0</v>
      </c>
      <c r="AF107" s="125">
        <f>ROUND(AE107*Valores!$C$2,2)</f>
        <v>0</v>
      </c>
      <c r="AG107" s="125">
        <f>ROUND(IF($F$4="NO",Valores!$C$62,Valores!$C$62/2),2)</f>
        <v>6323.27</v>
      </c>
      <c r="AH107" s="125">
        <f t="shared" si="15"/>
        <v>119497.37000000001</v>
      </c>
      <c r="AI107" s="125">
        <f>Valores!$C$31</f>
        <v>0</v>
      </c>
      <c r="AJ107" s="125">
        <f>Valores!$C$86</f>
        <v>0</v>
      </c>
      <c r="AK107" s="125">
        <f>Valores!C$38*B107</f>
        <v>0</v>
      </c>
      <c r="AL107" s="125">
        <f>IF($F$3="NO",0,Valores!$C$55)</f>
        <v>170.34</v>
      </c>
      <c r="AM107" s="125">
        <f t="shared" si="13"/>
        <v>170.34</v>
      </c>
      <c r="AN107" s="125">
        <f>AH107*Valores!$C$70</f>
        <v>-13144.710700000001</v>
      </c>
      <c r="AO107" s="125">
        <f>AH107*-Valores!$C$71</f>
        <v>0</v>
      </c>
      <c r="AP107" s="125">
        <f>AH107*Valores!$C$72</f>
        <v>-5377.3816500000003</v>
      </c>
      <c r="AQ107" s="125">
        <f>Valores!$C$99</f>
        <v>-280.91000000000003</v>
      </c>
      <c r="AR107" s="125">
        <f>IF($F$5=0,Valores!$C$100,(Valores!$C$100+$F$5*(Valores!$C$100)))</f>
        <v>-329</v>
      </c>
      <c r="AS107" s="125">
        <f t="shared" si="16"/>
        <v>100535.70765000001</v>
      </c>
      <c r="AT107" s="125">
        <f t="shared" si="10"/>
        <v>-13144.710700000001</v>
      </c>
      <c r="AU107" s="125">
        <f>AH107*Valores!$C$73</f>
        <v>-3226.4289900000003</v>
      </c>
      <c r="AV107" s="125">
        <f>AH107*Valores!$C$74</f>
        <v>-358.49211000000003</v>
      </c>
      <c r="AW107" s="125">
        <f t="shared" si="14"/>
        <v>102938.0782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1089.02</v>
      </c>
      <c r="G108" s="192">
        <v>1502</v>
      </c>
      <c r="H108" s="125">
        <f>ROUND(G108*Valores!$C$2,2)</f>
        <v>36349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8550.02</v>
      </c>
      <c r="N108" s="125">
        <f t="shared" si="11"/>
        <v>0</v>
      </c>
      <c r="O108" s="125">
        <f>Valores!$C$14</f>
        <v>22412.35</v>
      </c>
      <c r="P108" s="125">
        <f>Valores!$D$5</f>
        <v>12371.24</v>
      </c>
      <c r="Q108" s="125">
        <v>0</v>
      </c>
      <c r="R108" s="125">
        <f>IF($F$4="NO",Valores!$C$41,Valores!$C$41/2)</f>
        <v>8168.15</v>
      </c>
      <c r="S108" s="125">
        <f>Valores!$C$20</f>
        <v>11393.97</v>
      </c>
      <c r="T108" s="125">
        <f t="shared" si="17"/>
        <v>11393.97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Valores!$C$93</f>
        <v>5455.2</v>
      </c>
      <c r="AA108" s="125">
        <f>Valores!$C$25</f>
        <v>505.99</v>
      </c>
      <c r="AB108" s="214">
        <v>0</v>
      </c>
      <c r="AC108" s="125">
        <f t="shared" si="12"/>
        <v>0</v>
      </c>
      <c r="AD108" s="125">
        <f>Valores!$C$26</f>
        <v>505.99</v>
      </c>
      <c r="AE108" s="192">
        <v>0</v>
      </c>
      <c r="AF108" s="125">
        <f>ROUND(AE108*Valores!$C$2,2)</f>
        <v>0</v>
      </c>
      <c r="AG108" s="125">
        <f>ROUND(IF($F$4="NO",Valores!$C$62,Valores!$C$62/2),2)</f>
        <v>6323.27</v>
      </c>
      <c r="AH108" s="125">
        <f t="shared" si="15"/>
        <v>113124.2</v>
      </c>
      <c r="AI108" s="125">
        <f>Valores!$C$31</f>
        <v>0</v>
      </c>
      <c r="AJ108" s="125">
        <f>Valores!$C$86</f>
        <v>0</v>
      </c>
      <c r="AK108" s="125">
        <f>Valores!C$38*B108</f>
        <v>0</v>
      </c>
      <c r="AL108" s="125">
        <f>IF($F$3="NO",0,Valores!$C$55)</f>
        <v>170.34</v>
      </c>
      <c r="AM108" s="125">
        <f t="shared" si="13"/>
        <v>170.34</v>
      </c>
      <c r="AN108" s="125">
        <f>AH108*Valores!$C$70</f>
        <v>-12443.662</v>
      </c>
      <c r="AO108" s="125">
        <f>AH108*-Valores!$C$71</f>
        <v>0</v>
      </c>
      <c r="AP108" s="125">
        <f>AH108*Valores!$C$72</f>
        <v>-5090.5889999999999</v>
      </c>
      <c r="AQ108" s="125">
        <f>Valores!$C$99</f>
        <v>-280.91000000000003</v>
      </c>
      <c r="AR108" s="125">
        <f>IF($F$5=0,Valores!$C$100,(Valores!$C$100+$F$5*(Valores!$C$100)))</f>
        <v>-329</v>
      </c>
      <c r="AS108" s="125">
        <f t="shared" si="16"/>
        <v>95150.379000000001</v>
      </c>
      <c r="AT108" s="125">
        <f t="shared" si="10"/>
        <v>-12443.662</v>
      </c>
      <c r="AU108" s="125">
        <f>AH108*Valores!$C$73</f>
        <v>-3054.3534</v>
      </c>
      <c r="AV108" s="125">
        <f>AH108*Valores!$C$74</f>
        <v>-339.37259999999998</v>
      </c>
      <c r="AW108" s="125">
        <f t="shared" si="14"/>
        <v>97457.151999999987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1089.02</v>
      </c>
      <c r="G109" s="192">
        <v>1139</v>
      </c>
      <c r="H109" s="125">
        <f>ROUND(G109*Valores!$C$2,2)</f>
        <v>27564.26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7232.31</v>
      </c>
      <c r="N109" s="125">
        <f t="shared" si="11"/>
        <v>0</v>
      </c>
      <c r="O109" s="125">
        <f>Valores!$C$14</f>
        <v>22412.35</v>
      </c>
      <c r="P109" s="125">
        <f>Valores!$D$5</f>
        <v>12371.24</v>
      </c>
      <c r="Q109" s="125">
        <v>0</v>
      </c>
      <c r="R109" s="125">
        <f>IF($F$4="NO",Valores!$C$41,Valores!$C$41/2)</f>
        <v>8168.15</v>
      </c>
      <c r="S109" s="125">
        <f>Valores!$C$20</f>
        <v>11393.97</v>
      </c>
      <c r="T109" s="125">
        <f t="shared" si="17"/>
        <v>11393.97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Valores!$C$93</f>
        <v>5455.2</v>
      </c>
      <c r="AA109" s="125">
        <f>Valores!$C$25</f>
        <v>505.99</v>
      </c>
      <c r="AB109" s="214">
        <v>0</v>
      </c>
      <c r="AC109" s="125">
        <f t="shared" si="12"/>
        <v>0</v>
      </c>
      <c r="AD109" s="125">
        <f>Valores!$C$26</f>
        <v>505.99</v>
      </c>
      <c r="AE109" s="192">
        <v>0</v>
      </c>
      <c r="AF109" s="125">
        <f>ROUND(AE109*Valores!$C$2,2)</f>
        <v>0</v>
      </c>
      <c r="AG109" s="125">
        <f>ROUND(IF($F$4="NO",Valores!$C$62,Valores!$C$62/2),2)</f>
        <v>6323.27</v>
      </c>
      <c r="AH109" s="125">
        <f t="shared" si="15"/>
        <v>103021.75</v>
      </c>
      <c r="AI109" s="125">
        <f>Valores!$C$31</f>
        <v>0</v>
      </c>
      <c r="AJ109" s="125">
        <f>Valores!$C$86</f>
        <v>0</v>
      </c>
      <c r="AK109" s="125">
        <f>Valores!C$38*B109</f>
        <v>0</v>
      </c>
      <c r="AL109" s="125">
        <f>IF($F$3="NO",0,Valores!$C$55)</f>
        <v>170.34</v>
      </c>
      <c r="AM109" s="125">
        <f t="shared" si="13"/>
        <v>170.34</v>
      </c>
      <c r="AN109" s="125">
        <f>AH109*Valores!$C$70</f>
        <v>-11332.3925</v>
      </c>
      <c r="AO109" s="125">
        <f>AH109*-Valores!$C$71</f>
        <v>0</v>
      </c>
      <c r="AP109" s="125">
        <f>AH109*Valores!$C$72</f>
        <v>-4635.9787500000002</v>
      </c>
      <c r="AQ109" s="125">
        <f>Valores!$C$99</f>
        <v>-280.91000000000003</v>
      </c>
      <c r="AR109" s="125">
        <f>IF($F$5=0,Valores!$C$100,(Valores!$C$100+$F$5*(Valores!$C$100)))</f>
        <v>-329</v>
      </c>
      <c r="AS109" s="125">
        <f t="shared" si="16"/>
        <v>86613.808749999997</v>
      </c>
      <c r="AT109" s="125">
        <f t="shared" si="10"/>
        <v>-11332.3925</v>
      </c>
      <c r="AU109" s="125">
        <f>AH109*Valores!$C$73</f>
        <v>-2781.58725</v>
      </c>
      <c r="AV109" s="125">
        <f>AH109*Valores!$C$74</f>
        <v>-309.06524999999999</v>
      </c>
      <c r="AW109" s="125">
        <f t="shared" si="14"/>
        <v>88769.044999999998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1113.22</v>
      </c>
      <c r="G110" s="192">
        <v>1102</v>
      </c>
      <c r="H110" s="125">
        <f>ROUND(G110*Valores!$C$2,2)</f>
        <v>26668.84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7101.63</v>
      </c>
      <c r="N110" s="125">
        <f t="shared" si="11"/>
        <v>0</v>
      </c>
      <c r="O110" s="125">
        <f>Valores!$C$14</f>
        <v>22412.35</v>
      </c>
      <c r="P110" s="125">
        <f>Valores!$D$5</f>
        <v>12371.24</v>
      </c>
      <c r="Q110" s="125">
        <v>0</v>
      </c>
      <c r="R110" s="125">
        <f>IF($F$4="NO",Valores!$C$41,Valores!$C$41/2)</f>
        <v>8168.15</v>
      </c>
      <c r="S110" s="125">
        <f>Valores!$C$20</f>
        <v>11393.97</v>
      </c>
      <c r="T110" s="125">
        <f t="shared" si="17"/>
        <v>11393.97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Valores!$C$93</f>
        <v>5455.2</v>
      </c>
      <c r="AA110" s="125">
        <f>Valores!$C$25</f>
        <v>505.99</v>
      </c>
      <c r="AB110" s="214">
        <v>0</v>
      </c>
      <c r="AC110" s="125">
        <f t="shared" si="12"/>
        <v>0</v>
      </c>
      <c r="AD110" s="125">
        <f>Valores!$C$26</f>
        <v>505.99</v>
      </c>
      <c r="AE110" s="192">
        <v>0</v>
      </c>
      <c r="AF110" s="125">
        <f>ROUND(AE110*Valores!$C$2,2)</f>
        <v>0</v>
      </c>
      <c r="AG110" s="125">
        <f>ROUND(IF($F$4="NO",Valores!$C$62,Valores!$C$62/2),2)</f>
        <v>6323.27</v>
      </c>
      <c r="AH110" s="125">
        <f t="shared" si="15"/>
        <v>102019.85</v>
      </c>
      <c r="AI110" s="125">
        <f>Valores!$C$31</f>
        <v>0</v>
      </c>
      <c r="AJ110" s="125">
        <f>Valores!$C$86</f>
        <v>0</v>
      </c>
      <c r="AK110" s="125">
        <f>Valores!C$38*B110</f>
        <v>0</v>
      </c>
      <c r="AL110" s="125">
        <f>IF($F$3="NO",0,Valores!$C$55)</f>
        <v>170.34</v>
      </c>
      <c r="AM110" s="125">
        <f t="shared" si="13"/>
        <v>170.34</v>
      </c>
      <c r="AN110" s="125">
        <f>AH110*Valores!$C$70</f>
        <v>-11222.183500000001</v>
      </c>
      <c r="AO110" s="125">
        <f>AH110*-Valores!$C$71</f>
        <v>0</v>
      </c>
      <c r="AP110" s="125">
        <f>AH110*Valores!$C$72</f>
        <v>-4590.8932500000001</v>
      </c>
      <c r="AQ110" s="125">
        <f>Valores!$C$99</f>
        <v>-280.91000000000003</v>
      </c>
      <c r="AR110" s="125">
        <f>IF($F$5=0,Valores!$C$100,(Valores!$C$100+$F$5*(Valores!$C$100)))</f>
        <v>-329</v>
      </c>
      <c r="AS110" s="125">
        <f t="shared" si="16"/>
        <v>85767.203250000006</v>
      </c>
      <c r="AT110" s="125">
        <f t="shared" si="10"/>
        <v>-11222.183500000001</v>
      </c>
      <c r="AU110" s="125">
        <f>AH110*Valores!$C$73</f>
        <v>-2754.53595</v>
      </c>
      <c r="AV110" s="125">
        <f>AH110*Valores!$C$74</f>
        <v>-306.05955</v>
      </c>
      <c r="AW110" s="125">
        <f t="shared" si="14"/>
        <v>87907.411000000007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1597.23</v>
      </c>
      <c r="G111" s="192">
        <v>1911</v>
      </c>
      <c r="H111" s="125">
        <f>ROUND(G111*Valores!$C$2,2)</f>
        <v>46246.96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10110.950000000001</v>
      </c>
      <c r="N111" s="125">
        <f t="shared" si="11"/>
        <v>0</v>
      </c>
      <c r="O111" s="125">
        <f>Valores!$C$14</f>
        <v>22412.35</v>
      </c>
      <c r="P111" s="125">
        <f>Valores!$D$5</f>
        <v>12371.24</v>
      </c>
      <c r="Q111" s="125">
        <f>Valores!$C$22</f>
        <v>11037.15</v>
      </c>
      <c r="R111" s="125">
        <f>IF($F$4="NO",Valores!$C$41,Valores!$C$41/2)</f>
        <v>8168.15</v>
      </c>
      <c r="S111" s="125">
        <f>Valores!$C$20</f>
        <v>11393.97</v>
      </c>
      <c r="T111" s="125">
        <f t="shared" si="17"/>
        <v>11393.97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Valores!$C$93</f>
        <v>5455.2</v>
      </c>
      <c r="AA111" s="125">
        <f>Valores!$C$25</f>
        <v>505.99</v>
      </c>
      <c r="AB111" s="214">
        <v>0</v>
      </c>
      <c r="AC111" s="125">
        <f t="shared" si="12"/>
        <v>0</v>
      </c>
      <c r="AD111" s="125">
        <f>Valores!$C$26</f>
        <v>505.99</v>
      </c>
      <c r="AE111" s="192">
        <v>94</v>
      </c>
      <c r="AF111" s="125">
        <f>ROUND(AE111*Valores!$C$2,2)</f>
        <v>2274.84</v>
      </c>
      <c r="AG111" s="125">
        <f>ROUND(IF($F$4="NO",Valores!$C$62,Valores!$C$62/2),2)</f>
        <v>6323.27</v>
      </c>
      <c r="AH111" s="125">
        <f t="shared" si="15"/>
        <v>138403.28999999998</v>
      </c>
      <c r="AI111" s="125">
        <f>Valores!$C$31</f>
        <v>0</v>
      </c>
      <c r="AJ111" s="125">
        <f>Valores!$C$86</f>
        <v>0</v>
      </c>
      <c r="AK111" s="125">
        <f>Valores!C$38*B111</f>
        <v>0</v>
      </c>
      <c r="AL111" s="125">
        <f>IF($F$3="NO",0,Valores!$C$55)</f>
        <v>170.34</v>
      </c>
      <c r="AM111" s="125">
        <f t="shared" si="13"/>
        <v>170.34</v>
      </c>
      <c r="AN111" s="125">
        <f>AH111*Valores!$C$70</f>
        <v>-15224.361899999998</v>
      </c>
      <c r="AO111" s="125">
        <f>AH111*-Valores!$C$71</f>
        <v>0</v>
      </c>
      <c r="AP111" s="125">
        <f>AH111*Valores!$C$72</f>
        <v>-6228.1480499999989</v>
      </c>
      <c r="AQ111" s="125">
        <f>Valores!$C$99</f>
        <v>-280.91000000000003</v>
      </c>
      <c r="AR111" s="125">
        <f>IF($F$5=0,Valores!$C$100,(Valores!$C$100+$F$5*(Valores!$C$100)))</f>
        <v>-329</v>
      </c>
      <c r="AS111" s="125">
        <f t="shared" si="16"/>
        <v>116511.21004999998</v>
      </c>
      <c r="AT111" s="125">
        <f t="shared" si="10"/>
        <v>-15224.361899999998</v>
      </c>
      <c r="AU111" s="125">
        <f>AH111*Valores!$C$73</f>
        <v>-3736.8888299999994</v>
      </c>
      <c r="AV111" s="125">
        <f>AH111*Valores!$C$74</f>
        <v>-415.20986999999997</v>
      </c>
      <c r="AW111" s="125">
        <f t="shared" si="14"/>
        <v>119197.16939999998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1476.22</v>
      </c>
      <c r="G112" s="192">
        <v>1545</v>
      </c>
      <c r="H112" s="125">
        <f>ROUND(G112*Valores!$C$2,2)</f>
        <v>37389.620000000003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8764.19</v>
      </c>
      <c r="N112" s="125">
        <f t="shared" si="11"/>
        <v>0</v>
      </c>
      <c r="O112" s="125">
        <f>Valores!$C$14</f>
        <v>22412.35</v>
      </c>
      <c r="P112" s="125">
        <f>Valores!$D$5</f>
        <v>12371.24</v>
      </c>
      <c r="Q112" s="125">
        <f>Valores!$C$22</f>
        <v>11037.15</v>
      </c>
      <c r="R112" s="125">
        <f>IF($F$4="NO",Valores!$C$41,Valores!$C$41/2)</f>
        <v>8168.15</v>
      </c>
      <c r="S112" s="125">
        <f>Valores!$C$20</f>
        <v>11393.97</v>
      </c>
      <c r="T112" s="125">
        <f t="shared" si="17"/>
        <v>11393.97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Valores!$C$93</f>
        <v>5455.2</v>
      </c>
      <c r="AA112" s="125">
        <f>Valores!$C$25</f>
        <v>505.99</v>
      </c>
      <c r="AB112" s="214">
        <v>0</v>
      </c>
      <c r="AC112" s="125">
        <f t="shared" si="12"/>
        <v>0</v>
      </c>
      <c r="AD112" s="125">
        <f>Valores!$C$26</f>
        <v>505.99</v>
      </c>
      <c r="AE112" s="192">
        <v>94</v>
      </c>
      <c r="AF112" s="125">
        <f>ROUND(AE112*Valores!$C$2,2)</f>
        <v>2274.84</v>
      </c>
      <c r="AG112" s="125">
        <f>ROUND(IF($F$4="NO",Valores!$C$62,Valores!$C$62/2),2)</f>
        <v>6323.27</v>
      </c>
      <c r="AH112" s="125">
        <f t="shared" si="15"/>
        <v>128078.18000000001</v>
      </c>
      <c r="AI112" s="125">
        <f>Valores!$C$31</f>
        <v>0</v>
      </c>
      <c r="AJ112" s="125">
        <f>Valores!$C$86</f>
        <v>0</v>
      </c>
      <c r="AK112" s="125">
        <f>Valores!C$38*B112</f>
        <v>0</v>
      </c>
      <c r="AL112" s="125">
        <f>IF($F$3="NO",0,Valores!$C$55)</f>
        <v>170.34</v>
      </c>
      <c r="AM112" s="125">
        <f t="shared" si="13"/>
        <v>170.34</v>
      </c>
      <c r="AN112" s="125">
        <f>AH112*Valores!$C$70</f>
        <v>-14088.599800000002</v>
      </c>
      <c r="AO112" s="125">
        <f>AH112*-Valores!$C$71</f>
        <v>0</v>
      </c>
      <c r="AP112" s="125">
        <f>AH112*Valores!$C$72</f>
        <v>-5763.5181000000002</v>
      </c>
      <c r="AQ112" s="125">
        <f>Valores!$C$99</f>
        <v>-280.91000000000003</v>
      </c>
      <c r="AR112" s="125">
        <f>IF($F$5=0,Valores!$C$100,(Valores!$C$100+$F$5*(Valores!$C$100)))</f>
        <v>-329</v>
      </c>
      <c r="AS112" s="125">
        <f t="shared" si="16"/>
        <v>107786.4921</v>
      </c>
      <c r="AT112" s="125">
        <f t="shared" si="10"/>
        <v>-14088.599800000002</v>
      </c>
      <c r="AU112" s="125">
        <f>AH112*Valores!$C$73</f>
        <v>-3458.1108600000002</v>
      </c>
      <c r="AV112" s="125">
        <f>AH112*Valores!$C$74</f>
        <v>-384.23454000000004</v>
      </c>
      <c r="AW112" s="125">
        <f t="shared" si="14"/>
        <v>110317.5748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5275.69</v>
      </c>
      <c r="G113" s="192">
        <v>2100</v>
      </c>
      <c r="H113" s="125">
        <f>ROUND(G113*Valores!$C$2,2)</f>
        <v>50820.84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11348.8</v>
      </c>
      <c r="N113" s="125">
        <f t="shared" si="11"/>
        <v>0</v>
      </c>
      <c r="O113" s="125">
        <f>Valores!$C$14</f>
        <v>22412.35</v>
      </c>
      <c r="P113" s="125">
        <f>Valores!$D$5</f>
        <v>12371.24</v>
      </c>
      <c r="Q113" s="125">
        <f>Valores!$C$22</f>
        <v>11037.15</v>
      </c>
      <c r="R113" s="125">
        <f>IF($F$4="NO",Valores!$C$41,Valores!$C$41/2)</f>
        <v>8168.15</v>
      </c>
      <c r="S113" s="125">
        <f>Valores!$C$20</f>
        <v>11393.97</v>
      </c>
      <c r="T113" s="125">
        <f t="shared" si="17"/>
        <v>11393.97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Valores!$C$93</f>
        <v>5455.2</v>
      </c>
      <c r="AA113" s="125">
        <f>Valores!$C$25</f>
        <v>505.99</v>
      </c>
      <c r="AB113" s="214">
        <v>0</v>
      </c>
      <c r="AC113" s="125">
        <f t="shared" si="12"/>
        <v>0</v>
      </c>
      <c r="AD113" s="125">
        <f>Valores!$C$26</f>
        <v>505.99</v>
      </c>
      <c r="AE113" s="192">
        <v>0</v>
      </c>
      <c r="AF113" s="125">
        <f>ROUND(AE113*Valores!$C$2,2)</f>
        <v>0</v>
      </c>
      <c r="AG113" s="125">
        <f>ROUND(IF($F$4="NO",Valores!$C$62,Valores!$C$62/2),2)</f>
        <v>6323.27</v>
      </c>
      <c r="AH113" s="125">
        <f t="shared" si="15"/>
        <v>145618.63999999996</v>
      </c>
      <c r="AI113" s="125">
        <f>Valores!$C$31</f>
        <v>0</v>
      </c>
      <c r="AJ113" s="125">
        <f>Valores!$C$86</f>
        <v>0</v>
      </c>
      <c r="AK113" s="125">
        <f>Valores!C$38*B113</f>
        <v>0</v>
      </c>
      <c r="AL113" s="125">
        <f>IF($F$3="NO",0,Valores!$C$55)</f>
        <v>170.34</v>
      </c>
      <c r="AM113" s="125">
        <f t="shared" si="13"/>
        <v>170.34</v>
      </c>
      <c r="AN113" s="125">
        <f>AH113*Valores!$C$70</f>
        <v>-16018.050399999995</v>
      </c>
      <c r="AO113" s="125">
        <f>AH113*-Valores!$C$71</f>
        <v>0</v>
      </c>
      <c r="AP113" s="125">
        <f>AH113*Valores!$C$72</f>
        <v>-6552.8387999999977</v>
      </c>
      <c r="AQ113" s="125">
        <f>Valores!$C$99</f>
        <v>-280.91000000000003</v>
      </c>
      <c r="AR113" s="125">
        <f>IF($F$5=0,Valores!$C$100,(Valores!$C$100+$F$5*(Valores!$C$100)))</f>
        <v>-329</v>
      </c>
      <c r="AS113" s="125">
        <f t="shared" si="16"/>
        <v>122608.18079999996</v>
      </c>
      <c r="AT113" s="125">
        <f t="shared" si="10"/>
        <v>-16018.050399999995</v>
      </c>
      <c r="AU113" s="125">
        <f>AH113*Valores!$C$73</f>
        <v>-3931.7032799999988</v>
      </c>
      <c r="AV113" s="125">
        <f>AH113*Valores!$C$74</f>
        <v>-436.85591999999986</v>
      </c>
      <c r="AW113" s="125">
        <f t="shared" si="14"/>
        <v>125402.37039999996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5324.09</v>
      </c>
      <c r="G114" s="192">
        <v>1995</v>
      </c>
      <c r="H114" s="125">
        <f>ROUND(G114*Valores!$C$2,2)</f>
        <v>48279.8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10974.9</v>
      </c>
      <c r="N114" s="125">
        <f t="shared" si="11"/>
        <v>0</v>
      </c>
      <c r="O114" s="125">
        <f>Valores!$C$14</f>
        <v>22412.35</v>
      </c>
      <c r="P114" s="125">
        <f>Valores!$D$5</f>
        <v>12371.24</v>
      </c>
      <c r="Q114" s="125">
        <f>Valores!$C$22</f>
        <v>11037.15</v>
      </c>
      <c r="R114" s="125">
        <f>IF($F$4="NO",Valores!$C$41,Valores!$C$41/2)</f>
        <v>8168.15</v>
      </c>
      <c r="S114" s="125">
        <f>Valores!$C$20</f>
        <v>11393.97</v>
      </c>
      <c r="T114" s="125">
        <f t="shared" si="17"/>
        <v>11393.97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Valores!$C$93</f>
        <v>5455.2</v>
      </c>
      <c r="AA114" s="125">
        <f>Valores!$C$25</f>
        <v>505.99</v>
      </c>
      <c r="AB114" s="214">
        <v>0</v>
      </c>
      <c r="AC114" s="125">
        <f t="shared" si="12"/>
        <v>0</v>
      </c>
      <c r="AD114" s="125">
        <f>Valores!$C$26</f>
        <v>505.99</v>
      </c>
      <c r="AE114" s="192">
        <v>0</v>
      </c>
      <c r="AF114" s="125">
        <f>ROUND(AE114*Valores!$C$2,2)</f>
        <v>0</v>
      </c>
      <c r="AG114" s="125">
        <f>ROUND(IF($F$4="NO",Valores!$C$62,Valores!$C$62/2),2)</f>
        <v>6323.27</v>
      </c>
      <c r="AH114" s="125">
        <f t="shared" si="15"/>
        <v>142752.09999999998</v>
      </c>
      <c r="AI114" s="125">
        <f>Valores!$C$31</f>
        <v>0</v>
      </c>
      <c r="AJ114" s="125">
        <f>Valores!$C$86</f>
        <v>0</v>
      </c>
      <c r="AK114" s="125">
        <f>Valores!C$38*B114</f>
        <v>0</v>
      </c>
      <c r="AL114" s="125">
        <f>IF($F$3="NO",0,Valores!$C$55)</f>
        <v>170.34</v>
      </c>
      <c r="AM114" s="125">
        <f t="shared" si="13"/>
        <v>170.34</v>
      </c>
      <c r="AN114" s="125">
        <f>AH114*Valores!$C$70</f>
        <v>-15702.730999999998</v>
      </c>
      <c r="AO114" s="125">
        <f>AH114*-Valores!$C$71</f>
        <v>0</v>
      </c>
      <c r="AP114" s="125">
        <f>AH114*Valores!$C$72</f>
        <v>-6423.8444999999983</v>
      </c>
      <c r="AQ114" s="125">
        <f>Valores!$C$99</f>
        <v>-280.91000000000003</v>
      </c>
      <c r="AR114" s="125">
        <f>IF($F$5=0,Valores!$C$100,(Valores!$C$100+$F$5*(Valores!$C$100)))</f>
        <v>-329</v>
      </c>
      <c r="AS114" s="125">
        <f t="shared" si="16"/>
        <v>120185.95449999998</v>
      </c>
      <c r="AT114" s="125">
        <f t="shared" si="10"/>
        <v>-15702.730999999998</v>
      </c>
      <c r="AU114" s="125">
        <f>AH114*Valores!$C$73</f>
        <v>-3854.3066999999992</v>
      </c>
      <c r="AV114" s="125">
        <f>AH114*Valores!$C$74</f>
        <v>-428.25629999999995</v>
      </c>
      <c r="AW114" s="125">
        <f t="shared" si="14"/>
        <v>122937.14599999998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4525.47</v>
      </c>
      <c r="G115" s="192">
        <v>1704</v>
      </c>
      <c r="H115" s="125">
        <f>ROUND(G115*Valores!$C$2,2)</f>
        <v>41237.480000000003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9798.76</v>
      </c>
      <c r="N115" s="125">
        <f t="shared" si="11"/>
        <v>0</v>
      </c>
      <c r="O115" s="125">
        <f>Valores!$C$14</f>
        <v>22412.35</v>
      </c>
      <c r="P115" s="125">
        <f>Valores!$D$5</f>
        <v>12371.24</v>
      </c>
      <c r="Q115" s="125">
        <f>Valores!$C$22</f>
        <v>11037.15</v>
      </c>
      <c r="R115" s="125">
        <f>IF($F$4="NO",Valores!$C$41,Valores!$C$41/2)</f>
        <v>8168.15</v>
      </c>
      <c r="S115" s="125">
        <f>Valores!$C$20</f>
        <v>11393.97</v>
      </c>
      <c r="T115" s="125">
        <f t="shared" si="17"/>
        <v>11393.97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Valores!$C$93</f>
        <v>5455.2</v>
      </c>
      <c r="AA115" s="125">
        <f>Valores!$C$25</f>
        <v>505.99</v>
      </c>
      <c r="AB115" s="214">
        <v>0</v>
      </c>
      <c r="AC115" s="125">
        <f t="shared" si="12"/>
        <v>0</v>
      </c>
      <c r="AD115" s="125">
        <f>Valores!$C$26</f>
        <v>505.99</v>
      </c>
      <c r="AE115" s="192">
        <v>0</v>
      </c>
      <c r="AF115" s="125">
        <f>ROUND(AE115*Valores!$C$2,2)</f>
        <v>0</v>
      </c>
      <c r="AG115" s="125">
        <f>ROUND(IF($F$4="NO",Valores!$C$62,Valores!$C$62/2),2)</f>
        <v>6323.27</v>
      </c>
      <c r="AH115" s="125">
        <f t="shared" si="15"/>
        <v>133735.01999999999</v>
      </c>
      <c r="AI115" s="125">
        <f>Valores!$C$31</f>
        <v>0</v>
      </c>
      <c r="AJ115" s="125">
        <f>Valores!$C$86</f>
        <v>0</v>
      </c>
      <c r="AK115" s="125">
        <f>Valores!C$38*B115</f>
        <v>0</v>
      </c>
      <c r="AL115" s="125">
        <f>IF($F$3="NO",0,Valores!$C$55)</f>
        <v>170.34</v>
      </c>
      <c r="AM115" s="125">
        <f t="shared" si="13"/>
        <v>170.34</v>
      </c>
      <c r="AN115" s="125">
        <f>AH115*Valores!$C$70</f>
        <v>-14710.852199999999</v>
      </c>
      <c r="AO115" s="125">
        <f>AH115*-Valores!$C$71</f>
        <v>0</v>
      </c>
      <c r="AP115" s="125">
        <f>AH115*Valores!$C$72</f>
        <v>-6018.0758999999989</v>
      </c>
      <c r="AQ115" s="125">
        <f>Valores!$C$99</f>
        <v>-280.91000000000003</v>
      </c>
      <c r="AR115" s="125">
        <f>IF($F$5=0,Valores!$C$100,(Valores!$C$100+$F$5*(Valores!$C$100)))</f>
        <v>-329</v>
      </c>
      <c r="AS115" s="125">
        <f t="shared" si="16"/>
        <v>112566.52189999999</v>
      </c>
      <c r="AT115" s="125">
        <f t="shared" si="10"/>
        <v>-14710.852199999999</v>
      </c>
      <c r="AU115" s="125">
        <f>AH115*Valores!$C$73</f>
        <v>-3610.8455399999998</v>
      </c>
      <c r="AV115" s="125">
        <f>AH115*Valores!$C$74</f>
        <v>-401.20506</v>
      </c>
      <c r="AW115" s="125">
        <f t="shared" si="14"/>
        <v>115182.45719999999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3896.26</v>
      </c>
      <c r="G116" s="192">
        <v>1480</v>
      </c>
      <c r="H116" s="125">
        <f>ROUND(G116*Valores!$C$2,2)</f>
        <v>35816.589999999997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8891.25</v>
      </c>
      <c r="N116" s="125">
        <f t="shared" si="11"/>
        <v>0</v>
      </c>
      <c r="O116" s="125">
        <f>Valores!$C$14</f>
        <v>22412.35</v>
      </c>
      <c r="P116" s="125">
        <f>Valores!$D$5</f>
        <v>12371.24</v>
      </c>
      <c r="Q116" s="125">
        <f>Valores!$C$22</f>
        <v>11037.15</v>
      </c>
      <c r="R116" s="125">
        <f>IF($F$4="NO",Valores!$C$41,Valores!$C$41/2)</f>
        <v>8168.15</v>
      </c>
      <c r="S116" s="125">
        <f>Valores!$C$20</f>
        <v>11393.97</v>
      </c>
      <c r="T116" s="125">
        <f t="shared" si="17"/>
        <v>11393.97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Valores!$C$93</f>
        <v>5455.2</v>
      </c>
      <c r="AA116" s="125">
        <f>Valores!$C$25</f>
        <v>505.99</v>
      </c>
      <c r="AB116" s="214">
        <v>0</v>
      </c>
      <c r="AC116" s="125">
        <f t="shared" si="12"/>
        <v>0</v>
      </c>
      <c r="AD116" s="125">
        <f>Valores!$C$26</f>
        <v>505.99</v>
      </c>
      <c r="AE116" s="192">
        <v>0</v>
      </c>
      <c r="AF116" s="125">
        <f>ROUND(AE116*Valores!$C$2,2)</f>
        <v>0</v>
      </c>
      <c r="AG116" s="125">
        <f>ROUND(IF($F$4="NO",Valores!$C$62,Valores!$C$62/2),2)</f>
        <v>6323.27</v>
      </c>
      <c r="AH116" s="125">
        <f t="shared" si="15"/>
        <v>126777.41</v>
      </c>
      <c r="AI116" s="125">
        <f>Valores!$C$31</f>
        <v>0</v>
      </c>
      <c r="AJ116" s="125">
        <f>Valores!$C$86</f>
        <v>0</v>
      </c>
      <c r="AK116" s="125">
        <f>Valores!C$38*B116</f>
        <v>0</v>
      </c>
      <c r="AL116" s="125">
        <f>IF($F$3="NO",0,Valores!$C$55)</f>
        <v>170.34</v>
      </c>
      <c r="AM116" s="125">
        <f t="shared" si="13"/>
        <v>170.34</v>
      </c>
      <c r="AN116" s="125">
        <f>AH116*Valores!$C$70</f>
        <v>-13945.515100000001</v>
      </c>
      <c r="AO116" s="125">
        <f>AH116*-Valores!$C$71</f>
        <v>0</v>
      </c>
      <c r="AP116" s="125">
        <f>AH116*Valores!$C$72</f>
        <v>-5704.9834499999997</v>
      </c>
      <c r="AQ116" s="125">
        <f>Valores!$C$99</f>
        <v>-280.91000000000003</v>
      </c>
      <c r="AR116" s="125">
        <f>IF($F$5=0,Valores!$C$100,(Valores!$C$100+$F$5*(Valores!$C$100)))</f>
        <v>-329</v>
      </c>
      <c r="AS116" s="125">
        <f t="shared" si="16"/>
        <v>106687.34145000001</v>
      </c>
      <c r="AT116" s="125">
        <f t="shared" si="10"/>
        <v>-13945.515100000001</v>
      </c>
      <c r="AU116" s="125">
        <f>AH116*Valores!$C$73</f>
        <v>-3422.9900699999998</v>
      </c>
      <c r="AV116" s="125">
        <f>AH116*Valores!$C$74</f>
        <v>-380.33223000000004</v>
      </c>
      <c r="AW116" s="125">
        <f t="shared" si="14"/>
        <v>109198.9126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30928.11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7573.53</v>
      </c>
      <c r="N117" s="125">
        <f t="shared" si="11"/>
        <v>0</v>
      </c>
      <c r="O117" s="125">
        <f>Valores!$C$14</f>
        <v>22412.35</v>
      </c>
      <c r="P117" s="125">
        <f>Valores!$D$5</f>
        <v>12371.24</v>
      </c>
      <c r="Q117" s="125">
        <f>Valores!$C$22</f>
        <v>11037.15</v>
      </c>
      <c r="R117" s="125">
        <f>IF($F$4="NO",Valores!$C$41,Valores!$C$41/2)</f>
        <v>8168.15</v>
      </c>
      <c r="S117" s="125">
        <f>Valores!$C$20</f>
        <v>11393.97</v>
      </c>
      <c r="T117" s="125">
        <f t="shared" si="17"/>
        <v>11393.97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Valores!$C$93</f>
        <v>5455.2</v>
      </c>
      <c r="AA117" s="125">
        <f>Valores!$C$25</f>
        <v>505.99</v>
      </c>
      <c r="AB117" s="214">
        <v>0</v>
      </c>
      <c r="AC117" s="125">
        <f t="shared" si="12"/>
        <v>0</v>
      </c>
      <c r="AD117" s="125">
        <f>Valores!$C$26</f>
        <v>505.99</v>
      </c>
      <c r="AE117" s="192">
        <v>0</v>
      </c>
      <c r="AF117" s="125">
        <f>ROUND(AE117*Valores!$C$2,2)</f>
        <v>0</v>
      </c>
      <c r="AG117" s="125">
        <f>ROUND(IF($F$4="NO",Valores!$C$62,Valores!$C$62/2),2)</f>
        <v>6323.27</v>
      </c>
      <c r="AH117" s="125">
        <f t="shared" si="15"/>
        <v>116674.95</v>
      </c>
      <c r="AI117" s="125">
        <f>Valores!$C$31</f>
        <v>0</v>
      </c>
      <c r="AJ117" s="125">
        <f>Valores!$C$86</f>
        <v>0</v>
      </c>
      <c r="AK117" s="125">
        <f>Valores!C$38*B117</f>
        <v>0</v>
      </c>
      <c r="AL117" s="125">
        <f>IF($F$3="NO",0,Valores!$C$55)</f>
        <v>170.34</v>
      </c>
      <c r="AM117" s="125">
        <f t="shared" si="13"/>
        <v>170.34</v>
      </c>
      <c r="AN117" s="125">
        <f>AH117*Valores!$C$70</f>
        <v>-12834.244499999999</v>
      </c>
      <c r="AO117" s="125">
        <f>AH117*-Valores!$C$71</f>
        <v>0</v>
      </c>
      <c r="AP117" s="125">
        <f>AH117*Valores!$C$72</f>
        <v>-5250.3727499999995</v>
      </c>
      <c r="AQ117" s="125">
        <f>Valores!$C$99</f>
        <v>-280.91000000000003</v>
      </c>
      <c r="AR117" s="125">
        <f>IF($F$5=0,Valores!$C$100,(Valores!$C$100+$F$5*(Valores!$C$100)))</f>
        <v>-329</v>
      </c>
      <c r="AS117" s="125">
        <f t="shared" si="16"/>
        <v>98150.762749999994</v>
      </c>
      <c r="AT117" s="125">
        <f t="shared" si="10"/>
        <v>-12834.244499999999</v>
      </c>
      <c r="AU117" s="125">
        <f>AH117*Valores!$C$73</f>
        <v>-3150.2236499999999</v>
      </c>
      <c r="AV117" s="125">
        <f>AH117*Valores!$C$74</f>
        <v>-350.02485000000001</v>
      </c>
      <c r="AW117" s="125">
        <f t="shared" si="14"/>
        <v>100510.79699999999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1863.43</v>
      </c>
      <c r="G118" s="192">
        <v>2073</v>
      </c>
      <c r="H118" s="125">
        <f>ROUND(G118*Valores!$C$2,2)</f>
        <v>50167.43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10901.85</v>
      </c>
      <c r="N118" s="125">
        <f t="shared" si="11"/>
        <v>0</v>
      </c>
      <c r="O118" s="125">
        <f>Valores!$C$8</f>
        <v>26798.030000000002</v>
      </c>
      <c r="P118" s="125">
        <f>Valores!$D$5</f>
        <v>12371.24</v>
      </c>
      <c r="Q118" s="125">
        <f>Valores!$C$22</f>
        <v>11037.15</v>
      </c>
      <c r="R118" s="125">
        <f>IF($F$4="NO",Valores!$C$43,Valores!$C$43/2)</f>
        <v>9136.5</v>
      </c>
      <c r="S118" s="125">
        <f>Valores!$C$19</f>
        <v>11511.67</v>
      </c>
      <c r="T118" s="125">
        <f t="shared" si="17"/>
        <v>11511.67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Valores!$C$93</f>
        <v>5455.2</v>
      </c>
      <c r="AA118" s="125">
        <f>Valores!$C$25</f>
        <v>505.99</v>
      </c>
      <c r="AB118" s="214">
        <v>0</v>
      </c>
      <c r="AC118" s="125">
        <f t="shared" si="12"/>
        <v>0</v>
      </c>
      <c r="AD118" s="125">
        <f>Valores!$C$26</f>
        <v>505.99</v>
      </c>
      <c r="AE118" s="192">
        <v>0</v>
      </c>
      <c r="AF118" s="125">
        <f>ROUND(AE118*Valores!$C$2,2)</f>
        <v>0</v>
      </c>
      <c r="AG118" s="125">
        <f>ROUND(IF($F$4="NO",Valores!$C$62,Valores!$C$62/2),2)</f>
        <v>6323.27</v>
      </c>
      <c r="AH118" s="125">
        <f t="shared" si="15"/>
        <v>146577.75</v>
      </c>
      <c r="AI118" s="125">
        <f>Valores!$C$31</f>
        <v>0</v>
      </c>
      <c r="AJ118" s="125">
        <f>Valores!$C$86</f>
        <v>0</v>
      </c>
      <c r="AK118" s="125">
        <f>Valores!C$38*B118</f>
        <v>0</v>
      </c>
      <c r="AL118" s="125">
        <f>IF($F$3="NO",0,Valores!$C$55)</f>
        <v>170.34</v>
      </c>
      <c r="AM118" s="125">
        <f t="shared" si="13"/>
        <v>170.34</v>
      </c>
      <c r="AN118" s="125">
        <f>AH118*Valores!$C$70</f>
        <v>-16123.5525</v>
      </c>
      <c r="AO118" s="125">
        <f>AH118*-Valores!$C$71</f>
        <v>0</v>
      </c>
      <c r="AP118" s="125">
        <f>AH118*Valores!$C$72</f>
        <v>-6595.9987499999997</v>
      </c>
      <c r="AQ118" s="125">
        <f>Valores!$C$99</f>
        <v>-280.91000000000003</v>
      </c>
      <c r="AR118" s="125">
        <f>IF($F$5=0,Valores!$C$100,(Valores!$C$100+$F$5*(Valores!$C$100)))</f>
        <v>-329</v>
      </c>
      <c r="AS118" s="125">
        <f t="shared" si="16"/>
        <v>123418.62875</v>
      </c>
      <c r="AT118" s="125">
        <f t="shared" si="10"/>
        <v>-16123.5525</v>
      </c>
      <c r="AU118" s="125">
        <f>AH118*Valores!$C$73</f>
        <v>-3957.5992499999998</v>
      </c>
      <c r="AV118" s="125">
        <f>AH118*Valores!$C$74</f>
        <v>-439.73325</v>
      </c>
      <c r="AW118" s="125">
        <f t="shared" si="14"/>
        <v>126227.20499999999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1863.43</v>
      </c>
      <c r="G119" s="192">
        <v>2043</v>
      </c>
      <c r="H119" s="125">
        <f>ROUND(G119*Valores!$C$2,2)</f>
        <v>49441.42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10792.95</v>
      </c>
      <c r="N119" s="125">
        <f t="shared" si="11"/>
        <v>0</v>
      </c>
      <c r="O119" s="125">
        <f>Valores!$C$9</f>
        <v>26876.42</v>
      </c>
      <c r="P119" s="125">
        <f>Valores!$D$5</f>
        <v>12371.24</v>
      </c>
      <c r="Q119" s="125">
        <f>Valores!$C$22</f>
        <v>11037.15</v>
      </c>
      <c r="R119" s="125">
        <f>IF($F$4="NO",Valores!$C$43,Valores!$C$43/2)</f>
        <v>9136.5</v>
      </c>
      <c r="S119" s="125">
        <f>Valores!$C$19</f>
        <v>11511.67</v>
      </c>
      <c r="T119" s="125">
        <f t="shared" si="17"/>
        <v>11511.67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Valores!$C$93</f>
        <v>5455.2</v>
      </c>
      <c r="AA119" s="125">
        <f>Valores!$C$25</f>
        <v>505.99</v>
      </c>
      <c r="AB119" s="214">
        <v>0</v>
      </c>
      <c r="AC119" s="125">
        <f t="shared" si="12"/>
        <v>0</v>
      </c>
      <c r="AD119" s="125">
        <f>Valores!$C$26</f>
        <v>505.99</v>
      </c>
      <c r="AE119" s="192">
        <v>0</v>
      </c>
      <c r="AF119" s="125">
        <f>ROUND(AE119*Valores!$C$2,2)</f>
        <v>0</v>
      </c>
      <c r="AG119" s="125">
        <f>ROUND(IF($F$4="NO",Valores!$C$62,Valores!$C$62/2),2)</f>
        <v>6323.27</v>
      </c>
      <c r="AH119" s="125">
        <f t="shared" si="15"/>
        <v>145821.22999999998</v>
      </c>
      <c r="AI119" s="125">
        <f>Valores!$C$31</f>
        <v>0</v>
      </c>
      <c r="AJ119" s="125">
        <f>Valores!$C$86</f>
        <v>0</v>
      </c>
      <c r="AK119" s="125">
        <f>Valores!C$38*B119</f>
        <v>0</v>
      </c>
      <c r="AL119" s="125">
        <f>IF($F$3="NO",0,Valores!$C$55)</f>
        <v>170.34</v>
      </c>
      <c r="AM119" s="125">
        <f t="shared" si="13"/>
        <v>170.34</v>
      </c>
      <c r="AN119" s="125">
        <f>AH119*Valores!$C$70</f>
        <v>-16040.335299999999</v>
      </c>
      <c r="AO119" s="125">
        <f>AH119*-Valores!$C$71</f>
        <v>0</v>
      </c>
      <c r="AP119" s="125">
        <f>AH119*Valores!$C$72</f>
        <v>-6561.9553499999993</v>
      </c>
      <c r="AQ119" s="125">
        <f>Valores!$C$99</f>
        <v>-280.91000000000003</v>
      </c>
      <c r="AR119" s="125">
        <f>IF($F$5=0,Valores!$C$100,(Valores!$C$100+$F$5*(Valores!$C$100)))</f>
        <v>-329</v>
      </c>
      <c r="AS119" s="125">
        <f t="shared" si="16"/>
        <v>122779.36934999998</v>
      </c>
      <c r="AT119" s="125">
        <f t="shared" si="10"/>
        <v>-16040.335299999999</v>
      </c>
      <c r="AU119" s="125">
        <f>AH119*Valores!$C$73</f>
        <v>-3937.1732099999995</v>
      </c>
      <c r="AV119" s="125">
        <f>AH119*Valores!$C$74</f>
        <v>-437.46368999999993</v>
      </c>
      <c r="AW119" s="125">
        <f t="shared" si="14"/>
        <v>125576.59779999997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1839.23</v>
      </c>
      <c r="G120" s="192">
        <v>1954</v>
      </c>
      <c r="H120" s="125">
        <f>ROUND(G120*Valores!$C$2,2)</f>
        <v>47287.58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10466.25</v>
      </c>
      <c r="N120" s="125">
        <f t="shared" si="11"/>
        <v>0</v>
      </c>
      <c r="O120" s="125">
        <f>Valores!$C$9</f>
        <v>26876.42</v>
      </c>
      <c r="P120" s="125">
        <f>Valores!$D$5</f>
        <v>12371.24</v>
      </c>
      <c r="Q120" s="125">
        <f>Valores!$C$22</f>
        <v>11037.15</v>
      </c>
      <c r="R120" s="125">
        <f>IF($F$4="NO",Valores!$C$43,Valores!$C$43/2)</f>
        <v>9136.5</v>
      </c>
      <c r="S120" s="125">
        <f>Valores!$C$19</f>
        <v>11511.67</v>
      </c>
      <c r="T120" s="125">
        <f t="shared" si="17"/>
        <v>11511.67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Valores!$C$93</f>
        <v>5455.2</v>
      </c>
      <c r="AA120" s="125">
        <f>Valores!$C$25</f>
        <v>505.99</v>
      </c>
      <c r="AB120" s="214">
        <v>0</v>
      </c>
      <c r="AC120" s="125">
        <f t="shared" si="12"/>
        <v>0</v>
      </c>
      <c r="AD120" s="125">
        <f>Valores!$C$26</f>
        <v>505.99</v>
      </c>
      <c r="AE120" s="192">
        <v>0</v>
      </c>
      <c r="AF120" s="125">
        <f>ROUND(AE120*Valores!$C$2,2)</f>
        <v>0</v>
      </c>
      <c r="AG120" s="125">
        <f>ROUND(IF($F$4="NO",Valores!$C$62,Valores!$C$62/2),2)</f>
        <v>6323.27</v>
      </c>
      <c r="AH120" s="125">
        <f t="shared" si="15"/>
        <v>143316.49</v>
      </c>
      <c r="AI120" s="125">
        <f>Valores!$C$31</f>
        <v>0</v>
      </c>
      <c r="AJ120" s="125">
        <f>Valores!$C$86</f>
        <v>0</v>
      </c>
      <c r="AK120" s="125">
        <f>Valores!C$38*B120</f>
        <v>0</v>
      </c>
      <c r="AL120" s="125">
        <f>IF($F$3="NO",0,Valores!$C$55)</f>
        <v>170.34</v>
      </c>
      <c r="AM120" s="125">
        <f t="shared" si="13"/>
        <v>170.34</v>
      </c>
      <c r="AN120" s="125">
        <f>AH120*Valores!$C$70</f>
        <v>-15764.813899999999</v>
      </c>
      <c r="AO120" s="125">
        <f>AH120*-Valores!$C$71</f>
        <v>0</v>
      </c>
      <c r="AP120" s="125">
        <f>AH120*Valores!$C$72</f>
        <v>-6449.2420499999989</v>
      </c>
      <c r="AQ120" s="125">
        <f>Valores!$C$99</f>
        <v>-280.91000000000003</v>
      </c>
      <c r="AR120" s="125">
        <f>IF($F$5=0,Valores!$C$100,(Valores!$C$100+$F$5*(Valores!$C$100)))</f>
        <v>-329</v>
      </c>
      <c r="AS120" s="125">
        <f t="shared" si="16"/>
        <v>120662.86404999999</v>
      </c>
      <c r="AT120" s="125">
        <f t="shared" si="10"/>
        <v>-15764.813899999999</v>
      </c>
      <c r="AU120" s="125">
        <f>AH120*Valores!$C$73</f>
        <v>-3869.5452299999997</v>
      </c>
      <c r="AV120" s="125">
        <f>AH120*Valores!$C$74</f>
        <v>-429.94946999999996</v>
      </c>
      <c r="AW120" s="125">
        <f t="shared" si="14"/>
        <v>123422.5214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6630.91</v>
      </c>
      <c r="G121" s="192">
        <v>1163</v>
      </c>
      <c r="H121" s="125">
        <f>ROUND(G121*Valores!$C$2,2)</f>
        <v>28145.07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8313.6200000000008</v>
      </c>
      <c r="N121" s="125">
        <f t="shared" si="11"/>
        <v>0</v>
      </c>
      <c r="O121" s="125">
        <f>Valores!$C$9</f>
        <v>26876.42</v>
      </c>
      <c r="P121" s="125">
        <f>Valores!$D$5</f>
        <v>12371.24</v>
      </c>
      <c r="Q121" s="125">
        <f>Valores!$C$22</f>
        <v>11037.15</v>
      </c>
      <c r="R121" s="125">
        <f>IF($F$4="NO",Valores!$C$43,Valores!$C$43/2)</f>
        <v>9136.5</v>
      </c>
      <c r="S121" s="125">
        <f>Valores!$C$19</f>
        <v>11511.67</v>
      </c>
      <c r="T121" s="125">
        <f t="shared" si="17"/>
        <v>11511.67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Valores!$C$93</f>
        <v>5455.2</v>
      </c>
      <c r="AA121" s="125">
        <f>Valores!$C$25</f>
        <v>505.99</v>
      </c>
      <c r="AB121" s="214">
        <v>0</v>
      </c>
      <c r="AC121" s="125">
        <f t="shared" si="12"/>
        <v>0</v>
      </c>
      <c r="AD121" s="125">
        <f>Valores!$C$26</f>
        <v>505.99</v>
      </c>
      <c r="AE121" s="192">
        <v>0</v>
      </c>
      <c r="AF121" s="125">
        <f>ROUND(AE121*Valores!$C$2,2)</f>
        <v>0</v>
      </c>
      <c r="AG121" s="125">
        <f>ROUND(IF($F$4="NO",Valores!$C$62,Valores!$C$62/2),2)</f>
        <v>6323.27</v>
      </c>
      <c r="AH121" s="125">
        <f t="shared" si="15"/>
        <v>126813.03</v>
      </c>
      <c r="AI121" s="125">
        <f>Valores!$C$31</f>
        <v>0</v>
      </c>
      <c r="AJ121" s="125">
        <f>Valores!$C$86</f>
        <v>0</v>
      </c>
      <c r="AK121" s="125">
        <f>Valores!C$38*B121</f>
        <v>0</v>
      </c>
      <c r="AL121" s="125">
        <f>IF($F$3="NO",0,Valores!$C$55)</f>
        <v>170.34</v>
      </c>
      <c r="AM121" s="125">
        <f t="shared" si="13"/>
        <v>170.34</v>
      </c>
      <c r="AN121" s="125">
        <f>AH121*Valores!$C$70</f>
        <v>-13949.433300000001</v>
      </c>
      <c r="AO121" s="125">
        <f>AH121*-Valores!$C$71</f>
        <v>0</v>
      </c>
      <c r="AP121" s="125">
        <f>AH121*Valores!$C$72</f>
        <v>-5706.5863499999996</v>
      </c>
      <c r="AQ121" s="125">
        <f>Valores!$C$99</f>
        <v>-280.91000000000003</v>
      </c>
      <c r="AR121" s="125">
        <f>IF($F$5=0,Valores!$C$100,(Valores!$C$100+$F$5*(Valores!$C$100)))</f>
        <v>-329</v>
      </c>
      <c r="AS121" s="125">
        <f t="shared" si="16"/>
        <v>106717.44035</v>
      </c>
      <c r="AT121" s="125">
        <f t="shared" si="10"/>
        <v>-13949.433300000001</v>
      </c>
      <c r="AU121" s="125">
        <f>AH121*Valores!$C$73</f>
        <v>-3423.95181</v>
      </c>
      <c r="AV121" s="125">
        <f>AH121*Valores!$C$74</f>
        <v>-380.43909000000002</v>
      </c>
      <c r="AW121" s="125">
        <f t="shared" si="14"/>
        <v>109229.54579999999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67761.119999999995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13534.2</v>
      </c>
      <c r="N122" s="125">
        <f t="shared" si="11"/>
        <v>0</v>
      </c>
      <c r="O122" s="125">
        <f>Valores!$C$16</f>
        <v>20912.349999999999</v>
      </c>
      <c r="P122" s="125">
        <f>Valores!$D$5</f>
        <v>12371.24</v>
      </c>
      <c r="Q122" s="125">
        <f>Valores!$C$22</f>
        <v>11037.15</v>
      </c>
      <c r="R122" s="125">
        <f>IF($F$4="NO",Valores!$C$45,Valores!$C$45/2)</f>
        <v>11072.91</v>
      </c>
      <c r="S122" s="125">
        <f>Valores!$C$20</f>
        <v>11393.97</v>
      </c>
      <c r="T122" s="125">
        <f t="shared" si="17"/>
        <v>11393.97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Valores!$C$93</f>
        <v>5455.2</v>
      </c>
      <c r="AA122" s="125">
        <f>Valores!$C$25</f>
        <v>505.99</v>
      </c>
      <c r="AB122" s="214">
        <v>0</v>
      </c>
      <c r="AC122" s="125">
        <f t="shared" si="12"/>
        <v>0</v>
      </c>
      <c r="AD122" s="125">
        <f>Valores!$C$26</f>
        <v>505.99</v>
      </c>
      <c r="AE122" s="192">
        <v>0</v>
      </c>
      <c r="AF122" s="125">
        <f>ROUND(AE122*Valores!$C$2,2)</f>
        <v>0</v>
      </c>
      <c r="AG122" s="125">
        <f>ROUND(IF($F$4="NO",Valores!$C$62,Valores!$C$62/2),2)</f>
        <v>6323.27</v>
      </c>
      <c r="AH122" s="125">
        <f t="shared" si="15"/>
        <v>160873.38999999996</v>
      </c>
      <c r="AI122" s="125">
        <f>Valores!$C$31</f>
        <v>0</v>
      </c>
      <c r="AJ122" s="125">
        <f>Valores!$C$86</f>
        <v>0</v>
      </c>
      <c r="AK122" s="125">
        <f>Valores!C$38*B122</f>
        <v>0</v>
      </c>
      <c r="AL122" s="125">
        <f>IF($F$3="NO",0,Valores!$C$54)</f>
        <v>327.60000000000002</v>
      </c>
      <c r="AM122" s="125">
        <f t="shared" si="13"/>
        <v>327.60000000000002</v>
      </c>
      <c r="AN122" s="125">
        <f>AH122*Valores!$C$70</f>
        <v>-17696.072899999996</v>
      </c>
      <c r="AO122" s="125">
        <f>AH122*-Valores!$C$71</f>
        <v>0</v>
      </c>
      <c r="AP122" s="125">
        <f>AH122*Valores!$C$72</f>
        <v>-7239.3025499999976</v>
      </c>
      <c r="AQ122" s="125">
        <f>Valores!$C$99</f>
        <v>-280.91000000000003</v>
      </c>
      <c r="AR122" s="125">
        <f>IF($F$5=0,Valores!$C$100,(Valores!$C$100+$F$5*(Valores!$C$100)))</f>
        <v>-329</v>
      </c>
      <c r="AS122" s="125">
        <f t="shared" si="16"/>
        <v>135655.70454999997</v>
      </c>
      <c r="AT122" s="125">
        <f t="shared" si="10"/>
        <v>-17696.072899999996</v>
      </c>
      <c r="AU122" s="125">
        <f>AH122*Valores!$C$73</f>
        <v>-4343.5815299999986</v>
      </c>
      <c r="AV122" s="125">
        <f>AH122*Valores!$C$74</f>
        <v>-482.62016999999986</v>
      </c>
      <c r="AW122" s="125">
        <f t="shared" si="14"/>
        <v>138678.71539999996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68971.14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13715.7</v>
      </c>
      <c r="N123" s="125">
        <f t="shared" si="11"/>
        <v>0</v>
      </c>
      <c r="O123" s="125">
        <f>Valores!$C$9</f>
        <v>26876.42</v>
      </c>
      <c r="P123" s="125">
        <f>Valores!$D$5</f>
        <v>12371.24</v>
      </c>
      <c r="Q123" s="125">
        <f>Valores!$C$22</f>
        <v>11037.15</v>
      </c>
      <c r="R123" s="125">
        <f>IF($F$4="NO",Valores!$C$45,Valores!$C$45/2)</f>
        <v>11072.91</v>
      </c>
      <c r="S123" s="125">
        <f>Valores!$C$20</f>
        <v>11393.97</v>
      </c>
      <c r="T123" s="125">
        <f t="shared" si="17"/>
        <v>11393.97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Valores!$C$95</f>
        <v>10910.4</v>
      </c>
      <c r="AA123" s="125">
        <f>Valores!$C$25</f>
        <v>505.99</v>
      </c>
      <c r="AB123" s="214">
        <v>0</v>
      </c>
      <c r="AC123" s="125">
        <f t="shared" si="12"/>
        <v>0</v>
      </c>
      <c r="AD123" s="125">
        <f>Valores!$C$26</f>
        <v>505.99</v>
      </c>
      <c r="AE123" s="192">
        <v>0</v>
      </c>
      <c r="AF123" s="125">
        <f>ROUND(AE123*Valores!$C$2,2)</f>
        <v>0</v>
      </c>
      <c r="AG123" s="125">
        <f>ROUND(IF($F$4="NO",Valores!$C$62,Valores!$C$62/2),2)</f>
        <v>6323.27</v>
      </c>
      <c r="AH123" s="125">
        <f t="shared" si="15"/>
        <v>173684.17999999996</v>
      </c>
      <c r="AI123" s="125">
        <f>Valores!$C$31</f>
        <v>0</v>
      </c>
      <c r="AJ123" s="125">
        <f>Valores!$C$88</f>
        <v>0</v>
      </c>
      <c r="AK123" s="125">
        <f>Valores!C$38*B123</f>
        <v>0</v>
      </c>
      <c r="AL123" s="125">
        <f>IF($F$3="NO",0,Valores!$C$54)</f>
        <v>327.60000000000002</v>
      </c>
      <c r="AM123" s="125">
        <f t="shared" si="13"/>
        <v>327.60000000000002</v>
      </c>
      <c r="AN123" s="125">
        <f>AH123*Valores!$C$70</f>
        <v>-19105.259799999996</v>
      </c>
      <c r="AO123" s="125">
        <f>AH123*-Valores!$C$71</f>
        <v>0</v>
      </c>
      <c r="AP123" s="125">
        <f>AH123*Valores!$C$72</f>
        <v>-7815.7880999999979</v>
      </c>
      <c r="AQ123" s="125">
        <f>Valores!$C$99</f>
        <v>-280.91000000000003</v>
      </c>
      <c r="AR123" s="125">
        <f>IF($F$5=0,Valores!$C$100,(Valores!$C$100+$F$5*(Valores!$C$100)))</f>
        <v>-329</v>
      </c>
      <c r="AS123" s="125">
        <f t="shared" si="16"/>
        <v>146480.82209999996</v>
      </c>
      <c r="AT123" s="125">
        <f t="shared" si="10"/>
        <v>-19105.259799999996</v>
      </c>
      <c r="AU123" s="125">
        <f>AH123*Valores!$C$73</f>
        <v>-4689.4728599999989</v>
      </c>
      <c r="AV123" s="125">
        <f>AH123*Valores!$C$74</f>
        <v>-521.05253999999991</v>
      </c>
      <c r="AW123" s="125">
        <f t="shared" si="14"/>
        <v>149695.99479999999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41987.69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9305.09</v>
      </c>
      <c r="N124" s="125">
        <f t="shared" si="11"/>
        <v>0</v>
      </c>
      <c r="O124" s="125">
        <f>Valores!$C$16</f>
        <v>20912.349999999999</v>
      </c>
      <c r="P124" s="125">
        <f>Valores!$D$5</f>
        <v>12371.24</v>
      </c>
      <c r="Q124" s="125">
        <v>0</v>
      </c>
      <c r="R124" s="125">
        <f>IF($F$4="NO",Valores!$C$42,Valores!$C$42/2)</f>
        <v>8652.27</v>
      </c>
      <c r="S124" s="125">
        <f>Valores!$C$20</f>
        <v>11393.97</v>
      </c>
      <c r="T124" s="125">
        <f t="shared" si="17"/>
        <v>11393.97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Valores!$C$93</f>
        <v>5455.2</v>
      </c>
      <c r="AA124" s="125">
        <f>Valores!$C$25</f>
        <v>505.99</v>
      </c>
      <c r="AB124" s="214">
        <v>0</v>
      </c>
      <c r="AC124" s="125">
        <f t="shared" si="12"/>
        <v>0</v>
      </c>
      <c r="AD124" s="125">
        <f>Valores!$C$26</f>
        <v>505.99</v>
      </c>
      <c r="AE124" s="192">
        <v>0</v>
      </c>
      <c r="AF124" s="125">
        <f>ROUND(AE124*Valores!$C$2,2)</f>
        <v>0</v>
      </c>
      <c r="AG124" s="125">
        <f>ROUND(IF($F$4="NO",Valores!$C$62,Valores!$C$62/2),2)</f>
        <v>6323.27</v>
      </c>
      <c r="AH124" s="125">
        <f t="shared" si="15"/>
        <v>117413.06000000003</v>
      </c>
      <c r="AI124" s="125">
        <f>Valores!$C$31</f>
        <v>0</v>
      </c>
      <c r="AJ124" s="125">
        <f>Valores!$C$86</f>
        <v>0</v>
      </c>
      <c r="AK124" s="125">
        <f>Valores!C$38*B124</f>
        <v>0</v>
      </c>
      <c r="AL124" s="125">
        <f>IF($F$3="NO",0,Valores!$C$55)</f>
        <v>170.34</v>
      </c>
      <c r="AM124" s="125">
        <f t="shared" si="13"/>
        <v>170.34</v>
      </c>
      <c r="AN124" s="125">
        <f>AH124*Valores!$C$70</f>
        <v>-12915.436600000003</v>
      </c>
      <c r="AO124" s="125">
        <f>AH124*-Valores!$C$71</f>
        <v>0</v>
      </c>
      <c r="AP124" s="125">
        <f>AH124*Valores!$C$72</f>
        <v>-5283.587700000001</v>
      </c>
      <c r="AQ124" s="125">
        <f>Valores!$C$99</f>
        <v>-280.91000000000003</v>
      </c>
      <c r="AR124" s="125">
        <f>IF($F$5=0,Valores!$C$100,(Valores!$C$100+$F$5*(Valores!$C$100)))</f>
        <v>-329</v>
      </c>
      <c r="AS124" s="125">
        <f t="shared" si="16"/>
        <v>98774.46570000003</v>
      </c>
      <c r="AT124" s="125">
        <f t="shared" si="10"/>
        <v>-12915.436600000003</v>
      </c>
      <c r="AU124" s="125">
        <f>AH124*Valores!$C$73</f>
        <v>-3170.1526200000008</v>
      </c>
      <c r="AV124" s="125">
        <f>AH124*Valores!$C$74</f>
        <v>-352.23918000000009</v>
      </c>
      <c r="AW124" s="125">
        <f t="shared" si="14"/>
        <v>101145.57160000002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1742.43</v>
      </c>
      <c r="G125" s="192">
        <v>1590</v>
      </c>
      <c r="H125" s="125">
        <f>ROUND(G125*Valores!$C$2,2)</f>
        <v>38478.639999999999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9040.1</v>
      </c>
      <c r="N125" s="125">
        <f t="shared" si="11"/>
        <v>0</v>
      </c>
      <c r="O125" s="125">
        <f>Valores!$C$16</f>
        <v>20912.349999999999</v>
      </c>
      <c r="P125" s="125">
        <f>Valores!$D$5</f>
        <v>12371.24</v>
      </c>
      <c r="Q125" s="125">
        <f>Valores!$C$22</f>
        <v>11037.15</v>
      </c>
      <c r="R125" s="125">
        <f>IF($F$4="NO",Valores!$C$42,Valores!$C$42/2)</f>
        <v>8652.27</v>
      </c>
      <c r="S125" s="125">
        <f>Valores!$C$20</f>
        <v>11393.97</v>
      </c>
      <c r="T125" s="125">
        <f t="shared" si="17"/>
        <v>11393.97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Valores!$C$93</f>
        <v>5455.2</v>
      </c>
      <c r="AA125" s="125">
        <f>Valores!$C$25</f>
        <v>505.99</v>
      </c>
      <c r="AB125" s="214">
        <v>0</v>
      </c>
      <c r="AC125" s="125">
        <f t="shared" si="12"/>
        <v>0</v>
      </c>
      <c r="AD125" s="125">
        <f>Valores!$C$26</f>
        <v>505.99</v>
      </c>
      <c r="AE125" s="192">
        <v>0</v>
      </c>
      <c r="AF125" s="125">
        <f>ROUND(AE125*Valores!$C$2,2)</f>
        <v>0</v>
      </c>
      <c r="AG125" s="125">
        <f>ROUND(IF($F$4="NO",Valores!$C$62,Valores!$C$62/2),2)</f>
        <v>6323.27</v>
      </c>
      <c r="AH125" s="125">
        <f t="shared" si="15"/>
        <v>126418.6</v>
      </c>
      <c r="AI125" s="125">
        <f>Valores!$C$31</f>
        <v>0</v>
      </c>
      <c r="AJ125" s="125">
        <f>Valores!$C$86</f>
        <v>0</v>
      </c>
      <c r="AK125" s="125">
        <f>Valores!C$38*B125</f>
        <v>0</v>
      </c>
      <c r="AL125" s="125">
        <f>IF($F$3="NO",0,Valores!$C$55)</f>
        <v>170.34</v>
      </c>
      <c r="AM125" s="125">
        <f t="shared" si="13"/>
        <v>170.34</v>
      </c>
      <c r="AN125" s="125">
        <f>AH125*Valores!$C$70</f>
        <v>-13906.046</v>
      </c>
      <c r="AO125" s="125">
        <f>AH125*-Valores!$C$71</f>
        <v>0</v>
      </c>
      <c r="AP125" s="125">
        <f>AH125*Valores!$C$72</f>
        <v>-5688.8370000000004</v>
      </c>
      <c r="AQ125" s="125">
        <f>Valores!$C$99</f>
        <v>-280.91000000000003</v>
      </c>
      <c r="AR125" s="125">
        <f>IF($F$5=0,Valores!$C$100,(Valores!$C$100+$F$5*(Valores!$C$100)))</f>
        <v>-329</v>
      </c>
      <c r="AS125" s="125">
        <f t="shared" si="16"/>
        <v>106384.147</v>
      </c>
      <c r="AT125" s="125">
        <f t="shared" si="10"/>
        <v>-13906.046</v>
      </c>
      <c r="AU125" s="125">
        <f>AH125*Valores!$C$73</f>
        <v>-3413.3022000000001</v>
      </c>
      <c r="AV125" s="125">
        <f>AH125*Valores!$C$74</f>
        <v>-379.25580000000002</v>
      </c>
      <c r="AW125" s="125">
        <f t="shared" si="14"/>
        <v>108890.33600000001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1742.43</v>
      </c>
      <c r="G126" s="192">
        <v>1590</v>
      </c>
      <c r="H126" s="125">
        <f>ROUND(G126*Valores!$C$2,2)</f>
        <v>38478.639999999999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9040.1</v>
      </c>
      <c r="N126" s="125">
        <f t="shared" si="11"/>
        <v>0</v>
      </c>
      <c r="O126" s="125">
        <f>Valores!$C$16</f>
        <v>20912.349999999999</v>
      </c>
      <c r="P126" s="125">
        <f>Valores!$D$5</f>
        <v>12371.24</v>
      </c>
      <c r="Q126" s="125">
        <f>Valores!$C$22</f>
        <v>11037.15</v>
      </c>
      <c r="R126" s="125">
        <f>IF($F$4="NO",Valores!$C$42,Valores!$C$42/2)</f>
        <v>8652.27</v>
      </c>
      <c r="S126" s="125">
        <f>Valores!$C$20</f>
        <v>11393.97</v>
      </c>
      <c r="T126" s="125">
        <f t="shared" si="17"/>
        <v>11393.97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Valores!$C$93</f>
        <v>5455.2</v>
      </c>
      <c r="AA126" s="125">
        <f>Valores!$C$25</f>
        <v>505.99</v>
      </c>
      <c r="AB126" s="214">
        <v>0</v>
      </c>
      <c r="AC126" s="125">
        <f t="shared" si="12"/>
        <v>0</v>
      </c>
      <c r="AD126" s="125">
        <f>Valores!$C$26</f>
        <v>505.99</v>
      </c>
      <c r="AE126" s="192">
        <v>94</v>
      </c>
      <c r="AF126" s="125">
        <f>ROUND(AE126*Valores!$C$2,2)</f>
        <v>2274.84</v>
      </c>
      <c r="AG126" s="125">
        <f>ROUND(IF($F$4="NO",Valores!$C$62,Valores!$C$62/2),2)</f>
        <v>6323.27</v>
      </c>
      <c r="AH126" s="125">
        <f t="shared" si="15"/>
        <v>128693.44</v>
      </c>
      <c r="AI126" s="125">
        <f>Valores!$C$31</f>
        <v>0</v>
      </c>
      <c r="AJ126" s="125">
        <f>Valores!$C$86</f>
        <v>0</v>
      </c>
      <c r="AK126" s="125">
        <f>Valores!C$38*B126</f>
        <v>0</v>
      </c>
      <c r="AL126" s="125">
        <f>IF($F$3="NO",0,Valores!$C$55)</f>
        <v>170.34</v>
      </c>
      <c r="AM126" s="125">
        <f t="shared" si="13"/>
        <v>170.34</v>
      </c>
      <c r="AN126" s="125">
        <f>AH126*Valores!$C$70</f>
        <v>-14156.278400000001</v>
      </c>
      <c r="AO126" s="125">
        <f>AH126*-Valores!$C$71</f>
        <v>0</v>
      </c>
      <c r="AP126" s="125">
        <f>AH126*Valores!$C$72</f>
        <v>-5791.2047999999995</v>
      </c>
      <c r="AQ126" s="125">
        <f>Valores!$C$99</f>
        <v>-280.91000000000003</v>
      </c>
      <c r="AR126" s="125">
        <f>IF($F$5=0,Valores!$C$100,(Valores!$C$100+$F$5*(Valores!$C$100)))</f>
        <v>-329</v>
      </c>
      <c r="AS126" s="125">
        <f t="shared" si="16"/>
        <v>108306.38680000001</v>
      </c>
      <c r="AT126" s="125">
        <f t="shared" si="10"/>
        <v>-14156.278400000001</v>
      </c>
      <c r="AU126" s="125">
        <f>AH126*Valores!$C$73</f>
        <v>-3474.7228799999998</v>
      </c>
      <c r="AV126" s="125">
        <f>AH126*Valores!$C$74</f>
        <v>-386.08032000000003</v>
      </c>
      <c r="AW126" s="125">
        <f t="shared" si="14"/>
        <v>110846.69839999999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1863.43</v>
      </c>
      <c r="G127" s="192">
        <v>2043</v>
      </c>
      <c r="H127" s="125">
        <f>ROUND(G127*Valores!$C$2,2)</f>
        <v>49441.42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10792.95</v>
      </c>
      <c r="N127" s="125">
        <f t="shared" si="11"/>
        <v>0</v>
      </c>
      <c r="O127" s="125">
        <f>Valores!$C$11</f>
        <v>21578.870000000003</v>
      </c>
      <c r="P127" s="125">
        <f>Valores!$D$5</f>
        <v>12371.24</v>
      </c>
      <c r="Q127" s="125">
        <f>Valores!$C$22</f>
        <v>11037.15</v>
      </c>
      <c r="R127" s="125">
        <f>IF($F$4="NO",Valores!$C$43,Valores!$C$43/2)</f>
        <v>9136.5</v>
      </c>
      <c r="S127" s="125">
        <f>Valores!$C$19</f>
        <v>11511.67</v>
      </c>
      <c r="T127" s="125">
        <f t="shared" si="17"/>
        <v>11511.67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Valores!$C$93</f>
        <v>5455.2</v>
      </c>
      <c r="AA127" s="125">
        <f>Valores!$C$25</f>
        <v>505.99</v>
      </c>
      <c r="AB127" s="214">
        <v>0</v>
      </c>
      <c r="AC127" s="125">
        <f t="shared" si="12"/>
        <v>0</v>
      </c>
      <c r="AD127" s="125">
        <f>Valores!$C$26</f>
        <v>505.99</v>
      </c>
      <c r="AE127" s="192">
        <v>0</v>
      </c>
      <c r="AF127" s="125">
        <f>ROUND(AE127*Valores!$C$2,2)</f>
        <v>0</v>
      </c>
      <c r="AG127" s="125">
        <f>ROUND(IF($F$4="NO",Valores!$C$62,Valores!$C$62/2),2)</f>
        <v>6323.27</v>
      </c>
      <c r="AH127" s="125">
        <f t="shared" si="15"/>
        <v>140523.68</v>
      </c>
      <c r="AI127" s="125">
        <f>Valores!$C$31</f>
        <v>0</v>
      </c>
      <c r="AJ127" s="125">
        <f>Valores!$C$86</f>
        <v>0</v>
      </c>
      <c r="AK127" s="125">
        <f>Valores!C$38*B127</f>
        <v>0</v>
      </c>
      <c r="AL127" s="125">
        <f>IF($F$3="NO",0,Valores!$C$55)</f>
        <v>170.34</v>
      </c>
      <c r="AM127" s="125">
        <f t="shared" si="13"/>
        <v>170.34</v>
      </c>
      <c r="AN127" s="125">
        <f>AH127*Valores!$C$70</f>
        <v>-15457.604799999999</v>
      </c>
      <c r="AO127" s="125">
        <f>AH127*-Valores!$C$71</f>
        <v>0</v>
      </c>
      <c r="AP127" s="125">
        <f>AH127*Valores!$C$72</f>
        <v>-6323.5655999999999</v>
      </c>
      <c r="AQ127" s="125">
        <f>Valores!$C$99</f>
        <v>-280.91000000000003</v>
      </c>
      <c r="AR127" s="125">
        <f>IF($F$5=0,Valores!$C$100,(Valores!$C$100+$F$5*(Valores!$C$100)))</f>
        <v>-329</v>
      </c>
      <c r="AS127" s="125">
        <f t="shared" si="16"/>
        <v>118302.9396</v>
      </c>
      <c r="AT127" s="125">
        <f t="shared" si="10"/>
        <v>-15457.604799999999</v>
      </c>
      <c r="AU127" s="125">
        <f>AH127*Valores!$C$73</f>
        <v>-3794.1393599999997</v>
      </c>
      <c r="AV127" s="125">
        <f>AH127*Valores!$C$74</f>
        <v>-421.57103999999998</v>
      </c>
      <c r="AW127" s="125">
        <f t="shared" si="14"/>
        <v>121020.70479999999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1476.22</v>
      </c>
      <c r="G128" s="192">
        <v>1217</v>
      </c>
      <c r="H128" s="125">
        <f>ROUND(G128*Valores!$C$2,2)</f>
        <v>29451.89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7663.81</v>
      </c>
      <c r="N128" s="125">
        <f t="shared" si="11"/>
        <v>0</v>
      </c>
      <c r="O128" s="125">
        <f>Valores!$C$16</f>
        <v>20912.349999999999</v>
      </c>
      <c r="P128" s="125">
        <f>Valores!$D$5</f>
        <v>12371.24</v>
      </c>
      <c r="Q128" s="125">
        <f>Valores!$C$22</f>
        <v>11037.15</v>
      </c>
      <c r="R128" s="125">
        <f>IF($F$4="NO",Valores!$C$42,Valores!$C$42/2)</f>
        <v>8652.27</v>
      </c>
      <c r="S128" s="125">
        <f>Valores!$C$19</f>
        <v>11511.67</v>
      </c>
      <c r="T128" s="125">
        <f t="shared" si="17"/>
        <v>11511.67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Valores!$C$93</f>
        <v>5455.2</v>
      </c>
      <c r="AA128" s="125">
        <f>Valores!$C$25</f>
        <v>505.99</v>
      </c>
      <c r="AB128" s="214">
        <v>0</v>
      </c>
      <c r="AC128" s="125">
        <f t="shared" si="12"/>
        <v>0</v>
      </c>
      <c r="AD128" s="125">
        <f>Valores!$C$26</f>
        <v>505.99</v>
      </c>
      <c r="AE128" s="192">
        <v>0</v>
      </c>
      <c r="AF128" s="125">
        <f>ROUND(AE128*Valores!$C$2,2)</f>
        <v>0</v>
      </c>
      <c r="AG128" s="125">
        <f>ROUND(IF($F$4="NO",Valores!$C$62,Valores!$C$62/2),2)</f>
        <v>6323.27</v>
      </c>
      <c r="AH128" s="125">
        <f t="shared" si="15"/>
        <v>115867.05</v>
      </c>
      <c r="AI128" s="125">
        <f>Valores!$C$31</f>
        <v>0</v>
      </c>
      <c r="AJ128" s="125">
        <f>Valores!$C$86</f>
        <v>0</v>
      </c>
      <c r="AK128" s="125">
        <f>Valores!C$38*B128</f>
        <v>0</v>
      </c>
      <c r="AL128" s="125">
        <f>IF($F$3="NO",0,Valores!$C$55)</f>
        <v>170.34</v>
      </c>
      <c r="AM128" s="125">
        <f t="shared" si="13"/>
        <v>170.34</v>
      </c>
      <c r="AN128" s="125">
        <f>AH128*Valores!$C$70</f>
        <v>-12745.3755</v>
      </c>
      <c r="AO128" s="125">
        <f>AH128*-Valores!$C$71</f>
        <v>0</v>
      </c>
      <c r="AP128" s="125">
        <f>AH128*Valores!$C$72</f>
        <v>-5214.0172499999999</v>
      </c>
      <c r="AQ128" s="125">
        <f>Valores!$C$99</f>
        <v>-280.91000000000003</v>
      </c>
      <c r="AR128" s="125">
        <f>IF($F$5=0,Valores!$C$100,(Valores!$C$100+$F$5*(Valores!$C$100)))</f>
        <v>-329</v>
      </c>
      <c r="AS128" s="125">
        <f t="shared" si="16"/>
        <v>97468.087250000011</v>
      </c>
      <c r="AT128" s="125">
        <f t="shared" si="10"/>
        <v>-12745.3755</v>
      </c>
      <c r="AU128" s="125">
        <f>AH128*Valores!$C$73</f>
        <v>-3128.4103500000001</v>
      </c>
      <c r="AV128" s="125">
        <f>AH128*Valores!$C$74</f>
        <v>-347.60115000000002</v>
      </c>
      <c r="AW128" s="125">
        <f t="shared" si="14"/>
        <v>99816.002999999997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1742.43</v>
      </c>
      <c r="G129" s="192">
        <v>1206</v>
      </c>
      <c r="H129" s="125">
        <f>ROUND(G129*Valores!$C$2,2)</f>
        <v>29185.68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7663.81</v>
      </c>
      <c r="N129" s="125">
        <f t="shared" si="11"/>
        <v>0</v>
      </c>
      <c r="O129" s="125">
        <f>Valores!$C$16</f>
        <v>20912.349999999999</v>
      </c>
      <c r="P129" s="125">
        <f>Valores!$D$5</f>
        <v>12371.24</v>
      </c>
      <c r="Q129" s="125">
        <f>Valores!$C$22</f>
        <v>11037.15</v>
      </c>
      <c r="R129" s="125">
        <f>IF($F$4="NO",Valores!$C$42,Valores!$C$42/2)</f>
        <v>8652.27</v>
      </c>
      <c r="S129" s="125">
        <f>Valores!$C$19</f>
        <v>11511.67</v>
      </c>
      <c r="T129" s="125">
        <f t="shared" si="17"/>
        <v>11511.67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Valores!$C$93</f>
        <v>5455.2</v>
      </c>
      <c r="AA129" s="125">
        <f>Valores!$C$25</f>
        <v>505.99</v>
      </c>
      <c r="AB129" s="214">
        <v>0</v>
      </c>
      <c r="AC129" s="125">
        <f t="shared" si="12"/>
        <v>0</v>
      </c>
      <c r="AD129" s="125">
        <f>Valores!$C$26</f>
        <v>505.99</v>
      </c>
      <c r="AE129" s="192">
        <v>94</v>
      </c>
      <c r="AF129" s="125">
        <f>ROUND(AE129*Valores!$C$2,2)</f>
        <v>2274.84</v>
      </c>
      <c r="AG129" s="125">
        <f>ROUND(IF($F$4="NO",Valores!$C$62,Valores!$C$62/2),2)</f>
        <v>6323.27</v>
      </c>
      <c r="AH129" s="125">
        <f t="shared" si="15"/>
        <v>118141.89</v>
      </c>
      <c r="AI129" s="125">
        <f>Valores!$C$31</f>
        <v>0</v>
      </c>
      <c r="AJ129" s="125">
        <f>Valores!$C$86</f>
        <v>0</v>
      </c>
      <c r="AK129" s="125">
        <f>Valores!C$38*B129</f>
        <v>0</v>
      </c>
      <c r="AL129" s="125">
        <f>IF($F$3="NO",0,Valores!$C$55)</f>
        <v>170.34</v>
      </c>
      <c r="AM129" s="125">
        <f t="shared" si="13"/>
        <v>170.34</v>
      </c>
      <c r="AN129" s="125">
        <f>AH129*Valores!$C$70</f>
        <v>-12995.607900000001</v>
      </c>
      <c r="AO129" s="125">
        <f>AH129*-Valores!$C$71</f>
        <v>0</v>
      </c>
      <c r="AP129" s="125">
        <f>AH129*Valores!$C$72</f>
        <v>-5316.3850499999999</v>
      </c>
      <c r="AQ129" s="125">
        <f>Valores!$C$99</f>
        <v>-280.91000000000003</v>
      </c>
      <c r="AR129" s="125">
        <f>IF($F$5=0,Valores!$C$100,(Valores!$C$100+$F$5*(Valores!$C$100)))</f>
        <v>-329</v>
      </c>
      <c r="AS129" s="125">
        <f t="shared" si="16"/>
        <v>99390.327049999993</v>
      </c>
      <c r="AT129" s="125">
        <f t="shared" si="10"/>
        <v>-12995.607900000001</v>
      </c>
      <c r="AU129" s="125">
        <f>AH129*Valores!$C$73</f>
        <v>-3189.8310299999998</v>
      </c>
      <c r="AV129" s="125">
        <f>AH129*Valores!$C$74</f>
        <v>-354.42567000000003</v>
      </c>
      <c r="AW129" s="125">
        <f t="shared" si="14"/>
        <v>101772.3654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1476.22</v>
      </c>
      <c r="G130" s="192">
        <v>1217</v>
      </c>
      <c r="H130" s="125">
        <f>ROUND(G130*Valores!$C$2,2)</f>
        <v>29451.89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7646.15</v>
      </c>
      <c r="N130" s="125">
        <f t="shared" si="11"/>
        <v>0</v>
      </c>
      <c r="O130" s="125">
        <f>Valores!$C$16</f>
        <v>20912.349999999999</v>
      </c>
      <c r="P130" s="125">
        <f>Valores!$D$5</f>
        <v>12371.24</v>
      </c>
      <c r="Q130" s="125">
        <v>0</v>
      </c>
      <c r="R130" s="125">
        <f>IF($F$4="NO",Valores!$C$42,Valores!$C$42/2)</f>
        <v>8652.27</v>
      </c>
      <c r="S130" s="125">
        <f>Valores!$C$20</f>
        <v>11393.97</v>
      </c>
      <c r="T130" s="125">
        <f t="shared" si="17"/>
        <v>11393.97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Valores!$C$93</f>
        <v>5455.2</v>
      </c>
      <c r="AA130" s="125">
        <f>Valores!$C$25</f>
        <v>505.99</v>
      </c>
      <c r="AB130" s="214">
        <v>0</v>
      </c>
      <c r="AC130" s="125">
        <f t="shared" si="12"/>
        <v>0</v>
      </c>
      <c r="AD130" s="125">
        <f>Valores!$C$26</f>
        <v>505.99</v>
      </c>
      <c r="AE130" s="192">
        <v>0</v>
      </c>
      <c r="AF130" s="125">
        <f>ROUND(AE130*Valores!$C$2,2)</f>
        <v>0</v>
      </c>
      <c r="AG130" s="125">
        <f>ROUND(IF($F$4="NO",Valores!$C$62,Valores!$C$62/2),2)</f>
        <v>6323.27</v>
      </c>
      <c r="AH130" s="125">
        <f t="shared" si="15"/>
        <v>104694.54000000002</v>
      </c>
      <c r="AI130" s="125">
        <f>Valores!$C$31</f>
        <v>0</v>
      </c>
      <c r="AJ130" s="125">
        <f>Valores!$C$86</f>
        <v>0</v>
      </c>
      <c r="AK130" s="125">
        <f>Valores!C$38*B130</f>
        <v>0</v>
      </c>
      <c r="AL130" s="125">
        <f>IF($F$3="NO",0,Valores!$C$55)</f>
        <v>170.34</v>
      </c>
      <c r="AM130" s="125">
        <f t="shared" si="13"/>
        <v>170.34</v>
      </c>
      <c r="AN130" s="125">
        <f>AH130*Valores!$C$70</f>
        <v>-11516.399400000002</v>
      </c>
      <c r="AO130" s="125">
        <f>AH130*-Valores!$C$71</f>
        <v>0</v>
      </c>
      <c r="AP130" s="125">
        <f>AH130*Valores!$C$72</f>
        <v>-4711.2543000000005</v>
      </c>
      <c r="AQ130" s="125">
        <f>Valores!$C$99</f>
        <v>-280.91000000000003</v>
      </c>
      <c r="AR130" s="125">
        <f>IF($F$5=0,Valores!$C$100,(Valores!$C$100+$F$5*(Valores!$C$100)))</f>
        <v>-329</v>
      </c>
      <c r="AS130" s="125">
        <f t="shared" si="16"/>
        <v>88027.31630000002</v>
      </c>
      <c r="AT130" s="125">
        <f t="shared" si="10"/>
        <v>-11516.399400000002</v>
      </c>
      <c r="AU130" s="125">
        <f>AH130*Valores!$C$73</f>
        <v>-2826.7525800000008</v>
      </c>
      <c r="AV130" s="125">
        <f>AH130*Valores!$C$74</f>
        <v>-314.08362000000005</v>
      </c>
      <c r="AW130" s="125">
        <f t="shared" si="14"/>
        <v>90207.644400000019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30928.11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7718.79</v>
      </c>
      <c r="N131" s="125">
        <f t="shared" si="11"/>
        <v>0</v>
      </c>
      <c r="O131" s="125">
        <f>Valores!$C$16</f>
        <v>20912.349999999999</v>
      </c>
      <c r="P131" s="125">
        <f>Valores!$D$5</f>
        <v>12371.24</v>
      </c>
      <c r="Q131" s="125">
        <f>Valores!$C$22</f>
        <v>11037.15</v>
      </c>
      <c r="R131" s="125">
        <f>IF($F$4="NO",Valores!$C$43,Valores!$C$43/2)</f>
        <v>9136.5</v>
      </c>
      <c r="S131" s="125">
        <f>Valores!$C$20</f>
        <v>11393.97</v>
      </c>
      <c r="T131" s="125">
        <f t="shared" si="17"/>
        <v>11393.97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Valores!$C$93</f>
        <v>5455.2</v>
      </c>
      <c r="AA131" s="125">
        <f>Valores!$C$25</f>
        <v>505.99</v>
      </c>
      <c r="AB131" s="214">
        <v>0</v>
      </c>
      <c r="AC131" s="125">
        <f t="shared" si="12"/>
        <v>0</v>
      </c>
      <c r="AD131" s="125">
        <f>Valores!$C$26</f>
        <v>505.99</v>
      </c>
      <c r="AE131" s="192">
        <v>0</v>
      </c>
      <c r="AF131" s="125">
        <f>ROUND(AE131*Valores!$C$2,2)</f>
        <v>0</v>
      </c>
      <c r="AG131" s="125">
        <f>ROUND(IF($F$4="NO",Valores!$C$62,Valores!$C$62/2),2)</f>
        <v>6323.27</v>
      </c>
      <c r="AH131" s="125">
        <f t="shared" si="15"/>
        <v>116288.56000000001</v>
      </c>
      <c r="AI131" s="125">
        <f>Valores!$C$31</f>
        <v>0</v>
      </c>
      <c r="AJ131" s="125">
        <f>Valores!$C$86</f>
        <v>0</v>
      </c>
      <c r="AK131" s="125">
        <f>Valores!C$38*B131</f>
        <v>0</v>
      </c>
      <c r="AL131" s="125">
        <f>IF($F$3="NO",0,Valores!$C$55)</f>
        <v>170.34</v>
      </c>
      <c r="AM131" s="125">
        <f t="shared" si="13"/>
        <v>170.34</v>
      </c>
      <c r="AN131" s="125">
        <f>AH131*Valores!$C$70</f>
        <v>-12791.741600000001</v>
      </c>
      <c r="AO131" s="125">
        <f>AH131*-Valores!$C$71</f>
        <v>0</v>
      </c>
      <c r="AP131" s="125">
        <f>AH131*Valores!$C$72</f>
        <v>-5232.9852000000001</v>
      </c>
      <c r="AQ131" s="125">
        <f>Valores!$C$99</f>
        <v>-280.91000000000003</v>
      </c>
      <c r="AR131" s="125">
        <f>IF($F$5=0,Valores!$C$100,(Valores!$C$100+$F$5*(Valores!$C$100)))</f>
        <v>-329</v>
      </c>
      <c r="AS131" s="125">
        <f t="shared" si="16"/>
        <v>97824.263200000016</v>
      </c>
      <c r="AT131" s="125">
        <f t="shared" si="10"/>
        <v>-12791.741600000001</v>
      </c>
      <c r="AU131" s="125">
        <f>AH131*Valores!$C$73</f>
        <v>-3139.7911200000003</v>
      </c>
      <c r="AV131" s="125">
        <f>AH131*Valores!$C$74</f>
        <v>-348.86568000000005</v>
      </c>
      <c r="AW131" s="125">
        <f t="shared" si="14"/>
        <v>100178.5016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30928.11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7736.44</v>
      </c>
      <c r="N132" s="125">
        <f t="shared" si="11"/>
        <v>0</v>
      </c>
      <c r="O132" s="125">
        <f>Valores!$C$16</f>
        <v>20912.349999999999</v>
      </c>
      <c r="P132" s="125">
        <f>Valores!$D$5</f>
        <v>12371.24</v>
      </c>
      <c r="Q132" s="125">
        <f>Valores!$C$22</f>
        <v>11037.15</v>
      </c>
      <c r="R132" s="125">
        <f>IF($F$4="NO",Valores!$C$43,Valores!$C$43/2)</f>
        <v>9136.5</v>
      </c>
      <c r="S132" s="125">
        <f>Valores!$C$19</f>
        <v>11511.67</v>
      </c>
      <c r="T132" s="125">
        <f t="shared" si="17"/>
        <v>11511.67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Valores!$C$93</f>
        <v>5455.2</v>
      </c>
      <c r="AA132" s="125">
        <f>Valores!$C$25</f>
        <v>505.99</v>
      </c>
      <c r="AB132" s="214">
        <v>0</v>
      </c>
      <c r="AC132" s="125">
        <f t="shared" si="12"/>
        <v>0</v>
      </c>
      <c r="AD132" s="125">
        <f>Valores!$C$26</f>
        <v>505.99</v>
      </c>
      <c r="AE132" s="192">
        <v>94</v>
      </c>
      <c r="AF132" s="125">
        <f>ROUND(AE132*Valores!$C$2,2)</f>
        <v>2274.84</v>
      </c>
      <c r="AG132" s="125">
        <f>ROUND(IF($F$4="NO",Valores!$C$62,Valores!$C$62/2),2)</f>
        <v>6323.27</v>
      </c>
      <c r="AH132" s="125">
        <f t="shared" si="15"/>
        <v>118698.75</v>
      </c>
      <c r="AI132" s="125">
        <f>Valores!$C$31</f>
        <v>0</v>
      </c>
      <c r="AJ132" s="125">
        <f>Valores!$C$86</f>
        <v>0</v>
      </c>
      <c r="AK132" s="125">
        <f>Valores!C$38*B132</f>
        <v>0</v>
      </c>
      <c r="AL132" s="125">
        <f>IF($F$3="NO",0,Valores!$C$55)</f>
        <v>170.34</v>
      </c>
      <c r="AM132" s="125">
        <f t="shared" si="13"/>
        <v>170.34</v>
      </c>
      <c r="AN132" s="125">
        <f>AH132*Valores!$C$70</f>
        <v>-13056.862499999999</v>
      </c>
      <c r="AO132" s="125">
        <f>AH132*-Valores!$C$71</f>
        <v>0</v>
      </c>
      <c r="AP132" s="125">
        <f>AH132*Valores!$C$72</f>
        <v>-5341.4437499999995</v>
      </c>
      <c r="AQ132" s="125">
        <f>Valores!$C$99</f>
        <v>-280.91000000000003</v>
      </c>
      <c r="AR132" s="125">
        <f>IF($F$5=0,Valores!$C$100,(Valores!$C$100+$F$5*(Valores!$C$100)))</f>
        <v>-329</v>
      </c>
      <c r="AS132" s="125">
        <f t="shared" si="16"/>
        <v>99860.873749999999</v>
      </c>
      <c r="AT132" s="125">
        <f t="shared" si="10"/>
        <v>-13056.862499999999</v>
      </c>
      <c r="AU132" s="125">
        <f>AH132*Valores!$C$73</f>
        <v>-3204.86625</v>
      </c>
      <c r="AV132" s="125">
        <f>AH132*Valores!$C$74</f>
        <v>-356.09625</v>
      </c>
      <c r="AW132" s="125">
        <f t="shared" si="14"/>
        <v>102251.265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22651.57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6404.67</v>
      </c>
      <c r="N133" s="125">
        <f t="shared" si="11"/>
        <v>0</v>
      </c>
      <c r="O133" s="125">
        <f>Valores!$C$16</f>
        <v>20912.349999999999</v>
      </c>
      <c r="P133" s="125">
        <f>Valores!$D$5</f>
        <v>12371.24</v>
      </c>
      <c r="Q133" s="125">
        <f>Valores!$C$23</f>
        <v>10272.65</v>
      </c>
      <c r="R133" s="125">
        <f>IF($F$4="NO",Valores!$C$42,Valores!$C$42/2)</f>
        <v>8652.27</v>
      </c>
      <c r="S133" s="125">
        <f>Valores!$C$20</f>
        <v>11393.97</v>
      </c>
      <c r="T133" s="125">
        <f t="shared" si="17"/>
        <v>11393.97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Valores!$C$93</f>
        <v>5455.2</v>
      </c>
      <c r="AA133" s="125">
        <f>Valores!$C$25</f>
        <v>505.99</v>
      </c>
      <c r="AB133" s="214">
        <v>0</v>
      </c>
      <c r="AC133" s="125">
        <f t="shared" si="12"/>
        <v>0</v>
      </c>
      <c r="AD133" s="125">
        <f>Valores!$C$26</f>
        <v>505.99</v>
      </c>
      <c r="AE133" s="192">
        <v>94</v>
      </c>
      <c r="AF133" s="125">
        <f>ROUND(AE133*Valores!$C$2,2)</f>
        <v>2274.84</v>
      </c>
      <c r="AG133" s="125">
        <f>ROUND(IF($F$4="NO",Valores!$C$62,Valores!$C$62/2),2)</f>
        <v>6323.27</v>
      </c>
      <c r="AH133" s="125">
        <f t="shared" si="15"/>
        <v>107724.01000000001</v>
      </c>
      <c r="AI133" s="125">
        <f>Valores!$C$31</f>
        <v>0</v>
      </c>
      <c r="AJ133" s="125">
        <f>Valores!$C$86</f>
        <v>0</v>
      </c>
      <c r="AK133" s="125">
        <f>Valores!C$38*B133</f>
        <v>0</v>
      </c>
      <c r="AL133" s="125">
        <f>IF($F$3="NO",0,Valores!$C$55)</f>
        <v>170.34</v>
      </c>
      <c r="AM133" s="125">
        <f t="shared" si="13"/>
        <v>170.34</v>
      </c>
      <c r="AN133" s="125">
        <f>AH133*Valores!$C$70</f>
        <v>-11849.641100000001</v>
      </c>
      <c r="AO133" s="125">
        <f>AH133*-Valores!$C$71</f>
        <v>0</v>
      </c>
      <c r="AP133" s="125">
        <f>AH133*Valores!$C$72</f>
        <v>-4847.5804500000004</v>
      </c>
      <c r="AQ133" s="125">
        <f>Valores!$C$99</f>
        <v>-280.91000000000003</v>
      </c>
      <c r="AR133" s="125">
        <f>IF($F$5=0,Valores!$C$100,(Valores!$C$100+$F$5*(Valores!$C$100)))</f>
        <v>-329</v>
      </c>
      <c r="AS133" s="125">
        <f t="shared" si="16"/>
        <v>90587.218450000015</v>
      </c>
      <c r="AT133" s="125">
        <f t="shared" si="10"/>
        <v>-11849.641100000001</v>
      </c>
      <c r="AU133" s="125">
        <f>AH133*Valores!$C$73</f>
        <v>-2908.5482700000002</v>
      </c>
      <c r="AV133" s="125">
        <f>AH133*Valores!$C$74</f>
        <v>-323.17203000000001</v>
      </c>
      <c r="AW133" s="125">
        <f t="shared" si="14"/>
        <v>92812.988600000012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30928.11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7646.15</v>
      </c>
      <c r="N134" s="125">
        <f t="shared" si="11"/>
        <v>0</v>
      </c>
      <c r="O134" s="125">
        <f>Valores!$C$8</f>
        <v>26798.030000000002</v>
      </c>
      <c r="P134" s="125">
        <f>Valores!$D$5</f>
        <v>12371.24</v>
      </c>
      <c r="Q134" s="125">
        <v>0</v>
      </c>
      <c r="R134" s="125">
        <f>IF($F$4="NO",Valores!$C$42,Valores!$C$42/2)</f>
        <v>8652.27</v>
      </c>
      <c r="S134" s="125">
        <f>Valores!$C$20</f>
        <v>11393.97</v>
      </c>
      <c r="T134" s="125">
        <f t="shared" si="17"/>
        <v>11393.97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Valores!$C$93</f>
        <v>5455.2</v>
      </c>
      <c r="AA134" s="125">
        <f>Valores!$C$25</f>
        <v>505.99</v>
      </c>
      <c r="AB134" s="214">
        <v>0</v>
      </c>
      <c r="AC134" s="125">
        <f t="shared" si="12"/>
        <v>0</v>
      </c>
      <c r="AD134" s="125">
        <f>Valores!$C$26</f>
        <v>505.99</v>
      </c>
      <c r="AE134" s="192">
        <v>94</v>
      </c>
      <c r="AF134" s="125">
        <f>ROUND(AE134*Valores!$C$2,2)</f>
        <v>2274.84</v>
      </c>
      <c r="AG134" s="125">
        <f>ROUND(IF($F$4="NO",Valores!$C$62,Valores!$C$62/2),2)</f>
        <v>6323.27</v>
      </c>
      <c r="AH134" s="125">
        <f t="shared" si="15"/>
        <v>112855.06000000003</v>
      </c>
      <c r="AI134" s="125">
        <f>Valores!$C$31</f>
        <v>0</v>
      </c>
      <c r="AJ134" s="125">
        <f>Valores!$C$86</f>
        <v>0</v>
      </c>
      <c r="AK134" s="125">
        <f>Valores!C$38*B134</f>
        <v>0</v>
      </c>
      <c r="AL134" s="125">
        <f>IF($F$3="NO",0,Valores!$C$55)</f>
        <v>170.34</v>
      </c>
      <c r="AM134" s="125">
        <f t="shared" si="13"/>
        <v>170.34</v>
      </c>
      <c r="AN134" s="125">
        <f>AH134*Valores!$C$70</f>
        <v>-12414.056600000004</v>
      </c>
      <c r="AO134" s="125">
        <f>AH134*-Valores!$C$71</f>
        <v>0</v>
      </c>
      <c r="AP134" s="125">
        <f>AH134*Valores!$C$72</f>
        <v>-5078.4777000000013</v>
      </c>
      <c r="AQ134" s="125">
        <f>Valores!$C$99</f>
        <v>-280.91000000000003</v>
      </c>
      <c r="AR134" s="125">
        <f>IF($F$5=0,Valores!$C$100,(Valores!$C$100+$F$5*(Valores!$C$100)))</f>
        <v>-329</v>
      </c>
      <c r="AS134" s="125">
        <f t="shared" si="16"/>
        <v>94922.95570000002</v>
      </c>
      <c r="AT134" s="125">
        <f t="shared" ref="AT134:AT196" si="18">AN134</f>
        <v>-12414.056600000004</v>
      </c>
      <c r="AU134" s="125">
        <f>AH134*Valores!$C$73</f>
        <v>-3047.0866200000005</v>
      </c>
      <c r="AV134" s="125">
        <f>AH134*Valores!$C$74</f>
        <v>-338.56518000000011</v>
      </c>
      <c r="AW134" s="125">
        <f t="shared" si="14"/>
        <v>97225.69160000002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30928.11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7736.44</v>
      </c>
      <c r="N135" s="125">
        <f t="shared" si="11"/>
        <v>0</v>
      </c>
      <c r="O135" s="125">
        <f>Valores!$C$8</f>
        <v>26798.030000000002</v>
      </c>
      <c r="P135" s="125">
        <f>Valores!$D$5</f>
        <v>12371.24</v>
      </c>
      <c r="Q135" s="125">
        <f>Valores!$C$22</f>
        <v>11037.15</v>
      </c>
      <c r="R135" s="125">
        <f>IF($F$4="NO",Valores!$C$43,Valores!$C$43/2)</f>
        <v>9136.5</v>
      </c>
      <c r="S135" s="125">
        <f>Valores!$C$19</f>
        <v>11511.67</v>
      </c>
      <c r="T135" s="125">
        <f t="shared" si="17"/>
        <v>11511.67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Valores!$C$93</f>
        <v>5455.2</v>
      </c>
      <c r="AA135" s="125">
        <f>Valores!$C$25</f>
        <v>505.99</v>
      </c>
      <c r="AB135" s="214">
        <v>0</v>
      </c>
      <c r="AC135" s="125">
        <f t="shared" si="12"/>
        <v>0</v>
      </c>
      <c r="AD135" s="125">
        <f>Valores!$C$26</f>
        <v>505.99</v>
      </c>
      <c r="AE135" s="192">
        <v>0</v>
      </c>
      <c r="AF135" s="125">
        <f>ROUND(AE135*Valores!$C$2,2)</f>
        <v>0</v>
      </c>
      <c r="AG135" s="125">
        <f>ROUND(IF($F$4="NO",Valores!$C$62,Valores!$C$62/2),2)</f>
        <v>6323.27</v>
      </c>
      <c r="AH135" s="125">
        <f t="shared" si="15"/>
        <v>122309.59000000001</v>
      </c>
      <c r="AI135" s="125">
        <f>Valores!$C$31</f>
        <v>0</v>
      </c>
      <c r="AJ135" s="125">
        <f>Valores!$C$86</f>
        <v>0</v>
      </c>
      <c r="AK135" s="125">
        <f>Valores!C$38*B135</f>
        <v>0</v>
      </c>
      <c r="AL135" s="125">
        <f>IF($F$3="NO",0,Valores!$C$55)</f>
        <v>170.34</v>
      </c>
      <c r="AM135" s="125">
        <f t="shared" si="13"/>
        <v>170.34</v>
      </c>
      <c r="AN135" s="125">
        <f>AH135*Valores!$C$70</f>
        <v>-13454.054900000001</v>
      </c>
      <c r="AO135" s="125">
        <f>AH135*-Valores!$C$71</f>
        <v>0</v>
      </c>
      <c r="AP135" s="125">
        <f>AH135*Valores!$C$72</f>
        <v>-5503.9315500000002</v>
      </c>
      <c r="AQ135" s="125">
        <f>Valores!$C$99</f>
        <v>-280.91000000000003</v>
      </c>
      <c r="AR135" s="125">
        <f>IF($F$5=0,Valores!$C$100,(Valores!$C$100+$F$5*(Valores!$C$100)))</f>
        <v>-329</v>
      </c>
      <c r="AS135" s="125">
        <f t="shared" si="16"/>
        <v>102912.03355000001</v>
      </c>
      <c r="AT135" s="125">
        <f t="shared" si="18"/>
        <v>-13454.054900000001</v>
      </c>
      <c r="AU135" s="125">
        <f>AH135*Valores!$C$73</f>
        <v>-3302.3589300000003</v>
      </c>
      <c r="AV135" s="125">
        <f>AH135*Valores!$C$74</f>
        <v>-366.92877000000004</v>
      </c>
      <c r="AW135" s="125">
        <f t="shared" si="14"/>
        <v>105356.5874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30928.11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7736.44</v>
      </c>
      <c r="N136" s="125">
        <f t="shared" ref="N136:N199" si="19">ROUND(SUM(F136,H136,J136,L136,X136,R136)*$H$2,2)</f>
        <v>0</v>
      </c>
      <c r="O136" s="125">
        <f>Valores!$C$8</f>
        <v>26798.030000000002</v>
      </c>
      <c r="P136" s="125">
        <f>Valores!$D$5</f>
        <v>12371.24</v>
      </c>
      <c r="Q136" s="125">
        <f>Valores!$C$22</f>
        <v>11037.15</v>
      </c>
      <c r="R136" s="125">
        <f>IF($F$4="NO",Valores!$C$43,Valores!$C$43/2)</f>
        <v>9136.5</v>
      </c>
      <c r="S136" s="125">
        <f>Valores!$C$19</f>
        <v>11511.67</v>
      </c>
      <c r="T136" s="125">
        <f t="shared" si="17"/>
        <v>11511.67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Valores!$C$93</f>
        <v>5455.2</v>
      </c>
      <c r="AA136" s="125">
        <f>Valores!$C$25</f>
        <v>505.99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505.99</v>
      </c>
      <c r="AE136" s="192">
        <v>0</v>
      </c>
      <c r="AF136" s="125">
        <f>ROUND(AE136*Valores!$C$2,2)</f>
        <v>0</v>
      </c>
      <c r="AG136" s="125">
        <f>ROUND(IF($F$4="NO",Valores!$C$62,Valores!$C$62/2),2)</f>
        <v>6323.27</v>
      </c>
      <c r="AH136" s="125">
        <f t="shared" si="15"/>
        <v>122309.59000000001</v>
      </c>
      <c r="AI136" s="125">
        <f>Valores!$C$31</f>
        <v>0</v>
      </c>
      <c r="AJ136" s="125">
        <f>Valores!$C$86</f>
        <v>0</v>
      </c>
      <c r="AK136" s="125">
        <f>Valores!C$38*B136</f>
        <v>0</v>
      </c>
      <c r="AL136" s="125">
        <f>IF($F$3="NO",0,Valores!$C$55)</f>
        <v>170.34</v>
      </c>
      <c r="AM136" s="125">
        <f t="shared" ref="AM136:AM199" si="21">SUM(AI136:AL136)</f>
        <v>170.34</v>
      </c>
      <c r="AN136" s="125">
        <f>AH136*Valores!$C$70</f>
        <v>-13454.054900000001</v>
      </c>
      <c r="AO136" s="125">
        <f>AH136*-Valores!$C$71</f>
        <v>0</v>
      </c>
      <c r="AP136" s="125">
        <f>AH136*Valores!$C$72</f>
        <v>-5503.9315500000002</v>
      </c>
      <c r="AQ136" s="125">
        <f>Valores!$C$99</f>
        <v>-280.91000000000003</v>
      </c>
      <c r="AR136" s="125">
        <f>IF($F$5=0,Valores!$C$100,(Valores!$C$100+$F$5*(Valores!$C$100)))</f>
        <v>-329</v>
      </c>
      <c r="AS136" s="125">
        <f t="shared" si="16"/>
        <v>102912.03355000001</v>
      </c>
      <c r="AT136" s="125">
        <f t="shared" si="18"/>
        <v>-13454.054900000001</v>
      </c>
      <c r="AU136" s="125">
        <f>AH136*Valores!$C$73</f>
        <v>-3302.3589300000003</v>
      </c>
      <c r="AV136" s="125">
        <f>AH136*Valores!$C$74</f>
        <v>-366.92877000000004</v>
      </c>
      <c r="AW136" s="125">
        <f t="shared" ref="AW136:AW199" si="22">AH136+AM136+SUM(AT136:AV136)</f>
        <v>105356.5874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30928.11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7736.44</v>
      </c>
      <c r="N137" s="125">
        <f t="shared" si="19"/>
        <v>0</v>
      </c>
      <c r="O137" s="125">
        <f>Valores!$C$16</f>
        <v>20912.349999999999</v>
      </c>
      <c r="P137" s="125">
        <f>Valores!$D$5</f>
        <v>12371.24</v>
      </c>
      <c r="Q137" s="125">
        <v>0</v>
      </c>
      <c r="R137" s="125">
        <f>IF($F$4="NO",Valores!$C$43,Valores!$C$43/2)</f>
        <v>9136.5</v>
      </c>
      <c r="S137" s="125">
        <f>Valores!$C$19</f>
        <v>11511.67</v>
      </c>
      <c r="T137" s="125">
        <f t="shared" si="17"/>
        <v>11511.67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Valores!$C$93</f>
        <v>5455.2</v>
      </c>
      <c r="AA137" s="125">
        <f>Valores!$C$25</f>
        <v>505.99</v>
      </c>
      <c r="AB137" s="214">
        <v>0</v>
      </c>
      <c r="AC137" s="125">
        <f t="shared" si="20"/>
        <v>0</v>
      </c>
      <c r="AD137" s="125">
        <f>Valores!$C$26</f>
        <v>505.99</v>
      </c>
      <c r="AE137" s="192">
        <v>0</v>
      </c>
      <c r="AF137" s="125">
        <f>ROUND(AE137*Valores!$C$2,2)</f>
        <v>0</v>
      </c>
      <c r="AG137" s="125">
        <f>ROUND(IF($F$4="NO",Valores!$C$62,Valores!$C$62/2),2)</f>
        <v>6323.27</v>
      </c>
      <c r="AH137" s="125">
        <f t="shared" ref="AH137:AH200" si="23">SUM(F137,H137,J137,L137,M137,N137,O137,P137,Q137,R137,T137,U137,V137,X137,Y137,Z137,AA137,AC137,AD137,AF137,AG137)</f>
        <v>105386.76000000001</v>
      </c>
      <c r="AI137" s="125">
        <f>Valores!$C$31</f>
        <v>0</v>
      </c>
      <c r="AJ137" s="125">
        <f>Valores!$C$86</f>
        <v>0</v>
      </c>
      <c r="AK137" s="125">
        <f>Valores!C$38*B137</f>
        <v>0</v>
      </c>
      <c r="AL137" s="125">
        <f>IF($F$3="NO",0,Valores!$C$55)</f>
        <v>170.34</v>
      </c>
      <c r="AM137" s="125">
        <f t="shared" si="21"/>
        <v>170.34</v>
      </c>
      <c r="AN137" s="125">
        <f>AH137*Valores!$C$70</f>
        <v>-11592.543600000001</v>
      </c>
      <c r="AO137" s="125">
        <f>AH137*-Valores!$C$71</f>
        <v>0</v>
      </c>
      <c r="AP137" s="125">
        <f>AH137*Valores!$C$72</f>
        <v>-4742.4041999999999</v>
      </c>
      <c r="AQ137" s="125">
        <f>Valores!$C$99</f>
        <v>-280.91000000000003</v>
      </c>
      <c r="AR137" s="125">
        <f>IF($F$5=0,Valores!$C$100,(Valores!$C$100+$F$5*(Valores!$C$100)))</f>
        <v>-329</v>
      </c>
      <c r="AS137" s="125">
        <f t="shared" ref="AS137:AS200" si="24">AH137+SUM(AM137:AR137)</f>
        <v>88612.242200000008</v>
      </c>
      <c r="AT137" s="125">
        <f t="shared" si="18"/>
        <v>-11592.543600000001</v>
      </c>
      <c r="AU137" s="125">
        <f>AH137*Valores!$C$73</f>
        <v>-2845.4425200000001</v>
      </c>
      <c r="AV137" s="125">
        <f>AH137*Valores!$C$74</f>
        <v>-316.16028000000006</v>
      </c>
      <c r="AW137" s="125">
        <f t="shared" si="22"/>
        <v>90802.953600000008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14907.45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5333.34</v>
      </c>
      <c r="N138" s="125">
        <f t="shared" si="19"/>
        <v>0</v>
      </c>
      <c r="O138" s="125">
        <f>Valores!$C$8</f>
        <v>26798.030000000002</v>
      </c>
      <c r="P138" s="125">
        <f>Valores!$D$5</f>
        <v>12371.24</v>
      </c>
      <c r="Q138" s="125">
        <f>Valores!$C$22</f>
        <v>11037.15</v>
      </c>
      <c r="R138" s="125">
        <f>IF($F$4="NO",Valores!$C$43,Valores!$C$43/2)</f>
        <v>9136.5</v>
      </c>
      <c r="S138" s="125">
        <f>Valores!$C$19</f>
        <v>11511.67</v>
      </c>
      <c r="T138" s="125">
        <f t="shared" si="17"/>
        <v>11511.67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Valores!$C$93</f>
        <v>5455.2</v>
      </c>
      <c r="AA138" s="125">
        <f>Valores!$C$25</f>
        <v>505.99</v>
      </c>
      <c r="AB138" s="214">
        <v>0</v>
      </c>
      <c r="AC138" s="125">
        <f t="shared" si="20"/>
        <v>0</v>
      </c>
      <c r="AD138" s="125">
        <f>Valores!$C$26</f>
        <v>505.99</v>
      </c>
      <c r="AE138" s="192">
        <v>0</v>
      </c>
      <c r="AF138" s="125">
        <f>ROUND(AE138*Valores!$C$2,2)</f>
        <v>0</v>
      </c>
      <c r="AG138" s="125">
        <f>ROUND(IF($F$4="NO",Valores!$C$62,Valores!$C$62/2),2)</f>
        <v>6323.27</v>
      </c>
      <c r="AH138" s="125">
        <f t="shared" si="23"/>
        <v>103885.83000000002</v>
      </c>
      <c r="AI138" s="125">
        <f>Valores!$C$31</f>
        <v>0</v>
      </c>
      <c r="AJ138" s="125">
        <f>Valores!$C$86</f>
        <v>0</v>
      </c>
      <c r="AK138" s="125">
        <f>Valores!C$38*B138</f>
        <v>0</v>
      </c>
      <c r="AL138" s="125">
        <f>IF($F$3="NO",0,Valores!$C$55)</f>
        <v>170.34</v>
      </c>
      <c r="AM138" s="125">
        <f t="shared" si="21"/>
        <v>170.34</v>
      </c>
      <c r="AN138" s="125">
        <f>AH138*Valores!$C$70</f>
        <v>-11427.441300000002</v>
      </c>
      <c r="AO138" s="125">
        <f>AH138*-Valores!$C$71</f>
        <v>0</v>
      </c>
      <c r="AP138" s="125">
        <f>AH138*Valores!$C$72</f>
        <v>-4674.8623500000003</v>
      </c>
      <c r="AQ138" s="125">
        <f>Valores!$C$99</f>
        <v>-280.91000000000003</v>
      </c>
      <c r="AR138" s="125">
        <f>IF($F$5=0,Valores!$C$100,(Valores!$C$100+$F$5*(Valores!$C$100)))</f>
        <v>-329</v>
      </c>
      <c r="AS138" s="125">
        <f t="shared" si="24"/>
        <v>87343.956350000022</v>
      </c>
      <c r="AT138" s="125">
        <f t="shared" si="18"/>
        <v>-11427.441300000002</v>
      </c>
      <c r="AU138" s="125">
        <f>AH138*Valores!$C$73</f>
        <v>-2804.9174100000005</v>
      </c>
      <c r="AV138" s="125">
        <f>AH138*Valores!$C$74</f>
        <v>-311.65749000000005</v>
      </c>
      <c r="AW138" s="125">
        <f t="shared" si="22"/>
        <v>89512.153800000015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30928.11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7718.79</v>
      </c>
      <c r="N139" s="125">
        <f t="shared" si="19"/>
        <v>0</v>
      </c>
      <c r="O139" s="125">
        <f>Valores!$C$16</f>
        <v>20912.349999999999</v>
      </c>
      <c r="P139" s="125">
        <f>Valores!$D$5</f>
        <v>12371.24</v>
      </c>
      <c r="Q139" s="125">
        <v>0</v>
      </c>
      <c r="R139" s="125">
        <f>IF($F$4="NO",Valores!$C$43,Valores!$C$43/2)</f>
        <v>9136.5</v>
      </c>
      <c r="S139" s="125">
        <f>Valores!$C$20</f>
        <v>11393.97</v>
      </c>
      <c r="T139" s="125">
        <f t="shared" ref="T139:T202" si="25">ROUND(S139*(1+$H$2),2)</f>
        <v>11393.97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Valores!$C$93</f>
        <v>5455.2</v>
      </c>
      <c r="AA139" s="125">
        <f>Valores!$C$25</f>
        <v>505.99</v>
      </c>
      <c r="AB139" s="214">
        <v>0</v>
      </c>
      <c r="AC139" s="125">
        <f t="shared" si="20"/>
        <v>0</v>
      </c>
      <c r="AD139" s="125">
        <f>Valores!$C$26</f>
        <v>505.99</v>
      </c>
      <c r="AE139" s="192">
        <v>0</v>
      </c>
      <c r="AF139" s="125">
        <f>ROUND(AE139*Valores!$C$2,2)</f>
        <v>0</v>
      </c>
      <c r="AG139" s="125">
        <f>ROUND(IF($F$4="NO",Valores!$C$62,Valores!$C$62/2),2)</f>
        <v>6323.27</v>
      </c>
      <c r="AH139" s="125">
        <f t="shared" si="23"/>
        <v>105251.41000000002</v>
      </c>
      <c r="AI139" s="125">
        <f>Valores!$C$31</f>
        <v>0</v>
      </c>
      <c r="AJ139" s="125">
        <f>Valores!$C$86</f>
        <v>0</v>
      </c>
      <c r="AK139" s="125">
        <f>Valores!C$38*B139</f>
        <v>0</v>
      </c>
      <c r="AL139" s="125">
        <f>(IF($F$3="NO",0,Valores!$C$57))</f>
        <v>155.18</v>
      </c>
      <c r="AM139" s="125">
        <f t="shared" si="21"/>
        <v>155.18</v>
      </c>
      <c r="AN139" s="125">
        <f>AH139*Valores!$C$70</f>
        <v>-11577.655100000002</v>
      </c>
      <c r="AO139" s="125">
        <f>AH139*-Valores!$C$71</f>
        <v>0</v>
      </c>
      <c r="AP139" s="125">
        <f>AH139*Valores!$C$72</f>
        <v>-4736.3134500000006</v>
      </c>
      <c r="AQ139" s="125">
        <f>Valores!$C$99</f>
        <v>-280.91000000000003</v>
      </c>
      <c r="AR139" s="125">
        <f>IF($F$5=0,Valores!$C$100,(Valores!$C$100+$F$5*(Valores!$C$100)))</f>
        <v>-329</v>
      </c>
      <c r="AS139" s="125">
        <f t="shared" si="24"/>
        <v>88482.711450000017</v>
      </c>
      <c r="AT139" s="125">
        <f t="shared" si="18"/>
        <v>-11577.655100000002</v>
      </c>
      <c r="AU139" s="125">
        <f>AH139*Valores!$C$73</f>
        <v>-2841.7880700000005</v>
      </c>
      <c r="AV139" s="125">
        <f>AH139*Valores!$C$74</f>
        <v>-315.75423000000006</v>
      </c>
      <c r="AW139" s="125">
        <f t="shared" si="22"/>
        <v>90671.392600000006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47989.39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10295.629999999999</v>
      </c>
      <c r="N140" s="125">
        <f t="shared" si="19"/>
        <v>0</v>
      </c>
      <c r="O140" s="125">
        <f>Valores!$C$8</f>
        <v>26798.030000000002</v>
      </c>
      <c r="P140" s="125">
        <f>Valores!$D$5</f>
        <v>12371.24</v>
      </c>
      <c r="Q140" s="125">
        <f>Valores!$C$22</f>
        <v>11037.15</v>
      </c>
      <c r="R140" s="125">
        <f>IF($F$4="NO",Valores!$C$43,Valores!$C$43/2)</f>
        <v>9136.5</v>
      </c>
      <c r="S140" s="125">
        <f>Valores!$C$19</f>
        <v>11511.67</v>
      </c>
      <c r="T140" s="125">
        <f t="shared" si="25"/>
        <v>11511.67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Valores!$C$93</f>
        <v>5455.2</v>
      </c>
      <c r="AA140" s="125">
        <f>Valores!$C$25</f>
        <v>505.99</v>
      </c>
      <c r="AB140" s="214">
        <v>0</v>
      </c>
      <c r="AC140" s="125">
        <f t="shared" si="20"/>
        <v>0</v>
      </c>
      <c r="AD140" s="125">
        <f>Valores!$C$26</f>
        <v>505.99</v>
      </c>
      <c r="AE140" s="192">
        <v>94</v>
      </c>
      <c r="AF140" s="125">
        <f>ROUND(AE140*Valores!$C$2,2)</f>
        <v>2274.84</v>
      </c>
      <c r="AG140" s="125">
        <f>ROUND(IF($F$4="NO",Valores!$C$62,Valores!$C$62/2),2)</f>
        <v>6323.27</v>
      </c>
      <c r="AH140" s="125">
        <f t="shared" si="23"/>
        <v>144204.89999999997</v>
      </c>
      <c r="AI140" s="125">
        <f>Valores!$C$31</f>
        <v>0</v>
      </c>
      <c r="AJ140" s="125">
        <f>Valores!$C$86</f>
        <v>0</v>
      </c>
      <c r="AK140" s="125">
        <f>Valores!C$38*B140</f>
        <v>0</v>
      </c>
      <c r="AL140" s="125">
        <f>IF($F$3="NO",0,Valores!$C$55)</f>
        <v>170.34</v>
      </c>
      <c r="AM140" s="125">
        <f t="shared" si="21"/>
        <v>170.34</v>
      </c>
      <c r="AN140" s="125">
        <f>AH140*Valores!$C$70</f>
        <v>-15862.538999999997</v>
      </c>
      <c r="AO140" s="125">
        <f>AH140*-Valores!$C$71</f>
        <v>0</v>
      </c>
      <c r="AP140" s="125">
        <f>AH140*Valores!$C$72</f>
        <v>-6489.2204999999985</v>
      </c>
      <c r="AQ140" s="125">
        <f>Valores!$C$99</f>
        <v>-280.91000000000003</v>
      </c>
      <c r="AR140" s="125">
        <f>IF($F$5=0,Valores!$C$100,(Valores!$C$100+$F$5*(Valores!$C$100)))</f>
        <v>-329</v>
      </c>
      <c r="AS140" s="125">
        <f t="shared" si="24"/>
        <v>121413.57049999997</v>
      </c>
      <c r="AT140" s="125">
        <f t="shared" si="18"/>
        <v>-15862.538999999997</v>
      </c>
      <c r="AU140" s="125">
        <f>AH140*Valores!$C$73</f>
        <v>-3893.5322999999989</v>
      </c>
      <c r="AV140" s="125">
        <f>AH140*Valores!$C$74</f>
        <v>-432.61469999999991</v>
      </c>
      <c r="AW140" s="125">
        <f t="shared" si="22"/>
        <v>124186.55399999997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33348.15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8081.79</v>
      </c>
      <c r="N141" s="125">
        <f t="shared" si="19"/>
        <v>0</v>
      </c>
      <c r="O141" s="125">
        <f>Valores!$C$16</f>
        <v>20912.349999999999</v>
      </c>
      <c r="P141" s="125">
        <f>Valores!$D$5</f>
        <v>12371.24</v>
      </c>
      <c r="Q141" s="125">
        <f>Valores!$C$22</f>
        <v>11037.15</v>
      </c>
      <c r="R141" s="125">
        <f>IF($F$4="NO",Valores!$C$43,Valores!$C$43/2)</f>
        <v>9136.5</v>
      </c>
      <c r="S141" s="125">
        <f>Valores!$C$20</f>
        <v>11393.97</v>
      </c>
      <c r="T141" s="125">
        <f t="shared" si="25"/>
        <v>11393.97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Valores!$C$93</f>
        <v>5455.2</v>
      </c>
      <c r="AA141" s="125">
        <f>Valores!$C$25</f>
        <v>505.99</v>
      </c>
      <c r="AB141" s="214">
        <v>0</v>
      </c>
      <c r="AC141" s="125">
        <f t="shared" si="20"/>
        <v>0</v>
      </c>
      <c r="AD141" s="125">
        <f>Valores!$C$26</f>
        <v>505.99</v>
      </c>
      <c r="AE141" s="192">
        <v>0</v>
      </c>
      <c r="AF141" s="125">
        <f>ROUND(AE141*Valores!$C$2,2)</f>
        <v>0</v>
      </c>
      <c r="AG141" s="125">
        <f>ROUND(IF($F$4="NO",Valores!$C$62,Valores!$C$62/2),2)</f>
        <v>6323.27</v>
      </c>
      <c r="AH141" s="125">
        <f t="shared" si="23"/>
        <v>119071.6</v>
      </c>
      <c r="AI141" s="125">
        <f>Valores!$C$31</f>
        <v>0</v>
      </c>
      <c r="AJ141" s="125">
        <f>Valores!$C$86</f>
        <v>0</v>
      </c>
      <c r="AK141" s="125">
        <f>Valores!C$38*B141</f>
        <v>0</v>
      </c>
      <c r="AL141" s="125">
        <f>IF($F$3="NO",0,Valores!$C$55)</f>
        <v>170.34</v>
      </c>
      <c r="AM141" s="125">
        <f t="shared" si="21"/>
        <v>170.34</v>
      </c>
      <c r="AN141" s="125">
        <f>AH141*Valores!$C$70</f>
        <v>-13097.876</v>
      </c>
      <c r="AO141" s="125">
        <f>AH141*-Valores!$C$71</f>
        <v>0</v>
      </c>
      <c r="AP141" s="125">
        <f>AH141*Valores!$C$72</f>
        <v>-5358.2219999999998</v>
      </c>
      <c r="AQ141" s="125">
        <f>Valores!$C$99</f>
        <v>-280.91000000000003</v>
      </c>
      <c r="AR141" s="125">
        <f>IF($F$5=0,Valores!$C$100,(Valores!$C$100+$F$5*(Valores!$C$100)))</f>
        <v>-329</v>
      </c>
      <c r="AS141" s="125">
        <f t="shared" si="24"/>
        <v>100175.932</v>
      </c>
      <c r="AT141" s="125">
        <f t="shared" si="18"/>
        <v>-13097.876</v>
      </c>
      <c r="AU141" s="125">
        <f>AH141*Valores!$C$73</f>
        <v>-3214.9331999999999</v>
      </c>
      <c r="AV141" s="125">
        <f>AH141*Valores!$C$74</f>
        <v>-357.21480000000003</v>
      </c>
      <c r="AW141" s="125">
        <f t="shared" si="22"/>
        <v>102571.916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30928.11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7736.44</v>
      </c>
      <c r="N142" s="125">
        <f t="shared" si="19"/>
        <v>0</v>
      </c>
      <c r="O142" s="125">
        <f>Valores!$C$16</f>
        <v>20912.349999999999</v>
      </c>
      <c r="P142" s="125">
        <f>Valores!$D$5</f>
        <v>12371.24</v>
      </c>
      <c r="Q142" s="125">
        <f>Valores!$C$22</f>
        <v>11037.15</v>
      </c>
      <c r="R142" s="125">
        <f>IF($F$4="NO",Valores!$C$43,Valores!$C$43/2)</f>
        <v>9136.5</v>
      </c>
      <c r="S142" s="125">
        <f>Valores!$C$19</f>
        <v>11511.67</v>
      </c>
      <c r="T142" s="125">
        <f t="shared" si="25"/>
        <v>11511.67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Valores!$C$93</f>
        <v>5455.2</v>
      </c>
      <c r="AA142" s="125">
        <f>Valores!$C$25</f>
        <v>505.99</v>
      </c>
      <c r="AB142" s="214">
        <v>0</v>
      </c>
      <c r="AC142" s="125">
        <f t="shared" si="20"/>
        <v>0</v>
      </c>
      <c r="AD142" s="125">
        <f>Valores!$C$26</f>
        <v>505.99</v>
      </c>
      <c r="AE142" s="192">
        <v>0</v>
      </c>
      <c r="AF142" s="125">
        <f>ROUND(AE142*Valores!$C$2,2)</f>
        <v>0</v>
      </c>
      <c r="AG142" s="125">
        <f>ROUND(IF($F$4="NO",Valores!$C$62,Valores!$C$62/2),2)</f>
        <v>6323.27</v>
      </c>
      <c r="AH142" s="125">
        <f t="shared" si="23"/>
        <v>116423.91</v>
      </c>
      <c r="AI142" s="125">
        <f>Valores!$C$31</f>
        <v>0</v>
      </c>
      <c r="AJ142" s="125">
        <f>Valores!$C$86</f>
        <v>0</v>
      </c>
      <c r="AK142" s="125">
        <f>Valores!C$38*B142</f>
        <v>0</v>
      </c>
      <c r="AL142" s="125">
        <f>IF($F$3="NO",0,Valores!$C$55)</f>
        <v>170.34</v>
      </c>
      <c r="AM142" s="125">
        <f t="shared" si="21"/>
        <v>170.34</v>
      </c>
      <c r="AN142" s="125">
        <f>AH142*Valores!$C$70</f>
        <v>-12806.6301</v>
      </c>
      <c r="AO142" s="125">
        <f>AH142*-Valores!$C$71</f>
        <v>0</v>
      </c>
      <c r="AP142" s="125">
        <f>AH142*Valores!$C$72</f>
        <v>-5239.0759500000004</v>
      </c>
      <c r="AQ142" s="125">
        <f>Valores!$C$99</f>
        <v>-280.91000000000003</v>
      </c>
      <c r="AR142" s="125">
        <f>IF($F$5=0,Valores!$C$100,(Valores!$C$100+$F$5*(Valores!$C$100)))</f>
        <v>-329</v>
      </c>
      <c r="AS142" s="125">
        <f t="shared" si="24"/>
        <v>97938.633950000003</v>
      </c>
      <c r="AT142" s="125">
        <f t="shared" si="18"/>
        <v>-12806.6301</v>
      </c>
      <c r="AU142" s="125">
        <f>AH142*Valores!$C$73</f>
        <v>-3143.4455699999999</v>
      </c>
      <c r="AV142" s="125">
        <f>AH142*Valores!$C$74</f>
        <v>-349.27172999999999</v>
      </c>
      <c r="AW142" s="125">
        <f t="shared" si="22"/>
        <v>100294.9026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30928.11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7736.44</v>
      </c>
      <c r="N143" s="125">
        <f t="shared" si="19"/>
        <v>0</v>
      </c>
      <c r="O143" s="125">
        <f>Valores!$C$16</f>
        <v>20912.349999999999</v>
      </c>
      <c r="P143" s="125">
        <f>Valores!$D$5</f>
        <v>12371.24</v>
      </c>
      <c r="Q143" s="125">
        <f>Valores!$C$22</f>
        <v>11037.15</v>
      </c>
      <c r="R143" s="125">
        <f>IF($F$4="NO",Valores!$C$43,Valores!$C$43/2)</f>
        <v>9136.5</v>
      </c>
      <c r="S143" s="125">
        <f>Valores!$C$19</f>
        <v>11511.67</v>
      </c>
      <c r="T143" s="125">
        <f t="shared" si="25"/>
        <v>11511.67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Valores!$C$93</f>
        <v>5455.2</v>
      </c>
      <c r="AA143" s="125">
        <f>Valores!$C$25</f>
        <v>505.99</v>
      </c>
      <c r="AB143" s="214">
        <v>0</v>
      </c>
      <c r="AC143" s="125">
        <f t="shared" si="20"/>
        <v>0</v>
      </c>
      <c r="AD143" s="125">
        <f>Valores!$C$26</f>
        <v>505.99</v>
      </c>
      <c r="AE143" s="192">
        <v>0</v>
      </c>
      <c r="AF143" s="125">
        <f>ROUND(AE143*Valores!$C$2,2)</f>
        <v>0</v>
      </c>
      <c r="AG143" s="125">
        <f>ROUND(IF($F$4="NO",Valores!$C$62,Valores!$C$62/2),2)</f>
        <v>6323.27</v>
      </c>
      <c r="AH143" s="125">
        <f t="shared" si="23"/>
        <v>116423.91</v>
      </c>
      <c r="AI143" s="125">
        <f>Valores!$C$31</f>
        <v>0</v>
      </c>
      <c r="AJ143" s="125">
        <f>Valores!$C$86</f>
        <v>0</v>
      </c>
      <c r="AK143" s="125">
        <f>Valores!C$38*B143</f>
        <v>0</v>
      </c>
      <c r="AL143" s="125">
        <f>IF($F$3="NO",0,Valores!$C$55)</f>
        <v>170.34</v>
      </c>
      <c r="AM143" s="125">
        <f t="shared" si="21"/>
        <v>170.34</v>
      </c>
      <c r="AN143" s="125">
        <f>AH143*Valores!$C$70</f>
        <v>-12806.6301</v>
      </c>
      <c r="AO143" s="125">
        <f>AH143*-Valores!$C$71</f>
        <v>0</v>
      </c>
      <c r="AP143" s="125">
        <f>AH143*Valores!$C$72</f>
        <v>-5239.0759500000004</v>
      </c>
      <c r="AQ143" s="125">
        <f>Valores!$C$99</f>
        <v>-280.91000000000003</v>
      </c>
      <c r="AR143" s="125">
        <f>IF($F$5=0,Valores!$C$100,(Valores!$C$100+$F$5*(Valores!$C$100)))</f>
        <v>-329</v>
      </c>
      <c r="AS143" s="125">
        <f t="shared" si="24"/>
        <v>97938.633950000003</v>
      </c>
      <c r="AT143" s="125">
        <f t="shared" si="18"/>
        <v>-12806.6301</v>
      </c>
      <c r="AU143" s="125">
        <f>AH143*Valores!$C$73</f>
        <v>-3143.4455699999999</v>
      </c>
      <c r="AV143" s="125">
        <f>AH143*Valores!$C$74</f>
        <v>-349.27172999999999</v>
      </c>
      <c r="AW143" s="125">
        <f t="shared" si="22"/>
        <v>100294.9026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30928.11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7736.44</v>
      </c>
      <c r="N144" s="125">
        <f t="shared" si="19"/>
        <v>0</v>
      </c>
      <c r="O144" s="125">
        <f>Valores!$C$16</f>
        <v>20912.349999999999</v>
      </c>
      <c r="P144" s="125">
        <f>Valores!$D$5</f>
        <v>12371.24</v>
      </c>
      <c r="Q144" s="125">
        <f>Valores!$C$22</f>
        <v>11037.15</v>
      </c>
      <c r="R144" s="125">
        <f>IF($F$4="NO",Valores!$C$43,Valores!$C$43/2)</f>
        <v>9136.5</v>
      </c>
      <c r="S144" s="125">
        <f>Valores!$C$19</f>
        <v>11511.67</v>
      </c>
      <c r="T144" s="125">
        <f t="shared" si="25"/>
        <v>11511.67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Valores!$C$93</f>
        <v>5455.2</v>
      </c>
      <c r="AA144" s="125">
        <f>Valores!$C$25</f>
        <v>505.99</v>
      </c>
      <c r="AB144" s="214">
        <v>0</v>
      </c>
      <c r="AC144" s="125">
        <f t="shared" si="20"/>
        <v>0</v>
      </c>
      <c r="AD144" s="125">
        <f>Valores!$C$26</f>
        <v>505.99</v>
      </c>
      <c r="AE144" s="192">
        <v>0</v>
      </c>
      <c r="AF144" s="125">
        <f>ROUND(AE144*Valores!$C$2,2)</f>
        <v>0</v>
      </c>
      <c r="AG144" s="125">
        <f>ROUND(IF($F$4="NO",Valores!$C$62,Valores!$C$62/2),2)</f>
        <v>6323.27</v>
      </c>
      <c r="AH144" s="125">
        <f t="shared" si="23"/>
        <v>116423.91</v>
      </c>
      <c r="AI144" s="125">
        <f>Valores!$C$31</f>
        <v>0</v>
      </c>
      <c r="AJ144" s="125">
        <f>Valores!$C$86</f>
        <v>0</v>
      </c>
      <c r="AK144" s="125">
        <f>Valores!C$38*B144</f>
        <v>0</v>
      </c>
      <c r="AL144" s="125">
        <f>IF($F$3="NO",0,Valores!$C$55)</f>
        <v>170.34</v>
      </c>
      <c r="AM144" s="125">
        <f t="shared" si="21"/>
        <v>170.34</v>
      </c>
      <c r="AN144" s="125">
        <f>AH144*Valores!$C$70</f>
        <v>-12806.6301</v>
      </c>
      <c r="AO144" s="125">
        <f>AH144*-Valores!$C$71</f>
        <v>0</v>
      </c>
      <c r="AP144" s="125">
        <f>AH144*Valores!$C$72</f>
        <v>-5239.0759500000004</v>
      </c>
      <c r="AQ144" s="125">
        <f>Valores!$C$99</f>
        <v>-280.91000000000003</v>
      </c>
      <c r="AR144" s="125">
        <f>IF($F$5=0,Valores!$C$100,(Valores!$C$100+$F$5*(Valores!$C$100)))</f>
        <v>-329</v>
      </c>
      <c r="AS144" s="125">
        <f t="shared" si="24"/>
        <v>97938.633950000003</v>
      </c>
      <c r="AT144" s="125">
        <f t="shared" si="18"/>
        <v>-12806.6301</v>
      </c>
      <c r="AU144" s="125">
        <f>AH144*Valores!$C$73</f>
        <v>-3143.4455699999999</v>
      </c>
      <c r="AV144" s="125">
        <f>AH144*Valores!$C$74</f>
        <v>-349.27172999999999</v>
      </c>
      <c r="AW144" s="125">
        <f t="shared" si="22"/>
        <v>100294.9026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30928.11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7736.44</v>
      </c>
      <c r="N145" s="125">
        <f t="shared" si="19"/>
        <v>0</v>
      </c>
      <c r="O145" s="125">
        <f>Valores!$C$16</f>
        <v>20912.349999999999</v>
      </c>
      <c r="P145" s="125">
        <f>Valores!$D$5</f>
        <v>12371.24</v>
      </c>
      <c r="Q145" s="125">
        <f>Valores!$C$22</f>
        <v>11037.15</v>
      </c>
      <c r="R145" s="125">
        <f>IF($F$4="NO",Valores!$C$43,Valores!$C$43/2)</f>
        <v>9136.5</v>
      </c>
      <c r="S145" s="125">
        <f>Valores!$C$19</f>
        <v>11511.67</v>
      </c>
      <c r="T145" s="125">
        <f t="shared" si="25"/>
        <v>11511.67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Valores!$C$93</f>
        <v>5455.2</v>
      </c>
      <c r="AA145" s="125">
        <f>Valores!$C$25</f>
        <v>505.99</v>
      </c>
      <c r="AB145" s="214">
        <v>0</v>
      </c>
      <c r="AC145" s="125">
        <f t="shared" si="20"/>
        <v>0</v>
      </c>
      <c r="AD145" s="125">
        <f>Valores!$C$26</f>
        <v>505.99</v>
      </c>
      <c r="AE145" s="192">
        <v>94</v>
      </c>
      <c r="AF145" s="125">
        <f>ROUND(AE145*Valores!$C$2,2)</f>
        <v>2274.84</v>
      </c>
      <c r="AG145" s="125">
        <f>ROUND(IF($F$4="NO",Valores!$C$62,Valores!$C$62/2),2)</f>
        <v>6323.27</v>
      </c>
      <c r="AH145" s="125">
        <f t="shared" si="23"/>
        <v>118698.75</v>
      </c>
      <c r="AI145" s="125">
        <f>Valores!$C$31</f>
        <v>0</v>
      </c>
      <c r="AJ145" s="125">
        <f>Valores!$C$86</f>
        <v>0</v>
      </c>
      <c r="AK145" s="125">
        <f>Valores!C$38*B145</f>
        <v>0</v>
      </c>
      <c r="AL145" s="125">
        <f>IF($F$3="NO",0,Valores!$C$55)</f>
        <v>170.34</v>
      </c>
      <c r="AM145" s="125">
        <f t="shared" si="21"/>
        <v>170.34</v>
      </c>
      <c r="AN145" s="125">
        <f>AH145*Valores!$C$70</f>
        <v>-13056.862499999999</v>
      </c>
      <c r="AO145" s="125">
        <f>AH145*-Valores!$C$71</f>
        <v>0</v>
      </c>
      <c r="AP145" s="125">
        <f>AH145*Valores!$C$72</f>
        <v>-5341.4437499999995</v>
      </c>
      <c r="AQ145" s="125">
        <f>Valores!$C$99</f>
        <v>-280.91000000000003</v>
      </c>
      <c r="AR145" s="125">
        <f>IF($F$5=0,Valores!$C$100,(Valores!$C$100+$F$5*(Valores!$C$100)))</f>
        <v>-329</v>
      </c>
      <c r="AS145" s="125">
        <f t="shared" si="24"/>
        <v>99860.873749999999</v>
      </c>
      <c r="AT145" s="125">
        <f t="shared" si="18"/>
        <v>-13056.862499999999</v>
      </c>
      <c r="AU145" s="125">
        <f>AH145*Valores!$C$73</f>
        <v>-3204.86625</v>
      </c>
      <c r="AV145" s="125">
        <f>AH145*Valores!$C$74</f>
        <v>-356.09625</v>
      </c>
      <c r="AW145" s="125">
        <f t="shared" si="22"/>
        <v>102251.265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30928.11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7736.44</v>
      </c>
      <c r="N146" s="125">
        <f t="shared" si="19"/>
        <v>0</v>
      </c>
      <c r="O146" s="125">
        <f>Valores!$C$16</f>
        <v>20912.349999999999</v>
      </c>
      <c r="P146" s="125">
        <f>Valores!$D$5</f>
        <v>12371.24</v>
      </c>
      <c r="Q146" s="125">
        <f>Valores!$C$22</f>
        <v>11037.15</v>
      </c>
      <c r="R146" s="125">
        <f>IF($F$4="NO",Valores!$C$43,Valores!$C$43/2)</f>
        <v>9136.5</v>
      </c>
      <c r="S146" s="125">
        <f>Valores!$C$19</f>
        <v>11511.67</v>
      </c>
      <c r="T146" s="125">
        <f t="shared" si="25"/>
        <v>11511.67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Valores!$C$93</f>
        <v>5455.2</v>
      </c>
      <c r="AA146" s="125">
        <f>Valores!$C$25</f>
        <v>505.99</v>
      </c>
      <c r="AB146" s="214">
        <v>0</v>
      </c>
      <c r="AC146" s="125">
        <f t="shared" si="20"/>
        <v>0</v>
      </c>
      <c r="AD146" s="125">
        <f>Valores!$C$26</f>
        <v>505.99</v>
      </c>
      <c r="AE146" s="192">
        <v>0</v>
      </c>
      <c r="AF146" s="125">
        <f>ROUND(AE146*Valores!$C$2,2)</f>
        <v>0</v>
      </c>
      <c r="AG146" s="125">
        <f>ROUND(IF($F$4="NO",Valores!$C$62,Valores!$C$62/2),2)</f>
        <v>6323.27</v>
      </c>
      <c r="AH146" s="125">
        <f t="shared" si="23"/>
        <v>116423.91</v>
      </c>
      <c r="AI146" s="125">
        <f>Valores!$C$31</f>
        <v>0</v>
      </c>
      <c r="AJ146" s="125">
        <f>Valores!$C$86</f>
        <v>0</v>
      </c>
      <c r="AK146" s="125">
        <f>Valores!C$38*B146</f>
        <v>0</v>
      </c>
      <c r="AL146" s="125">
        <f>IF($F$3="NO",0,Valores!$C$55)</f>
        <v>170.34</v>
      </c>
      <c r="AM146" s="125">
        <f t="shared" si="21"/>
        <v>170.34</v>
      </c>
      <c r="AN146" s="125">
        <f>AH146*Valores!$C$70</f>
        <v>-12806.6301</v>
      </c>
      <c r="AO146" s="125">
        <f>AH146*-Valores!$C$71</f>
        <v>0</v>
      </c>
      <c r="AP146" s="125">
        <f>AH146*Valores!$C$72</f>
        <v>-5239.0759500000004</v>
      </c>
      <c r="AQ146" s="125">
        <f>Valores!$C$99</f>
        <v>-280.91000000000003</v>
      </c>
      <c r="AR146" s="125">
        <f>IF($F$5=0,Valores!$C$100,(Valores!$C$100+$F$5*(Valores!$C$100)))</f>
        <v>-329</v>
      </c>
      <c r="AS146" s="125">
        <f t="shared" si="24"/>
        <v>97938.633950000003</v>
      </c>
      <c r="AT146" s="125">
        <f t="shared" si="18"/>
        <v>-12806.6301</v>
      </c>
      <c r="AU146" s="125">
        <f>AH146*Valores!$C$73</f>
        <v>-3143.4455699999999</v>
      </c>
      <c r="AV146" s="125">
        <f>AH146*Valores!$C$74</f>
        <v>-349.27172999999999</v>
      </c>
      <c r="AW146" s="125">
        <f t="shared" si="22"/>
        <v>100294.9026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30928.11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7718.79</v>
      </c>
      <c r="N147" s="125">
        <f t="shared" si="19"/>
        <v>0</v>
      </c>
      <c r="O147" s="125">
        <f>Valores!$C$16</f>
        <v>20912.349999999999</v>
      </c>
      <c r="P147" s="125">
        <f>Valores!$D$5</f>
        <v>12371.24</v>
      </c>
      <c r="Q147" s="125">
        <v>0</v>
      </c>
      <c r="R147" s="125">
        <f>IF($F$4="NO",Valores!$C$43,Valores!$C$43/2)</f>
        <v>9136.5</v>
      </c>
      <c r="S147" s="125">
        <f>Valores!$C$20</f>
        <v>11393.97</v>
      </c>
      <c r="T147" s="125">
        <f t="shared" si="25"/>
        <v>11393.97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Valores!$C$93</f>
        <v>5455.2</v>
      </c>
      <c r="AA147" s="125">
        <f>Valores!$C$25</f>
        <v>505.99</v>
      </c>
      <c r="AB147" s="214">
        <v>0</v>
      </c>
      <c r="AC147" s="125">
        <f t="shared" si="20"/>
        <v>0</v>
      </c>
      <c r="AD147" s="125">
        <f>Valores!$C$26</f>
        <v>505.99</v>
      </c>
      <c r="AE147" s="192">
        <v>0</v>
      </c>
      <c r="AF147" s="125">
        <f>ROUND(AE147*Valores!$C$2,2)</f>
        <v>0</v>
      </c>
      <c r="AG147" s="125">
        <f>ROUND(IF($F$4="NO",Valores!$C$62,Valores!$C$62/2),2)</f>
        <v>6323.27</v>
      </c>
      <c r="AH147" s="125">
        <f t="shared" si="23"/>
        <v>105251.41000000002</v>
      </c>
      <c r="AI147" s="125">
        <f>Valores!$C$31</f>
        <v>0</v>
      </c>
      <c r="AJ147" s="125">
        <f>Valores!$C$86</f>
        <v>0</v>
      </c>
      <c r="AK147" s="125">
        <f>Valores!C$38*B147</f>
        <v>0</v>
      </c>
      <c r="AL147" s="125">
        <f>IF($F$3="NO",0,Valores!$C$55)</f>
        <v>170.34</v>
      </c>
      <c r="AM147" s="125">
        <f t="shared" si="21"/>
        <v>170.34</v>
      </c>
      <c r="AN147" s="125">
        <f>AH147*Valores!$C$70</f>
        <v>-11577.655100000002</v>
      </c>
      <c r="AO147" s="125">
        <f>AH147*-Valores!$C$71</f>
        <v>0</v>
      </c>
      <c r="AP147" s="125">
        <f>AH147*Valores!$C$72</f>
        <v>-4736.3134500000006</v>
      </c>
      <c r="AQ147" s="125">
        <f>Valores!$C$99</f>
        <v>-280.91000000000003</v>
      </c>
      <c r="AR147" s="125">
        <f>IF($F$5=0,Valores!$C$100,(Valores!$C$100+$F$5*(Valores!$C$100)))</f>
        <v>-329</v>
      </c>
      <c r="AS147" s="125">
        <f t="shared" si="24"/>
        <v>88497.871450000021</v>
      </c>
      <c r="AT147" s="125">
        <f t="shared" si="18"/>
        <v>-11577.655100000002</v>
      </c>
      <c r="AU147" s="125">
        <f>AH147*Valores!$C$73</f>
        <v>-2841.7880700000005</v>
      </c>
      <c r="AV147" s="125">
        <f>AH147*Valores!$C$74</f>
        <v>-315.75423000000006</v>
      </c>
      <c r="AW147" s="125">
        <f t="shared" si="22"/>
        <v>90686.55260000001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30928.11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7718.79</v>
      </c>
      <c r="N148" s="125">
        <f t="shared" si="19"/>
        <v>0</v>
      </c>
      <c r="O148" s="125">
        <f>Valores!$C$16</f>
        <v>20912.349999999999</v>
      </c>
      <c r="P148" s="125">
        <f>Valores!$D$5</f>
        <v>12371.24</v>
      </c>
      <c r="Q148" s="125">
        <v>0</v>
      </c>
      <c r="R148" s="125">
        <f>IF($F$4="NO",Valores!$C$43,Valores!$C$43/2)</f>
        <v>9136.5</v>
      </c>
      <c r="S148" s="125">
        <f>Valores!$C$20</f>
        <v>11393.97</v>
      </c>
      <c r="T148" s="125">
        <f t="shared" si="25"/>
        <v>11393.97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Valores!$C$93</f>
        <v>5455.2</v>
      </c>
      <c r="AA148" s="125">
        <f>Valores!$C$25</f>
        <v>505.99</v>
      </c>
      <c r="AB148" s="214">
        <v>0</v>
      </c>
      <c r="AC148" s="125">
        <f t="shared" si="20"/>
        <v>0</v>
      </c>
      <c r="AD148" s="125">
        <f>Valores!$C$26</f>
        <v>505.99</v>
      </c>
      <c r="AE148" s="192">
        <v>0</v>
      </c>
      <c r="AF148" s="125">
        <f>ROUND(AE148*Valores!$C$2,2)</f>
        <v>0</v>
      </c>
      <c r="AG148" s="125">
        <f>ROUND(IF($F$4="NO",Valores!$C$62,Valores!$C$62/2),2)</f>
        <v>6323.27</v>
      </c>
      <c r="AH148" s="125">
        <f t="shared" si="23"/>
        <v>105251.41000000002</v>
      </c>
      <c r="AI148" s="125">
        <f>Valores!$C$31</f>
        <v>0</v>
      </c>
      <c r="AJ148" s="125">
        <f>Valores!$C$86</f>
        <v>0</v>
      </c>
      <c r="AK148" s="125">
        <f>Valores!C$38*B148</f>
        <v>0</v>
      </c>
      <c r="AL148" s="125">
        <f>IF($F$3="NO",0,Valores!$C$55)</f>
        <v>170.34</v>
      </c>
      <c r="AM148" s="125">
        <f t="shared" si="21"/>
        <v>170.34</v>
      </c>
      <c r="AN148" s="125">
        <f>AH148*Valores!$C$70</f>
        <v>-11577.655100000002</v>
      </c>
      <c r="AO148" s="125">
        <f>AH148*-Valores!$C$71</f>
        <v>0</v>
      </c>
      <c r="AP148" s="125">
        <f>AH148*Valores!$C$72</f>
        <v>-4736.3134500000006</v>
      </c>
      <c r="AQ148" s="125">
        <f>Valores!$C$99</f>
        <v>-280.91000000000003</v>
      </c>
      <c r="AR148" s="125">
        <f>IF($F$5=0,Valores!$C$100,(Valores!$C$100+$F$5*(Valores!$C$100)))</f>
        <v>-329</v>
      </c>
      <c r="AS148" s="125">
        <f t="shared" si="24"/>
        <v>88497.871450000021</v>
      </c>
      <c r="AT148" s="125">
        <f t="shared" si="18"/>
        <v>-11577.655100000002</v>
      </c>
      <c r="AU148" s="125">
        <f>AH148*Valores!$C$73</f>
        <v>-2841.7880700000005</v>
      </c>
      <c r="AV148" s="125">
        <f>AH148*Valores!$C$74</f>
        <v>-315.75423000000006</v>
      </c>
      <c r="AW148" s="125">
        <f t="shared" si="22"/>
        <v>90686.55260000001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25652.42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6945.09</v>
      </c>
      <c r="N149" s="125">
        <f t="shared" si="19"/>
        <v>0</v>
      </c>
      <c r="O149" s="125">
        <f>Valores!$C$16</f>
        <v>20912.349999999999</v>
      </c>
      <c r="P149" s="125">
        <f>Valores!$D$5</f>
        <v>12371.24</v>
      </c>
      <c r="Q149" s="125">
        <f>Valores!$C$22</f>
        <v>11037.15</v>
      </c>
      <c r="R149" s="125">
        <f>IF($F$4="NO",Valores!$C$43,Valores!$C$43/2)</f>
        <v>9136.5</v>
      </c>
      <c r="S149" s="125">
        <f>Valores!$C$19</f>
        <v>11511.67</v>
      </c>
      <c r="T149" s="125">
        <f t="shared" si="25"/>
        <v>11511.67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Valores!$C$93</f>
        <v>5455.2</v>
      </c>
      <c r="AA149" s="125">
        <f>Valores!$C$25</f>
        <v>505.99</v>
      </c>
      <c r="AB149" s="214">
        <v>0</v>
      </c>
      <c r="AC149" s="125">
        <f t="shared" si="20"/>
        <v>0</v>
      </c>
      <c r="AD149" s="125">
        <f>Valores!$C$26</f>
        <v>505.99</v>
      </c>
      <c r="AE149" s="192">
        <v>0</v>
      </c>
      <c r="AF149" s="125">
        <f>ROUND(AE149*Valores!$C$2,2)</f>
        <v>0</v>
      </c>
      <c r="AG149" s="125">
        <f>ROUND(IF($F$4="NO",Valores!$C$62,Valores!$C$62/2),2)</f>
        <v>6323.27</v>
      </c>
      <c r="AH149" s="125">
        <f t="shared" si="23"/>
        <v>110356.87000000001</v>
      </c>
      <c r="AI149" s="125">
        <f>Valores!$C$31</f>
        <v>0</v>
      </c>
      <c r="AJ149" s="125">
        <f>Valores!$C$86</f>
        <v>0</v>
      </c>
      <c r="AK149" s="125">
        <f>Valores!C$38*B149</f>
        <v>0</v>
      </c>
      <c r="AL149" s="125">
        <f>IF($F$3="NO",0,Valores!$C$55)</f>
        <v>170.34</v>
      </c>
      <c r="AM149" s="125">
        <f t="shared" si="21"/>
        <v>170.34</v>
      </c>
      <c r="AN149" s="125">
        <f>AH149*Valores!$C$70</f>
        <v>-12139.255700000002</v>
      </c>
      <c r="AO149" s="125">
        <f>AH149*-Valores!$C$71</f>
        <v>0</v>
      </c>
      <c r="AP149" s="125">
        <f>AH149*Valores!$C$72</f>
        <v>-4966.05915</v>
      </c>
      <c r="AQ149" s="125">
        <f>Valores!$C$99</f>
        <v>-280.91000000000003</v>
      </c>
      <c r="AR149" s="125">
        <f>IF($F$5=0,Valores!$C$100,(Valores!$C$100+$F$5*(Valores!$C$100)))</f>
        <v>-329</v>
      </c>
      <c r="AS149" s="125">
        <f t="shared" si="24"/>
        <v>92811.985150000008</v>
      </c>
      <c r="AT149" s="125">
        <f t="shared" si="18"/>
        <v>-12139.255700000002</v>
      </c>
      <c r="AU149" s="125">
        <f>AH149*Valores!$C$73</f>
        <v>-2979.6354900000001</v>
      </c>
      <c r="AV149" s="125">
        <f>AH149*Valores!$C$74</f>
        <v>-331.07061000000004</v>
      </c>
      <c r="AW149" s="125">
        <f t="shared" si="22"/>
        <v>95077.248200000002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30928.11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7718.79</v>
      </c>
      <c r="N150" s="125">
        <f t="shared" si="19"/>
        <v>0</v>
      </c>
      <c r="O150" s="125">
        <f>Valores!$C$16</f>
        <v>20912.349999999999</v>
      </c>
      <c r="P150" s="125">
        <f>Valores!$D$5</f>
        <v>12371.24</v>
      </c>
      <c r="Q150" s="125">
        <f>Valores!$C$22</f>
        <v>11037.15</v>
      </c>
      <c r="R150" s="125">
        <f>IF($F$4="NO",Valores!$C$43,Valores!$C$43/2)</f>
        <v>9136.5</v>
      </c>
      <c r="S150" s="125">
        <f>Valores!$C$20</f>
        <v>11393.97</v>
      </c>
      <c r="T150" s="125">
        <f t="shared" si="25"/>
        <v>11393.97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Valores!$C$93</f>
        <v>5455.2</v>
      </c>
      <c r="AA150" s="125">
        <f>Valores!$C$25</f>
        <v>505.99</v>
      </c>
      <c r="AB150" s="214">
        <v>0</v>
      </c>
      <c r="AC150" s="125">
        <f t="shared" si="20"/>
        <v>0</v>
      </c>
      <c r="AD150" s="125">
        <f>Valores!$C$26</f>
        <v>505.99</v>
      </c>
      <c r="AE150" s="192">
        <v>0</v>
      </c>
      <c r="AF150" s="125">
        <f>ROUND(AE150*Valores!$C$2,2)</f>
        <v>0</v>
      </c>
      <c r="AG150" s="125">
        <f>ROUND(IF($F$4="NO",Valores!$C$62,Valores!$C$62/2),2)</f>
        <v>6323.27</v>
      </c>
      <c r="AH150" s="125">
        <f t="shared" si="23"/>
        <v>116288.56000000001</v>
      </c>
      <c r="AI150" s="125">
        <f>Valores!$C$31</f>
        <v>0</v>
      </c>
      <c r="AJ150" s="125">
        <f>Valores!$C$86</f>
        <v>0</v>
      </c>
      <c r="AK150" s="125">
        <f>Valores!C$38*B150</f>
        <v>0</v>
      </c>
      <c r="AL150" s="125">
        <f>IF($F$3="NO",0,Valores!$C$55)</f>
        <v>170.34</v>
      </c>
      <c r="AM150" s="125">
        <f t="shared" si="21"/>
        <v>170.34</v>
      </c>
      <c r="AN150" s="125">
        <f>AH150*Valores!$C$70</f>
        <v>-12791.741600000001</v>
      </c>
      <c r="AO150" s="125">
        <f>AH150*-Valores!$C$71</f>
        <v>0</v>
      </c>
      <c r="AP150" s="125">
        <f>AH150*Valores!$C$72</f>
        <v>-5232.9852000000001</v>
      </c>
      <c r="AQ150" s="125">
        <f>Valores!$C$99</f>
        <v>-280.91000000000003</v>
      </c>
      <c r="AR150" s="125">
        <f>IF($F$5=0,Valores!$C$100,(Valores!$C$100+$F$5*(Valores!$C$100)))</f>
        <v>-329</v>
      </c>
      <c r="AS150" s="125">
        <f t="shared" si="24"/>
        <v>97824.263200000016</v>
      </c>
      <c r="AT150" s="125">
        <f t="shared" si="18"/>
        <v>-12791.741600000001</v>
      </c>
      <c r="AU150" s="125">
        <f>AH150*Valores!$C$73</f>
        <v>-3139.7911200000003</v>
      </c>
      <c r="AV150" s="125">
        <f>AH150*Valores!$C$74</f>
        <v>-348.86568000000005</v>
      </c>
      <c r="AW150" s="125">
        <f t="shared" si="22"/>
        <v>100178.5016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30928.11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7736.44</v>
      </c>
      <c r="N151" s="125">
        <f t="shared" si="19"/>
        <v>0</v>
      </c>
      <c r="O151" s="125">
        <f>Valores!$C$16</f>
        <v>20912.349999999999</v>
      </c>
      <c r="P151" s="125">
        <f>Valores!$D$5</f>
        <v>12371.24</v>
      </c>
      <c r="Q151" s="125">
        <f>Valores!$C$22</f>
        <v>11037.15</v>
      </c>
      <c r="R151" s="125">
        <f>IF($F$4="NO",Valores!$C$43,Valores!$C$43/2)</f>
        <v>9136.5</v>
      </c>
      <c r="S151" s="125">
        <f>Valores!$C$19</f>
        <v>11511.67</v>
      </c>
      <c r="T151" s="125">
        <f t="shared" si="25"/>
        <v>11511.67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Valores!$C$93</f>
        <v>5455.2</v>
      </c>
      <c r="AA151" s="125">
        <f>Valores!$C$25</f>
        <v>505.99</v>
      </c>
      <c r="AB151" s="214">
        <v>0</v>
      </c>
      <c r="AC151" s="125">
        <f t="shared" si="20"/>
        <v>0</v>
      </c>
      <c r="AD151" s="125">
        <f>Valores!$C$26</f>
        <v>505.99</v>
      </c>
      <c r="AE151" s="192">
        <v>0</v>
      </c>
      <c r="AF151" s="125">
        <f>ROUND(AE151*Valores!$C$2,2)</f>
        <v>0</v>
      </c>
      <c r="AG151" s="125">
        <f>ROUND(IF($F$4="NO",Valores!$C$62,Valores!$C$62/2),2)</f>
        <v>6323.27</v>
      </c>
      <c r="AH151" s="125">
        <f t="shared" si="23"/>
        <v>116423.91</v>
      </c>
      <c r="AI151" s="125">
        <f>Valores!$C$31</f>
        <v>0</v>
      </c>
      <c r="AJ151" s="125">
        <f>Valores!$C$86</f>
        <v>0</v>
      </c>
      <c r="AK151" s="125">
        <f>Valores!C$38*B151</f>
        <v>0</v>
      </c>
      <c r="AL151" s="125">
        <f>IF($F$3="NO",0,Valores!$C$55)</f>
        <v>170.34</v>
      </c>
      <c r="AM151" s="125">
        <f t="shared" si="21"/>
        <v>170.34</v>
      </c>
      <c r="AN151" s="125">
        <f>AH151*Valores!$C$70</f>
        <v>-12806.6301</v>
      </c>
      <c r="AO151" s="125">
        <f>AH151*-Valores!$C$71</f>
        <v>0</v>
      </c>
      <c r="AP151" s="125">
        <f>AH151*Valores!$C$72</f>
        <v>-5239.0759500000004</v>
      </c>
      <c r="AQ151" s="125">
        <f>Valores!$C$99</f>
        <v>-280.91000000000003</v>
      </c>
      <c r="AR151" s="125">
        <f>IF($F$5=0,Valores!$C$100,(Valores!$C$100+$F$5*(Valores!$C$100)))</f>
        <v>-329</v>
      </c>
      <c r="AS151" s="125">
        <f t="shared" si="24"/>
        <v>97938.633950000003</v>
      </c>
      <c r="AT151" s="125">
        <f t="shared" si="18"/>
        <v>-12806.6301</v>
      </c>
      <c r="AU151" s="125">
        <f>AH151*Valores!$C$73</f>
        <v>-3143.4455699999999</v>
      </c>
      <c r="AV151" s="125">
        <f>AH151*Valores!$C$74</f>
        <v>-349.27172999999999</v>
      </c>
      <c r="AW151" s="125">
        <f t="shared" si="22"/>
        <v>100294.9026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25773.43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6890.61</v>
      </c>
      <c r="N152" s="125">
        <f t="shared" si="19"/>
        <v>0</v>
      </c>
      <c r="O152" s="125">
        <f>Valores!$C$16</f>
        <v>20912.349999999999</v>
      </c>
      <c r="P152" s="125">
        <f>Valores!$D$5</f>
        <v>12371.24</v>
      </c>
      <c r="Q152" s="125">
        <f>Valores!$C$23</f>
        <v>10272.65</v>
      </c>
      <c r="R152" s="125">
        <f>IF($F$4="NO",Valores!$C$42,Valores!$C$42/2)</f>
        <v>8652.27</v>
      </c>
      <c r="S152" s="125">
        <f>Valores!$C$19</f>
        <v>11511.67</v>
      </c>
      <c r="T152" s="125">
        <f t="shared" si="25"/>
        <v>11511.67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Valores!$C$93</f>
        <v>5455.2</v>
      </c>
      <c r="AA152" s="125">
        <f>Valores!$C$25</f>
        <v>505.99</v>
      </c>
      <c r="AB152" s="214">
        <v>0</v>
      </c>
      <c r="AC152" s="125">
        <f t="shared" si="20"/>
        <v>0</v>
      </c>
      <c r="AD152" s="125">
        <f>Valores!$C$26</f>
        <v>505.99</v>
      </c>
      <c r="AE152" s="192">
        <v>0</v>
      </c>
      <c r="AF152" s="125">
        <f>ROUND(AE152*Valores!$C$2,2)</f>
        <v>0</v>
      </c>
      <c r="AG152" s="125">
        <f>ROUND(IF($F$4="NO",Valores!$C$62,Valores!$C$62/2),2)</f>
        <v>6323.27</v>
      </c>
      <c r="AH152" s="125">
        <f t="shared" si="23"/>
        <v>109174.67000000001</v>
      </c>
      <c r="AI152" s="125">
        <f>Valores!$C$31</f>
        <v>0</v>
      </c>
      <c r="AJ152" s="125">
        <f>Valores!$C$86</f>
        <v>0</v>
      </c>
      <c r="AK152" s="125">
        <f>Valores!C$38*B152</f>
        <v>0</v>
      </c>
      <c r="AL152" s="125">
        <f>IF($F$3="NO",0,Valores!$C$55)</f>
        <v>170.34</v>
      </c>
      <c r="AM152" s="125">
        <f t="shared" si="21"/>
        <v>170.34</v>
      </c>
      <c r="AN152" s="125">
        <f>AH152*Valores!$C$70</f>
        <v>-12009.213700000002</v>
      </c>
      <c r="AO152" s="125">
        <f>AH152*-Valores!$C$71</f>
        <v>0</v>
      </c>
      <c r="AP152" s="125">
        <f>AH152*Valores!$C$72</f>
        <v>-4912.8601500000004</v>
      </c>
      <c r="AQ152" s="125">
        <f>Valores!$C$99</f>
        <v>-280.91000000000003</v>
      </c>
      <c r="AR152" s="125">
        <f>IF($F$5=0,Valores!$C$100,(Valores!$C$100+$F$5*(Valores!$C$100)))</f>
        <v>-329</v>
      </c>
      <c r="AS152" s="125">
        <f t="shared" si="24"/>
        <v>91813.026150000005</v>
      </c>
      <c r="AT152" s="125">
        <f t="shared" si="18"/>
        <v>-12009.213700000002</v>
      </c>
      <c r="AU152" s="125">
        <f>AH152*Valores!$C$73</f>
        <v>-2947.7160900000003</v>
      </c>
      <c r="AV152" s="125">
        <f>AH152*Valores!$C$74</f>
        <v>-327.52401000000003</v>
      </c>
      <c r="AW152" s="125">
        <f t="shared" si="22"/>
        <v>94060.556200000006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22917.78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6462.26</v>
      </c>
      <c r="N153" s="125">
        <f t="shared" si="19"/>
        <v>0</v>
      </c>
      <c r="O153" s="125">
        <f>Valores!$C$16</f>
        <v>20912.349999999999</v>
      </c>
      <c r="P153" s="125">
        <f>Valores!$D$5</f>
        <v>12371.24</v>
      </c>
      <c r="Q153" s="125">
        <f>Valores!$C$23</f>
        <v>10272.65</v>
      </c>
      <c r="R153" s="125">
        <f>IF($F$4="NO",Valores!$C$42,Valores!$C$42/2)</f>
        <v>8652.27</v>
      </c>
      <c r="S153" s="125">
        <f>Valores!$C$19</f>
        <v>11511.67</v>
      </c>
      <c r="T153" s="125">
        <f t="shared" si="25"/>
        <v>11511.67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Valores!$C$93</f>
        <v>5455.2</v>
      </c>
      <c r="AA153" s="125">
        <f>Valores!$C$25</f>
        <v>505.99</v>
      </c>
      <c r="AB153" s="214">
        <v>0</v>
      </c>
      <c r="AC153" s="125">
        <f t="shared" si="20"/>
        <v>0</v>
      </c>
      <c r="AD153" s="125">
        <f>Valores!$C$26</f>
        <v>505.99</v>
      </c>
      <c r="AE153" s="192">
        <v>0</v>
      </c>
      <c r="AF153" s="125">
        <f>ROUND(AE153*Valores!$C$2,2)</f>
        <v>0</v>
      </c>
      <c r="AG153" s="125">
        <f>ROUND(IF($F$4="NO",Valores!$C$62,Valores!$C$62/2),2)</f>
        <v>6323.27</v>
      </c>
      <c r="AH153" s="125">
        <f t="shared" si="23"/>
        <v>105890.67000000001</v>
      </c>
      <c r="AI153" s="125">
        <f>Valores!$C$31</f>
        <v>0</v>
      </c>
      <c r="AJ153" s="125">
        <f>Valores!$C$86</f>
        <v>0</v>
      </c>
      <c r="AK153" s="125">
        <f>Valores!C$38*B153</f>
        <v>0</v>
      </c>
      <c r="AL153" s="125">
        <f>IF($F$3="NO",0,Valores!$C$55)</f>
        <v>170.34</v>
      </c>
      <c r="AM153" s="125">
        <f t="shared" si="21"/>
        <v>170.34</v>
      </c>
      <c r="AN153" s="125">
        <f>AH153*Valores!$C$70</f>
        <v>-11647.973700000002</v>
      </c>
      <c r="AO153" s="125">
        <f>AH153*-Valores!$C$71</f>
        <v>0</v>
      </c>
      <c r="AP153" s="125">
        <f>AH153*Valores!$C$72</f>
        <v>-4765.0801500000007</v>
      </c>
      <c r="AQ153" s="125">
        <f>Valores!$C$99</f>
        <v>-280.91000000000003</v>
      </c>
      <c r="AR153" s="125">
        <f>IF($F$5=0,Valores!$C$100,(Valores!$C$100+$F$5*(Valores!$C$100)))</f>
        <v>-329</v>
      </c>
      <c r="AS153" s="125">
        <f t="shared" si="24"/>
        <v>89038.046150000009</v>
      </c>
      <c r="AT153" s="125">
        <f t="shared" si="18"/>
        <v>-11647.973700000002</v>
      </c>
      <c r="AU153" s="125">
        <f>AH153*Valores!$C$73</f>
        <v>-2859.0480900000002</v>
      </c>
      <c r="AV153" s="125">
        <f>AH153*Valores!$C$74</f>
        <v>-317.67201000000006</v>
      </c>
      <c r="AW153" s="125">
        <f t="shared" si="22"/>
        <v>91236.316200000001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43560.72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10325.64</v>
      </c>
      <c r="N154" s="125">
        <f t="shared" si="19"/>
        <v>0</v>
      </c>
      <c r="O154" s="125">
        <f>Valores!$C$8</f>
        <v>26798.030000000002</v>
      </c>
      <c r="P154" s="125">
        <f>Valores!$D$5</f>
        <v>12371.24</v>
      </c>
      <c r="Q154" s="125">
        <f>Valores!$C$22</f>
        <v>11037.15</v>
      </c>
      <c r="R154" s="125">
        <f>IF($F$4="NO",Valores!$C$46,Valores!$C$46/2)</f>
        <v>13765.22</v>
      </c>
      <c r="S154" s="125">
        <f>Valores!$C$19</f>
        <v>11511.67</v>
      </c>
      <c r="T154" s="125">
        <f t="shared" si="25"/>
        <v>11511.67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Valores!$C$95</f>
        <v>10910.4</v>
      </c>
      <c r="AA154" s="125">
        <f>Valores!$C$25</f>
        <v>505.99</v>
      </c>
      <c r="AB154" s="214">
        <v>0</v>
      </c>
      <c r="AC154" s="125">
        <f t="shared" si="20"/>
        <v>0</v>
      </c>
      <c r="AD154" s="125">
        <f>Valores!$C$26</f>
        <v>505.99</v>
      </c>
      <c r="AE154" s="192">
        <v>0</v>
      </c>
      <c r="AF154" s="125">
        <f>ROUND(AE154*Valores!$C$2,2)</f>
        <v>0</v>
      </c>
      <c r="AG154" s="125">
        <f>ROUND(IF($F$4="NO",Valores!$C$62,Valores!$C$62/2),2)</f>
        <v>6323.27</v>
      </c>
      <c r="AH154" s="125">
        <f t="shared" si="23"/>
        <v>147615.31999999998</v>
      </c>
      <c r="AI154" s="125">
        <f>Valores!$C$31</f>
        <v>0</v>
      </c>
      <c r="AJ154" s="125">
        <f>Valores!$C$88</f>
        <v>0</v>
      </c>
      <c r="AK154" s="125">
        <f>Valores!C$38*B154</f>
        <v>0</v>
      </c>
      <c r="AL154" s="125">
        <f>IF($F$3="NO",0,Valores!$C$55)</f>
        <v>170.34</v>
      </c>
      <c r="AM154" s="125">
        <f t="shared" si="21"/>
        <v>170.34</v>
      </c>
      <c r="AN154" s="125">
        <f>AH154*Valores!$C$70</f>
        <v>-16237.685199999998</v>
      </c>
      <c r="AO154" s="125">
        <f>AH154*-Valores!$C$71</f>
        <v>0</v>
      </c>
      <c r="AP154" s="125">
        <f>AH154*Valores!$C$72</f>
        <v>-6642.6893999999984</v>
      </c>
      <c r="AQ154" s="125">
        <f>Valores!$C$99</f>
        <v>-280.91000000000003</v>
      </c>
      <c r="AR154" s="125">
        <f>IF($F$5=0,Valores!$C$100,(Valores!$C$100+$F$5*(Valores!$C$100)))</f>
        <v>-329</v>
      </c>
      <c r="AS154" s="125">
        <f t="shared" si="24"/>
        <v>124295.37539999999</v>
      </c>
      <c r="AT154" s="125">
        <f t="shared" si="18"/>
        <v>-16237.685199999998</v>
      </c>
      <c r="AU154" s="125">
        <f>AH154*Valores!$C$73</f>
        <v>-3985.6136399999996</v>
      </c>
      <c r="AV154" s="125">
        <f>AH154*Valores!$C$74</f>
        <v>-442.84595999999993</v>
      </c>
      <c r="AW154" s="125">
        <f t="shared" si="22"/>
        <v>127119.51519999998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30928.11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7736.44</v>
      </c>
      <c r="N155" s="125">
        <f t="shared" si="19"/>
        <v>0</v>
      </c>
      <c r="O155" s="125">
        <f>Valores!$C$8</f>
        <v>26798.030000000002</v>
      </c>
      <c r="P155" s="125">
        <f>Valores!$D$5</f>
        <v>12371.24</v>
      </c>
      <c r="Q155" s="125">
        <f>Valores!$C$22</f>
        <v>11037.15</v>
      </c>
      <c r="R155" s="125">
        <f>IF($F$4="NO",Valores!$C$43,Valores!$C$43/2)</f>
        <v>9136.5</v>
      </c>
      <c r="S155" s="125">
        <f>Valores!$C$19</f>
        <v>11511.67</v>
      </c>
      <c r="T155" s="125">
        <f t="shared" si="25"/>
        <v>11511.67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Valores!$C$93</f>
        <v>5455.2</v>
      </c>
      <c r="AA155" s="125">
        <f>Valores!$C$25</f>
        <v>505.99</v>
      </c>
      <c r="AB155" s="214">
        <v>0</v>
      </c>
      <c r="AC155" s="125">
        <f t="shared" si="20"/>
        <v>0</v>
      </c>
      <c r="AD155" s="125">
        <f>Valores!$C$26</f>
        <v>505.99</v>
      </c>
      <c r="AE155" s="192">
        <v>0</v>
      </c>
      <c r="AF155" s="125">
        <f>ROUND(AE155*Valores!$C$2,2)</f>
        <v>0</v>
      </c>
      <c r="AG155" s="125">
        <f>ROUND(IF($F$4="NO",Valores!$C$62,Valores!$C$62/2),2)</f>
        <v>6323.27</v>
      </c>
      <c r="AH155" s="125">
        <f t="shared" si="23"/>
        <v>122309.59000000001</v>
      </c>
      <c r="AI155" s="125">
        <f>Valores!$C$31</f>
        <v>0</v>
      </c>
      <c r="AJ155" s="125">
        <f>Valores!$C$86</f>
        <v>0</v>
      </c>
      <c r="AK155" s="125">
        <f>Valores!C$38*B155</f>
        <v>0</v>
      </c>
      <c r="AL155" s="125">
        <f>IF($F$3="NO",0,Valores!$C$55)</f>
        <v>170.34</v>
      </c>
      <c r="AM155" s="125">
        <f t="shared" si="21"/>
        <v>170.34</v>
      </c>
      <c r="AN155" s="125">
        <f>AH155*Valores!$C$70</f>
        <v>-13454.054900000001</v>
      </c>
      <c r="AO155" s="125">
        <f>AH155*-Valores!$C$71</f>
        <v>0</v>
      </c>
      <c r="AP155" s="125">
        <f>AH155*Valores!$C$72</f>
        <v>-5503.9315500000002</v>
      </c>
      <c r="AQ155" s="125">
        <f>Valores!$C$99</f>
        <v>-280.91000000000003</v>
      </c>
      <c r="AR155" s="125">
        <f>IF($F$5=0,Valores!$C$100,(Valores!$C$100+$F$5*(Valores!$C$100)))</f>
        <v>-329</v>
      </c>
      <c r="AS155" s="125">
        <f t="shared" si="24"/>
        <v>102912.03355000001</v>
      </c>
      <c r="AT155" s="125">
        <f t="shared" si="18"/>
        <v>-13454.054900000001</v>
      </c>
      <c r="AU155" s="125">
        <f>AH155*Valores!$C$73</f>
        <v>-3302.3589300000003</v>
      </c>
      <c r="AV155" s="125">
        <f>AH155*Valores!$C$74</f>
        <v>-366.92877000000004</v>
      </c>
      <c r="AW155" s="125">
        <f t="shared" si="22"/>
        <v>105356.5874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29379.29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7504.12</v>
      </c>
      <c r="N156" s="125">
        <f t="shared" si="19"/>
        <v>0</v>
      </c>
      <c r="O156" s="125">
        <f>Valores!$C$16</f>
        <v>20912.349999999999</v>
      </c>
      <c r="P156" s="125">
        <f>Valores!$D$5</f>
        <v>12371.24</v>
      </c>
      <c r="Q156" s="125">
        <f>Valores!$C$22</f>
        <v>11037.15</v>
      </c>
      <c r="R156" s="125">
        <f>IF($F$4="NO",Valores!$C$43,Valores!$C$43/2)</f>
        <v>9136.5</v>
      </c>
      <c r="S156" s="125">
        <f>Valores!$C$19</f>
        <v>11511.67</v>
      </c>
      <c r="T156" s="125">
        <f t="shared" si="25"/>
        <v>11511.67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Valores!$C$93</f>
        <v>5455.2</v>
      </c>
      <c r="AA156" s="125">
        <f>Valores!$C$25</f>
        <v>505.99</v>
      </c>
      <c r="AB156" s="214">
        <v>0</v>
      </c>
      <c r="AC156" s="125">
        <f t="shared" si="20"/>
        <v>0</v>
      </c>
      <c r="AD156" s="125">
        <f>Valores!$C$26</f>
        <v>505.99</v>
      </c>
      <c r="AE156" s="192">
        <v>0</v>
      </c>
      <c r="AF156" s="125">
        <f>ROUND(AE156*Valores!$C$2,2)</f>
        <v>0</v>
      </c>
      <c r="AG156" s="125">
        <f>ROUND(IF($F$4="NO",Valores!$C$62,Valores!$C$62/2),2)</f>
        <v>6323.27</v>
      </c>
      <c r="AH156" s="125">
        <f t="shared" si="23"/>
        <v>114642.77</v>
      </c>
      <c r="AI156" s="125">
        <f>Valores!$C$31</f>
        <v>0</v>
      </c>
      <c r="AJ156" s="125">
        <f>Valores!$C$86</f>
        <v>0</v>
      </c>
      <c r="AK156" s="125">
        <f>Valores!C$38*B156</f>
        <v>0</v>
      </c>
      <c r="AL156" s="125">
        <f>IF($F$3="NO",0,Valores!$C$55)</f>
        <v>170.34</v>
      </c>
      <c r="AM156" s="125">
        <f t="shared" si="21"/>
        <v>170.34</v>
      </c>
      <c r="AN156" s="125">
        <f>AH156*Valores!$C$70</f>
        <v>-12610.7047</v>
      </c>
      <c r="AO156" s="125">
        <f>AH156*-Valores!$C$71</f>
        <v>0</v>
      </c>
      <c r="AP156" s="125">
        <f>AH156*Valores!$C$72</f>
        <v>-5158.9246499999999</v>
      </c>
      <c r="AQ156" s="125">
        <f>Valores!$C$99</f>
        <v>-280.91000000000003</v>
      </c>
      <c r="AR156" s="125">
        <f>IF($F$5=0,Valores!$C$100,(Valores!$C$100+$F$5*(Valores!$C$100)))</f>
        <v>-329</v>
      </c>
      <c r="AS156" s="125">
        <f t="shared" si="24"/>
        <v>96433.570650000009</v>
      </c>
      <c r="AT156" s="125">
        <f t="shared" si="18"/>
        <v>-12610.7047</v>
      </c>
      <c r="AU156" s="125">
        <f>AH156*Valores!$C$73</f>
        <v>-3095.3547899999999</v>
      </c>
      <c r="AV156" s="125">
        <f>AH156*Valores!$C$74</f>
        <v>-343.92831000000001</v>
      </c>
      <c r="AW156" s="125">
        <f t="shared" si="22"/>
        <v>98763.122199999998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28653.27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7377.56</v>
      </c>
      <c r="N157" s="125">
        <f t="shared" si="19"/>
        <v>0</v>
      </c>
      <c r="O157" s="125">
        <f>Valores!$C$16</f>
        <v>20912.349999999999</v>
      </c>
      <c r="P157" s="125">
        <f>Valores!$D$5</f>
        <v>12371.24</v>
      </c>
      <c r="Q157" s="125">
        <v>0</v>
      </c>
      <c r="R157" s="125">
        <f>IF($F$4="NO",Valores!$C$43,Valores!$C$43/2)</f>
        <v>9136.5</v>
      </c>
      <c r="S157" s="125">
        <f>Valores!$C$20</f>
        <v>11393.97</v>
      </c>
      <c r="T157" s="125">
        <f t="shared" si="25"/>
        <v>11393.97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Valores!$C$93</f>
        <v>5455.2</v>
      </c>
      <c r="AA157" s="125">
        <f>Valores!$C$25</f>
        <v>505.99</v>
      </c>
      <c r="AB157" s="214">
        <v>0</v>
      </c>
      <c r="AC157" s="125">
        <f t="shared" si="20"/>
        <v>0</v>
      </c>
      <c r="AD157" s="125">
        <f>Valores!$C$26</f>
        <v>505.99</v>
      </c>
      <c r="AE157" s="192">
        <v>0</v>
      </c>
      <c r="AF157" s="125">
        <f>ROUND(AE157*Valores!$C$2,2)</f>
        <v>0</v>
      </c>
      <c r="AG157" s="125">
        <f>ROUND(IF($F$4="NO",Valores!$C$62,Valores!$C$62/2),2)</f>
        <v>6323.27</v>
      </c>
      <c r="AH157" s="125">
        <f t="shared" si="23"/>
        <v>102635.34000000001</v>
      </c>
      <c r="AI157" s="125">
        <f>Valores!$C$31</f>
        <v>0</v>
      </c>
      <c r="AJ157" s="125">
        <f>Valores!$C$86</f>
        <v>0</v>
      </c>
      <c r="AK157" s="125">
        <f>Valores!C$38*B157</f>
        <v>0</v>
      </c>
      <c r="AL157" s="125">
        <f>IF($F$3="NO",0,Valores!$C$55)</f>
        <v>170.34</v>
      </c>
      <c r="AM157" s="125">
        <f t="shared" si="21"/>
        <v>170.34</v>
      </c>
      <c r="AN157" s="125">
        <f>AH157*Valores!$C$70</f>
        <v>-11289.887400000001</v>
      </c>
      <c r="AO157" s="125">
        <f>AH157*-Valores!$C$71</f>
        <v>0</v>
      </c>
      <c r="AP157" s="125">
        <f>AH157*Valores!$C$72</f>
        <v>-4618.5903000000008</v>
      </c>
      <c r="AQ157" s="125">
        <f>Valores!$C$99</f>
        <v>-280.91000000000003</v>
      </c>
      <c r="AR157" s="125">
        <f>IF($F$5=0,Valores!$C$100,(Valores!$C$100+$F$5*(Valores!$C$100)))</f>
        <v>-329</v>
      </c>
      <c r="AS157" s="125">
        <f t="shared" si="24"/>
        <v>86287.292300000001</v>
      </c>
      <c r="AT157" s="125">
        <f t="shared" si="18"/>
        <v>-11289.887400000001</v>
      </c>
      <c r="AU157" s="125">
        <f>AH157*Valores!$C$73</f>
        <v>-2771.1541800000005</v>
      </c>
      <c r="AV157" s="125">
        <f>AH157*Valores!$C$74</f>
        <v>-307.90602000000001</v>
      </c>
      <c r="AW157" s="125">
        <f t="shared" si="22"/>
        <v>88436.732400000008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23498.59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6549.38</v>
      </c>
      <c r="N158" s="125">
        <f t="shared" si="19"/>
        <v>0</v>
      </c>
      <c r="O158" s="125">
        <f>Valores!$C$16</f>
        <v>20912.349999999999</v>
      </c>
      <c r="P158" s="125">
        <f>Valores!$D$5</f>
        <v>12371.24</v>
      </c>
      <c r="Q158" s="125">
        <f>Valores!$C$23</f>
        <v>10272.65</v>
      </c>
      <c r="R158" s="125">
        <f>IF($F$4="NO",Valores!$C$42,Valores!$C$42/2)</f>
        <v>8652.27</v>
      </c>
      <c r="S158" s="125">
        <f>Valores!$C$19</f>
        <v>11511.67</v>
      </c>
      <c r="T158" s="125">
        <f t="shared" si="25"/>
        <v>11511.67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Valores!$C$93</f>
        <v>5455.2</v>
      </c>
      <c r="AA158" s="125">
        <f>Valores!$C$25</f>
        <v>505.99</v>
      </c>
      <c r="AB158" s="214">
        <v>0</v>
      </c>
      <c r="AC158" s="125">
        <f t="shared" si="20"/>
        <v>0</v>
      </c>
      <c r="AD158" s="125">
        <f>Valores!$C$25</f>
        <v>505.99</v>
      </c>
      <c r="AE158" s="192">
        <v>0</v>
      </c>
      <c r="AF158" s="125">
        <f>ROUND(AE158*Valores!$C$2,2)</f>
        <v>0</v>
      </c>
      <c r="AG158" s="125">
        <f>ROUND(IF($F$4="NO",Valores!$C$62,Valores!$C$62/2),2)</f>
        <v>6323.27</v>
      </c>
      <c r="AH158" s="125">
        <f t="shared" si="23"/>
        <v>106558.6</v>
      </c>
      <c r="AI158" s="125">
        <f>Valores!$C$31</f>
        <v>0</v>
      </c>
      <c r="AJ158" s="125">
        <f>Valores!$C$86</f>
        <v>0</v>
      </c>
      <c r="AK158" s="125">
        <f>Valores!C$38*B158</f>
        <v>0</v>
      </c>
      <c r="AL158" s="125">
        <f>(IF($F$3="NO",0,Valores!$C$57))</f>
        <v>155.18</v>
      </c>
      <c r="AM158" s="125">
        <f t="shared" si="21"/>
        <v>155.18</v>
      </c>
      <c r="AN158" s="125">
        <f>AH158*Valores!$C$70</f>
        <v>-11721.446</v>
      </c>
      <c r="AO158" s="125">
        <f>AH158*-Valores!$C$71</f>
        <v>0</v>
      </c>
      <c r="AP158" s="125">
        <f>AH158*Valores!$C$72</f>
        <v>-4795.1369999999997</v>
      </c>
      <c r="AQ158" s="125">
        <f>Valores!$C$99</f>
        <v>-280.91000000000003</v>
      </c>
      <c r="AR158" s="125">
        <f>IF($F$5=0,Valores!$C$100,(Valores!$C$100+$F$5*(Valores!$C$100)))</f>
        <v>-329</v>
      </c>
      <c r="AS158" s="125">
        <f t="shared" si="24"/>
        <v>89587.287000000011</v>
      </c>
      <c r="AT158" s="125">
        <f t="shared" si="18"/>
        <v>-11721.446</v>
      </c>
      <c r="AU158" s="125">
        <f>AH158*Valores!$C$73</f>
        <v>-2877.0822000000003</v>
      </c>
      <c r="AV158" s="125">
        <f>AH158*Valores!$C$74</f>
        <v>-319.67580000000004</v>
      </c>
      <c r="AW158" s="125">
        <f t="shared" si="22"/>
        <v>91795.576000000001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23498.59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8768.35</v>
      </c>
      <c r="N159" s="125">
        <f t="shared" si="19"/>
        <v>0</v>
      </c>
      <c r="O159" s="125">
        <f>Valores!$C$16</f>
        <v>20912.349999999999</v>
      </c>
      <c r="P159" s="125">
        <f>Valores!$D$5</f>
        <v>12371.24</v>
      </c>
      <c r="Q159" s="125">
        <f>Valores!$C$23</f>
        <v>10272.65</v>
      </c>
      <c r="R159" s="125">
        <f>IF($F$4="NO",Valores!$C$46,Valores!$C$46/2)</f>
        <v>13765.22</v>
      </c>
      <c r="S159" s="125">
        <f>Valores!$C$19</f>
        <v>11511.67</v>
      </c>
      <c r="T159" s="125">
        <f t="shared" si="25"/>
        <v>11511.67</v>
      </c>
      <c r="U159" s="125">
        <v>0</v>
      </c>
      <c r="V159" s="125">
        <v>0</v>
      </c>
      <c r="W159" s="192">
        <v>400</v>
      </c>
      <c r="X159" s="125">
        <f>ROUND(W159*Valores!$C$2,2)</f>
        <v>9680.16</v>
      </c>
      <c r="Y159" s="125">
        <f>ROUND(SUM(J159,H159,F159,R159)*Valores!$C$3,2)</f>
        <v>5589.57</v>
      </c>
      <c r="Z159" s="125">
        <f>Valores!$C$93</f>
        <v>5455.2</v>
      </c>
      <c r="AA159" s="125">
        <f>Valores!$C$25</f>
        <v>505.99</v>
      </c>
      <c r="AB159" s="214">
        <v>0</v>
      </c>
      <c r="AC159" s="125">
        <f t="shared" si="20"/>
        <v>0</v>
      </c>
      <c r="AD159" s="125">
        <f>Valores!$C$25</f>
        <v>505.99</v>
      </c>
      <c r="AE159" s="192">
        <v>94</v>
      </c>
      <c r="AF159" s="125">
        <f>ROUND(AE159*Valores!$C$2,2)</f>
        <v>2274.84</v>
      </c>
      <c r="AG159" s="125">
        <f>ROUND(IF($F$4="NO",Valores!$C$62,Valores!$C$62/2),2)</f>
        <v>6323.27</v>
      </c>
      <c r="AH159" s="125">
        <f t="shared" si="23"/>
        <v>131435.09</v>
      </c>
      <c r="AI159" s="125">
        <f>Valores!$C$31</f>
        <v>0</v>
      </c>
      <c r="AJ159" s="125">
        <f>Valores!$C$86</f>
        <v>0</v>
      </c>
      <c r="AK159" s="125">
        <f>Valores!C$38*B159</f>
        <v>0</v>
      </c>
      <c r="AL159" s="125">
        <f>(IF($F$3="NO",0,Valores!$C$57))</f>
        <v>155.18</v>
      </c>
      <c r="AM159" s="125">
        <f t="shared" si="21"/>
        <v>155.18</v>
      </c>
      <c r="AN159" s="125">
        <f>AH159*Valores!$C$70</f>
        <v>-14457.859899999999</v>
      </c>
      <c r="AO159" s="125">
        <f>AH159*-Valores!$C$71</f>
        <v>0</v>
      </c>
      <c r="AP159" s="125">
        <f>AH159*Valores!$C$72</f>
        <v>-5914.5790499999994</v>
      </c>
      <c r="AQ159" s="125">
        <f>Valores!$C$99</f>
        <v>-280.91000000000003</v>
      </c>
      <c r="AR159" s="125">
        <f>IF($F$5=0,Valores!$C$100,(Valores!$C$100+$F$5*(Valores!$C$100)))</f>
        <v>-329</v>
      </c>
      <c r="AS159" s="125">
        <f t="shared" si="24"/>
        <v>110607.92105</v>
      </c>
      <c r="AT159" s="125">
        <f t="shared" si="18"/>
        <v>-14457.859899999999</v>
      </c>
      <c r="AU159" s="125">
        <f>AH159*Valores!$C$73</f>
        <v>-3548.7474299999999</v>
      </c>
      <c r="AV159" s="125">
        <f>AH159*Valores!$C$74</f>
        <v>-394.30527000000001</v>
      </c>
      <c r="AW159" s="125">
        <f t="shared" si="22"/>
        <v>113189.35739999999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19602.32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5947.28</v>
      </c>
      <c r="N160" s="125">
        <f t="shared" si="19"/>
        <v>0</v>
      </c>
      <c r="O160" s="125">
        <f>Valores!$C$16</f>
        <v>20912.349999999999</v>
      </c>
      <c r="P160" s="125">
        <f>Valores!$D$5</f>
        <v>12371.24</v>
      </c>
      <c r="Q160" s="125">
        <f>Valores!$C$23</f>
        <v>10272.65</v>
      </c>
      <c r="R160" s="125">
        <f>IF($F$4="NO",Valores!$C$42,Valores!$C$42/2)</f>
        <v>8652.27</v>
      </c>
      <c r="S160" s="125">
        <f>Valores!$C$20</f>
        <v>11393.97</v>
      </c>
      <c r="T160" s="125">
        <f t="shared" si="25"/>
        <v>11393.97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Valores!$C$93</f>
        <v>5455.2</v>
      </c>
      <c r="AA160" s="125">
        <f>Valores!$C$25</f>
        <v>505.99</v>
      </c>
      <c r="AB160" s="214">
        <v>0</v>
      </c>
      <c r="AC160" s="125">
        <f t="shared" si="20"/>
        <v>0</v>
      </c>
      <c r="AD160" s="125">
        <f>Valores!$C$26</f>
        <v>505.99</v>
      </c>
      <c r="AE160" s="192">
        <v>0</v>
      </c>
      <c r="AF160" s="125">
        <f>ROUND(AE160*Valores!$C$2,2)</f>
        <v>0</v>
      </c>
      <c r="AG160" s="125">
        <f>ROUND(IF($F$4="NO",Valores!$C$62,Valores!$C$62/2),2)</f>
        <v>6323.27</v>
      </c>
      <c r="AH160" s="125">
        <f t="shared" si="23"/>
        <v>101942.53000000001</v>
      </c>
      <c r="AI160" s="125">
        <f>Valores!$C$31</f>
        <v>0</v>
      </c>
      <c r="AJ160" s="125">
        <f>Valores!$C$86</f>
        <v>0</v>
      </c>
      <c r="AK160" s="125">
        <f>Valores!C$38*B160</f>
        <v>0</v>
      </c>
      <c r="AL160" s="125">
        <f>IF($F$3="NO",0,Valores!$C$55)</f>
        <v>170.34</v>
      </c>
      <c r="AM160" s="125">
        <f t="shared" si="21"/>
        <v>170.34</v>
      </c>
      <c r="AN160" s="125">
        <f>AH160*Valores!$C$70</f>
        <v>-11213.678300000001</v>
      </c>
      <c r="AO160" s="125">
        <f>AH160*-Valores!$C$71</f>
        <v>0</v>
      </c>
      <c r="AP160" s="125">
        <f>AH160*Valores!$C$72</f>
        <v>-4587.4138500000008</v>
      </c>
      <c r="AQ160" s="125">
        <f>Valores!$C$99</f>
        <v>-280.91000000000003</v>
      </c>
      <c r="AR160" s="125">
        <f>IF($F$5=0,Valores!$C$100,(Valores!$C$100+$F$5*(Valores!$C$100)))</f>
        <v>-329</v>
      </c>
      <c r="AS160" s="125">
        <f t="shared" si="24"/>
        <v>85701.86785000001</v>
      </c>
      <c r="AT160" s="125">
        <f t="shared" si="18"/>
        <v>-11213.678300000001</v>
      </c>
      <c r="AU160" s="125">
        <f>AH160*Valores!$C$73</f>
        <v>-2752.4483100000002</v>
      </c>
      <c r="AV160" s="125">
        <f>AH160*Valores!$C$74</f>
        <v>-305.82759000000004</v>
      </c>
      <c r="AW160" s="125">
        <f t="shared" si="22"/>
        <v>87840.915800000002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25773.43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6890.61</v>
      </c>
      <c r="N161" s="125">
        <f t="shared" si="19"/>
        <v>0</v>
      </c>
      <c r="O161" s="125">
        <f>Valores!$C$16</f>
        <v>20912.349999999999</v>
      </c>
      <c r="P161" s="125">
        <f>Valores!$D$5</f>
        <v>12371.24</v>
      </c>
      <c r="Q161" s="125">
        <f>Valores!$C$23</f>
        <v>10272.65</v>
      </c>
      <c r="R161" s="125">
        <f>IF($F$4="NO",Valores!$C$42,Valores!$C$42/2)</f>
        <v>8652.27</v>
      </c>
      <c r="S161" s="125">
        <f>Valores!$C$19</f>
        <v>11511.67</v>
      </c>
      <c r="T161" s="125">
        <f t="shared" si="25"/>
        <v>11511.67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Valores!$C$93</f>
        <v>5455.2</v>
      </c>
      <c r="AA161" s="125">
        <f>Valores!$C$25</f>
        <v>505.99</v>
      </c>
      <c r="AB161" s="214">
        <v>0</v>
      </c>
      <c r="AC161" s="125">
        <f t="shared" si="20"/>
        <v>0</v>
      </c>
      <c r="AD161" s="125">
        <f>Valores!$C$26</f>
        <v>505.99</v>
      </c>
      <c r="AE161" s="192">
        <v>0</v>
      </c>
      <c r="AF161" s="125">
        <f>ROUND(AE161*Valores!$C$2,2)</f>
        <v>0</v>
      </c>
      <c r="AG161" s="125">
        <f>ROUND(IF($F$4="NO",Valores!$C$62,Valores!$C$62/2),2)</f>
        <v>6323.27</v>
      </c>
      <c r="AH161" s="125">
        <f t="shared" si="23"/>
        <v>109174.67000000001</v>
      </c>
      <c r="AI161" s="125">
        <f>Valores!$C$31</f>
        <v>0</v>
      </c>
      <c r="AJ161" s="125">
        <f>Valores!$C$86</f>
        <v>0</v>
      </c>
      <c r="AK161" s="125">
        <f>Valores!C$38*B161</f>
        <v>0</v>
      </c>
      <c r="AL161" s="125">
        <f>IF($F$3="NO",0,Valores!$C$55)</f>
        <v>170.34</v>
      </c>
      <c r="AM161" s="125">
        <f t="shared" si="21"/>
        <v>170.34</v>
      </c>
      <c r="AN161" s="125">
        <f>AH161*Valores!$C$70</f>
        <v>-12009.213700000002</v>
      </c>
      <c r="AO161" s="125">
        <f>AH161*-Valores!$C$71</f>
        <v>0</v>
      </c>
      <c r="AP161" s="125">
        <f>AH161*Valores!$C$72</f>
        <v>-4912.8601500000004</v>
      </c>
      <c r="AQ161" s="125">
        <f>Valores!$C$99</f>
        <v>-280.91000000000003</v>
      </c>
      <c r="AR161" s="125">
        <f>IF($F$5=0,Valores!$C$100,(Valores!$C$100+$F$5*(Valores!$C$100)))</f>
        <v>-329</v>
      </c>
      <c r="AS161" s="125">
        <f t="shared" si="24"/>
        <v>91813.026150000005</v>
      </c>
      <c r="AT161" s="125">
        <f t="shared" si="18"/>
        <v>-12009.213700000002</v>
      </c>
      <c r="AU161" s="125">
        <f>AH161*Valores!$C$73</f>
        <v>-2947.7160900000003</v>
      </c>
      <c r="AV161" s="125">
        <f>AH161*Valores!$C$74</f>
        <v>-327.52401000000003</v>
      </c>
      <c r="AW161" s="125">
        <f t="shared" si="22"/>
        <v>94060.556200000006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25773.43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6890.61</v>
      </c>
      <c r="N162" s="125">
        <f t="shared" si="19"/>
        <v>0</v>
      </c>
      <c r="O162" s="125">
        <f>Valores!$C$16</f>
        <v>20912.349999999999</v>
      </c>
      <c r="P162" s="125">
        <f>Valores!$D$5</f>
        <v>12371.24</v>
      </c>
      <c r="Q162" s="125">
        <f>Valores!$C$23</f>
        <v>10272.65</v>
      </c>
      <c r="R162" s="125">
        <f>IF($F$4="NO",Valores!$C$42,Valores!$C$42/2)</f>
        <v>8652.27</v>
      </c>
      <c r="S162" s="125">
        <f>Valores!$C$19</f>
        <v>11511.67</v>
      </c>
      <c r="T162" s="125">
        <f t="shared" si="25"/>
        <v>11511.67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Valores!$C$93</f>
        <v>5455.2</v>
      </c>
      <c r="AA162" s="125">
        <f>Valores!$C$25</f>
        <v>505.99</v>
      </c>
      <c r="AB162" s="214">
        <v>0</v>
      </c>
      <c r="AC162" s="125">
        <f t="shared" si="20"/>
        <v>0</v>
      </c>
      <c r="AD162" s="125">
        <f>Valores!$C$26</f>
        <v>505.99</v>
      </c>
      <c r="AE162" s="192">
        <v>94</v>
      </c>
      <c r="AF162" s="125">
        <f>ROUND(AE162*Valores!$C$2,2)</f>
        <v>2274.84</v>
      </c>
      <c r="AG162" s="125">
        <f>ROUND(IF($F$4="NO",Valores!$C$62,Valores!$C$62/2),2)</f>
        <v>6323.27</v>
      </c>
      <c r="AH162" s="125">
        <f t="shared" si="23"/>
        <v>111449.51000000001</v>
      </c>
      <c r="AI162" s="125">
        <f>Valores!$C$31</f>
        <v>0</v>
      </c>
      <c r="AJ162" s="125">
        <f>Valores!$C$86</f>
        <v>0</v>
      </c>
      <c r="AK162" s="125">
        <f>Valores!C$38*B162</f>
        <v>0</v>
      </c>
      <c r="AL162" s="125">
        <f>IF($F$3="NO",0,Valores!$C$55)</f>
        <v>170.34</v>
      </c>
      <c r="AM162" s="125">
        <f t="shared" si="21"/>
        <v>170.34</v>
      </c>
      <c r="AN162" s="125">
        <f>AH162*Valores!$C$70</f>
        <v>-12259.446100000001</v>
      </c>
      <c r="AO162" s="125">
        <f>AH162*-Valores!$C$71</f>
        <v>0</v>
      </c>
      <c r="AP162" s="125">
        <f>AH162*Valores!$C$72</f>
        <v>-5015.2279500000004</v>
      </c>
      <c r="AQ162" s="125">
        <f>Valores!$C$99</f>
        <v>-280.91000000000003</v>
      </c>
      <c r="AR162" s="125">
        <f>IF($F$5=0,Valores!$C$100,(Valores!$C$100+$F$5*(Valores!$C$100)))</f>
        <v>-329</v>
      </c>
      <c r="AS162" s="125">
        <f t="shared" si="24"/>
        <v>93735.265950000001</v>
      </c>
      <c r="AT162" s="125">
        <f t="shared" si="18"/>
        <v>-12259.446100000001</v>
      </c>
      <c r="AU162" s="125">
        <f>AH162*Valores!$C$73</f>
        <v>-3009.1367700000001</v>
      </c>
      <c r="AV162" s="125">
        <f>AH162*Valores!$C$74</f>
        <v>-334.34853000000004</v>
      </c>
      <c r="AW162" s="125">
        <f t="shared" si="22"/>
        <v>96016.918600000005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2371.64</v>
      </c>
      <c r="G163" s="192">
        <v>2686</v>
      </c>
      <c r="H163" s="125">
        <f>ROUND(G163*Valores!$C$2,2)</f>
        <v>65002.27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16438.66</v>
      </c>
      <c r="N163" s="125">
        <f t="shared" si="19"/>
        <v>0</v>
      </c>
      <c r="O163" s="125">
        <f>Valores!$C$8</f>
        <v>26798.030000000002</v>
      </c>
      <c r="P163" s="125">
        <f>Valores!$D$5</f>
        <v>12371.24</v>
      </c>
      <c r="Q163" s="125">
        <f>Valores!$C$22</f>
        <v>11037.15</v>
      </c>
      <c r="R163" s="125">
        <f>IF($F$4="NO",Valores!$C$46,Valores!$C$46/2)</f>
        <v>13765.22</v>
      </c>
      <c r="S163" s="125">
        <f>Valores!$C$19</f>
        <v>11511.67</v>
      </c>
      <c r="T163" s="125">
        <f t="shared" si="25"/>
        <v>11511.67</v>
      </c>
      <c r="U163" s="125">
        <v>0</v>
      </c>
      <c r="V163" s="125">
        <v>0</v>
      </c>
      <c r="W163" s="192">
        <v>700</v>
      </c>
      <c r="X163" s="125">
        <f>ROUND(W163*Valores!$C$2,2)</f>
        <v>16940.28</v>
      </c>
      <c r="Y163" s="125">
        <f>ROUND(SUM(J163,H163,F163,R163)*Valores!$C$3,2)</f>
        <v>12170.87</v>
      </c>
      <c r="Z163" s="125">
        <f>Valores!$C$95</f>
        <v>10910.4</v>
      </c>
      <c r="AA163" s="125">
        <f>Valores!$C$25</f>
        <v>505.99</v>
      </c>
      <c r="AB163" s="214">
        <v>0</v>
      </c>
      <c r="AC163" s="125">
        <f t="shared" si="20"/>
        <v>0</v>
      </c>
      <c r="AD163" s="125">
        <f>Valores!$C$26</f>
        <v>505.99</v>
      </c>
      <c r="AE163" s="192">
        <v>94</v>
      </c>
      <c r="AF163" s="125">
        <f>ROUND(AE163*Valores!$C$2,2)</f>
        <v>2274.84</v>
      </c>
      <c r="AG163" s="125">
        <f>ROUND(IF($F$4="NO",Valores!$C$62,Valores!$C$62/2),2)</f>
        <v>6323.27</v>
      </c>
      <c r="AH163" s="125">
        <f t="shared" si="23"/>
        <v>208927.52</v>
      </c>
      <c r="AI163" s="125">
        <f>Valores!$C$31</f>
        <v>0</v>
      </c>
      <c r="AJ163" s="125">
        <f>Valores!$C$88</f>
        <v>0</v>
      </c>
      <c r="AK163" s="125">
        <f>Valores!C$38*B163</f>
        <v>0</v>
      </c>
      <c r="AL163" s="125">
        <f>IF($F$3="NO",0,224.5)</f>
        <v>224.5</v>
      </c>
      <c r="AM163" s="125">
        <f t="shared" si="21"/>
        <v>224.5</v>
      </c>
      <c r="AN163" s="125">
        <f>AH163*Valores!$C$70</f>
        <v>-22982.0272</v>
      </c>
      <c r="AO163" s="125">
        <f>AH163*-Valores!$C$71</f>
        <v>0</v>
      </c>
      <c r="AP163" s="125">
        <f>AH163*Valores!$C$72</f>
        <v>-9401.7383999999984</v>
      </c>
      <c r="AQ163" s="125">
        <f>Valores!$C$99</f>
        <v>-280.91000000000003</v>
      </c>
      <c r="AR163" s="125">
        <f>IF($F$5=0,Valores!$C$100,(Valores!$C$100+$F$5*(Valores!$C$100)))</f>
        <v>-329</v>
      </c>
      <c r="AS163" s="125">
        <f t="shared" si="24"/>
        <v>176158.3444</v>
      </c>
      <c r="AT163" s="125">
        <f t="shared" si="18"/>
        <v>-22982.0272</v>
      </c>
      <c r="AU163" s="125">
        <f>AH163*Valores!$C$73</f>
        <v>-5641.0430399999996</v>
      </c>
      <c r="AV163" s="125">
        <f>AH163*Valores!$C$74</f>
        <v>-626.78255999999999</v>
      </c>
      <c r="AW163" s="125">
        <f t="shared" si="22"/>
        <v>179902.1672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2250.64</v>
      </c>
      <c r="G164" s="192">
        <v>2547</v>
      </c>
      <c r="H164" s="125">
        <f>ROUND(G164*Valores!$C$2,2)</f>
        <v>61638.42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15915.93</v>
      </c>
      <c r="N164" s="125">
        <f t="shared" si="19"/>
        <v>0</v>
      </c>
      <c r="O164" s="125">
        <f>Valores!$C$16</f>
        <v>20912.349999999999</v>
      </c>
      <c r="P164" s="125">
        <f>Valores!$D$5</f>
        <v>12371.24</v>
      </c>
      <c r="Q164" s="125">
        <f>Valores!$C$22</f>
        <v>11037.15</v>
      </c>
      <c r="R164" s="125">
        <f>IF($F$4="NO",Valores!$C$46,Valores!$C$46/2)</f>
        <v>13765.22</v>
      </c>
      <c r="S164" s="125">
        <f>Valores!$C$19</f>
        <v>11511.67</v>
      </c>
      <c r="T164" s="125">
        <f t="shared" si="25"/>
        <v>11511.67</v>
      </c>
      <c r="U164" s="125">
        <v>0</v>
      </c>
      <c r="V164" s="125">
        <v>0</v>
      </c>
      <c r="W164" s="192">
        <v>700</v>
      </c>
      <c r="X164" s="125">
        <f>ROUND(W164*Valores!$C$2,2)</f>
        <v>16940.28</v>
      </c>
      <c r="Y164" s="125">
        <f>ROUND(SUM(J164,H164,F164,R164)*Valores!$C$3,2)</f>
        <v>11648.14</v>
      </c>
      <c r="Z164" s="125">
        <f>Valores!$C$95</f>
        <v>10910.4</v>
      </c>
      <c r="AA164" s="125">
        <f>Valores!$C$25</f>
        <v>505.99</v>
      </c>
      <c r="AB164" s="214">
        <v>0</v>
      </c>
      <c r="AC164" s="125">
        <f t="shared" si="20"/>
        <v>0</v>
      </c>
      <c r="AD164" s="125">
        <f>Valores!$C$26</f>
        <v>505.99</v>
      </c>
      <c r="AE164" s="192">
        <v>94</v>
      </c>
      <c r="AF164" s="125">
        <f>ROUND(AE164*Valores!$C$2,2)</f>
        <v>2274.84</v>
      </c>
      <c r="AG164" s="125">
        <f>ROUND(IF($F$4="NO",Valores!$C$62,Valores!$C$62/2),2)</f>
        <v>6323.27</v>
      </c>
      <c r="AH164" s="125">
        <f t="shared" si="23"/>
        <v>198511.52999999994</v>
      </c>
      <c r="AI164" s="125">
        <f>Valores!$C$31</f>
        <v>0</v>
      </c>
      <c r="AJ164" s="125">
        <f>Valores!$C$88</f>
        <v>0</v>
      </c>
      <c r="AK164" s="125">
        <f>Valores!C$38*B164</f>
        <v>0</v>
      </c>
      <c r="AL164" s="125">
        <f>IF($F$3="NO",0,224.5)</f>
        <v>224.5</v>
      </c>
      <c r="AM164" s="125">
        <f t="shared" si="21"/>
        <v>224.5</v>
      </c>
      <c r="AN164" s="125">
        <f>AH164*Valores!$C$70</f>
        <v>-21836.268299999992</v>
      </c>
      <c r="AO164" s="125">
        <f>AH164*-Valores!$C$71</f>
        <v>0</v>
      </c>
      <c r="AP164" s="125">
        <f>AH164*Valores!$C$72</f>
        <v>-8933.0188499999967</v>
      </c>
      <c r="AQ164" s="125">
        <f>Valores!$C$99</f>
        <v>-280.91000000000003</v>
      </c>
      <c r="AR164" s="125">
        <f>IF($F$5=0,Valores!$C$100,(Valores!$C$100+$F$5*(Valores!$C$100)))</f>
        <v>-329</v>
      </c>
      <c r="AS164" s="125">
        <f t="shared" si="24"/>
        <v>167356.83284999995</v>
      </c>
      <c r="AT164" s="125">
        <f t="shared" si="18"/>
        <v>-21836.268299999992</v>
      </c>
      <c r="AU164" s="125">
        <f>AH164*Valores!$C$73</f>
        <v>-5359.8113099999982</v>
      </c>
      <c r="AV164" s="125">
        <f>AH164*Valores!$C$74</f>
        <v>-595.53458999999987</v>
      </c>
      <c r="AW164" s="125">
        <f t="shared" si="22"/>
        <v>170944.41579999996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2153.84</v>
      </c>
      <c r="G165" s="192">
        <v>2251</v>
      </c>
      <c r="H165" s="125">
        <f>ROUND(G165*Valores!$C$2,2)</f>
        <v>54475.1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14826.92</v>
      </c>
      <c r="N165" s="125">
        <f t="shared" si="19"/>
        <v>0</v>
      </c>
      <c r="O165" s="125">
        <f>Valores!$C$16</f>
        <v>20912.349999999999</v>
      </c>
      <c r="P165" s="125">
        <f>Valores!$D$5</f>
        <v>12371.24</v>
      </c>
      <c r="Q165" s="125">
        <f>Valores!$C$22</f>
        <v>11037.15</v>
      </c>
      <c r="R165" s="125">
        <f>IF($F$4="NO",Valores!$C$46,Valores!$C$46/2)</f>
        <v>13765.22</v>
      </c>
      <c r="S165" s="125">
        <f>Valores!$C$19</f>
        <v>11511.67</v>
      </c>
      <c r="T165" s="125">
        <f t="shared" si="25"/>
        <v>11511.67</v>
      </c>
      <c r="U165" s="125">
        <v>0</v>
      </c>
      <c r="V165" s="125">
        <v>0</v>
      </c>
      <c r="W165" s="192">
        <v>700</v>
      </c>
      <c r="X165" s="125">
        <f>ROUND(W165*Valores!$C$2,2)</f>
        <v>16940.28</v>
      </c>
      <c r="Y165" s="125">
        <f>ROUND(SUM(J165,H165,F165,R165)*Valores!$C$3,2)</f>
        <v>10559.12</v>
      </c>
      <c r="Z165" s="125">
        <f>Valores!$C$95</f>
        <v>10910.4</v>
      </c>
      <c r="AA165" s="125">
        <f>Valores!$C$25</f>
        <v>505.99</v>
      </c>
      <c r="AB165" s="214">
        <v>0</v>
      </c>
      <c r="AC165" s="125">
        <f t="shared" si="20"/>
        <v>0</v>
      </c>
      <c r="AD165" s="125">
        <f>Valores!$C$26</f>
        <v>505.99</v>
      </c>
      <c r="AE165" s="192">
        <v>94</v>
      </c>
      <c r="AF165" s="125">
        <f>ROUND(AE165*Valores!$C$2,2)</f>
        <v>2274.84</v>
      </c>
      <c r="AG165" s="125">
        <f>ROUND(IF($F$4="NO",Valores!$C$62,Valores!$C$62/2),2)</f>
        <v>6323.27</v>
      </c>
      <c r="AH165" s="125">
        <f t="shared" si="23"/>
        <v>189073.37999999995</v>
      </c>
      <c r="AI165" s="125">
        <f>Valores!$C$31</f>
        <v>0</v>
      </c>
      <c r="AJ165" s="125">
        <f>Valores!$C$88</f>
        <v>0</v>
      </c>
      <c r="AK165" s="125">
        <f>Valores!C$38*B165</f>
        <v>0</v>
      </c>
      <c r="AL165" s="125">
        <f>IF($F$3="NO",0,224.5)</f>
        <v>224.5</v>
      </c>
      <c r="AM165" s="125">
        <f t="shared" si="21"/>
        <v>224.5</v>
      </c>
      <c r="AN165" s="125">
        <f>AH165*Valores!$C$70</f>
        <v>-20798.071799999994</v>
      </c>
      <c r="AO165" s="125">
        <f>AH165*-Valores!$C$71</f>
        <v>0</v>
      </c>
      <c r="AP165" s="125">
        <f>AH165*Valores!$C$72</f>
        <v>-8508.3020999999972</v>
      </c>
      <c r="AQ165" s="125">
        <f>Valores!$C$99</f>
        <v>-280.91000000000003</v>
      </c>
      <c r="AR165" s="125">
        <f>IF($F$5=0,Valores!$C$100,(Valores!$C$100+$F$5*(Valores!$C$100)))</f>
        <v>-329</v>
      </c>
      <c r="AS165" s="125">
        <f t="shared" si="24"/>
        <v>159381.59609999997</v>
      </c>
      <c r="AT165" s="125">
        <f t="shared" si="18"/>
        <v>-20798.071799999994</v>
      </c>
      <c r="AU165" s="125">
        <f>AH165*Valores!$C$73</f>
        <v>-5104.9812599999987</v>
      </c>
      <c r="AV165" s="125">
        <f>AH165*Valores!$C$74</f>
        <v>-567.2201399999999</v>
      </c>
      <c r="AW165" s="125">
        <f t="shared" si="22"/>
        <v>162827.60679999995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2008.63</v>
      </c>
      <c r="G166" s="192">
        <v>2352</v>
      </c>
      <c r="H166" s="125">
        <f>ROUND(G166*Valores!$C$2,2)</f>
        <v>56919.34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15171.77</v>
      </c>
      <c r="N166" s="125">
        <f t="shared" si="19"/>
        <v>0</v>
      </c>
      <c r="O166" s="125">
        <f>Valores!$C$16</f>
        <v>20912.349999999999</v>
      </c>
      <c r="P166" s="125">
        <f>Valores!$D$5</f>
        <v>12371.24</v>
      </c>
      <c r="Q166" s="125">
        <v>0</v>
      </c>
      <c r="R166" s="125">
        <f>IF($F$4="NO",Valores!$C$46,Valores!$C$46/2)</f>
        <v>13765.22</v>
      </c>
      <c r="S166" s="125">
        <f>Valores!$C$19</f>
        <v>11511.67</v>
      </c>
      <c r="T166" s="125">
        <f t="shared" si="25"/>
        <v>11511.67</v>
      </c>
      <c r="U166" s="125">
        <v>0</v>
      </c>
      <c r="V166" s="125">
        <v>0</v>
      </c>
      <c r="W166" s="192">
        <v>700</v>
      </c>
      <c r="X166" s="125">
        <f>ROUND(W166*Valores!$C$2,2)</f>
        <v>16940.28</v>
      </c>
      <c r="Y166" s="125">
        <f>ROUND(SUM(J166,H166,F166,R166)*Valores!$C$3,2)</f>
        <v>10903.98</v>
      </c>
      <c r="Z166" s="125">
        <f>Valores!$C$95</f>
        <v>10910.4</v>
      </c>
      <c r="AA166" s="125">
        <f>Valores!$C$25</f>
        <v>505.99</v>
      </c>
      <c r="AB166" s="214">
        <v>0</v>
      </c>
      <c r="AC166" s="125">
        <f t="shared" si="20"/>
        <v>0</v>
      </c>
      <c r="AD166" s="125">
        <f>Valores!$C$26</f>
        <v>505.99</v>
      </c>
      <c r="AE166" s="192">
        <v>94</v>
      </c>
      <c r="AF166" s="125">
        <f>ROUND(AE166*Valores!$C$2,2)</f>
        <v>2274.84</v>
      </c>
      <c r="AG166" s="125">
        <f>ROUND(IF($F$4="NO",Valores!$C$62,Valores!$C$62/2),2)</f>
        <v>6323.27</v>
      </c>
      <c r="AH166" s="125">
        <f t="shared" si="23"/>
        <v>181024.96999999997</v>
      </c>
      <c r="AI166" s="125">
        <f>Valores!$C$31</f>
        <v>0</v>
      </c>
      <c r="AJ166" s="125">
        <f>Valores!$C$88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AH166*Valores!$C$70</f>
        <v>-19912.746699999996</v>
      </c>
      <c r="AO166" s="125">
        <f>AH166*-Valores!$C$71</f>
        <v>0</v>
      </c>
      <c r="AP166" s="125">
        <f>AH166*Valores!$C$72</f>
        <v>-8146.1236499999986</v>
      </c>
      <c r="AQ166" s="125">
        <f>Valores!$C$99</f>
        <v>-280.91000000000003</v>
      </c>
      <c r="AR166" s="125">
        <f>IF($F$5=0,Valores!$C$100,(Valores!$C$100+$F$5*(Valores!$C$100)))</f>
        <v>-329</v>
      </c>
      <c r="AS166" s="125">
        <f t="shared" si="24"/>
        <v>152356.18964999999</v>
      </c>
      <c r="AT166" s="125">
        <f t="shared" si="18"/>
        <v>-19912.746699999996</v>
      </c>
      <c r="AU166" s="125">
        <f>AH166*Valores!$C$73</f>
        <v>-4887.6741899999988</v>
      </c>
      <c r="AV166" s="125">
        <f>AH166*Valores!$C$74</f>
        <v>-543.07490999999993</v>
      </c>
      <c r="AW166" s="125">
        <f t="shared" si="22"/>
        <v>155681.47419999997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2008.63</v>
      </c>
      <c r="G167" s="192">
        <v>2092</v>
      </c>
      <c r="H167" s="125">
        <f>ROUND(G167*Valores!$C$2,2)</f>
        <v>50627.24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14227.96</v>
      </c>
      <c r="N167" s="125">
        <f t="shared" si="19"/>
        <v>0</v>
      </c>
      <c r="O167" s="125">
        <f>Valores!$C$16</f>
        <v>20912.349999999999</v>
      </c>
      <c r="P167" s="125">
        <f>Valores!$D$5</f>
        <v>12371.24</v>
      </c>
      <c r="Q167" s="125">
        <v>0</v>
      </c>
      <c r="R167" s="125">
        <f>IF($F$4="NO",Valores!$C$46,Valores!$C$46/2)</f>
        <v>13765.22</v>
      </c>
      <c r="S167" s="125">
        <f>Valores!$C$19</f>
        <v>11511.67</v>
      </c>
      <c r="T167" s="125">
        <f t="shared" si="25"/>
        <v>11511.67</v>
      </c>
      <c r="U167" s="125">
        <v>0</v>
      </c>
      <c r="V167" s="125">
        <v>0</v>
      </c>
      <c r="W167" s="192">
        <v>700</v>
      </c>
      <c r="X167" s="125">
        <f>ROUND(W167*Valores!$C$2,2)</f>
        <v>16940.28</v>
      </c>
      <c r="Y167" s="125">
        <f>ROUND(SUM(J167,H167,F167,R167)*Valores!$C$3,2)</f>
        <v>9960.16</v>
      </c>
      <c r="Z167" s="125">
        <f>Valores!$C$95</f>
        <v>10910.4</v>
      </c>
      <c r="AA167" s="125">
        <f>Valores!$C$25</f>
        <v>505.99</v>
      </c>
      <c r="AB167" s="214">
        <v>0</v>
      </c>
      <c r="AC167" s="125">
        <f t="shared" si="20"/>
        <v>0</v>
      </c>
      <c r="AD167" s="125">
        <f>Valores!$C$26</f>
        <v>505.99</v>
      </c>
      <c r="AE167" s="192">
        <v>94</v>
      </c>
      <c r="AF167" s="125">
        <f>ROUND(AE167*Valores!$C$2,2)</f>
        <v>2274.84</v>
      </c>
      <c r="AG167" s="125">
        <f>ROUND(IF($F$4="NO",Valores!$C$62,Valores!$C$62/2),2)</f>
        <v>6323.27</v>
      </c>
      <c r="AH167" s="125">
        <f t="shared" si="23"/>
        <v>172845.23999999996</v>
      </c>
      <c r="AI167" s="125">
        <f>Valores!$C$31</f>
        <v>0</v>
      </c>
      <c r="AJ167" s="125">
        <f>Valores!$C$88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AH167*Valores!$C$70</f>
        <v>-19012.976399999996</v>
      </c>
      <c r="AO167" s="125">
        <f>AH167*-Valores!$C$71</f>
        <v>0</v>
      </c>
      <c r="AP167" s="125">
        <f>AH167*Valores!$C$72</f>
        <v>-7778.0357999999978</v>
      </c>
      <c r="AQ167" s="125">
        <f>Valores!$C$99</f>
        <v>-280.91000000000003</v>
      </c>
      <c r="AR167" s="125">
        <f>IF($F$5=0,Valores!$C$100,(Valores!$C$100+$F$5*(Valores!$C$100)))</f>
        <v>-329</v>
      </c>
      <c r="AS167" s="125">
        <f t="shared" si="24"/>
        <v>145444.31779999996</v>
      </c>
      <c r="AT167" s="125">
        <f t="shared" si="18"/>
        <v>-19012.976399999996</v>
      </c>
      <c r="AU167" s="125">
        <f>AH167*Valores!$C$73</f>
        <v>-4666.8214799999987</v>
      </c>
      <c r="AV167" s="125">
        <f>AH167*Valores!$C$74</f>
        <v>-518.53571999999986</v>
      </c>
      <c r="AW167" s="125">
        <f t="shared" si="22"/>
        <v>148646.90639999998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1984.43</v>
      </c>
      <c r="G168" s="192">
        <v>1941</v>
      </c>
      <c r="H168" s="125">
        <f>ROUND(G168*Valores!$C$2,2)</f>
        <v>46972.98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13676.19</v>
      </c>
      <c r="N168" s="125">
        <f t="shared" si="19"/>
        <v>0</v>
      </c>
      <c r="O168" s="125">
        <f>Valores!$C$16</f>
        <v>20912.349999999999</v>
      </c>
      <c r="P168" s="125">
        <f>Valores!$D$5</f>
        <v>12371.24</v>
      </c>
      <c r="Q168" s="125">
        <v>0</v>
      </c>
      <c r="R168" s="125">
        <f>IF($F$4="NO",Valores!$C$46,Valores!$C$46/2)</f>
        <v>13765.22</v>
      </c>
      <c r="S168" s="125">
        <f>Valores!$C$19</f>
        <v>11511.67</v>
      </c>
      <c r="T168" s="125">
        <f t="shared" si="25"/>
        <v>11511.67</v>
      </c>
      <c r="U168" s="125">
        <v>0</v>
      </c>
      <c r="V168" s="125">
        <v>0</v>
      </c>
      <c r="W168" s="192">
        <v>700</v>
      </c>
      <c r="X168" s="125">
        <f>ROUND(W168*Valores!$C$2,2)</f>
        <v>16940.28</v>
      </c>
      <c r="Y168" s="125">
        <f>ROUND(SUM(J168,H168,F168,R168)*Valores!$C$3,2)</f>
        <v>9408.39</v>
      </c>
      <c r="Z168" s="125">
        <f>Valores!$C$95</f>
        <v>10910.4</v>
      </c>
      <c r="AA168" s="125">
        <f>Valores!$C$25</f>
        <v>505.99</v>
      </c>
      <c r="AB168" s="214">
        <v>0</v>
      </c>
      <c r="AC168" s="125">
        <f t="shared" si="20"/>
        <v>0</v>
      </c>
      <c r="AD168" s="125">
        <f>Valores!$C$26</f>
        <v>505.99</v>
      </c>
      <c r="AE168" s="192">
        <v>94</v>
      </c>
      <c r="AF168" s="125">
        <f>ROUND(AE168*Valores!$C$2,2)</f>
        <v>2274.84</v>
      </c>
      <c r="AG168" s="125">
        <f>ROUND(IF($F$4="NO",Valores!$C$62,Valores!$C$62/2),2)</f>
        <v>6323.27</v>
      </c>
      <c r="AH168" s="125">
        <f t="shared" si="23"/>
        <v>168063.23999999996</v>
      </c>
      <c r="AI168" s="125">
        <f>Valores!$C$31</f>
        <v>0</v>
      </c>
      <c r="AJ168" s="125">
        <f>Valores!$C$88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AH168*Valores!$C$70</f>
        <v>-18486.956399999995</v>
      </c>
      <c r="AO168" s="125">
        <f>AH168*-Valores!$C$71</f>
        <v>0</v>
      </c>
      <c r="AP168" s="125">
        <f>AH168*Valores!$C$72</f>
        <v>-7562.8457999999982</v>
      </c>
      <c r="AQ168" s="125">
        <f>Valores!$C$99</f>
        <v>-280.91000000000003</v>
      </c>
      <c r="AR168" s="125">
        <f>IF($F$5=0,Valores!$C$100,(Valores!$C$100+$F$5*(Valores!$C$100)))</f>
        <v>-329</v>
      </c>
      <c r="AS168" s="125">
        <f t="shared" si="24"/>
        <v>141403.52779999998</v>
      </c>
      <c r="AT168" s="125">
        <f t="shared" si="18"/>
        <v>-18486.956399999995</v>
      </c>
      <c r="AU168" s="125">
        <f>AH168*Valores!$C$73</f>
        <v>-4537.7074799999991</v>
      </c>
      <c r="AV168" s="125">
        <f>AH168*Valores!$C$74</f>
        <v>-504.18971999999991</v>
      </c>
      <c r="AW168" s="125">
        <f t="shared" si="22"/>
        <v>144534.38639999996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1911.83</v>
      </c>
      <c r="G169" s="192">
        <v>2161</v>
      </c>
      <c r="H169" s="125">
        <f>ROUND(G169*Valores!$C$2,2)</f>
        <v>52297.06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14463.91</v>
      </c>
      <c r="N169" s="125">
        <f t="shared" si="19"/>
        <v>0</v>
      </c>
      <c r="O169" s="125">
        <f>Valores!$C$16</f>
        <v>20912.349999999999</v>
      </c>
      <c r="P169" s="125">
        <f>Valores!$D$5</f>
        <v>12371.24</v>
      </c>
      <c r="Q169" s="125">
        <v>0</v>
      </c>
      <c r="R169" s="125">
        <f>IF($F$4="NO",Valores!$C$46,Valores!$C$46/2)</f>
        <v>13765.22</v>
      </c>
      <c r="S169" s="125">
        <f>Valores!$C$19</f>
        <v>11511.67</v>
      </c>
      <c r="T169" s="125">
        <f t="shared" si="25"/>
        <v>11511.67</v>
      </c>
      <c r="U169" s="125">
        <v>0</v>
      </c>
      <c r="V169" s="125">
        <v>0</v>
      </c>
      <c r="W169" s="192">
        <v>700</v>
      </c>
      <c r="X169" s="125">
        <f>ROUND(W169*Valores!$C$2,2)</f>
        <v>16940.28</v>
      </c>
      <c r="Y169" s="125">
        <f>ROUND(SUM(J169,H169,F169,R169)*Valores!$C$3,2)</f>
        <v>10196.120000000001</v>
      </c>
      <c r="Z169" s="125">
        <f>Valores!$C$95</f>
        <v>10910.4</v>
      </c>
      <c r="AA169" s="125">
        <f>Valores!$C$25</f>
        <v>505.99</v>
      </c>
      <c r="AB169" s="214">
        <v>0</v>
      </c>
      <c r="AC169" s="125">
        <f t="shared" si="20"/>
        <v>0</v>
      </c>
      <c r="AD169" s="125">
        <f>Valores!$C$26</f>
        <v>505.99</v>
      </c>
      <c r="AE169" s="192">
        <v>94</v>
      </c>
      <c r="AF169" s="125">
        <f>ROUND(AE169*Valores!$C$2,2)</f>
        <v>2274.84</v>
      </c>
      <c r="AG169" s="125">
        <f>ROUND(IF($F$4="NO",Valores!$C$62,Valores!$C$62/2),2)</f>
        <v>6323.27</v>
      </c>
      <c r="AH169" s="125">
        <f t="shared" si="23"/>
        <v>174890.16999999995</v>
      </c>
      <c r="AI169" s="125">
        <f>Valores!$C$31</f>
        <v>0</v>
      </c>
      <c r="AJ169" s="125">
        <f>Valores!$C$88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AH169*Valores!$C$70</f>
        <v>-19237.918699999995</v>
      </c>
      <c r="AO169" s="125">
        <f>AH169*-Valores!$C$71</f>
        <v>0</v>
      </c>
      <c r="AP169" s="125">
        <f>AH169*Valores!$C$72</f>
        <v>-7870.0576499999979</v>
      </c>
      <c r="AQ169" s="125">
        <f>Valores!$C$99</f>
        <v>-280.91000000000003</v>
      </c>
      <c r="AR169" s="125">
        <f>IF($F$5=0,Valores!$C$100,(Valores!$C$100+$F$5*(Valores!$C$100)))</f>
        <v>-329</v>
      </c>
      <c r="AS169" s="125">
        <f t="shared" si="24"/>
        <v>147172.28364999997</v>
      </c>
      <c r="AT169" s="125">
        <f t="shared" si="18"/>
        <v>-19237.918699999995</v>
      </c>
      <c r="AU169" s="125">
        <f>AH169*Valores!$C$73</f>
        <v>-4722.0345899999984</v>
      </c>
      <c r="AV169" s="125">
        <f>AH169*Valores!$C$74</f>
        <v>-524.67050999999992</v>
      </c>
      <c r="AW169" s="125">
        <f t="shared" si="22"/>
        <v>150405.54619999995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2371.64</v>
      </c>
      <c r="G170" s="192">
        <v>2686</v>
      </c>
      <c r="H170" s="125">
        <f>ROUND(G170*Valores!$C$2,2)</f>
        <v>65002.27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16438.66</v>
      </c>
      <c r="N170" s="125">
        <f t="shared" si="19"/>
        <v>0</v>
      </c>
      <c r="O170" s="125">
        <f>Valores!$C$16</f>
        <v>20912.349999999999</v>
      </c>
      <c r="P170" s="125">
        <f>Valores!$D$5</f>
        <v>12371.24</v>
      </c>
      <c r="Q170" s="125">
        <v>0</v>
      </c>
      <c r="R170" s="125">
        <f>IF($F$4="NO",Valores!$C$46,Valores!$C$46/2)</f>
        <v>13765.22</v>
      </c>
      <c r="S170" s="125">
        <f>Valores!$C$19</f>
        <v>11511.67</v>
      </c>
      <c r="T170" s="125">
        <f t="shared" si="25"/>
        <v>11511.67</v>
      </c>
      <c r="U170" s="125">
        <v>0</v>
      </c>
      <c r="V170" s="125">
        <v>0</v>
      </c>
      <c r="W170" s="192">
        <v>700</v>
      </c>
      <c r="X170" s="125">
        <f>ROUND(W170*Valores!$C$2,2)</f>
        <v>16940.28</v>
      </c>
      <c r="Y170" s="125">
        <f>ROUND(SUM(J170,H170,F170,R170)*Valores!$C$3,2)</f>
        <v>12170.87</v>
      </c>
      <c r="Z170" s="125">
        <f>Valores!$C$95</f>
        <v>10910.4</v>
      </c>
      <c r="AA170" s="125">
        <f>Valores!$C$25</f>
        <v>505.99</v>
      </c>
      <c r="AB170" s="214">
        <v>0</v>
      </c>
      <c r="AC170" s="125">
        <f t="shared" si="20"/>
        <v>0</v>
      </c>
      <c r="AD170" s="125">
        <f>Valores!$C$26</f>
        <v>505.99</v>
      </c>
      <c r="AE170" s="192">
        <v>0</v>
      </c>
      <c r="AF170" s="125">
        <f>ROUND(AE170*Valores!$C$2,2)</f>
        <v>0</v>
      </c>
      <c r="AG170" s="125">
        <f>ROUND(IF($F$4="NO",Valores!$C$62,Valores!$C$62/2),2)</f>
        <v>6323.27</v>
      </c>
      <c r="AH170" s="125">
        <f t="shared" si="23"/>
        <v>189729.84999999998</v>
      </c>
      <c r="AI170" s="125">
        <f>Valores!$C$31</f>
        <v>0</v>
      </c>
      <c r="AJ170" s="125">
        <f>Valores!$C$88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AH170*Valores!$C$70</f>
        <v>-20870.283499999998</v>
      </c>
      <c r="AO170" s="125">
        <f>AH170*-Valores!$C$71</f>
        <v>0</v>
      </c>
      <c r="AP170" s="125">
        <f>AH170*Valores!$C$72</f>
        <v>-8537.8432499999981</v>
      </c>
      <c r="AQ170" s="125">
        <f>Valores!$C$99</f>
        <v>-280.91000000000003</v>
      </c>
      <c r="AR170" s="125">
        <f>IF($F$5=0,Valores!$C$100,(Valores!$C$100+$F$5*(Valores!$C$100)))</f>
        <v>-329</v>
      </c>
      <c r="AS170" s="125">
        <f t="shared" si="24"/>
        <v>159711.81324999998</v>
      </c>
      <c r="AT170" s="125">
        <f t="shared" si="18"/>
        <v>-20870.283499999998</v>
      </c>
      <c r="AU170" s="125">
        <f>AH170*Valores!$C$73</f>
        <v>-5122.7059499999996</v>
      </c>
      <c r="AV170" s="125">
        <f>AH170*Valores!$C$74</f>
        <v>-569.18954999999994</v>
      </c>
      <c r="AW170" s="125">
        <f t="shared" si="22"/>
        <v>163167.67099999997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2250.64</v>
      </c>
      <c r="G171" s="192">
        <v>2547</v>
      </c>
      <c r="H171" s="125">
        <f>ROUND(G171*Valores!$C$2,2)</f>
        <v>61638.42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15915.93</v>
      </c>
      <c r="N171" s="125">
        <f t="shared" si="19"/>
        <v>0</v>
      </c>
      <c r="O171" s="125">
        <f>Valores!$C$16</f>
        <v>20912.349999999999</v>
      </c>
      <c r="P171" s="125">
        <f>Valores!$D$5</f>
        <v>12371.24</v>
      </c>
      <c r="Q171" s="125">
        <v>0</v>
      </c>
      <c r="R171" s="125">
        <f>IF($F$4="NO",Valores!$C$46,Valores!$C$46/2)</f>
        <v>13765.22</v>
      </c>
      <c r="S171" s="125">
        <f>Valores!$C$19</f>
        <v>11511.67</v>
      </c>
      <c r="T171" s="125">
        <f t="shared" si="25"/>
        <v>11511.67</v>
      </c>
      <c r="U171" s="125">
        <v>0</v>
      </c>
      <c r="V171" s="125">
        <v>0</v>
      </c>
      <c r="W171" s="192">
        <v>700</v>
      </c>
      <c r="X171" s="125">
        <f>ROUND(W171*Valores!$C$2,2)</f>
        <v>16940.28</v>
      </c>
      <c r="Y171" s="125">
        <f>ROUND(SUM(J171,H171,F171,R171)*Valores!$C$3,2)</f>
        <v>11648.14</v>
      </c>
      <c r="Z171" s="125">
        <f>Valores!$C$95</f>
        <v>10910.4</v>
      </c>
      <c r="AA171" s="125">
        <f>Valores!$C$25</f>
        <v>505.99</v>
      </c>
      <c r="AB171" s="214">
        <v>0</v>
      </c>
      <c r="AC171" s="125">
        <f t="shared" si="20"/>
        <v>0</v>
      </c>
      <c r="AD171" s="125">
        <f>Valores!$C$26</f>
        <v>505.99</v>
      </c>
      <c r="AE171" s="192">
        <v>0</v>
      </c>
      <c r="AF171" s="125">
        <f>ROUND(AE171*Valores!$C$2,2)</f>
        <v>0</v>
      </c>
      <c r="AG171" s="125">
        <f>ROUND(IF($F$4="NO",Valores!$C$62,Valores!$C$62/2),2)</f>
        <v>6323.27</v>
      </c>
      <c r="AH171" s="125">
        <f t="shared" si="23"/>
        <v>185199.53999999998</v>
      </c>
      <c r="AI171" s="125">
        <f>Valores!$C$31</f>
        <v>0</v>
      </c>
      <c r="AJ171" s="125">
        <f>Valores!$C$88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AH171*Valores!$C$70</f>
        <v>-20371.949399999998</v>
      </c>
      <c r="AO171" s="125">
        <f>AH171*-Valores!$C$71</f>
        <v>0</v>
      </c>
      <c r="AP171" s="125">
        <f>AH171*Valores!$C$72</f>
        <v>-8333.9792999999991</v>
      </c>
      <c r="AQ171" s="125">
        <f>Valores!$C$99</f>
        <v>-280.91000000000003</v>
      </c>
      <c r="AR171" s="125">
        <f>IF($F$5=0,Valores!$C$100,(Valores!$C$100+$F$5*(Valores!$C$100)))</f>
        <v>-329</v>
      </c>
      <c r="AS171" s="125">
        <f t="shared" si="24"/>
        <v>155883.70129999999</v>
      </c>
      <c r="AT171" s="125">
        <f t="shared" si="18"/>
        <v>-20371.949399999998</v>
      </c>
      <c r="AU171" s="125">
        <f>AH171*Valores!$C$73</f>
        <v>-5000.3875799999996</v>
      </c>
      <c r="AV171" s="125">
        <f>AH171*Valores!$C$74</f>
        <v>-555.59861999999998</v>
      </c>
      <c r="AW171" s="125">
        <f t="shared" si="22"/>
        <v>159271.60439999998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30928.11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11697.8</v>
      </c>
      <c r="N172" s="125">
        <f t="shared" si="19"/>
        <v>0</v>
      </c>
      <c r="O172" s="125">
        <f>Valores!$C$16</f>
        <v>20912.349999999999</v>
      </c>
      <c r="P172" s="125">
        <f>Valores!$D$5</f>
        <v>12371.24</v>
      </c>
      <c r="Q172" s="125">
        <v>0</v>
      </c>
      <c r="R172" s="125">
        <f>IF($F$4="NO",Valores!$C$46,Valores!$C$46/2)</f>
        <v>13765.22</v>
      </c>
      <c r="S172" s="125">
        <f>Valores!$C$19</f>
        <v>11511.67</v>
      </c>
      <c r="T172" s="125">
        <f t="shared" si="25"/>
        <v>11511.67</v>
      </c>
      <c r="U172" s="125">
        <v>0</v>
      </c>
      <c r="V172" s="125">
        <v>0</v>
      </c>
      <c r="W172" s="192">
        <v>900</v>
      </c>
      <c r="X172" s="125">
        <f>ROUND(W172*Valores!$C$2,2)</f>
        <v>21780.36</v>
      </c>
      <c r="Y172" s="125">
        <f>ROUND(SUM(J172,H172,F172,R172)*Valores!$C$3,2)</f>
        <v>6704</v>
      </c>
      <c r="Z172" s="125">
        <f>Valores!$C$95</f>
        <v>10910.4</v>
      </c>
      <c r="AA172" s="125">
        <f>Valores!$C$25</f>
        <v>505.99</v>
      </c>
      <c r="AB172" s="214">
        <v>0</v>
      </c>
      <c r="AC172" s="125">
        <f t="shared" si="20"/>
        <v>0</v>
      </c>
      <c r="AD172" s="125">
        <f>Valores!$C$26</f>
        <v>505.99</v>
      </c>
      <c r="AE172" s="192">
        <v>94</v>
      </c>
      <c r="AF172" s="125">
        <f>ROUND(AE172*Valores!$C$2,2)</f>
        <v>2274.84</v>
      </c>
      <c r="AG172" s="125">
        <f>ROUND(IF($F$4="NO",Valores!$C$62,Valores!$C$62/2),2)</f>
        <v>6323.27</v>
      </c>
      <c r="AH172" s="125">
        <f t="shared" si="23"/>
        <v>150191.23999999996</v>
      </c>
      <c r="AI172" s="125">
        <f>Valores!$C$31</f>
        <v>0</v>
      </c>
      <c r="AJ172" s="125">
        <f>Valores!$C$88</f>
        <v>0</v>
      </c>
      <c r="AK172" s="125">
        <f>Valores!C$38*B172</f>
        <v>0</v>
      </c>
      <c r="AL172" s="125">
        <f>IF($F$3="NO",0,Valores!$C$54)</f>
        <v>327.60000000000002</v>
      </c>
      <c r="AM172" s="125">
        <f t="shared" si="21"/>
        <v>327.60000000000002</v>
      </c>
      <c r="AN172" s="125">
        <f>AH172*Valores!$C$70</f>
        <v>-16521.036399999997</v>
      </c>
      <c r="AO172" s="125">
        <f>AH172*-Valores!$C$71</f>
        <v>0</v>
      </c>
      <c r="AP172" s="125">
        <f>AH172*Valores!$C$72</f>
        <v>-6758.6057999999985</v>
      </c>
      <c r="AQ172" s="125">
        <f>Valores!$C$99</f>
        <v>-280.91000000000003</v>
      </c>
      <c r="AR172" s="125">
        <f>IF($F$5=0,Valores!$C$100,(Valores!$C$100+$F$5*(Valores!$C$100)))</f>
        <v>-329</v>
      </c>
      <c r="AS172" s="125">
        <f t="shared" si="24"/>
        <v>126629.28779999996</v>
      </c>
      <c r="AT172" s="125">
        <f t="shared" si="18"/>
        <v>-16521.036399999997</v>
      </c>
      <c r="AU172" s="125">
        <f>AH172*Valores!$C$73</f>
        <v>-4055.1634799999988</v>
      </c>
      <c r="AV172" s="125">
        <f>AH172*Valores!$C$74</f>
        <v>-450.57371999999987</v>
      </c>
      <c r="AW172" s="125">
        <f t="shared" si="22"/>
        <v>129492.06639999997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5251.49</v>
      </c>
      <c r="G173" s="192">
        <f>2245</f>
        <v>2245</v>
      </c>
      <c r="H173" s="125">
        <f>ROUND(G173*Valores!$C$2,2)</f>
        <v>54329.9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31460.52</v>
      </c>
      <c r="M173" s="125">
        <f>ROUND(IF($H$2=0,IF(AND(A173&lt;&gt;"13-930",A173&lt;&gt;"13-940"),(SUM(F173,H173,J173,L173,X173,T173,R173)*Valores!$C$4),0),0),2)</f>
        <v>17447.82</v>
      </c>
      <c r="N173" s="125">
        <f t="shared" si="19"/>
        <v>0</v>
      </c>
      <c r="O173" s="125">
        <f>Valores!$C$9</f>
        <v>26876.42</v>
      </c>
      <c r="P173" s="125">
        <f>Valores!$D$5</f>
        <v>12371.24</v>
      </c>
      <c r="Q173" s="125">
        <f>Valores!$C$22</f>
        <v>11037.15</v>
      </c>
      <c r="R173" s="125">
        <f>IF($F$4="NO",Valores!$C$46,Valores!$C$46/2)</f>
        <v>13765.22</v>
      </c>
      <c r="S173" s="125">
        <f>Valores!$C$19</f>
        <v>11511.67</v>
      </c>
      <c r="T173" s="125">
        <f t="shared" si="25"/>
        <v>11511.67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Valores!$C$95</f>
        <v>10910.4</v>
      </c>
      <c r="AA173" s="125">
        <f>Valores!$C$25</f>
        <v>505.99</v>
      </c>
      <c r="AB173" s="214">
        <v>0</v>
      </c>
      <c r="AC173" s="125">
        <f t="shared" si="20"/>
        <v>0</v>
      </c>
      <c r="AD173" s="125">
        <f>Valores!$C$26</f>
        <v>505.99</v>
      </c>
      <c r="AE173" s="192">
        <v>0</v>
      </c>
      <c r="AF173" s="125">
        <f>ROUND(AE173*Valores!$C$2,2)</f>
        <v>0</v>
      </c>
      <c r="AG173" s="125">
        <f>ROUND(IF($F$4="NO",Valores!$C$62,Valores!$C$62/2),2)</f>
        <v>6323.27</v>
      </c>
      <c r="AH173" s="125">
        <f t="shared" si="23"/>
        <v>202297.08</v>
      </c>
      <c r="AI173" s="125">
        <f>Valores!$C$31</f>
        <v>0</v>
      </c>
      <c r="AJ173" s="125">
        <f>Valores!$C$88</f>
        <v>0</v>
      </c>
      <c r="AK173" s="125">
        <f>Valores!C$38*B173</f>
        <v>0</v>
      </c>
      <c r="AL173" s="125">
        <f>IF($F$3="NO",0,Valores!$C$54)</f>
        <v>327.60000000000002</v>
      </c>
      <c r="AM173" s="125">
        <f t="shared" si="21"/>
        <v>327.60000000000002</v>
      </c>
      <c r="AN173" s="125">
        <f>AH173*Valores!$C$70</f>
        <v>-22252.678799999998</v>
      </c>
      <c r="AO173" s="125">
        <f>AH173*-Valores!$C$71</f>
        <v>0</v>
      </c>
      <c r="AP173" s="125">
        <f>AH173*Valores!$C$72</f>
        <v>-9103.3685999999998</v>
      </c>
      <c r="AQ173" s="125">
        <f>Valores!$C$99</f>
        <v>-280.91000000000003</v>
      </c>
      <c r="AR173" s="125">
        <f>IF($F$5=0,Valores!$C$100,(Valores!$C$100+$F$5*(Valores!$C$100)))</f>
        <v>-329</v>
      </c>
      <c r="AS173" s="125">
        <f t="shared" si="24"/>
        <v>170658.72259999998</v>
      </c>
      <c r="AT173" s="125">
        <f t="shared" si="18"/>
        <v>-22252.678799999998</v>
      </c>
      <c r="AU173" s="125">
        <f>AH173*Valores!$C$73</f>
        <v>-5462.0211599999993</v>
      </c>
      <c r="AV173" s="125">
        <f>AH173*Valores!$C$74</f>
        <v>-606.89123999999993</v>
      </c>
      <c r="AW173" s="125">
        <f t="shared" si="22"/>
        <v>174303.0888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4477.07</v>
      </c>
      <c r="G174" s="192">
        <f>1835</f>
        <v>1835</v>
      </c>
      <c r="H174" s="125">
        <f>ROUND(G174*Valores!$C$2,2)</f>
        <v>44407.73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31460.52</v>
      </c>
      <c r="M174" s="125">
        <f>ROUND(IF($H$2=0,IF(AND(A174&lt;&gt;"13-930",A174&lt;&gt;"13-940"),(SUM(F174,H174,J174,L174,X174,T174,R174)*Valores!$C$4),0),0),2)</f>
        <v>15843.33</v>
      </c>
      <c r="N174" s="125">
        <f t="shared" si="19"/>
        <v>0</v>
      </c>
      <c r="O174" s="125">
        <f>Valores!$C$9</f>
        <v>26876.42</v>
      </c>
      <c r="P174" s="125">
        <f>Valores!$D$5</f>
        <v>12371.24</v>
      </c>
      <c r="Q174" s="125">
        <f>Valores!$C$22</f>
        <v>11037.15</v>
      </c>
      <c r="R174" s="125">
        <f>IF($F$4="NO",Valores!$C$46,Valores!$C$46/2)</f>
        <v>13765.22</v>
      </c>
      <c r="S174" s="125">
        <f>Valores!$C$19</f>
        <v>11511.67</v>
      </c>
      <c r="T174" s="125">
        <f t="shared" si="25"/>
        <v>11511.67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Valores!$C$95</f>
        <v>10910.4</v>
      </c>
      <c r="AA174" s="125">
        <f>Valores!$C$25</f>
        <v>505.99</v>
      </c>
      <c r="AB174" s="214">
        <v>0</v>
      </c>
      <c r="AC174" s="125">
        <f t="shared" si="20"/>
        <v>0</v>
      </c>
      <c r="AD174" s="125">
        <f>Valores!$C$26</f>
        <v>505.99</v>
      </c>
      <c r="AE174" s="192">
        <v>0</v>
      </c>
      <c r="AF174" s="125">
        <f>ROUND(AE174*Valores!$C$2,2)</f>
        <v>0</v>
      </c>
      <c r="AG174" s="125">
        <f>ROUND(IF($F$4="NO",Valores!$C$62,Valores!$C$62/2),2)</f>
        <v>6323.27</v>
      </c>
      <c r="AH174" s="125">
        <f t="shared" si="23"/>
        <v>189995.99999999997</v>
      </c>
      <c r="AI174" s="125">
        <f>Valores!$C$31</f>
        <v>0</v>
      </c>
      <c r="AJ174" s="125">
        <f>Valores!$C$88</f>
        <v>0</v>
      </c>
      <c r="AK174" s="125">
        <f>Valores!C$38*B174</f>
        <v>0</v>
      </c>
      <c r="AL174" s="125">
        <f>IF($F$3="NO",0,Valores!$C$54)</f>
        <v>327.60000000000002</v>
      </c>
      <c r="AM174" s="125">
        <f t="shared" si="21"/>
        <v>327.60000000000002</v>
      </c>
      <c r="AN174" s="125">
        <f>AH174*Valores!$C$70</f>
        <v>-20899.559999999998</v>
      </c>
      <c r="AO174" s="125">
        <f>AH174*-Valores!$C$71</f>
        <v>0</v>
      </c>
      <c r="AP174" s="125">
        <f>AH174*Valores!$C$72</f>
        <v>-8549.8199999999979</v>
      </c>
      <c r="AQ174" s="125">
        <f>Valores!$C$99</f>
        <v>-280.91000000000003</v>
      </c>
      <c r="AR174" s="125">
        <f>IF($F$5=0,Valores!$C$100,(Valores!$C$100+$F$5*(Valores!$C$100)))</f>
        <v>-329</v>
      </c>
      <c r="AS174" s="125">
        <f t="shared" si="24"/>
        <v>160264.30999999997</v>
      </c>
      <c r="AT174" s="125">
        <f t="shared" si="18"/>
        <v>-20899.559999999998</v>
      </c>
      <c r="AU174" s="125">
        <f>AH174*Valores!$C$73</f>
        <v>-5129.8919999999989</v>
      </c>
      <c r="AV174" s="125">
        <f>AH174*Valores!$C$74</f>
        <v>-569.98799999999994</v>
      </c>
      <c r="AW174" s="125">
        <f t="shared" si="22"/>
        <v>163724.15999999997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3872.06</v>
      </c>
      <c r="G175" s="192">
        <f>1484</f>
        <v>1484</v>
      </c>
      <c r="H175" s="125">
        <f>ROUND(G175*Valores!$C$2,2)</f>
        <v>35913.39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31460.52</v>
      </c>
      <c r="M175" s="125">
        <f>ROUND(IF($H$2=0,IF(AND(A175&lt;&gt;"13-930",A175&lt;&gt;"13-940"),(SUM(F175,H175,J175,L175,X175,T175,R175)*Valores!$C$4),0),0),2)</f>
        <v>14478.43</v>
      </c>
      <c r="N175" s="125">
        <f t="shared" si="19"/>
        <v>0</v>
      </c>
      <c r="O175" s="125">
        <f>Valores!$C$9</f>
        <v>26876.42</v>
      </c>
      <c r="P175" s="125">
        <f>Valores!$D$5</f>
        <v>12371.24</v>
      </c>
      <c r="Q175" s="125">
        <f>Valores!$C$22</f>
        <v>11037.15</v>
      </c>
      <c r="R175" s="125">
        <f>IF($F$4="NO",Valores!$C$46,Valores!$C$46/2)</f>
        <v>13765.22</v>
      </c>
      <c r="S175" s="125">
        <f>Valores!$C$19</f>
        <v>11511.67</v>
      </c>
      <c r="T175" s="125">
        <f t="shared" si="25"/>
        <v>11511.67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Valores!$C$95</f>
        <v>10910.4</v>
      </c>
      <c r="AA175" s="125">
        <f>Valores!$C$25</f>
        <v>505.99</v>
      </c>
      <c r="AB175" s="214">
        <v>0</v>
      </c>
      <c r="AC175" s="125">
        <f t="shared" si="20"/>
        <v>0</v>
      </c>
      <c r="AD175" s="125">
        <f>Valores!$C$26</f>
        <v>505.99</v>
      </c>
      <c r="AE175" s="192">
        <v>0</v>
      </c>
      <c r="AF175" s="125">
        <f>ROUND(AE175*Valores!$C$2,2)</f>
        <v>0</v>
      </c>
      <c r="AG175" s="125">
        <f>ROUND(IF($F$4="NO",Valores!$C$62,Valores!$C$62/2),2)</f>
        <v>6323.27</v>
      </c>
      <c r="AH175" s="125">
        <f t="shared" si="23"/>
        <v>179531.74999999997</v>
      </c>
      <c r="AI175" s="125">
        <f>Valores!$C$31</f>
        <v>0</v>
      </c>
      <c r="AJ175" s="125">
        <f>Valores!$C$88</f>
        <v>0</v>
      </c>
      <c r="AK175" s="125">
        <f>Valores!C$38*B175</f>
        <v>0</v>
      </c>
      <c r="AL175" s="125">
        <f>IF($F$3="NO",0,Valores!$C$54)</f>
        <v>327.60000000000002</v>
      </c>
      <c r="AM175" s="125">
        <f t="shared" si="21"/>
        <v>327.60000000000002</v>
      </c>
      <c r="AN175" s="125">
        <f>AH175*Valores!$C$70</f>
        <v>-19748.492499999997</v>
      </c>
      <c r="AO175" s="125">
        <f>AH175*-Valores!$C$71</f>
        <v>0</v>
      </c>
      <c r="AP175" s="125">
        <f>AH175*Valores!$C$72</f>
        <v>-8078.9287499999982</v>
      </c>
      <c r="AQ175" s="125">
        <f>Valores!$C$99</f>
        <v>-280.91000000000003</v>
      </c>
      <c r="AR175" s="125">
        <f>IF($F$5=0,Valores!$C$100,(Valores!$C$100+$F$5*(Valores!$C$100)))</f>
        <v>-329</v>
      </c>
      <c r="AS175" s="125">
        <f t="shared" si="24"/>
        <v>151422.01874999999</v>
      </c>
      <c r="AT175" s="125">
        <f t="shared" si="18"/>
        <v>-19748.492499999997</v>
      </c>
      <c r="AU175" s="125">
        <f>AH175*Valores!$C$73</f>
        <v>-4847.3572499999991</v>
      </c>
      <c r="AV175" s="125">
        <f>AH175*Valores!$C$74</f>
        <v>-538.59524999999996</v>
      </c>
      <c r="AW175" s="125">
        <f t="shared" si="22"/>
        <v>154724.90499999997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4307.67</v>
      </c>
      <c r="G176" s="192">
        <f>1842</f>
        <v>1842</v>
      </c>
      <c r="H176" s="125">
        <f>ROUND(G176*Valores!$C$2,2)</f>
        <v>44577.14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31460.52</v>
      </c>
      <c r="M176" s="125">
        <f>ROUND(IF($H$2=0,IF(AND(A176&lt;&gt;"13-930",A176&lt;&gt;"13-940"),(SUM(F176,H176,J176,L176,X176,T176,R176)*Valores!$C$4),0),0),2)</f>
        <v>15843.33</v>
      </c>
      <c r="N176" s="125">
        <f t="shared" si="19"/>
        <v>0</v>
      </c>
      <c r="O176" s="125">
        <f>Valores!$C$9</f>
        <v>26876.42</v>
      </c>
      <c r="P176" s="125">
        <f>Valores!$D$5</f>
        <v>12371.24</v>
      </c>
      <c r="Q176" s="125">
        <f>Valores!$C$22</f>
        <v>11037.15</v>
      </c>
      <c r="R176" s="125">
        <f>IF($F$4="NO",Valores!$C$46,Valores!$C$46/2)</f>
        <v>13765.22</v>
      </c>
      <c r="S176" s="125">
        <f>Valores!$C$19</f>
        <v>11511.67</v>
      </c>
      <c r="T176" s="125">
        <f t="shared" si="25"/>
        <v>11511.67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Valores!$C$95</f>
        <v>10910.4</v>
      </c>
      <c r="AA176" s="125">
        <f>Valores!$C$25</f>
        <v>505.99</v>
      </c>
      <c r="AB176" s="214">
        <v>0</v>
      </c>
      <c r="AC176" s="125">
        <f t="shared" si="20"/>
        <v>0</v>
      </c>
      <c r="AD176" s="125">
        <f>Valores!$C$26</f>
        <v>505.99</v>
      </c>
      <c r="AE176" s="192">
        <v>0</v>
      </c>
      <c r="AF176" s="125">
        <f>ROUND(AE176*Valores!$C$2,2)</f>
        <v>0</v>
      </c>
      <c r="AG176" s="125">
        <f>ROUND(IF($F$4="NO",Valores!$C$62,Valores!$C$62/2),2)</f>
        <v>6323.27</v>
      </c>
      <c r="AH176" s="125">
        <f t="shared" si="23"/>
        <v>189996.00999999998</v>
      </c>
      <c r="AI176" s="125">
        <f>Valores!$C$31</f>
        <v>0</v>
      </c>
      <c r="AJ176" s="125">
        <f>Valores!$C$88</f>
        <v>0</v>
      </c>
      <c r="AK176" s="125">
        <f>Valores!C$38*B176</f>
        <v>0</v>
      </c>
      <c r="AL176" s="125">
        <f>IF($F$3="NO",0,Valores!$C$54)</f>
        <v>327.60000000000002</v>
      </c>
      <c r="AM176" s="125">
        <f t="shared" si="21"/>
        <v>327.60000000000002</v>
      </c>
      <c r="AN176" s="125">
        <f>AH176*Valores!$C$70</f>
        <v>-20899.561099999999</v>
      </c>
      <c r="AO176" s="125">
        <f>AH176*-Valores!$C$71</f>
        <v>0</v>
      </c>
      <c r="AP176" s="125">
        <f>AH176*Valores!$C$72</f>
        <v>-8549.8204499999993</v>
      </c>
      <c r="AQ176" s="125">
        <f>Valores!$C$99</f>
        <v>-280.91000000000003</v>
      </c>
      <c r="AR176" s="125">
        <f>IF($F$5=0,Valores!$C$100,(Valores!$C$100+$F$5*(Valores!$C$100)))</f>
        <v>-329</v>
      </c>
      <c r="AS176" s="125">
        <f t="shared" si="24"/>
        <v>160264.31844999999</v>
      </c>
      <c r="AT176" s="125">
        <f t="shared" si="18"/>
        <v>-20899.561099999999</v>
      </c>
      <c r="AU176" s="125">
        <f>AH176*Valores!$C$73</f>
        <v>-5129.8922699999994</v>
      </c>
      <c r="AV176" s="125">
        <f>AH176*Valores!$C$74</f>
        <v>-569.98802999999998</v>
      </c>
      <c r="AW176" s="125">
        <f t="shared" si="22"/>
        <v>163724.16859999998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30928.11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29040.48</v>
      </c>
      <c r="M177" s="125">
        <f>ROUND(IF($H$2=0,IF(AND(A177&lt;&gt;"13-930",A177&lt;&gt;"13-940"),(SUM(F177,H177,J177,L177,X177,T177,R177)*Valores!$C$4),0),0),2)</f>
        <v>12786.82</v>
      </c>
      <c r="N177" s="125">
        <f t="shared" si="19"/>
        <v>0</v>
      </c>
      <c r="O177" s="125">
        <f>Valores!$C$16</f>
        <v>20912.349999999999</v>
      </c>
      <c r="P177" s="125">
        <f>Valores!$D$5</f>
        <v>12371.24</v>
      </c>
      <c r="Q177" s="125">
        <f>Valores!$C$22</f>
        <v>11037.15</v>
      </c>
      <c r="R177" s="125">
        <f>IF($F$4="NO",Valores!$C$46,Valores!$C$46/2)</f>
        <v>13765.22</v>
      </c>
      <c r="S177" s="125">
        <f>Valores!$C$19</f>
        <v>11511.67</v>
      </c>
      <c r="T177" s="125">
        <f t="shared" si="25"/>
        <v>11511.67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Valores!$C$95</f>
        <v>10910.4</v>
      </c>
      <c r="AA177" s="125">
        <f>Valores!$C$25</f>
        <v>505.99</v>
      </c>
      <c r="AB177" s="214">
        <v>0</v>
      </c>
      <c r="AC177" s="125">
        <f t="shared" si="20"/>
        <v>0</v>
      </c>
      <c r="AD177" s="125">
        <f>Valores!$C$26</f>
        <v>505.99</v>
      </c>
      <c r="AE177" s="192">
        <v>0</v>
      </c>
      <c r="AF177" s="125">
        <f>ROUND(AE177*Valores!$C$2,2)</f>
        <v>0</v>
      </c>
      <c r="AG177" s="125">
        <f>ROUND(IF($F$4="NO",Valores!$C$62,Valores!$C$62/2),2)</f>
        <v>6323.27</v>
      </c>
      <c r="AH177" s="125">
        <f t="shared" si="23"/>
        <v>160598.68999999997</v>
      </c>
      <c r="AI177" s="125">
        <f>Valores!$C$31</f>
        <v>0</v>
      </c>
      <c r="AJ177" s="125">
        <f>Valores!$C$88</f>
        <v>0</v>
      </c>
      <c r="AK177" s="125">
        <f>Valores!C$38*B177</f>
        <v>0</v>
      </c>
      <c r="AL177" s="125">
        <f>IF($F$3="NO",0,Valores!$C$54)</f>
        <v>327.60000000000002</v>
      </c>
      <c r="AM177" s="125">
        <f t="shared" si="21"/>
        <v>327.60000000000002</v>
      </c>
      <c r="AN177" s="125">
        <f>AH177*Valores!$C$70</f>
        <v>-17665.855899999999</v>
      </c>
      <c r="AO177" s="125">
        <f>AH177*-Valores!$C$71</f>
        <v>0</v>
      </c>
      <c r="AP177" s="125">
        <f>AH177*Valores!$C$72</f>
        <v>-7226.9410499999985</v>
      </c>
      <c r="AQ177" s="125">
        <f>Valores!$C$99</f>
        <v>-280.91000000000003</v>
      </c>
      <c r="AR177" s="125">
        <f>IF($F$5=0,Valores!$C$100,(Valores!$C$100+$F$5*(Valores!$C$100)))</f>
        <v>-329</v>
      </c>
      <c r="AS177" s="125">
        <f t="shared" si="24"/>
        <v>135423.58304999999</v>
      </c>
      <c r="AT177" s="125">
        <f t="shared" si="18"/>
        <v>-17665.855899999999</v>
      </c>
      <c r="AU177" s="125">
        <f>AH177*Valores!$C$73</f>
        <v>-4336.1646299999993</v>
      </c>
      <c r="AV177" s="125">
        <f>AH177*Valores!$C$74</f>
        <v>-481.79606999999993</v>
      </c>
      <c r="AW177" s="125">
        <f t="shared" si="22"/>
        <v>138442.47339999999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23498.59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15972.26</v>
      </c>
      <c r="M178" s="125">
        <f>ROUND(IF($H$2=0,IF(AND(A178&lt;&gt;"13-930",A178&lt;&gt;"13-940"),(SUM(F178,H178,J178,L178,X178,T178,R178)*Valores!$C$4),0),0),2)</f>
        <v>9712.16</v>
      </c>
      <c r="N178" s="125">
        <f t="shared" si="19"/>
        <v>0</v>
      </c>
      <c r="O178" s="125">
        <f>Valores!$C$16</f>
        <v>20912.349999999999</v>
      </c>
      <c r="P178" s="125">
        <f>Valores!$D$5</f>
        <v>12371.24</v>
      </c>
      <c r="Q178" s="125">
        <f>Valores!$C$22</f>
        <v>11037.15</v>
      </c>
      <c r="R178" s="125">
        <f>IF($F$4="NO",Valores!$C$46,Valores!$C$46/2)</f>
        <v>13765.22</v>
      </c>
      <c r="S178" s="125">
        <f>Valores!$C$19</f>
        <v>11511.67</v>
      </c>
      <c r="T178" s="125">
        <f t="shared" si="25"/>
        <v>11511.67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Valores!$C$95</f>
        <v>10910.4</v>
      </c>
      <c r="AA178" s="125">
        <f>Valores!$C$25</f>
        <v>505.99</v>
      </c>
      <c r="AB178" s="214">
        <v>0</v>
      </c>
      <c r="AC178" s="125">
        <f t="shared" si="20"/>
        <v>0</v>
      </c>
      <c r="AD178" s="125">
        <f>Valores!$C$26</f>
        <v>505.99</v>
      </c>
      <c r="AE178" s="192">
        <v>0</v>
      </c>
      <c r="AF178" s="125">
        <f>ROUND(AE178*Valores!$C$2,2)</f>
        <v>0</v>
      </c>
      <c r="AG178" s="125">
        <f>ROUND(IF($F$4="NO",Valores!$C$62,Valores!$C$62/2),2)</f>
        <v>6323.27</v>
      </c>
      <c r="AH178" s="125">
        <f t="shared" si="23"/>
        <v>137026.28999999998</v>
      </c>
      <c r="AI178" s="125">
        <f>Valores!$C$31</f>
        <v>0</v>
      </c>
      <c r="AJ178" s="125">
        <f>Valores!$C$88</f>
        <v>0</v>
      </c>
      <c r="AK178" s="125">
        <f>Valores!C$38*B178</f>
        <v>0</v>
      </c>
      <c r="AL178" s="125">
        <f>IF($F$3="NO",0,Valores!$C$54)</f>
        <v>327.60000000000002</v>
      </c>
      <c r="AM178" s="125">
        <f t="shared" si="21"/>
        <v>327.60000000000002</v>
      </c>
      <c r="AN178" s="125">
        <f>AH178*Valores!$C$70</f>
        <v>-15072.891899999997</v>
      </c>
      <c r="AO178" s="125">
        <f>AH178*-Valores!$C$71</f>
        <v>0</v>
      </c>
      <c r="AP178" s="125">
        <f>AH178*Valores!$C$72</f>
        <v>-6166.1830499999987</v>
      </c>
      <c r="AQ178" s="125">
        <f>Valores!$C$99</f>
        <v>-280.91000000000003</v>
      </c>
      <c r="AR178" s="125">
        <f>IF($F$5=0,Valores!$C$100,(Valores!$C$100+$F$5*(Valores!$C$100)))</f>
        <v>-329</v>
      </c>
      <c r="AS178" s="125">
        <f t="shared" si="24"/>
        <v>115504.90504999999</v>
      </c>
      <c r="AT178" s="125">
        <f t="shared" si="18"/>
        <v>-15072.891899999997</v>
      </c>
      <c r="AU178" s="125">
        <f>AH178*Valores!$C$73</f>
        <v>-3699.7098299999993</v>
      </c>
      <c r="AV178" s="125">
        <f>AH178*Valores!$C$74</f>
        <v>-411.07886999999994</v>
      </c>
      <c r="AW178" s="125">
        <f t="shared" si="22"/>
        <v>118170.20939999999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5154.6899999999996</v>
      </c>
      <c r="G179" s="192">
        <f>1835</f>
        <v>1835</v>
      </c>
      <c r="H179" s="125">
        <f>ROUND(G179*Valores!$C$2,2)</f>
        <v>44407.73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31460.52</v>
      </c>
      <c r="M179" s="125">
        <f>ROUND(IF($H$2=0,IF(AND(A179&lt;&gt;"13-930",A179&lt;&gt;"13-940"),(SUM(F179,H179,J179,L179,X179,T179,R179)*Valores!$C$4),0),0),2)</f>
        <v>15944.97</v>
      </c>
      <c r="N179" s="125">
        <f t="shared" si="19"/>
        <v>0</v>
      </c>
      <c r="O179" s="125">
        <f>Valores!$C$9</f>
        <v>26876.42</v>
      </c>
      <c r="P179" s="125">
        <f>Valores!$D$5</f>
        <v>12371.24</v>
      </c>
      <c r="Q179" s="125">
        <f>Valores!$C$22</f>
        <v>11037.15</v>
      </c>
      <c r="R179" s="125">
        <f>IF($F$4="NO",Valores!$C$46,Valores!$C$46/2)</f>
        <v>13765.22</v>
      </c>
      <c r="S179" s="125">
        <f>Valores!$C$19</f>
        <v>11511.67</v>
      </c>
      <c r="T179" s="125">
        <f t="shared" si="25"/>
        <v>11511.67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Valores!$C$95</f>
        <v>10910.4</v>
      </c>
      <c r="AA179" s="125">
        <f>Valores!$C$25</f>
        <v>505.99</v>
      </c>
      <c r="AB179" s="214">
        <v>0</v>
      </c>
      <c r="AC179" s="125">
        <f t="shared" si="20"/>
        <v>0</v>
      </c>
      <c r="AD179" s="125">
        <f>Valores!$C$26</f>
        <v>505.99</v>
      </c>
      <c r="AE179" s="192">
        <v>0</v>
      </c>
      <c r="AF179" s="125">
        <f>ROUND(AE179*Valores!$C$2,2)</f>
        <v>0</v>
      </c>
      <c r="AG179" s="125">
        <f>ROUND(IF($F$4="NO",Valores!$C$62,Valores!$C$62/2),2)</f>
        <v>6323.27</v>
      </c>
      <c r="AH179" s="125">
        <f t="shared" si="23"/>
        <v>190775.25999999998</v>
      </c>
      <c r="AI179" s="125">
        <f>Valores!$C$31</f>
        <v>0</v>
      </c>
      <c r="AJ179" s="125">
        <f>Valores!$C$88</f>
        <v>0</v>
      </c>
      <c r="AK179" s="125">
        <f>Valores!C$38*B179</f>
        <v>0</v>
      </c>
      <c r="AL179" s="125">
        <f>IF($F$3="NO",0,Valores!$C$54)</f>
        <v>327.60000000000002</v>
      </c>
      <c r="AM179" s="125">
        <f t="shared" si="21"/>
        <v>327.60000000000002</v>
      </c>
      <c r="AN179" s="125">
        <f>AH179*Valores!$C$70</f>
        <v>-20985.278599999998</v>
      </c>
      <c r="AO179" s="125">
        <f>AH179*-Valores!$C$71</f>
        <v>0</v>
      </c>
      <c r="AP179" s="125">
        <f>AH179*Valores!$C$72</f>
        <v>-8584.8866999999991</v>
      </c>
      <c r="AQ179" s="125">
        <f>Valores!$C$99</f>
        <v>-280.91000000000003</v>
      </c>
      <c r="AR179" s="125">
        <f>IF($F$5=0,Valores!$C$100,(Valores!$C$100+$F$5*(Valores!$C$100)))</f>
        <v>-329</v>
      </c>
      <c r="AS179" s="125">
        <f t="shared" si="24"/>
        <v>160922.78469999999</v>
      </c>
      <c r="AT179" s="125">
        <f t="shared" si="18"/>
        <v>-20985.278599999998</v>
      </c>
      <c r="AU179" s="125">
        <f>AH179*Valores!$C$73</f>
        <v>-5150.9320199999993</v>
      </c>
      <c r="AV179" s="125">
        <f>AH179*Valores!$C$74</f>
        <v>-572.32578000000001</v>
      </c>
      <c r="AW179" s="125">
        <f t="shared" si="22"/>
        <v>164394.3236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4477.07</v>
      </c>
      <c r="G180" s="192">
        <f>1835</f>
        <v>1835</v>
      </c>
      <c r="H180" s="125">
        <f>ROUND(G180*Valores!$C$2,2)</f>
        <v>44407.73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31460.52</v>
      </c>
      <c r="M180" s="125">
        <f>ROUND(IF($H$2=0,IF(AND(A180&lt;&gt;"13-930",A180&lt;&gt;"13-940"),(SUM(F180,H180,J180,L180,X180,T180,R180)*Valores!$C$4),0),0),2)</f>
        <v>15843.33</v>
      </c>
      <c r="N180" s="125">
        <f t="shared" si="19"/>
        <v>0</v>
      </c>
      <c r="O180" s="125">
        <f>Valores!$C$9</f>
        <v>26876.42</v>
      </c>
      <c r="P180" s="125">
        <f>Valores!$D$5</f>
        <v>12371.24</v>
      </c>
      <c r="Q180" s="125">
        <f>Valores!$C$22</f>
        <v>11037.15</v>
      </c>
      <c r="R180" s="125">
        <f>IF($F$4="NO",Valores!$C$46,Valores!$C$46/2)</f>
        <v>13765.22</v>
      </c>
      <c r="S180" s="125">
        <f>Valores!$C$19</f>
        <v>11511.67</v>
      </c>
      <c r="T180" s="125">
        <f t="shared" si="25"/>
        <v>11511.67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Valores!$C$95</f>
        <v>10910.4</v>
      </c>
      <c r="AA180" s="125">
        <f>Valores!$C$25</f>
        <v>505.99</v>
      </c>
      <c r="AB180" s="214">
        <v>0</v>
      </c>
      <c r="AC180" s="125">
        <f t="shared" si="20"/>
        <v>0</v>
      </c>
      <c r="AD180" s="125">
        <f>Valores!$C$26</f>
        <v>505.99</v>
      </c>
      <c r="AE180" s="192">
        <v>0</v>
      </c>
      <c r="AF180" s="125">
        <f>ROUND(AE180*Valores!$C$2,2)</f>
        <v>0</v>
      </c>
      <c r="AG180" s="125">
        <f>ROUND(IF($F$4="NO",Valores!$C$62,Valores!$C$62/2),2)</f>
        <v>6323.27</v>
      </c>
      <c r="AH180" s="125">
        <f t="shared" si="23"/>
        <v>189995.99999999997</v>
      </c>
      <c r="AI180" s="125">
        <f>Valores!$C$31</f>
        <v>0</v>
      </c>
      <c r="AJ180" s="125">
        <f>Valores!$C$88</f>
        <v>0</v>
      </c>
      <c r="AK180" s="125">
        <f>Valores!C$38*B180</f>
        <v>0</v>
      </c>
      <c r="AL180" s="125">
        <f>IF($F$3="NO",0,Valores!$C$54)</f>
        <v>327.60000000000002</v>
      </c>
      <c r="AM180" s="125">
        <f t="shared" si="21"/>
        <v>327.60000000000002</v>
      </c>
      <c r="AN180" s="125">
        <f>AH180*Valores!$C$70</f>
        <v>-20899.559999999998</v>
      </c>
      <c r="AO180" s="125">
        <f>AH180*-Valores!$C$71</f>
        <v>0</v>
      </c>
      <c r="AP180" s="125">
        <f>AH180*Valores!$C$72</f>
        <v>-8549.8199999999979</v>
      </c>
      <c r="AQ180" s="125">
        <f>Valores!$C$99</f>
        <v>-280.91000000000003</v>
      </c>
      <c r="AR180" s="125">
        <f>IF($F$5=0,Valores!$C$100,(Valores!$C$100+$F$5*(Valores!$C$100)))</f>
        <v>-329</v>
      </c>
      <c r="AS180" s="125">
        <f t="shared" si="24"/>
        <v>160264.30999999997</v>
      </c>
      <c r="AT180" s="125">
        <f t="shared" si="18"/>
        <v>-20899.559999999998</v>
      </c>
      <c r="AU180" s="125">
        <f>AH180*Valores!$C$73</f>
        <v>-5129.8919999999989</v>
      </c>
      <c r="AV180" s="125">
        <f>AH180*Valores!$C$74</f>
        <v>-569.98799999999994</v>
      </c>
      <c r="AW180" s="125">
        <f t="shared" si="22"/>
        <v>163724.15999999997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3872.06</v>
      </c>
      <c r="G181" s="192">
        <f>1484</f>
        <v>1484</v>
      </c>
      <c r="H181" s="125">
        <f>ROUND(G181*Valores!$C$2,2)</f>
        <v>35913.39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31460.52</v>
      </c>
      <c r="M181" s="125">
        <f>ROUND(IF($H$2=0,IF(AND(A181&lt;&gt;"13-930",A181&lt;&gt;"13-940"),(SUM(F181,H181,J181,L181,X181,T181,R181)*Valores!$C$4),0),0),2)</f>
        <v>14478.43</v>
      </c>
      <c r="N181" s="125">
        <f t="shared" si="19"/>
        <v>0</v>
      </c>
      <c r="O181" s="125">
        <f>Valores!$C$9</f>
        <v>26876.42</v>
      </c>
      <c r="P181" s="125">
        <f>Valores!$D$5</f>
        <v>12371.24</v>
      </c>
      <c r="Q181" s="125">
        <f>Valores!$C$22</f>
        <v>11037.15</v>
      </c>
      <c r="R181" s="125">
        <f>IF($F$4="NO",Valores!$C$46,Valores!$C$46/2)</f>
        <v>13765.22</v>
      </c>
      <c r="S181" s="125">
        <f>Valores!$C$19</f>
        <v>11511.67</v>
      </c>
      <c r="T181" s="125">
        <f t="shared" si="25"/>
        <v>11511.67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Valores!$C$95</f>
        <v>10910.4</v>
      </c>
      <c r="AA181" s="125">
        <f>Valores!$C$25</f>
        <v>505.99</v>
      </c>
      <c r="AB181" s="214">
        <v>0</v>
      </c>
      <c r="AC181" s="125">
        <f t="shared" si="20"/>
        <v>0</v>
      </c>
      <c r="AD181" s="125">
        <f>Valores!$C$26</f>
        <v>505.99</v>
      </c>
      <c r="AE181" s="192">
        <v>0</v>
      </c>
      <c r="AF181" s="125">
        <f>ROUND(AE181*Valores!$C$2,2)</f>
        <v>0</v>
      </c>
      <c r="AG181" s="125">
        <f>ROUND(IF($F$4="NO",Valores!$C$62,Valores!$C$62/2),2)</f>
        <v>6323.27</v>
      </c>
      <c r="AH181" s="125">
        <f t="shared" si="23"/>
        <v>179531.74999999997</v>
      </c>
      <c r="AI181" s="125">
        <f>Valores!$C$31</f>
        <v>0</v>
      </c>
      <c r="AJ181" s="125">
        <f>Valores!$C$88</f>
        <v>0</v>
      </c>
      <c r="AK181" s="125">
        <f>Valores!C$38*B181</f>
        <v>0</v>
      </c>
      <c r="AL181" s="125">
        <f>IF($F$3="NO",0,Valores!$C$54)</f>
        <v>327.60000000000002</v>
      </c>
      <c r="AM181" s="125">
        <f t="shared" si="21"/>
        <v>327.60000000000002</v>
      </c>
      <c r="AN181" s="125">
        <f>AH181*Valores!$C$70</f>
        <v>-19748.492499999997</v>
      </c>
      <c r="AO181" s="125">
        <f>AH181*-Valores!$C$71</f>
        <v>0</v>
      </c>
      <c r="AP181" s="125">
        <f>AH181*Valores!$C$72</f>
        <v>-8078.9287499999982</v>
      </c>
      <c r="AQ181" s="125">
        <f>Valores!$C$99</f>
        <v>-280.91000000000003</v>
      </c>
      <c r="AR181" s="125">
        <f>IF($F$5=0,Valores!$C$100,(Valores!$C$100+$F$5*(Valores!$C$100)))</f>
        <v>-329</v>
      </c>
      <c r="AS181" s="125">
        <f t="shared" si="24"/>
        <v>151422.01874999999</v>
      </c>
      <c r="AT181" s="125">
        <f t="shared" si="18"/>
        <v>-19748.492499999997</v>
      </c>
      <c r="AU181" s="125">
        <f>AH181*Valores!$C$73</f>
        <v>-4847.3572499999991</v>
      </c>
      <c r="AV181" s="125">
        <f>AH181*Valores!$C$74</f>
        <v>-538.59524999999996</v>
      </c>
      <c r="AW181" s="125">
        <f t="shared" si="22"/>
        <v>154724.90499999997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30928.11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29040.48</v>
      </c>
      <c r="M182" s="125">
        <f>ROUND(IF($H$2=0,IF(AND(A182&lt;&gt;"13-930",A182&lt;&gt;"13-940"),(SUM(F182,H182,J182,L182,X182,T182,R182)*Valores!$C$4),0),0),2)</f>
        <v>12786.82</v>
      </c>
      <c r="N182" s="125">
        <f t="shared" si="19"/>
        <v>0</v>
      </c>
      <c r="O182" s="125">
        <f>Valores!$C$16</f>
        <v>20912.349999999999</v>
      </c>
      <c r="P182" s="125">
        <f>Valores!$D$5</f>
        <v>12371.24</v>
      </c>
      <c r="Q182" s="125">
        <f>Valores!$C$22</f>
        <v>11037.15</v>
      </c>
      <c r="R182" s="125">
        <f>IF($F$4="NO",Valores!$C$46,Valores!$C$46/2)</f>
        <v>13765.22</v>
      </c>
      <c r="S182" s="125">
        <f>Valores!$C$19</f>
        <v>11511.67</v>
      </c>
      <c r="T182" s="125">
        <f t="shared" si="25"/>
        <v>11511.67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Valores!$C$95</f>
        <v>10910.4</v>
      </c>
      <c r="AA182" s="125">
        <f>Valores!$C$25</f>
        <v>505.99</v>
      </c>
      <c r="AB182" s="214">
        <v>0</v>
      </c>
      <c r="AC182" s="125">
        <f t="shared" si="20"/>
        <v>0</v>
      </c>
      <c r="AD182" s="125">
        <f>Valores!$C$26</f>
        <v>505.99</v>
      </c>
      <c r="AE182" s="192">
        <v>0</v>
      </c>
      <c r="AF182" s="125">
        <f>ROUND(AE182*Valores!$C$2,2)</f>
        <v>0</v>
      </c>
      <c r="AG182" s="125">
        <f>ROUND(IF($F$4="NO",Valores!$C$62,Valores!$C$62/2),2)</f>
        <v>6323.27</v>
      </c>
      <c r="AH182" s="125">
        <f t="shared" si="23"/>
        <v>160598.68999999997</v>
      </c>
      <c r="AI182" s="125">
        <f>Valores!$C$31</f>
        <v>0</v>
      </c>
      <c r="AJ182" s="125">
        <f>Valores!$C$88</f>
        <v>0</v>
      </c>
      <c r="AK182" s="125">
        <f>Valores!C$38*B182</f>
        <v>0</v>
      </c>
      <c r="AL182" s="125">
        <f>IF($F$3="NO",0,Valores!$C$54)</f>
        <v>327.60000000000002</v>
      </c>
      <c r="AM182" s="125">
        <f t="shared" si="21"/>
        <v>327.60000000000002</v>
      </c>
      <c r="AN182" s="125">
        <f>AH182*Valores!$C$70</f>
        <v>-17665.855899999999</v>
      </c>
      <c r="AO182" s="125">
        <f>AH182*-Valores!$C$71</f>
        <v>0</v>
      </c>
      <c r="AP182" s="125">
        <f>AH182*Valores!$C$72</f>
        <v>-7226.9410499999985</v>
      </c>
      <c r="AQ182" s="125">
        <f>Valores!$C$99</f>
        <v>-280.91000000000003</v>
      </c>
      <c r="AR182" s="125">
        <f>IF($F$5=0,Valores!$C$100,(Valores!$C$100+$F$5*(Valores!$C$100)))</f>
        <v>-329</v>
      </c>
      <c r="AS182" s="125">
        <f t="shared" si="24"/>
        <v>135423.58304999999</v>
      </c>
      <c r="AT182" s="125">
        <f t="shared" si="18"/>
        <v>-17665.855899999999</v>
      </c>
      <c r="AU182" s="125">
        <f>AH182*Valores!$C$73</f>
        <v>-4336.1646299999993</v>
      </c>
      <c r="AV182" s="125">
        <f>AH182*Valores!$C$74</f>
        <v>-481.79606999999993</v>
      </c>
      <c r="AW182" s="125">
        <f t="shared" si="22"/>
        <v>138442.47339999999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23498.59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15972.26</v>
      </c>
      <c r="M183" s="125">
        <f>ROUND(IF($H$2=0,IF(AND(A183&lt;&gt;"13-930",A183&lt;&gt;"13-940"),(SUM(F183,H183,J183,L183,X183,T183,R183)*Valores!$C$4),0),0),2)</f>
        <v>9712.16</v>
      </c>
      <c r="N183" s="125">
        <f t="shared" si="19"/>
        <v>0</v>
      </c>
      <c r="O183" s="125">
        <f>Valores!$C$16</f>
        <v>20912.349999999999</v>
      </c>
      <c r="P183" s="125">
        <f>Valores!$D$5</f>
        <v>12371.24</v>
      </c>
      <c r="Q183" s="125">
        <f>Valores!$C$23</f>
        <v>10272.65</v>
      </c>
      <c r="R183" s="125">
        <f>IF($F$4="NO",Valores!$C$46,Valores!$C$46/2)</f>
        <v>13765.22</v>
      </c>
      <c r="S183" s="125">
        <f>Valores!$C$19</f>
        <v>11511.67</v>
      </c>
      <c r="T183" s="125">
        <f t="shared" si="25"/>
        <v>11511.67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Valores!$C$95</f>
        <v>10910.4</v>
      </c>
      <c r="AA183" s="125">
        <f>Valores!$C$25</f>
        <v>505.99</v>
      </c>
      <c r="AB183" s="214">
        <v>0</v>
      </c>
      <c r="AC183" s="125">
        <f t="shared" si="20"/>
        <v>0</v>
      </c>
      <c r="AD183" s="125">
        <f>Valores!$C$26</f>
        <v>505.99</v>
      </c>
      <c r="AE183" s="192">
        <v>0</v>
      </c>
      <c r="AF183" s="125">
        <f>ROUND(AE183*Valores!$C$2,2)</f>
        <v>0</v>
      </c>
      <c r="AG183" s="125">
        <f>ROUND(IF($F$4="NO",Valores!$C$62,Valores!$C$62/2),2)</f>
        <v>6323.27</v>
      </c>
      <c r="AH183" s="125">
        <f t="shared" si="23"/>
        <v>136261.78999999998</v>
      </c>
      <c r="AI183" s="125">
        <f>Valores!$C$31</f>
        <v>0</v>
      </c>
      <c r="AJ183" s="125">
        <f>Valores!$C$88</f>
        <v>0</v>
      </c>
      <c r="AK183" s="125">
        <f>Valores!C$38*B183</f>
        <v>0</v>
      </c>
      <c r="AL183" s="125">
        <f>IF($F$3="NO",0,Valores!$C$54)</f>
        <v>327.60000000000002</v>
      </c>
      <c r="AM183" s="125">
        <f t="shared" si="21"/>
        <v>327.60000000000002</v>
      </c>
      <c r="AN183" s="125">
        <f>AH183*Valores!$C$70</f>
        <v>-14988.796899999998</v>
      </c>
      <c r="AO183" s="125">
        <f>AH183*-Valores!$C$71</f>
        <v>0</v>
      </c>
      <c r="AP183" s="125">
        <f>AH183*Valores!$C$72</f>
        <v>-6131.7805499999986</v>
      </c>
      <c r="AQ183" s="125">
        <f>Valores!$C$99</f>
        <v>-280.91000000000003</v>
      </c>
      <c r="AR183" s="125">
        <f>IF($F$5=0,Valores!$C$100,(Valores!$C$100+$F$5*(Valores!$C$100)))</f>
        <v>-329</v>
      </c>
      <c r="AS183" s="125">
        <f t="shared" si="24"/>
        <v>114858.90254999998</v>
      </c>
      <c r="AT183" s="125">
        <f t="shared" si="18"/>
        <v>-14988.796899999998</v>
      </c>
      <c r="AU183" s="125">
        <f>AH183*Valores!$C$73</f>
        <v>-3679.0683299999996</v>
      </c>
      <c r="AV183" s="125">
        <f>AH183*Valores!$C$74</f>
        <v>-408.78536999999994</v>
      </c>
      <c r="AW183" s="125">
        <f t="shared" si="22"/>
        <v>117512.73939999999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4331.87</v>
      </c>
      <c r="G184" s="192">
        <f>1323</f>
        <v>1323</v>
      </c>
      <c r="H184" s="125">
        <f>ROUND(G184*Valores!$C$2,2)</f>
        <v>32017.13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31460.52</v>
      </c>
      <c r="M184" s="125">
        <f>ROUND(IF($H$2=0,IF(AND(A184&lt;&gt;"13-930",A184&lt;&gt;"13-940"),(SUM(F184,H184,J184,L184,X184,T184,R184)*Valores!$C$4),0),0),2)</f>
        <v>13962.96</v>
      </c>
      <c r="N184" s="125">
        <f t="shared" si="19"/>
        <v>0</v>
      </c>
      <c r="O184" s="125">
        <f>Valores!$C$9</f>
        <v>26876.42</v>
      </c>
      <c r="P184" s="125">
        <f>Valores!$D$5</f>
        <v>12371.24</v>
      </c>
      <c r="Q184" s="125">
        <f>Valores!$C$22</f>
        <v>11037.15</v>
      </c>
      <c r="R184" s="125">
        <f>IF($F$4="NO",Valores!$C$46,Valores!$C$46/2)</f>
        <v>13765.22</v>
      </c>
      <c r="S184" s="125">
        <f>Valores!$C$19</f>
        <v>11511.67</v>
      </c>
      <c r="T184" s="125">
        <f t="shared" si="25"/>
        <v>11511.67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Valores!$C$95</f>
        <v>10910.4</v>
      </c>
      <c r="AA184" s="125">
        <f>Valores!$C$25</f>
        <v>505.99</v>
      </c>
      <c r="AB184" s="214">
        <v>0</v>
      </c>
      <c r="AC184" s="125">
        <f t="shared" si="20"/>
        <v>0</v>
      </c>
      <c r="AD184" s="125">
        <f>Valores!$C$26</f>
        <v>505.99</v>
      </c>
      <c r="AE184" s="192">
        <v>0</v>
      </c>
      <c r="AF184" s="125">
        <f>ROUND(AE184*Valores!$C$2,2)</f>
        <v>0</v>
      </c>
      <c r="AG184" s="125">
        <f>ROUND(IF($F$4="NO",Valores!$C$62,Valores!$C$62/2),2)</f>
        <v>6323.27</v>
      </c>
      <c r="AH184" s="125">
        <f t="shared" si="23"/>
        <v>175579.83</v>
      </c>
      <c r="AI184" s="125">
        <f>Valores!$C$31</f>
        <v>0</v>
      </c>
      <c r="AJ184" s="125">
        <f>Valores!$C$88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AH184*Valores!$C$70</f>
        <v>-19313.781299999999</v>
      </c>
      <c r="AO184" s="125">
        <f>AH184*-Valores!$C$71</f>
        <v>0</v>
      </c>
      <c r="AP184" s="125">
        <f>AH184*Valores!$C$72</f>
        <v>-7901.092349999999</v>
      </c>
      <c r="AQ184" s="125">
        <f>Valores!$C$99</f>
        <v>-280.91000000000003</v>
      </c>
      <c r="AR184" s="125">
        <f>IF($F$5=0,Valores!$C$100,(Valores!$C$100+$F$5*(Valores!$C$100)))</f>
        <v>-329</v>
      </c>
      <c r="AS184" s="125">
        <f t="shared" si="24"/>
        <v>147755.04634999999</v>
      </c>
      <c r="AT184" s="125">
        <f t="shared" si="18"/>
        <v>-19313.781299999999</v>
      </c>
      <c r="AU184" s="125">
        <f>AH184*Valores!$C$73</f>
        <v>-4740.6554099999994</v>
      </c>
      <c r="AV184" s="125">
        <f>AH184*Valores!$C$74</f>
        <v>-526.73948999999993</v>
      </c>
      <c r="AW184" s="125">
        <f t="shared" si="22"/>
        <v>150998.6538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1548.83</v>
      </c>
      <c r="G185" s="192">
        <v>1354</v>
      </c>
      <c r="H185" s="125">
        <f>ROUND(G185*Valores!$C$2,2)</f>
        <v>32767.34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29040.48</v>
      </c>
      <c r="M185" s="125">
        <f>ROUND(IF($H$2=0,IF(AND(A185&lt;&gt;"13-930",A185&lt;&gt;"13-940"),(SUM(F185,H185,J185,L185,X185,T185,R185)*Valores!$C$4),0),0),2)</f>
        <v>13277.38</v>
      </c>
      <c r="N185" s="125">
        <f t="shared" si="19"/>
        <v>0</v>
      </c>
      <c r="O185" s="125">
        <f>Valores!$C$14</f>
        <v>22412.35</v>
      </c>
      <c r="P185" s="125">
        <f>Valores!$D$5</f>
        <v>12371.24</v>
      </c>
      <c r="Q185" s="125">
        <v>0</v>
      </c>
      <c r="R185" s="125">
        <f>IF($F$4="NO",Valores!$C$46,Valores!$C$46/2)</f>
        <v>13765.22</v>
      </c>
      <c r="S185" s="125">
        <f>Valores!$C$20</f>
        <v>11393.97</v>
      </c>
      <c r="T185" s="125">
        <f t="shared" si="25"/>
        <v>11393.97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Valores!$C$95</f>
        <v>10910.4</v>
      </c>
      <c r="AA185" s="125">
        <f>Valores!$C$25</f>
        <v>505.99</v>
      </c>
      <c r="AB185" s="214">
        <v>0</v>
      </c>
      <c r="AC185" s="125">
        <f t="shared" si="20"/>
        <v>0</v>
      </c>
      <c r="AD185" s="125">
        <f>Valores!$C$26</f>
        <v>505.99</v>
      </c>
      <c r="AE185" s="192">
        <v>0</v>
      </c>
      <c r="AF185" s="125">
        <f>ROUND(AE185*Valores!$C$2,2)</f>
        <v>0</v>
      </c>
      <c r="AG185" s="125">
        <f>ROUND(IF($F$4="NO",Valores!$C$62,Valores!$C$62/2),2)</f>
        <v>6323.27</v>
      </c>
      <c r="AH185" s="125">
        <f t="shared" si="23"/>
        <v>154822.45999999996</v>
      </c>
      <c r="AI185" s="125">
        <f>Valores!$C$31</f>
        <v>0</v>
      </c>
      <c r="AJ185" s="125">
        <f>Valores!$C$88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AH185*Valores!$C$70</f>
        <v>-17030.470599999997</v>
      </c>
      <c r="AO185" s="125">
        <f>AH185*-Valores!$C$71</f>
        <v>0</v>
      </c>
      <c r="AP185" s="125">
        <f>AH185*Valores!$C$72</f>
        <v>-6967.010699999998</v>
      </c>
      <c r="AQ185" s="125">
        <f>Valores!$C$99</f>
        <v>-280.91000000000003</v>
      </c>
      <c r="AR185" s="125">
        <f>IF($F$5=0,Valores!$C$100,(Valores!$C$100+$F$5*(Valores!$C$100)))</f>
        <v>-329</v>
      </c>
      <c r="AS185" s="125">
        <f t="shared" si="24"/>
        <v>130215.06869999997</v>
      </c>
      <c r="AT185" s="125">
        <f t="shared" si="18"/>
        <v>-17030.470599999997</v>
      </c>
      <c r="AU185" s="125">
        <f>AH185*Valores!$C$73</f>
        <v>-4180.2064199999986</v>
      </c>
      <c r="AV185" s="125">
        <f>AH185*Valores!$C$74</f>
        <v>-464.46737999999988</v>
      </c>
      <c r="AW185" s="125">
        <f t="shared" si="22"/>
        <v>133147.31559999997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1331.02</v>
      </c>
      <c r="G186" s="192">
        <v>1279</v>
      </c>
      <c r="H186" s="125">
        <f>ROUND(G186*Valores!$C$2,2)</f>
        <v>30952.31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29040.48</v>
      </c>
      <c r="M186" s="125">
        <f>ROUND(IF($H$2=0,IF(AND(A186&lt;&gt;"13-930",A186&lt;&gt;"13-940"),(SUM(F186,H186,J186,L186,X186,T186,R186)*Valores!$C$4),0),0),2)</f>
        <v>12990.11</v>
      </c>
      <c r="N186" s="125">
        <f t="shared" si="19"/>
        <v>0</v>
      </c>
      <c r="O186" s="125">
        <f>Valores!$C$16</f>
        <v>20912.349999999999</v>
      </c>
      <c r="P186" s="125">
        <f>Valores!$D$5</f>
        <v>12371.24</v>
      </c>
      <c r="Q186" s="125">
        <v>0</v>
      </c>
      <c r="R186" s="125">
        <f>IF($F$4="NO",Valores!$C$46,Valores!$C$46/2)</f>
        <v>13765.22</v>
      </c>
      <c r="S186" s="125">
        <f>Valores!$C$19</f>
        <v>11511.67</v>
      </c>
      <c r="T186" s="125">
        <f t="shared" si="25"/>
        <v>11511.67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Valores!$C$95</f>
        <v>10910.4</v>
      </c>
      <c r="AA186" s="125">
        <f>Valores!$C$25</f>
        <v>505.99</v>
      </c>
      <c r="AB186" s="214">
        <v>0</v>
      </c>
      <c r="AC186" s="125">
        <f t="shared" si="20"/>
        <v>0</v>
      </c>
      <c r="AD186" s="125">
        <f>Valores!$C$26</f>
        <v>505.99</v>
      </c>
      <c r="AE186" s="192">
        <v>0</v>
      </c>
      <c r="AF186" s="125">
        <f>ROUND(AE186*Valores!$C$2,2)</f>
        <v>0</v>
      </c>
      <c r="AG186" s="125">
        <f>ROUND(IF($F$4="NO",Valores!$C$62,Valores!$C$62/2),2)</f>
        <v>6323.27</v>
      </c>
      <c r="AH186" s="125">
        <f t="shared" si="23"/>
        <v>151120.04999999996</v>
      </c>
      <c r="AI186" s="125">
        <f>Valores!$C$31</f>
        <v>0</v>
      </c>
      <c r="AJ186" s="125">
        <f>Valores!$C$88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AH186*Valores!$C$70</f>
        <v>-16623.205499999996</v>
      </c>
      <c r="AO186" s="125">
        <f>AH186*-Valores!$C$71</f>
        <v>0</v>
      </c>
      <c r="AP186" s="125">
        <f>AH186*Valores!$C$72</f>
        <v>-6800.4022499999983</v>
      </c>
      <c r="AQ186" s="125">
        <f>Valores!$C$99</f>
        <v>-280.91000000000003</v>
      </c>
      <c r="AR186" s="125">
        <f>IF($F$5=0,Valores!$C$100,(Valores!$C$100+$F$5*(Valores!$C$100)))</f>
        <v>-329</v>
      </c>
      <c r="AS186" s="125">
        <f t="shared" si="24"/>
        <v>127086.53224999996</v>
      </c>
      <c r="AT186" s="125">
        <f t="shared" si="18"/>
        <v>-16623.205499999996</v>
      </c>
      <c r="AU186" s="125">
        <f>AH186*Valores!$C$73</f>
        <v>-4080.2413499999989</v>
      </c>
      <c r="AV186" s="125">
        <f>AH186*Valores!$C$74</f>
        <v>-453.36014999999986</v>
      </c>
      <c r="AW186" s="125">
        <f t="shared" si="22"/>
        <v>129963.24299999996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24853.81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29040.48</v>
      </c>
      <c r="M187" s="125">
        <f>ROUND(IF($H$2=0,IF(AND(A187&lt;&gt;"13-930",A187&lt;&gt;"13-940"),(SUM(F187,H187,J187,L187,X187,T187,R187)*Valores!$C$4),0),0),2)</f>
        <v>11858.02</v>
      </c>
      <c r="N187" s="125">
        <f t="shared" si="19"/>
        <v>0</v>
      </c>
      <c r="O187" s="125">
        <f>Valores!$C$16</f>
        <v>20912.349999999999</v>
      </c>
      <c r="P187" s="125">
        <f>Valores!$D$5</f>
        <v>12371.24</v>
      </c>
      <c r="Q187" s="125">
        <v>0</v>
      </c>
      <c r="R187" s="125">
        <f>IF($F$4="NO",Valores!$C$46,Valores!$C$46/2)</f>
        <v>13765.22</v>
      </c>
      <c r="S187" s="125">
        <f>Valores!$C$20</f>
        <v>11393.97</v>
      </c>
      <c r="T187" s="125">
        <f t="shared" si="25"/>
        <v>11393.97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Valores!$C$95</f>
        <v>10910.4</v>
      </c>
      <c r="AA187" s="125">
        <f>Valores!$C$25</f>
        <v>505.99</v>
      </c>
      <c r="AB187" s="214">
        <v>0</v>
      </c>
      <c r="AC187" s="125">
        <f t="shared" si="20"/>
        <v>0</v>
      </c>
      <c r="AD187" s="125">
        <f>Valores!$C$26</f>
        <v>505.99</v>
      </c>
      <c r="AE187" s="192">
        <v>0</v>
      </c>
      <c r="AF187" s="125">
        <f>ROUND(AE187*Valores!$C$2,2)</f>
        <v>0</v>
      </c>
      <c r="AG187" s="125">
        <f>ROUND(IF($F$4="NO",Valores!$C$62,Valores!$C$62/2),2)</f>
        <v>6323.27</v>
      </c>
      <c r="AH187" s="125">
        <f t="shared" si="23"/>
        <v>142440.74</v>
      </c>
      <c r="AI187" s="125">
        <f>Valores!$C$31</f>
        <v>0</v>
      </c>
      <c r="AJ187" s="125">
        <f>Valores!$C$88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AH187*Valores!$C$70</f>
        <v>-15668.481399999999</v>
      </c>
      <c r="AO187" s="125">
        <f>AH187*-Valores!$C$71</f>
        <v>0</v>
      </c>
      <c r="AP187" s="125">
        <f>AH187*Valores!$C$72</f>
        <v>-6409.8332999999993</v>
      </c>
      <c r="AQ187" s="125">
        <f>Valores!$C$99</f>
        <v>-280.91000000000003</v>
      </c>
      <c r="AR187" s="125">
        <f>IF($F$5=0,Valores!$C$100,(Valores!$C$100+$F$5*(Valores!$C$100)))</f>
        <v>-329</v>
      </c>
      <c r="AS187" s="125">
        <f t="shared" si="24"/>
        <v>119752.5153</v>
      </c>
      <c r="AT187" s="125">
        <f t="shared" si="18"/>
        <v>-15668.481399999999</v>
      </c>
      <c r="AU187" s="125">
        <f>AH187*Valores!$C$73</f>
        <v>-3845.8999799999997</v>
      </c>
      <c r="AV187" s="125">
        <f>AH187*Valores!$C$74</f>
        <v>-427.32221999999996</v>
      </c>
      <c r="AW187" s="125">
        <f t="shared" si="22"/>
        <v>122499.0364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30928.11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29040.48</v>
      </c>
      <c r="M188" s="125">
        <f>ROUND(IF($H$2=0,IF(AND(A188&lt;&gt;"13-930",A188&lt;&gt;"13-940"),(SUM(F188,H188,J188,L188,X188,T188,R188)*Valores!$C$4),0),0),2)</f>
        <v>12786.82</v>
      </c>
      <c r="N188" s="125">
        <f t="shared" si="19"/>
        <v>0</v>
      </c>
      <c r="O188" s="125">
        <f>Valores!$C$16</f>
        <v>20912.349999999999</v>
      </c>
      <c r="P188" s="125">
        <f>Valores!$D$5</f>
        <v>12371.24</v>
      </c>
      <c r="Q188" s="125">
        <f>Valores!$C$22</f>
        <v>11037.15</v>
      </c>
      <c r="R188" s="125">
        <f>IF($F$4="NO",Valores!$C$46,Valores!$C$46/2)</f>
        <v>13765.22</v>
      </c>
      <c r="S188" s="125">
        <f>Valores!$C$19</f>
        <v>11511.67</v>
      </c>
      <c r="T188" s="125">
        <f t="shared" si="25"/>
        <v>11511.67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Valores!$C$95</f>
        <v>10910.4</v>
      </c>
      <c r="AA188" s="125">
        <f>Valores!$C$25</f>
        <v>505.99</v>
      </c>
      <c r="AB188" s="214">
        <v>0</v>
      </c>
      <c r="AC188" s="125">
        <f t="shared" si="20"/>
        <v>0</v>
      </c>
      <c r="AD188" s="125">
        <f>Valores!$C$26</f>
        <v>505.99</v>
      </c>
      <c r="AE188" s="192">
        <v>0</v>
      </c>
      <c r="AF188" s="125">
        <f>ROUND(AE188*Valores!$C$2,2)</f>
        <v>0</v>
      </c>
      <c r="AG188" s="125">
        <f>ROUND(IF($F$4="NO",Valores!$C$62,Valores!$C$62/2),2)</f>
        <v>6323.27</v>
      </c>
      <c r="AH188" s="125">
        <f t="shared" si="23"/>
        <v>160598.68999999997</v>
      </c>
      <c r="AI188" s="125">
        <f>Valores!$C$31</f>
        <v>0</v>
      </c>
      <c r="AJ188" s="125">
        <f>Valores!$C$88</f>
        <v>0</v>
      </c>
      <c r="AK188" s="125">
        <f>Valores!C$38*B188</f>
        <v>0</v>
      </c>
      <c r="AL188" s="125">
        <f>IF($F$3="NO",0,Valores!$C$54)</f>
        <v>327.60000000000002</v>
      </c>
      <c r="AM188" s="125">
        <f t="shared" si="21"/>
        <v>327.60000000000002</v>
      </c>
      <c r="AN188" s="125">
        <f>AH188*Valores!$C$70</f>
        <v>-17665.855899999999</v>
      </c>
      <c r="AO188" s="125">
        <f>AH188*-Valores!$C$71</f>
        <v>0</v>
      </c>
      <c r="AP188" s="125">
        <f>AH188*Valores!$C$72</f>
        <v>-7226.9410499999985</v>
      </c>
      <c r="AQ188" s="125">
        <f>Valores!$C$99</f>
        <v>-280.91000000000003</v>
      </c>
      <c r="AR188" s="125">
        <f>IF($F$5=0,Valores!$C$100,(Valores!$C$100+$F$5*(Valores!$C$100)))</f>
        <v>-329</v>
      </c>
      <c r="AS188" s="125">
        <f t="shared" si="24"/>
        <v>135423.58304999999</v>
      </c>
      <c r="AT188" s="125">
        <f t="shared" si="18"/>
        <v>-17665.855899999999</v>
      </c>
      <c r="AU188" s="125">
        <f>AH188*Valores!$C$73</f>
        <v>-4336.1646299999993</v>
      </c>
      <c r="AV188" s="125">
        <f>AH188*Valores!$C$74</f>
        <v>-481.79606999999993</v>
      </c>
      <c r="AW188" s="125">
        <f t="shared" si="22"/>
        <v>138442.47339999999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25773.43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14520.24</v>
      </c>
      <c r="M189" s="125">
        <f>ROUND(IF($H$2=0,IF(AND(A189&lt;&gt;"13-930",A189&lt;&gt;"13-940"),(SUM(F189,H189,J189,L189,X189,T189,R189)*Valores!$C$4),0),0),2)</f>
        <v>9835.58</v>
      </c>
      <c r="N189" s="125">
        <f t="shared" si="19"/>
        <v>0</v>
      </c>
      <c r="O189" s="125">
        <f>Valores!$C$16</f>
        <v>20912.349999999999</v>
      </c>
      <c r="P189" s="125">
        <f>Valores!$D$5</f>
        <v>12371.24</v>
      </c>
      <c r="Q189" s="125">
        <v>0</v>
      </c>
      <c r="R189" s="125">
        <f>IF($F$4="NO",Valores!$C$46,Valores!$C$46/2)</f>
        <v>13765.22</v>
      </c>
      <c r="S189" s="125">
        <f>Valores!$C$19</f>
        <v>11511.67</v>
      </c>
      <c r="T189" s="125">
        <f t="shared" si="25"/>
        <v>11511.67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Valores!$C$95</f>
        <v>10910.4</v>
      </c>
      <c r="AA189" s="125">
        <f>Valores!$C$25</f>
        <v>505.99</v>
      </c>
      <c r="AB189" s="214">
        <v>0</v>
      </c>
      <c r="AC189" s="125">
        <f t="shared" si="20"/>
        <v>0</v>
      </c>
      <c r="AD189" s="125">
        <f>Valores!$C$26</f>
        <v>505.99</v>
      </c>
      <c r="AE189" s="192">
        <v>0</v>
      </c>
      <c r="AF189" s="125">
        <f>ROUND(AE189*Valores!$C$2,2)</f>
        <v>0</v>
      </c>
      <c r="AG189" s="125">
        <f>ROUND(IF($F$4="NO",Valores!$C$62,Valores!$C$62/2),2)</f>
        <v>6323.27</v>
      </c>
      <c r="AH189" s="125">
        <f t="shared" si="23"/>
        <v>126935.38000000002</v>
      </c>
      <c r="AI189" s="125">
        <f>Valores!$C$31</f>
        <v>0</v>
      </c>
      <c r="AJ189" s="125">
        <f>Valores!$C$88</f>
        <v>0</v>
      </c>
      <c r="AK189" s="125">
        <f>Valores!C$38*B189</f>
        <v>0</v>
      </c>
      <c r="AL189" s="125">
        <f>IF($F$3="NO",0,Valores!$C$54)</f>
        <v>327.60000000000002</v>
      </c>
      <c r="AM189" s="125">
        <f t="shared" si="21"/>
        <v>327.60000000000002</v>
      </c>
      <c r="AN189" s="125">
        <f>AH189*Valores!$C$70</f>
        <v>-13962.891800000003</v>
      </c>
      <c r="AO189" s="125">
        <f>AH189*-Valores!$C$71</f>
        <v>0</v>
      </c>
      <c r="AP189" s="125">
        <f>AH189*Valores!$C$72</f>
        <v>-5712.0921000000008</v>
      </c>
      <c r="AQ189" s="125">
        <f>Valores!$C$99</f>
        <v>-280.91000000000003</v>
      </c>
      <c r="AR189" s="125">
        <f>IF($F$5=0,Valores!$C$100,(Valores!$C$100+$F$5*(Valores!$C$100)))</f>
        <v>-329</v>
      </c>
      <c r="AS189" s="125">
        <f t="shared" si="24"/>
        <v>106978.08610000001</v>
      </c>
      <c r="AT189" s="125">
        <f t="shared" si="18"/>
        <v>-13962.891800000003</v>
      </c>
      <c r="AU189" s="125">
        <f>AH189*Valores!$C$73</f>
        <v>-3427.2552600000004</v>
      </c>
      <c r="AV189" s="125">
        <f>AH189*Valores!$C$74</f>
        <v>-380.80614000000008</v>
      </c>
      <c r="AW189" s="125">
        <f t="shared" si="22"/>
        <v>109492.02680000002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23498.59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15972.26</v>
      </c>
      <c r="M190" s="125">
        <f>ROUND(IF($H$2=0,IF(AND(A190&lt;&gt;"13-930",A190&lt;&gt;"13-940"),(SUM(F190,H190,J190,L190,X190,T190,R190)*Valores!$C$4),0),0),2)</f>
        <v>9017.85</v>
      </c>
      <c r="N190" s="125">
        <f t="shared" si="19"/>
        <v>0</v>
      </c>
      <c r="O190" s="125">
        <f>Valores!$C$16</f>
        <v>20912.349999999999</v>
      </c>
      <c r="P190" s="125">
        <f>Valores!$D$5</f>
        <v>12371.24</v>
      </c>
      <c r="Q190" s="125">
        <f>Valores!$C$23</f>
        <v>10272.65</v>
      </c>
      <c r="R190" s="125">
        <f>IF($F$4="NO",Valores!$C$43,Valores!$C$43/2)</f>
        <v>9136.5</v>
      </c>
      <c r="S190" s="125">
        <f>Valores!$C$19</f>
        <v>11511.67</v>
      </c>
      <c r="T190" s="125">
        <f t="shared" si="25"/>
        <v>11511.67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Valores!$C$93</f>
        <v>5455.2</v>
      </c>
      <c r="AA190" s="125">
        <f>Valores!$C$25</f>
        <v>505.99</v>
      </c>
      <c r="AB190" s="214">
        <v>0</v>
      </c>
      <c r="AC190" s="125">
        <f t="shared" si="20"/>
        <v>0</v>
      </c>
      <c r="AD190" s="125">
        <f>Valores!$C$26</f>
        <v>505.99</v>
      </c>
      <c r="AE190" s="192">
        <v>0</v>
      </c>
      <c r="AF190" s="125">
        <f>ROUND(AE190*Valores!$C$2,2)</f>
        <v>0</v>
      </c>
      <c r="AG190" s="125">
        <f>ROUND(IF($F$4="NO",Valores!$C$62,Valores!$C$62/2),2)</f>
        <v>6323.27</v>
      </c>
      <c r="AH190" s="125">
        <f t="shared" si="23"/>
        <v>125483.56</v>
      </c>
      <c r="AI190" s="125">
        <f>Valores!$C$31</f>
        <v>0</v>
      </c>
      <c r="AJ190" s="125">
        <f>Valores!$C$86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AH190*Valores!$C$70</f>
        <v>-13803.1916</v>
      </c>
      <c r="AO190" s="125">
        <f>AH190*-Valores!$C$71</f>
        <v>0</v>
      </c>
      <c r="AP190" s="125">
        <f>AH190*Valores!$C$72</f>
        <v>-5646.7601999999997</v>
      </c>
      <c r="AQ190" s="125">
        <f>Valores!$C$99</f>
        <v>-280.91000000000003</v>
      </c>
      <c r="AR190" s="125">
        <f>IF($F$5=0,Valores!$C$100,(Valores!$C$100+$F$5*(Valores!$C$100)))</f>
        <v>-329</v>
      </c>
      <c r="AS190" s="125">
        <f t="shared" si="24"/>
        <v>105423.6982</v>
      </c>
      <c r="AT190" s="125">
        <f t="shared" si="18"/>
        <v>-13803.1916</v>
      </c>
      <c r="AU190" s="125">
        <f>AH190*Valores!$C$73</f>
        <v>-3388.0561199999997</v>
      </c>
      <c r="AV190" s="125">
        <f>AH190*Valores!$C$74</f>
        <v>-376.45067999999998</v>
      </c>
      <c r="AW190" s="125">
        <f t="shared" si="22"/>
        <v>107915.8616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2395.84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467.64</v>
      </c>
      <c r="N191" s="125">
        <f t="shared" si="19"/>
        <v>0</v>
      </c>
      <c r="O191" s="125">
        <f>Valores!$C$7*B191</f>
        <v>820.71</v>
      </c>
      <c r="P191" s="125">
        <f>ROUND(IF(B191&lt;15,(Valores!$E$5*B191),Valores!$D$5),2)</f>
        <v>824.75</v>
      </c>
      <c r="Q191" s="125">
        <v>0</v>
      </c>
      <c r="R191" s="125">
        <f>IF($F$4="NO",IF(Valores!$C$48*B191&gt;Valores!$C$45,Valores!$C$45,Valores!$C$48*B191),IF(Valores!$C$48*B191&gt;Valores!$C$45,Valores!$C$45,Valores!$C$48*B191)/2)</f>
        <v>463.62</v>
      </c>
      <c r="S191" s="125">
        <f>Valores!$C$18*B191</f>
        <v>258.13</v>
      </c>
      <c r="T191" s="125">
        <f t="shared" si="25"/>
        <v>258.13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IF(Valores!$C$96*B191&gt;Valores!$C$95,Valores!$C$95,Valores!$C$96*B191)</f>
        <v>279.94</v>
      </c>
      <c r="AA191" s="125">
        <f>IF((Valores!$C$28)*B191&gt;Valores!$F$28,Valores!$F$28,(Valores!$C$28)*B191)</f>
        <v>20.27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16.88</v>
      </c>
      <c r="AE191" s="192">
        <v>0</v>
      </c>
      <c r="AF191" s="125">
        <f>ROUND(AE191*Valores!$C$2,2)</f>
        <v>0</v>
      </c>
      <c r="AG191" s="125">
        <f>IF($F$4="NO",IF(Valores!$D$62*'Escala Docente'!B191&gt;Valores!$F$62,Valores!$F$62,Valores!$D$62*'Escala Docente'!B191),IF(Valores!$D$62*'Escala Docente'!B191&gt;Valores!$F$62,Valores!$F$62,Valores!$D$62*'Escala Docente'!B191)/2)</f>
        <v>421.55</v>
      </c>
      <c r="AH191" s="125">
        <f t="shared" si="23"/>
        <v>5969.3300000000008</v>
      </c>
      <c r="AI191" s="125">
        <f>IF(Valores!$C$32*B191&gt;Valores!$F$32,Valores!$F$32,Valores!$C$32*B191)</f>
        <v>0</v>
      </c>
      <c r="AJ191" s="125">
        <f>IF(Valores!$C$89*B191&gt;Valores!$C$88,Valores!$C$88,Valores!$C$89*B191)</f>
        <v>0</v>
      </c>
      <c r="AK191" s="125">
        <f>Valores!C$39*B191</f>
        <v>0</v>
      </c>
      <c r="AL191" s="125">
        <f>IF($F$3="NO",0,IF(Valores!$C$60*B191&gt;Valores!$F$60,Valores!$F$60,Valores!$C$60*B191))</f>
        <v>14.195</v>
      </c>
      <c r="AM191" s="125">
        <f t="shared" si="21"/>
        <v>14.195</v>
      </c>
      <c r="AN191" s="125">
        <f>AH191*Valores!$C$70</f>
        <v>-656.62630000000013</v>
      </c>
      <c r="AO191" s="125">
        <f>AH191*-Valores!$C$71</f>
        <v>0</v>
      </c>
      <c r="AP191" s="125">
        <f>AH191*Valores!$C$72</f>
        <v>-268.61985000000004</v>
      </c>
      <c r="AQ191" s="125">
        <f>Valores!$C$99</f>
        <v>-280.91000000000003</v>
      </c>
      <c r="AR191" s="125">
        <f>IF($F$5=0,Valores!$C$100,(Valores!$C$100+$F$5*(Valores!$C$100)))</f>
        <v>-329</v>
      </c>
      <c r="AS191" s="125">
        <f t="shared" si="24"/>
        <v>4448.3688500000007</v>
      </c>
      <c r="AT191" s="125">
        <f t="shared" si="18"/>
        <v>-656.62630000000013</v>
      </c>
      <c r="AU191" s="125">
        <f>AH191*Valores!$C$73</f>
        <v>-161.17191000000003</v>
      </c>
      <c r="AV191" s="125">
        <f>AH191*Valores!$C$74</f>
        <v>-17.907990000000002</v>
      </c>
      <c r="AW191" s="125">
        <f t="shared" si="22"/>
        <v>5147.8188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4791.68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935.28</v>
      </c>
      <c r="N192" s="125">
        <f t="shared" si="19"/>
        <v>0</v>
      </c>
      <c r="O192" s="125">
        <f>Valores!$C$7*B192</f>
        <v>1641.42</v>
      </c>
      <c r="P192" s="125">
        <f>ROUND(IF(B192&lt;15,(Valores!$E$5*B192),Valores!$D$5),2)</f>
        <v>1649.5</v>
      </c>
      <c r="Q192" s="125">
        <v>0</v>
      </c>
      <c r="R192" s="125">
        <f>IF($F$4="NO",IF(Valores!$C$48*B192&gt;Valores!$C$45,Valores!$C$45,Valores!$C$48*B192),IF(Valores!$C$48*B192&gt;Valores!$C$45,Valores!$C$45,Valores!$C$48*B192)/2)</f>
        <v>927.24</v>
      </c>
      <c r="S192" s="125">
        <f>Valores!$C$18*B192</f>
        <v>516.26</v>
      </c>
      <c r="T192" s="125">
        <f t="shared" si="25"/>
        <v>516.26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IF(Valores!$C$96*B192&gt;Valores!$C$95,Valores!$C$95,Valores!$C$96*B192)</f>
        <v>559.88</v>
      </c>
      <c r="AA192" s="125">
        <f>IF((Valores!$C$28)*B192&gt;Valores!$F$28,Valores!$F$28,(Valores!$C$28)*B192)</f>
        <v>40.54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33.76</v>
      </c>
      <c r="AE192" s="192">
        <v>0</v>
      </c>
      <c r="AF192" s="125">
        <f>ROUND(AE192*Valores!$C$2,2)</f>
        <v>0</v>
      </c>
      <c r="AG192" s="125">
        <f>IF($F$4="NO",IF(Valores!$D$62*'Escala Docente'!B192&gt;Valores!$F$62,Valores!$F$62,Valores!$D$62*'Escala Docente'!B192),IF(Valores!$D$62*'Escala Docente'!B192&gt;Valores!$F$62,Valores!$F$62,Valores!$D$62*'Escala Docente'!B192)/2)</f>
        <v>843.1</v>
      </c>
      <c r="AH192" s="125">
        <f t="shared" si="23"/>
        <v>11938.660000000002</v>
      </c>
      <c r="AI192" s="125">
        <f>IF(Valores!$C$32*B192&gt;Valores!$F$32,Valores!$F$32,Valores!$C$32*B192)</f>
        <v>0</v>
      </c>
      <c r="AJ192" s="125">
        <f>IF(Valores!$C$89*B192&gt;Valores!$C$88,Valores!$C$88,Valores!$C$89*B192)</f>
        <v>0</v>
      </c>
      <c r="AK192" s="125">
        <f>Valores!C$39*B192</f>
        <v>0</v>
      </c>
      <c r="AL192" s="125">
        <f>IF($F$3="NO",0,IF(Valores!$C$60*B192&gt;Valores!$F$60,Valores!$F$60,Valores!$C$60*B192))</f>
        <v>28.39</v>
      </c>
      <c r="AM192" s="125">
        <f t="shared" si="21"/>
        <v>28.39</v>
      </c>
      <c r="AN192" s="125">
        <f>AH192*Valores!$C$70</f>
        <v>-1313.2526000000003</v>
      </c>
      <c r="AO192" s="125">
        <f>AH192*-Valores!$C$71</f>
        <v>0</v>
      </c>
      <c r="AP192" s="125">
        <f>AH192*Valores!$C$72</f>
        <v>-537.23970000000008</v>
      </c>
      <c r="AQ192" s="125">
        <f>Valores!$C$99</f>
        <v>-280.91000000000003</v>
      </c>
      <c r="AR192" s="125">
        <f>IF($F$5=0,Valores!$C$100,(Valores!$C$100+$F$5*(Valores!$C$100)))</f>
        <v>-329</v>
      </c>
      <c r="AS192" s="125">
        <f t="shared" si="24"/>
        <v>9506.6477000000014</v>
      </c>
      <c r="AT192" s="125">
        <f t="shared" si="18"/>
        <v>-1313.2526000000003</v>
      </c>
      <c r="AU192" s="125">
        <f>AH192*Valores!$C$73</f>
        <v>-322.34382000000005</v>
      </c>
      <c r="AV192" s="125">
        <f>AH192*Valores!$C$74</f>
        <v>-35.815980000000003</v>
      </c>
      <c r="AW192" s="125">
        <f t="shared" si="22"/>
        <v>10295.6376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7187.52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1402.92</v>
      </c>
      <c r="N193" s="125">
        <f t="shared" si="19"/>
        <v>0</v>
      </c>
      <c r="O193" s="125">
        <f>Valores!$C$7*B193</f>
        <v>2462.13</v>
      </c>
      <c r="P193" s="125">
        <f>ROUND(IF(B193&lt;15,(Valores!$E$5*B193),Valores!$D$5),2)</f>
        <v>2474.25</v>
      </c>
      <c r="Q193" s="125">
        <v>0</v>
      </c>
      <c r="R193" s="125">
        <f>IF($F$4="NO",IF(Valores!$C$48*B193&gt;Valores!$C$45,Valores!$C$45,Valores!$C$48*B193),IF(Valores!$C$48*B193&gt;Valores!$C$45,Valores!$C$45,Valores!$C$48*B193)/2)</f>
        <v>1390.8600000000001</v>
      </c>
      <c r="S193" s="125">
        <f>Valores!$C$18*B193</f>
        <v>774.39</v>
      </c>
      <c r="T193" s="125">
        <f t="shared" si="25"/>
        <v>774.39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IF(Valores!$C$96*B193&gt;Valores!$C$95,Valores!$C$95,Valores!$C$96*B193)</f>
        <v>839.81999999999994</v>
      </c>
      <c r="AA193" s="125">
        <f>IF((Valores!$C$28)*B193&gt;Valores!$F$28,Valores!$F$28,(Valores!$C$28)*B193)</f>
        <v>60.81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50.64</v>
      </c>
      <c r="AE193" s="192">
        <v>0</v>
      </c>
      <c r="AF193" s="125">
        <f>ROUND(AE193*Valores!$C$2,2)</f>
        <v>0</v>
      </c>
      <c r="AG193" s="125">
        <f>IF($F$4="NO",IF(Valores!$D$62*'Escala Docente'!B193&gt;Valores!$F$62,Valores!$F$62,Valores!$D$62*'Escala Docente'!B193),IF(Valores!$D$62*'Escala Docente'!B193&gt;Valores!$F$62,Valores!$F$62,Valores!$D$62*'Escala Docente'!B193)/2)</f>
        <v>1264.6500000000001</v>
      </c>
      <c r="AH193" s="125">
        <f t="shared" si="23"/>
        <v>17907.990000000002</v>
      </c>
      <c r="AI193" s="125">
        <f>IF(Valores!$C$32*B193&gt;Valores!$F$32,Valores!$F$32,Valores!$C$32*B193)</f>
        <v>0</v>
      </c>
      <c r="AJ193" s="125">
        <f>IF(Valores!$C$89*B193&gt;Valores!$C$88,Valores!$C$88,Valores!$C$89*B193)</f>
        <v>0</v>
      </c>
      <c r="AK193" s="125">
        <f>Valores!C$39*B193</f>
        <v>0</v>
      </c>
      <c r="AL193" s="125">
        <f>IF($F$3="NO",0,IF(Valores!$C$60*B193&gt;Valores!$F$60,Valores!$F$60,Valores!$C$60*B193))</f>
        <v>42.585000000000001</v>
      </c>
      <c r="AM193" s="125">
        <f t="shared" si="21"/>
        <v>42.585000000000001</v>
      </c>
      <c r="AN193" s="125">
        <f>AH193*Valores!$C$70</f>
        <v>-1969.8789000000002</v>
      </c>
      <c r="AO193" s="125">
        <f>AH193*-Valores!$C$71</f>
        <v>0</v>
      </c>
      <c r="AP193" s="125">
        <f>AH193*Valores!$C$72</f>
        <v>-805.85955000000001</v>
      </c>
      <c r="AQ193" s="125">
        <f>Valores!$C$99</f>
        <v>-280.91000000000003</v>
      </c>
      <c r="AR193" s="125">
        <f>IF($F$5=0,Valores!$C$100,(Valores!$C$100+$F$5*(Valores!$C$100)))</f>
        <v>-329</v>
      </c>
      <c r="AS193" s="125">
        <f t="shared" si="24"/>
        <v>14564.926550000002</v>
      </c>
      <c r="AT193" s="125">
        <f t="shared" si="18"/>
        <v>-1969.8789000000002</v>
      </c>
      <c r="AU193" s="125">
        <f>AH193*Valores!$C$73</f>
        <v>-483.51573000000002</v>
      </c>
      <c r="AV193" s="125">
        <f>AH193*Valores!$C$74</f>
        <v>-53.723970000000008</v>
      </c>
      <c r="AW193" s="125">
        <f t="shared" si="22"/>
        <v>15443.456400000001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9583.36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1870.55</v>
      </c>
      <c r="N194" s="125">
        <f t="shared" si="19"/>
        <v>0</v>
      </c>
      <c r="O194" s="125">
        <f>Valores!$C$7*B194</f>
        <v>3282.84</v>
      </c>
      <c r="P194" s="125">
        <f>ROUND(IF(B194&lt;15,(Valores!$E$5*B194),Valores!$D$5),2)</f>
        <v>3299</v>
      </c>
      <c r="Q194" s="125">
        <v>0</v>
      </c>
      <c r="R194" s="125">
        <f>IF($F$4="NO",IF(Valores!$C$48*B194&gt;Valores!$C$45,Valores!$C$45,Valores!$C$48*B194),IF(Valores!$C$48*B194&gt;Valores!$C$45,Valores!$C$45,Valores!$C$48*B194)/2)</f>
        <v>1854.48</v>
      </c>
      <c r="S194" s="125">
        <f>Valores!$C$18*B194</f>
        <v>1032.52</v>
      </c>
      <c r="T194" s="125">
        <f t="shared" si="25"/>
        <v>1032.52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IF(Valores!$C$96*B194&gt;Valores!$C$95,Valores!$C$95,Valores!$C$96*B194)</f>
        <v>1119.76</v>
      </c>
      <c r="AA194" s="125">
        <f>IF((Valores!$C$28)*B194&gt;Valores!$F$28,Valores!$F$28,(Valores!$C$28)*B194)</f>
        <v>81.08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67.52</v>
      </c>
      <c r="AE194" s="192">
        <v>0</v>
      </c>
      <c r="AF194" s="125">
        <f>ROUND(AE194*Valores!$C$2,2)</f>
        <v>0</v>
      </c>
      <c r="AG194" s="125">
        <f>IF($F$4="NO",IF(Valores!$D$62*'Escala Docente'!B194&gt;Valores!$F$62,Valores!$F$62,Valores!$D$62*'Escala Docente'!B194),IF(Valores!$D$62*'Escala Docente'!B194&gt;Valores!$F$62,Valores!$F$62,Valores!$D$62*'Escala Docente'!B194)/2)</f>
        <v>1686.2</v>
      </c>
      <c r="AH194" s="125">
        <f t="shared" si="23"/>
        <v>23877.31</v>
      </c>
      <c r="AI194" s="125">
        <f>IF(Valores!$C$32*B194&gt;Valores!$F$32,Valores!$F$32,Valores!$C$32*B194)</f>
        <v>0</v>
      </c>
      <c r="AJ194" s="125">
        <f>IF(Valores!$C$89*B194&gt;Valores!$C$88,Valores!$C$88,Valores!$C$89*B194)</f>
        <v>0</v>
      </c>
      <c r="AK194" s="125">
        <f>Valores!C$39*B194</f>
        <v>0</v>
      </c>
      <c r="AL194" s="125">
        <f>IF($F$3="NO",0,IF(Valores!$C$60*B194&gt;Valores!$F$60,Valores!$F$60,Valores!$C$60*B194))</f>
        <v>56.78</v>
      </c>
      <c r="AM194" s="125">
        <f t="shared" si="21"/>
        <v>56.78</v>
      </c>
      <c r="AN194" s="125">
        <f>AH194*Valores!$C$70</f>
        <v>-2626.5041000000001</v>
      </c>
      <c r="AO194" s="125">
        <f>AH194*-Valores!$C$71</f>
        <v>0</v>
      </c>
      <c r="AP194" s="125">
        <f>AH194*Valores!$C$72</f>
        <v>-1074.4789499999999</v>
      </c>
      <c r="AQ194" s="125">
        <f>Valores!$C$99</f>
        <v>-280.91000000000003</v>
      </c>
      <c r="AR194" s="125">
        <f>IF($F$5=0,Valores!$C$100,(Valores!$C$100+$F$5*(Valores!$C$100)))</f>
        <v>-329</v>
      </c>
      <c r="AS194" s="125">
        <f t="shared" si="24"/>
        <v>19623.196950000001</v>
      </c>
      <c r="AT194" s="125">
        <f t="shared" si="18"/>
        <v>-2626.5041000000001</v>
      </c>
      <c r="AU194" s="125">
        <f>AH194*Valores!$C$73</f>
        <v>-644.68736999999999</v>
      </c>
      <c r="AV194" s="125">
        <f>AH194*Valores!$C$74</f>
        <v>-71.631930000000011</v>
      </c>
      <c r="AW194" s="125">
        <f t="shared" si="22"/>
        <v>20591.266599999999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11979.2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2338.19</v>
      </c>
      <c r="N195" s="125">
        <f t="shared" si="19"/>
        <v>0</v>
      </c>
      <c r="O195" s="125">
        <f>Valores!$C$7*B195</f>
        <v>4103.55</v>
      </c>
      <c r="P195" s="125">
        <f>ROUND(IF(B195&lt;15,(Valores!$E$5*B195),Valores!$D$5),2)</f>
        <v>4123.75</v>
      </c>
      <c r="Q195" s="125">
        <v>0</v>
      </c>
      <c r="R195" s="125">
        <f>IF($F$4="NO",IF(Valores!$C$48*B195&gt;Valores!$C$45,Valores!$C$45,Valores!$C$48*B195),IF(Valores!$C$48*B195&gt;Valores!$C$45,Valores!$C$45,Valores!$C$48*B195)/2)</f>
        <v>2318.1</v>
      </c>
      <c r="S195" s="125">
        <f>Valores!$C$18*B195</f>
        <v>1290.6500000000001</v>
      </c>
      <c r="T195" s="125">
        <f t="shared" si="25"/>
        <v>1290.6500000000001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IF(Valores!$C$96*B195&gt;Valores!$C$95,Valores!$C$95,Valores!$C$96*B195)</f>
        <v>1399.7</v>
      </c>
      <c r="AA195" s="125">
        <f>IF((Valores!$C$28)*B195&gt;Valores!$F$28,Valores!$F$28,(Valores!$C$28)*B195)</f>
        <v>101.35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84.399999999999991</v>
      </c>
      <c r="AE195" s="192">
        <v>0</v>
      </c>
      <c r="AF195" s="125">
        <f>ROUND(AE195*Valores!$C$2,2)</f>
        <v>0</v>
      </c>
      <c r="AG195" s="125">
        <f>IF($F$4="NO",IF(Valores!$D$62*'Escala Docente'!B195&gt;Valores!$F$62,Valores!$F$62,Valores!$D$62*'Escala Docente'!B195),IF(Valores!$D$62*'Escala Docente'!B195&gt;Valores!$F$62,Valores!$F$62,Valores!$D$62*'Escala Docente'!B195)/2)</f>
        <v>2107.75</v>
      </c>
      <c r="AH195" s="125">
        <f t="shared" si="23"/>
        <v>29846.640000000003</v>
      </c>
      <c r="AI195" s="125">
        <f>IF(Valores!$C$32*B195&gt;Valores!$F$32,Valores!$F$32,Valores!$C$32*B195)</f>
        <v>0</v>
      </c>
      <c r="AJ195" s="125">
        <f>IF(Valores!$C$89*B195&gt;Valores!$C$88,Valores!$C$88,Valores!$C$89*B195)</f>
        <v>0</v>
      </c>
      <c r="AK195" s="125">
        <f>Valores!C$39*B195</f>
        <v>0</v>
      </c>
      <c r="AL195" s="125">
        <f>IF($F$3="NO",0,IF(Valores!$C$60*B195&gt;Valores!$F$60,Valores!$F$60,Valores!$C$60*B195))</f>
        <v>70.974999999999994</v>
      </c>
      <c r="AM195" s="125">
        <f t="shared" si="21"/>
        <v>70.974999999999994</v>
      </c>
      <c r="AN195" s="125">
        <f>AH195*Valores!$C$70</f>
        <v>-3283.1304000000005</v>
      </c>
      <c r="AO195" s="125">
        <f>AH195*-Valores!$C$71</f>
        <v>0</v>
      </c>
      <c r="AP195" s="125">
        <f>AH195*Valores!$C$72</f>
        <v>-1343.0988</v>
      </c>
      <c r="AQ195" s="125">
        <f>Valores!$C$99</f>
        <v>-280.91000000000003</v>
      </c>
      <c r="AR195" s="125">
        <f>IF($F$5=0,Valores!$C$100,(Valores!$C$100+$F$5*(Valores!$C$100)))</f>
        <v>-329</v>
      </c>
      <c r="AS195" s="125">
        <f t="shared" si="24"/>
        <v>24681.475800000004</v>
      </c>
      <c r="AT195" s="125">
        <f t="shared" si="18"/>
        <v>-3283.1304000000005</v>
      </c>
      <c r="AU195" s="125">
        <f>AH195*Valores!$C$73</f>
        <v>-805.85928000000013</v>
      </c>
      <c r="AV195" s="125">
        <f>AH195*Valores!$C$74</f>
        <v>-89.539920000000009</v>
      </c>
      <c r="AW195" s="125">
        <f t="shared" si="22"/>
        <v>25739.0854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14375.04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2805.83</v>
      </c>
      <c r="N196" s="125">
        <f t="shared" si="19"/>
        <v>0</v>
      </c>
      <c r="O196" s="125">
        <f>Valores!$C$7*B196</f>
        <v>4924.26</v>
      </c>
      <c r="P196" s="125">
        <f>ROUND(IF(B196&lt;15,(Valores!$E$5*B196),Valores!$D$5),2)</f>
        <v>4948.5</v>
      </c>
      <c r="Q196" s="125">
        <v>0</v>
      </c>
      <c r="R196" s="125">
        <f>IF($F$4="NO",IF(Valores!$C$48*B196&gt;Valores!$C$45,Valores!$C$45,Valores!$C$48*B196),IF(Valores!$C$48*B196&gt;Valores!$C$45,Valores!$C$45,Valores!$C$48*B196)/2)</f>
        <v>2781.7200000000003</v>
      </c>
      <c r="S196" s="125">
        <f>Valores!$C$18*B196</f>
        <v>1548.78</v>
      </c>
      <c r="T196" s="125">
        <f t="shared" si="25"/>
        <v>1548.78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IF(Valores!$C$96*B196&gt;Valores!$C$95,Valores!$C$95,Valores!$C$96*B196)</f>
        <v>1679.6399999999999</v>
      </c>
      <c r="AA196" s="125">
        <f>IF((Valores!$C$28)*B196&gt;Valores!$F$28,Valores!$F$28,(Valores!$C$28)*B196)</f>
        <v>121.62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101.28</v>
      </c>
      <c r="AE196" s="192">
        <v>0</v>
      </c>
      <c r="AF196" s="125">
        <f>ROUND(AE196*Valores!$C$2,2)</f>
        <v>0</v>
      </c>
      <c r="AG196" s="125">
        <f>IF($F$4="NO",IF(Valores!$D$62*'Escala Docente'!B196&gt;Valores!$F$62,Valores!$F$62,Valores!$D$62*'Escala Docente'!B196),IF(Valores!$D$62*'Escala Docente'!B196&gt;Valores!$F$62,Valores!$F$62,Valores!$D$62*'Escala Docente'!B196)/2)</f>
        <v>2529.3000000000002</v>
      </c>
      <c r="AH196" s="125">
        <f t="shared" si="23"/>
        <v>35815.970000000008</v>
      </c>
      <c r="AI196" s="125">
        <f>IF(Valores!$C$32*B196&gt;Valores!$F$32,Valores!$F$32,Valores!$C$32*B196)</f>
        <v>0</v>
      </c>
      <c r="AJ196" s="125">
        <f>IF(Valores!$C$89*B196&gt;Valores!$C$88,Valores!$C$88,Valores!$C$89*B196)</f>
        <v>0</v>
      </c>
      <c r="AK196" s="125">
        <f>Valores!C$39*B196</f>
        <v>0</v>
      </c>
      <c r="AL196" s="125">
        <f>IF($F$3="NO",0,IF(Valores!$C$60*B196&gt;Valores!$F$60,Valores!$F$60,Valores!$C$60*B196))</f>
        <v>85.17</v>
      </c>
      <c r="AM196" s="125">
        <f t="shared" si="21"/>
        <v>85.17</v>
      </c>
      <c r="AN196" s="125">
        <f>AH196*Valores!$C$70</f>
        <v>-3939.7567000000008</v>
      </c>
      <c r="AO196" s="125">
        <f>AH196*-Valores!$C$71</f>
        <v>0</v>
      </c>
      <c r="AP196" s="125">
        <f>AH196*Valores!$C$72</f>
        <v>-1611.7186500000003</v>
      </c>
      <c r="AQ196" s="125">
        <f>Valores!$C$99</f>
        <v>-280.91000000000003</v>
      </c>
      <c r="AR196" s="125">
        <f>IF($F$5=0,Valores!$C$100,(Valores!$C$100+$F$5*(Valores!$C$100)))</f>
        <v>-329</v>
      </c>
      <c r="AS196" s="125">
        <f t="shared" si="24"/>
        <v>29739.75465000001</v>
      </c>
      <c r="AT196" s="125">
        <f t="shared" si="18"/>
        <v>-3939.7567000000008</v>
      </c>
      <c r="AU196" s="125">
        <f>AH196*Valores!$C$73</f>
        <v>-967.03119000000027</v>
      </c>
      <c r="AV196" s="125">
        <f>AH196*Valores!$C$74</f>
        <v>-107.44791000000002</v>
      </c>
      <c r="AW196" s="125">
        <f t="shared" si="22"/>
        <v>30886.904200000004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16770.88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3273.47</v>
      </c>
      <c r="N197" s="125">
        <f t="shared" si="19"/>
        <v>0</v>
      </c>
      <c r="O197" s="125">
        <f>Valores!$C$7*B197</f>
        <v>5744.97</v>
      </c>
      <c r="P197" s="125">
        <f>ROUND(IF(B197&lt;15,(Valores!$E$5*B197),Valores!$D$5),2)</f>
        <v>5773.25</v>
      </c>
      <c r="Q197" s="125">
        <v>0</v>
      </c>
      <c r="R197" s="125">
        <f>IF($F$4="NO",IF(Valores!$C$48*B197&gt;Valores!$C$45,Valores!$C$45,Valores!$C$48*B197),IF(Valores!$C$48*B197&gt;Valores!$C$45,Valores!$C$45,Valores!$C$48*B197)/2)</f>
        <v>3245.34</v>
      </c>
      <c r="S197" s="125">
        <f>Valores!$C$18*B197</f>
        <v>1806.9099999999999</v>
      </c>
      <c r="T197" s="125">
        <f t="shared" si="25"/>
        <v>1806.91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IF(Valores!$C$96*B197&gt;Valores!$C$95,Valores!$C$95,Valores!$C$96*B197)</f>
        <v>1959.58</v>
      </c>
      <c r="AA197" s="125">
        <f>IF((Valores!$C$28)*B197&gt;Valores!$F$28,Valores!$F$28,(Valores!$C$28)*B197)</f>
        <v>141.88999999999999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118.16</v>
      </c>
      <c r="AE197" s="192">
        <v>0</v>
      </c>
      <c r="AF197" s="125">
        <f>ROUND(AE197*Valores!$C$2,2)</f>
        <v>0</v>
      </c>
      <c r="AG197" s="125">
        <f>IF($F$4="NO",IF(Valores!$D$62*'Escala Docente'!B197&gt;Valores!$F$62,Valores!$F$62,Valores!$D$62*'Escala Docente'!B197),IF(Valores!$D$62*'Escala Docente'!B197&gt;Valores!$F$62,Valores!$F$62,Valores!$D$62*'Escala Docente'!B197)/2)</f>
        <v>2950.85</v>
      </c>
      <c r="AH197" s="125">
        <f t="shared" si="23"/>
        <v>41785.30000000001</v>
      </c>
      <c r="AI197" s="125">
        <f>IF(Valores!$C$32*B197&gt;Valores!$F$32,Valores!$F$32,Valores!$C$32*B197)</f>
        <v>0</v>
      </c>
      <c r="AJ197" s="125">
        <f>IF(Valores!$C$89*B197&gt;Valores!$C$88,Valores!$C$88,Valores!$C$89*B197)</f>
        <v>0</v>
      </c>
      <c r="AK197" s="125">
        <f>Valores!C$39*B197</f>
        <v>0</v>
      </c>
      <c r="AL197" s="125">
        <f>IF($F$3="NO",0,IF(Valores!$C$60*B197&gt;Valores!$F$60,Valores!$F$60,Valores!$C$60*B197))</f>
        <v>99.365000000000009</v>
      </c>
      <c r="AM197" s="125">
        <f t="shared" si="21"/>
        <v>99.365000000000009</v>
      </c>
      <c r="AN197" s="125">
        <f>AH197*Valores!$C$70</f>
        <v>-4596.3830000000007</v>
      </c>
      <c r="AO197" s="125">
        <f>AH197*-Valores!$C$71</f>
        <v>0</v>
      </c>
      <c r="AP197" s="125">
        <f>AH197*Valores!$C$72</f>
        <v>-1880.3385000000003</v>
      </c>
      <c r="AQ197" s="125">
        <f>Valores!$C$99</f>
        <v>-280.91000000000003</v>
      </c>
      <c r="AR197" s="125">
        <f>IF($F$5=0,Valores!$C$100,(Valores!$C$100+$F$5*(Valores!$C$100)))</f>
        <v>-329</v>
      </c>
      <c r="AS197" s="125">
        <f t="shared" si="24"/>
        <v>34798.033500000005</v>
      </c>
      <c r="AT197" s="125">
        <f t="shared" ref="AT197:AT260" si="29">AN197</f>
        <v>-4596.3830000000007</v>
      </c>
      <c r="AU197" s="125">
        <f>AH197*Valores!$C$73</f>
        <v>-1128.2031000000002</v>
      </c>
      <c r="AV197" s="125">
        <f>AH197*Valores!$C$74</f>
        <v>-125.35590000000003</v>
      </c>
      <c r="AW197" s="125">
        <f t="shared" si="22"/>
        <v>36034.723000000005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19166.72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3741.11</v>
      </c>
      <c r="N198" s="125">
        <f t="shared" si="19"/>
        <v>0</v>
      </c>
      <c r="O198" s="125">
        <f>Valores!$C$7*B198</f>
        <v>6565.68</v>
      </c>
      <c r="P198" s="125">
        <f>ROUND(IF(B198&lt;15,(Valores!$E$5*B198),Valores!$D$5),2)</f>
        <v>6598</v>
      </c>
      <c r="Q198" s="125">
        <v>0</v>
      </c>
      <c r="R198" s="125">
        <f>IF($F$4="NO",IF(Valores!$C$48*B198&gt;Valores!$C$45,Valores!$C$45,Valores!$C$48*B198),IF(Valores!$C$48*B198&gt;Valores!$C$45,Valores!$C$45,Valores!$C$48*B198)/2)</f>
        <v>3708.96</v>
      </c>
      <c r="S198" s="125">
        <f>Valores!$C$18*B198</f>
        <v>2065.04</v>
      </c>
      <c r="T198" s="125">
        <f t="shared" si="25"/>
        <v>2065.04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IF(Valores!$C$96*B198&gt;Valores!$C$95,Valores!$C$95,Valores!$C$96*B198)</f>
        <v>2239.52</v>
      </c>
      <c r="AA198" s="125">
        <f>IF((Valores!$C$28)*B198&gt;Valores!$F$28,Valores!$F$28,(Valores!$C$28)*B198)</f>
        <v>162.16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135.04</v>
      </c>
      <c r="AE198" s="192">
        <v>0</v>
      </c>
      <c r="AF198" s="125">
        <f>ROUND(AE198*Valores!$C$2,2)</f>
        <v>0</v>
      </c>
      <c r="AG198" s="125">
        <f>IF($F$4="NO",IF(Valores!$D$62*'Escala Docente'!B198&gt;Valores!$F$62,Valores!$F$62,Valores!$D$62*'Escala Docente'!B198),IF(Valores!$D$62*'Escala Docente'!B198&gt;Valores!$F$62,Valores!$F$62,Valores!$D$62*'Escala Docente'!B198)/2)</f>
        <v>3372.4</v>
      </c>
      <c r="AH198" s="125">
        <f t="shared" si="23"/>
        <v>47754.630000000005</v>
      </c>
      <c r="AI198" s="125">
        <f>IF(Valores!$C$32*B198&gt;Valores!$F$32,Valores!$F$32,Valores!$C$32*B198)</f>
        <v>0</v>
      </c>
      <c r="AJ198" s="125">
        <f>IF(Valores!$C$89*B198&gt;Valores!$C$88,Valores!$C$88,Valores!$C$89*B198)</f>
        <v>0</v>
      </c>
      <c r="AK198" s="125">
        <f>Valores!C$39*B198</f>
        <v>0</v>
      </c>
      <c r="AL198" s="125">
        <f>IF($F$3="NO",0,IF(Valores!$C$60*B198&gt;Valores!$F$60,Valores!$F$60,Valores!$C$60*B198))</f>
        <v>113.56</v>
      </c>
      <c r="AM198" s="125">
        <f t="shared" si="21"/>
        <v>113.56</v>
      </c>
      <c r="AN198" s="125">
        <f>AH198*Valores!$C$70</f>
        <v>-5253.0093000000006</v>
      </c>
      <c r="AO198" s="125">
        <f>AH198*-Valores!$C$71</f>
        <v>0</v>
      </c>
      <c r="AP198" s="125">
        <f>AH198*Valores!$C$72</f>
        <v>-2148.9583500000003</v>
      </c>
      <c r="AQ198" s="125">
        <f>Valores!$C$99</f>
        <v>-280.91000000000003</v>
      </c>
      <c r="AR198" s="125">
        <f>IF($F$5=0,Valores!$C$100,(Valores!$C$100+$F$5*(Valores!$C$100)))</f>
        <v>-329</v>
      </c>
      <c r="AS198" s="125">
        <f t="shared" si="24"/>
        <v>39856.312350000007</v>
      </c>
      <c r="AT198" s="125">
        <f t="shared" si="29"/>
        <v>-5253.0093000000006</v>
      </c>
      <c r="AU198" s="125">
        <f>AH198*Valores!$C$73</f>
        <v>-1289.3750100000002</v>
      </c>
      <c r="AV198" s="125">
        <f>AH198*Valores!$C$74</f>
        <v>-143.26389</v>
      </c>
      <c r="AW198" s="125">
        <f t="shared" si="22"/>
        <v>41182.541799999999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21562.560000000001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4208.75</v>
      </c>
      <c r="N199" s="125">
        <f t="shared" si="19"/>
        <v>0</v>
      </c>
      <c r="O199" s="125">
        <f>Valores!$C$7*B199</f>
        <v>7386.39</v>
      </c>
      <c r="P199" s="125">
        <f>ROUND(IF(B199&lt;15,(Valores!$E$5*B199),Valores!$D$5),2)</f>
        <v>7422.75</v>
      </c>
      <c r="Q199" s="125">
        <v>0</v>
      </c>
      <c r="R199" s="125">
        <f>IF($F$4="NO",IF(Valores!$C$48*B199&gt;Valores!$C$45,Valores!$C$45,Valores!$C$48*B199),IF(Valores!$C$48*B199&gt;Valores!$C$45,Valores!$C$45,Valores!$C$48*B199)/2)</f>
        <v>4172.58</v>
      </c>
      <c r="S199" s="125">
        <f>Valores!$C$18*B199</f>
        <v>2323.17</v>
      </c>
      <c r="T199" s="125">
        <f t="shared" si="25"/>
        <v>2323.17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IF(Valores!$C$96*B199&gt;Valores!$C$95,Valores!$C$95,Valores!$C$96*B199)</f>
        <v>2519.46</v>
      </c>
      <c r="AA199" s="125">
        <f>IF((Valores!$C$28)*B199&gt;Valores!$F$28,Valores!$F$28,(Valores!$C$28)*B199)</f>
        <v>182.43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151.91999999999999</v>
      </c>
      <c r="AE199" s="192">
        <v>0</v>
      </c>
      <c r="AF199" s="125">
        <f>ROUND(AE199*Valores!$C$2,2)</f>
        <v>0</v>
      </c>
      <c r="AG199" s="125">
        <f>IF($F$4="NO",IF(Valores!$D$62*'Escala Docente'!B199&gt;Valores!$F$62,Valores!$F$62,Valores!$D$62*'Escala Docente'!B199),IF(Valores!$D$62*'Escala Docente'!B199&gt;Valores!$F$62,Valores!$F$62,Valores!$D$62*'Escala Docente'!B199)/2)</f>
        <v>3793.9500000000003</v>
      </c>
      <c r="AH199" s="125">
        <f t="shared" si="23"/>
        <v>53723.96</v>
      </c>
      <c r="AI199" s="125">
        <f>IF(Valores!$C$32*B199&gt;Valores!$F$32,Valores!$F$32,Valores!$C$32*B199)</f>
        <v>0</v>
      </c>
      <c r="AJ199" s="125">
        <f>IF(Valores!$C$89*B199&gt;Valores!$C$88,Valores!$C$88,Valores!$C$89*B199)</f>
        <v>0</v>
      </c>
      <c r="AK199" s="125">
        <f>Valores!C$39*B199</f>
        <v>0</v>
      </c>
      <c r="AL199" s="125">
        <f>IF($F$3="NO",0,IF(Valores!$C$60*B199&gt;Valores!$F$60,Valores!$F$60,Valores!$C$60*B199))</f>
        <v>127.755</v>
      </c>
      <c r="AM199" s="125">
        <f t="shared" si="21"/>
        <v>127.755</v>
      </c>
      <c r="AN199" s="125">
        <f>AH199*Valores!$C$70</f>
        <v>-5909.6355999999996</v>
      </c>
      <c r="AO199" s="125">
        <f>AH199*-Valores!$C$71</f>
        <v>0</v>
      </c>
      <c r="AP199" s="125">
        <f>AH199*Valores!$C$72</f>
        <v>-2417.5781999999999</v>
      </c>
      <c r="AQ199" s="125">
        <f>Valores!$C$99</f>
        <v>-280.91000000000003</v>
      </c>
      <c r="AR199" s="125">
        <f>IF($F$5=0,Valores!$C$100,(Valores!$C$100+$F$5*(Valores!$C$100)))</f>
        <v>-329</v>
      </c>
      <c r="AS199" s="125">
        <f t="shared" si="24"/>
        <v>44914.591199999995</v>
      </c>
      <c r="AT199" s="125">
        <f t="shared" si="29"/>
        <v>-5909.6355999999996</v>
      </c>
      <c r="AU199" s="125">
        <f>AH199*Valores!$C$73</f>
        <v>-1450.54692</v>
      </c>
      <c r="AV199" s="125">
        <f>AH199*Valores!$C$74</f>
        <v>-161.17187999999999</v>
      </c>
      <c r="AW199" s="125">
        <f t="shared" si="22"/>
        <v>46330.3606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23958.400000000001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4676.3900000000003</v>
      </c>
      <c r="N200" s="125">
        <f t="shared" ref="N200:N263" si="30">ROUND(SUM(F200,H200,J200,L200,X200,R200)*$H$2,2)</f>
        <v>0</v>
      </c>
      <c r="O200" s="125">
        <f>Valores!$C$7*B200</f>
        <v>8207.1</v>
      </c>
      <c r="P200" s="125">
        <f>ROUND(IF(B200&lt;15,(Valores!$E$5*B200),Valores!$D$5),2)</f>
        <v>8247.5</v>
      </c>
      <c r="Q200" s="125">
        <v>0</v>
      </c>
      <c r="R200" s="125">
        <f>IF($F$4="NO",IF(Valores!$C$48*B200&gt;Valores!$C$45,Valores!$C$45,Valores!$C$48*B200),IF(Valores!$C$48*B200&gt;Valores!$C$45,Valores!$C$45,Valores!$C$48*B200)/2)</f>
        <v>4636.2</v>
      </c>
      <c r="S200" s="125">
        <f>Valores!$C$18*B200</f>
        <v>2581.3000000000002</v>
      </c>
      <c r="T200" s="125">
        <f t="shared" si="25"/>
        <v>2581.3000000000002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IF(Valores!$C$96*B200&gt;Valores!$C$95,Valores!$C$95,Valores!$C$96*B200)</f>
        <v>2799.4</v>
      </c>
      <c r="AA200" s="125">
        <f>IF((Valores!$C$28)*B200&gt;Valores!$F$28,Valores!$F$28,(Valores!$C$28)*B200)</f>
        <v>202.7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168.79999999999998</v>
      </c>
      <c r="AE200" s="192">
        <v>0</v>
      </c>
      <c r="AF200" s="125">
        <f>ROUND(AE200*Valores!$C$2,2)</f>
        <v>0</v>
      </c>
      <c r="AG200" s="125">
        <f>IF($F$4="NO",IF(Valores!$D$62*'Escala Docente'!B200&gt;Valores!$F$62,Valores!$F$62,Valores!$D$62*'Escala Docente'!B200),IF(Valores!$D$62*'Escala Docente'!B200&gt;Valores!$F$62,Valores!$F$62,Valores!$D$62*'Escala Docente'!B200)/2)</f>
        <v>4215.5</v>
      </c>
      <c r="AH200" s="125">
        <f t="shared" si="23"/>
        <v>59693.29</v>
      </c>
      <c r="AI200" s="125">
        <f>IF(Valores!$C$32*B200&gt;Valores!$F$32,Valores!$F$32,Valores!$C$32*B200)</f>
        <v>0</v>
      </c>
      <c r="AJ200" s="125">
        <f>IF(Valores!$C$89*B200&gt;Valores!$C$88,Valores!$C$88,Valores!$C$89*B200)</f>
        <v>0</v>
      </c>
      <c r="AK200" s="125">
        <f>Valores!C$39*B200</f>
        <v>0</v>
      </c>
      <c r="AL200" s="125">
        <f>IF($F$3="NO",0,IF(Valores!$C$60*B200&gt;Valores!$F$60,Valores!$F$60,Valores!$C$60*B200))</f>
        <v>141.94999999999999</v>
      </c>
      <c r="AM200" s="125">
        <f t="shared" ref="AM200:AM263" si="32">SUM(AI200:AL200)</f>
        <v>141.94999999999999</v>
      </c>
      <c r="AN200" s="125">
        <f>AH200*Valores!$C$70</f>
        <v>-6566.2619000000004</v>
      </c>
      <c r="AO200" s="125">
        <f>AH200*-Valores!$C$71</f>
        <v>0</v>
      </c>
      <c r="AP200" s="125">
        <f>AH200*Valores!$C$72</f>
        <v>-2686.19805</v>
      </c>
      <c r="AQ200" s="125">
        <f>Valores!$C$99</f>
        <v>-280.91000000000003</v>
      </c>
      <c r="AR200" s="125">
        <f>IF($F$5=0,Valores!$C$100,(Valores!$C$100+$F$5*(Valores!$C$100)))</f>
        <v>-329</v>
      </c>
      <c r="AS200" s="125">
        <f t="shared" si="24"/>
        <v>49972.870049999998</v>
      </c>
      <c r="AT200" s="125">
        <f t="shared" si="29"/>
        <v>-6566.2619000000004</v>
      </c>
      <c r="AU200" s="125">
        <f>AH200*Valores!$C$73</f>
        <v>-1611.71883</v>
      </c>
      <c r="AV200" s="125">
        <f>AH200*Valores!$C$74</f>
        <v>-179.07987</v>
      </c>
      <c r="AW200" s="125">
        <f t="shared" ref="AW200:AW263" si="33">AH200+AM200+SUM(AT200:AV200)</f>
        <v>51478.179399999994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26354.240000000002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5144.0200000000004</v>
      </c>
      <c r="N201" s="125">
        <f t="shared" si="30"/>
        <v>0</v>
      </c>
      <c r="O201" s="125">
        <f>Valores!$C$7*B201</f>
        <v>9027.8100000000013</v>
      </c>
      <c r="P201" s="125">
        <f>ROUND(IF(B201&lt;15,(Valores!$E$5*B201),Valores!$D$5),2)</f>
        <v>9072.25</v>
      </c>
      <c r="Q201" s="125">
        <v>0</v>
      </c>
      <c r="R201" s="125">
        <f>IF($F$4="NO",IF(Valores!$C$48*B201&gt;Valores!$C$45,Valores!$C$45,Valores!$C$48*B201),IF(Valores!$C$48*B201&gt;Valores!$C$45,Valores!$C$45,Valores!$C$48*B201)/2)</f>
        <v>5099.82</v>
      </c>
      <c r="S201" s="125">
        <f>Valores!$C$18*B201</f>
        <v>2839.43</v>
      </c>
      <c r="T201" s="125">
        <f t="shared" si="25"/>
        <v>2839.43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IF(Valores!$C$96*B201&gt;Valores!$C$95,Valores!$C$95,Valores!$C$96*B201)</f>
        <v>3079.34</v>
      </c>
      <c r="AA201" s="125">
        <f>IF((Valores!$C$28)*B201&gt;Valores!$F$28,Valores!$F$28,(Valores!$C$28)*B201)</f>
        <v>222.97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185.67999999999998</v>
      </c>
      <c r="AE201" s="192">
        <v>0</v>
      </c>
      <c r="AF201" s="125">
        <f>ROUND(AE201*Valores!$C$2,2)</f>
        <v>0</v>
      </c>
      <c r="AG201" s="125">
        <f>IF($F$4="NO",IF(Valores!$D$62*'Escala Docente'!B201&gt;Valores!$F$62,Valores!$F$62,Valores!$D$62*'Escala Docente'!B201),IF(Valores!$D$62*'Escala Docente'!B201&gt;Valores!$F$62,Valores!$F$62,Valores!$D$62*'Escala Docente'!B201)/2)</f>
        <v>4637.05</v>
      </c>
      <c r="AH201" s="125">
        <f t="shared" ref="AH201:AH264" si="34">SUM(F201,H201,J201,L201,M201,N201,O201,P201,Q201,R201,T201,U201,V201,X201,Y201,Z201,AA201,AC201,AD201,AF201,AG201)</f>
        <v>65662.61</v>
      </c>
      <c r="AI201" s="125">
        <f>IF(Valores!$C$32*B201&gt;Valores!$F$32,Valores!$F$32,Valores!$C$32*B201)</f>
        <v>0</v>
      </c>
      <c r="AJ201" s="125">
        <f>IF(Valores!$C$89*B201&gt;Valores!$C$88,Valores!$C$88,Valores!$C$89*B201)</f>
        <v>0</v>
      </c>
      <c r="AK201" s="125">
        <f>Valores!C$39*B201</f>
        <v>0</v>
      </c>
      <c r="AL201" s="125">
        <f>IF($F$3="NO",0,IF(Valores!$C$60*B201&gt;Valores!$F$60,Valores!$F$60,Valores!$C$60*B201))</f>
        <v>156.14500000000001</v>
      </c>
      <c r="AM201" s="125">
        <f t="shared" si="32"/>
        <v>156.14500000000001</v>
      </c>
      <c r="AN201" s="125">
        <f>AH201*Valores!$C$70</f>
        <v>-7222.8870999999999</v>
      </c>
      <c r="AO201" s="125">
        <f>AH201*-Valores!$C$71</f>
        <v>0</v>
      </c>
      <c r="AP201" s="125">
        <f>AH201*Valores!$C$72</f>
        <v>-2954.81745</v>
      </c>
      <c r="AQ201" s="125">
        <f>Valores!$C$99</f>
        <v>-280.91000000000003</v>
      </c>
      <c r="AR201" s="125">
        <f>IF($F$5=0,Valores!$C$100,(Valores!$C$100+$F$5*(Valores!$C$100)))</f>
        <v>-329</v>
      </c>
      <c r="AS201" s="125">
        <f t="shared" ref="AS201:AS264" si="35">AH201+SUM(AM201:AR201)</f>
        <v>55031.140449999999</v>
      </c>
      <c r="AT201" s="125">
        <f t="shared" si="29"/>
        <v>-7222.8870999999999</v>
      </c>
      <c r="AU201" s="125">
        <f>AH201*Valores!$C$73</f>
        <v>-1772.8904700000001</v>
      </c>
      <c r="AV201" s="125">
        <f>AH201*Valores!$C$74</f>
        <v>-196.98783</v>
      </c>
      <c r="AW201" s="125">
        <f t="shared" si="33"/>
        <v>56625.989600000001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28750.080000000002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5611.66</v>
      </c>
      <c r="N202" s="125">
        <f t="shared" si="30"/>
        <v>0</v>
      </c>
      <c r="O202" s="125">
        <f>Valores!$C$7*B202</f>
        <v>9848.52</v>
      </c>
      <c r="P202" s="125">
        <f>ROUND(IF(B202&lt;15,(Valores!$E$5*B202),Valores!$D$5),2)</f>
        <v>9897</v>
      </c>
      <c r="Q202" s="125">
        <v>0</v>
      </c>
      <c r="R202" s="125">
        <f>IF($F$4="NO",IF(Valores!$C$48*B202&gt;Valores!$C$45,Valores!$C$45,Valores!$C$48*B202),IF(Valores!$C$48*B202&gt;Valores!$C$45,Valores!$C$45,Valores!$C$48*B202)/2)</f>
        <v>5563.4400000000005</v>
      </c>
      <c r="S202" s="125">
        <f>Valores!$C$18*B202</f>
        <v>3097.56</v>
      </c>
      <c r="T202" s="125">
        <f t="shared" si="25"/>
        <v>3097.56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IF(Valores!$C$96*B202&gt;Valores!$C$95,Valores!$C$95,Valores!$C$96*B202)</f>
        <v>3359.2799999999997</v>
      </c>
      <c r="AA202" s="125">
        <f>IF((Valores!$C$28)*B202&gt;Valores!$F$28,Valores!$F$28,(Valores!$C$28)*B202)</f>
        <v>243.24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202.56</v>
      </c>
      <c r="AE202" s="192">
        <v>0</v>
      </c>
      <c r="AF202" s="125">
        <f>ROUND(AE202*Valores!$C$2,2)</f>
        <v>0</v>
      </c>
      <c r="AG202" s="125">
        <f>IF($F$4="NO",IF(Valores!$D$62*'Escala Docente'!B202&gt;Valores!$F$62,Valores!$F$62,Valores!$D$62*'Escala Docente'!B202),IF(Valores!$D$62*'Escala Docente'!B202&gt;Valores!$F$62,Valores!$F$62,Valores!$D$62*'Escala Docente'!B202)/2)</f>
        <v>5058.6000000000004</v>
      </c>
      <c r="AH202" s="125">
        <f t="shared" si="34"/>
        <v>71631.940000000017</v>
      </c>
      <c r="AI202" s="125">
        <f>IF(Valores!$C$32*B202&gt;Valores!$F$32,Valores!$F$32,Valores!$C$32*B202)</f>
        <v>0</v>
      </c>
      <c r="AJ202" s="125">
        <f>IF(Valores!$C$89*B202&gt;Valores!$C$88,Valores!$C$88,Valores!$C$89*B202)</f>
        <v>0</v>
      </c>
      <c r="AK202" s="125">
        <f>Valores!C$39*B202</f>
        <v>0</v>
      </c>
      <c r="AL202" s="125">
        <f>IF($F$3="NO",0,IF(Valores!$C$60*B202&gt;Valores!$F$60,Valores!$F$60,Valores!$C$60*B202))</f>
        <v>170.34</v>
      </c>
      <c r="AM202" s="125">
        <f t="shared" si="32"/>
        <v>170.34</v>
      </c>
      <c r="AN202" s="125">
        <f>AH202*Valores!$C$70</f>
        <v>-7879.5134000000016</v>
      </c>
      <c r="AO202" s="125">
        <f>AH202*-Valores!$C$71</f>
        <v>0</v>
      </c>
      <c r="AP202" s="125">
        <f>AH202*Valores!$C$72</f>
        <v>-3223.4373000000005</v>
      </c>
      <c r="AQ202" s="125">
        <f>Valores!$C$99</f>
        <v>-280.91000000000003</v>
      </c>
      <c r="AR202" s="125">
        <f>IF($F$5=0,Valores!$C$100,(Valores!$C$100+$F$5*(Valores!$C$100)))</f>
        <v>-329</v>
      </c>
      <c r="AS202" s="125">
        <f t="shared" si="35"/>
        <v>60089.419300000016</v>
      </c>
      <c r="AT202" s="125">
        <f t="shared" si="29"/>
        <v>-7879.5134000000016</v>
      </c>
      <c r="AU202" s="125">
        <f>AH202*Valores!$C$73</f>
        <v>-1934.0623800000005</v>
      </c>
      <c r="AV202" s="125">
        <f>AH202*Valores!$C$74</f>
        <v>-214.89582000000004</v>
      </c>
      <c r="AW202" s="125">
        <f t="shared" si="33"/>
        <v>61773.808400000009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31145.91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6079.3</v>
      </c>
      <c r="N203" s="125">
        <f t="shared" si="30"/>
        <v>0</v>
      </c>
      <c r="O203" s="125">
        <f>Valores!$C$7*B203</f>
        <v>10669.23</v>
      </c>
      <c r="P203" s="125">
        <f>ROUND(IF(B203&lt;15,(Valores!$E$5*B203),Valores!$D$5),2)</f>
        <v>10721.75</v>
      </c>
      <c r="Q203" s="125">
        <v>0</v>
      </c>
      <c r="R203" s="125">
        <f>IF($F$4="NO",IF(Valores!$C$48*B203&gt;Valores!$C$45,Valores!$C$45,Valores!$C$48*B203),IF(Valores!$C$48*B203&gt;Valores!$C$45,Valores!$C$45,Valores!$C$48*B203)/2)</f>
        <v>6027.06</v>
      </c>
      <c r="S203" s="125">
        <f>Valores!$C$18*B203</f>
        <v>3355.69</v>
      </c>
      <c r="T203" s="125">
        <f t="shared" ref="T203:T266" si="36">ROUND(S203*(1+$H$2),2)</f>
        <v>3355.69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IF(Valores!$C$96*B203&gt;Valores!$C$95,Valores!$C$95,Valores!$C$96*B203)</f>
        <v>3639.22</v>
      </c>
      <c r="AA203" s="125">
        <f>IF((Valores!$C$28)*B203&gt;Valores!$F$28,Valores!$F$28,(Valores!$C$28)*B203)</f>
        <v>263.51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219.44</v>
      </c>
      <c r="AE203" s="192">
        <v>0</v>
      </c>
      <c r="AF203" s="125">
        <f>ROUND(AE203*Valores!$C$2,2)</f>
        <v>0</v>
      </c>
      <c r="AG203" s="125">
        <f>IF($F$4="NO",IF(Valores!$D$62*'Escala Docente'!B203&gt;Valores!$F$62,Valores!$F$62,Valores!$D$62*'Escala Docente'!B203),IF(Valores!$D$62*'Escala Docente'!B203&gt;Valores!$F$62,Valores!$F$62,Valores!$D$62*'Escala Docente'!B203)/2)</f>
        <v>5480.1500000000005</v>
      </c>
      <c r="AH203" s="125">
        <f t="shared" si="34"/>
        <v>77601.259999999995</v>
      </c>
      <c r="AI203" s="125">
        <f>IF(Valores!$C$32*B203&gt;Valores!$F$32,Valores!$F$32,Valores!$C$32*B203)</f>
        <v>0</v>
      </c>
      <c r="AJ203" s="125">
        <f>IF(Valores!$C$89*B203&gt;Valores!$C$88,Valores!$C$88,Valores!$C$89*B203)</f>
        <v>0</v>
      </c>
      <c r="AK203" s="125">
        <f>Valores!C$39*B203</f>
        <v>0</v>
      </c>
      <c r="AL203" s="125">
        <f>IF($F$3="NO",0,IF(Valores!$C$60*B203&gt;Valores!$F$60,Valores!$F$60,Valores!$C$60*B203))</f>
        <v>184.535</v>
      </c>
      <c r="AM203" s="125">
        <f t="shared" si="32"/>
        <v>184.535</v>
      </c>
      <c r="AN203" s="125">
        <f>AH203*Valores!$C$70</f>
        <v>-8536.1386000000002</v>
      </c>
      <c r="AO203" s="125">
        <f>AH203*-Valores!$C$71</f>
        <v>0</v>
      </c>
      <c r="AP203" s="125">
        <f>AH203*Valores!$C$72</f>
        <v>-3492.0566999999996</v>
      </c>
      <c r="AQ203" s="125">
        <f>Valores!$C$99</f>
        <v>-280.91000000000003</v>
      </c>
      <c r="AR203" s="125">
        <f>IF($F$5=0,Valores!$C$100,(Valores!$C$100+$F$5*(Valores!$C$100)))</f>
        <v>-329</v>
      </c>
      <c r="AS203" s="125">
        <f t="shared" si="35"/>
        <v>65147.689699999995</v>
      </c>
      <c r="AT203" s="125">
        <f t="shared" si="29"/>
        <v>-8536.1386000000002</v>
      </c>
      <c r="AU203" s="125">
        <f>AH203*Valores!$C$73</f>
        <v>-2095.2340199999999</v>
      </c>
      <c r="AV203" s="125">
        <f>AH203*Valores!$C$74</f>
        <v>-232.80377999999999</v>
      </c>
      <c r="AW203" s="125">
        <f t="shared" si="33"/>
        <v>66921.618600000002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33541.75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6546.94</v>
      </c>
      <c r="N204" s="125">
        <f t="shared" si="30"/>
        <v>0</v>
      </c>
      <c r="O204" s="125">
        <f>Valores!$C$7*B204</f>
        <v>11489.94</v>
      </c>
      <c r="P204" s="125">
        <f>ROUND(IF(B204&lt;15,(Valores!$E$5*B204),Valores!$D$5),2)</f>
        <v>11546.5</v>
      </c>
      <c r="Q204" s="125">
        <v>0</v>
      </c>
      <c r="R204" s="125">
        <f>IF($F$4="NO",IF(Valores!$C$48*B204&gt;Valores!$C$45,Valores!$C$45,Valores!$C$48*B204),IF(Valores!$C$48*B204&gt;Valores!$C$45,Valores!$C$45,Valores!$C$48*B204)/2)</f>
        <v>6490.68</v>
      </c>
      <c r="S204" s="125">
        <f>Valores!$C$18*B204</f>
        <v>3613.8199999999997</v>
      </c>
      <c r="T204" s="125">
        <f t="shared" si="36"/>
        <v>3613.82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IF(Valores!$C$96*B204&gt;Valores!$C$95,Valores!$C$95,Valores!$C$96*B204)</f>
        <v>3919.16</v>
      </c>
      <c r="AA204" s="125">
        <f>IF((Valores!$C$28)*B204&gt;Valores!$F$28,Valores!$F$28,(Valores!$C$28)*B204)</f>
        <v>283.77999999999997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236.32</v>
      </c>
      <c r="AE204" s="192">
        <v>0</v>
      </c>
      <c r="AF204" s="125">
        <f>ROUND(AE204*Valores!$C$2,2)</f>
        <v>0</v>
      </c>
      <c r="AG204" s="125">
        <f>IF($F$4="NO",IF(Valores!$D$62*'Escala Docente'!B204&gt;Valores!$F$62,Valores!$F$62,Valores!$D$62*'Escala Docente'!B204),IF(Valores!$D$62*'Escala Docente'!B204&gt;Valores!$F$62,Valores!$F$62,Valores!$D$62*'Escala Docente'!B204)/2)</f>
        <v>5901.7</v>
      </c>
      <c r="AH204" s="125">
        <f t="shared" si="34"/>
        <v>83570.590000000011</v>
      </c>
      <c r="AI204" s="125">
        <f>IF(Valores!$C$32*B204&gt;Valores!$F$32,Valores!$F$32,Valores!$C$32*B204)</f>
        <v>0</v>
      </c>
      <c r="AJ204" s="125">
        <f>IF(Valores!$C$89*B204&gt;Valores!$C$88,Valores!$C$88,Valores!$C$89*B204)</f>
        <v>0</v>
      </c>
      <c r="AK204" s="125">
        <f>Valores!C$39*B204</f>
        <v>0</v>
      </c>
      <c r="AL204" s="125">
        <f>IF($F$3="NO",0,IF(Valores!$C$60*B204&gt;Valores!$F$60,Valores!$F$60,Valores!$C$60*B204))</f>
        <v>198.73000000000002</v>
      </c>
      <c r="AM204" s="125">
        <f t="shared" si="32"/>
        <v>198.73000000000002</v>
      </c>
      <c r="AN204" s="125">
        <f>AH204*Valores!$C$70</f>
        <v>-9192.7649000000019</v>
      </c>
      <c r="AO204" s="125">
        <f>AH204*-Valores!$C$71</f>
        <v>0</v>
      </c>
      <c r="AP204" s="125">
        <f>AH204*Valores!$C$72</f>
        <v>-3760.6765500000001</v>
      </c>
      <c r="AQ204" s="125">
        <f>Valores!$C$99</f>
        <v>-280.91000000000003</v>
      </c>
      <c r="AR204" s="125">
        <f>IF($F$5=0,Valores!$C$100,(Valores!$C$100+$F$5*(Valores!$C$100)))</f>
        <v>-329</v>
      </c>
      <c r="AS204" s="125">
        <f t="shared" si="35"/>
        <v>70205.968550000005</v>
      </c>
      <c r="AT204" s="125">
        <f t="shared" si="29"/>
        <v>-9192.7649000000019</v>
      </c>
      <c r="AU204" s="125">
        <f>AH204*Valores!$C$73</f>
        <v>-2256.4059300000004</v>
      </c>
      <c r="AV204" s="125">
        <f>AH204*Valores!$C$74</f>
        <v>-250.71177000000003</v>
      </c>
      <c r="AW204" s="125">
        <f t="shared" si="33"/>
        <v>72069.43740000001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35937.589999999997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7014.58</v>
      </c>
      <c r="N205" s="125">
        <f t="shared" si="30"/>
        <v>0</v>
      </c>
      <c r="O205" s="125">
        <f>Valores!$C$7*B205</f>
        <v>12310.650000000001</v>
      </c>
      <c r="P205" s="125">
        <f>ROUND(IF(B205&lt;15,(Valores!$E$5*B205),Valores!$D$5),2)</f>
        <v>12371.24</v>
      </c>
      <c r="Q205" s="125">
        <v>0</v>
      </c>
      <c r="R205" s="125">
        <f>IF($F$4="NO",IF(Valores!$C$48*B205&gt;Valores!$C$45,Valores!$C$45,Valores!$C$48*B205),IF(Valores!$C$48*B205&gt;Valores!$C$45,Valores!$C$45,Valores!$C$48*B205)/2)</f>
        <v>6954.3</v>
      </c>
      <c r="S205" s="125">
        <f>Valores!$C$18*B205</f>
        <v>3871.95</v>
      </c>
      <c r="T205" s="125">
        <f t="shared" si="36"/>
        <v>3871.95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IF(Valores!$C$96*B205&gt;Valores!$C$95,Valores!$C$95,Valores!$C$96*B205)</f>
        <v>4199.1000000000004</v>
      </c>
      <c r="AA205" s="125">
        <f>IF((Valores!$C$28)*B205&gt;Valores!$F$28,Valores!$F$28,(Valores!$C$28)*B205)</f>
        <v>304.05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253.2</v>
      </c>
      <c r="AE205" s="192">
        <v>0</v>
      </c>
      <c r="AF205" s="125">
        <f>ROUND(AE205*Valores!$C$2,2)</f>
        <v>0</v>
      </c>
      <c r="AG205" s="125">
        <f>IF($F$4="NO",IF(Valores!$D$62*'Escala Docente'!B205&gt;Valores!$F$62,Valores!$F$62,Valores!$D$62*'Escala Docente'!B205),IF(Valores!$D$62*'Escala Docente'!B205&gt;Valores!$F$62,Valores!$F$62,Valores!$D$62*'Escala Docente'!B205)/2)</f>
        <v>6323.25</v>
      </c>
      <c r="AH205" s="125">
        <f t="shared" si="34"/>
        <v>89539.91</v>
      </c>
      <c r="AI205" s="125">
        <f>IF(Valores!$C$32*B205&gt;Valores!$F$32,Valores!$F$32,Valores!$C$32*B205)</f>
        <v>0</v>
      </c>
      <c r="AJ205" s="125">
        <f>IF(Valores!$C$89*B205&gt;Valores!$C$88,Valores!$C$88,Valores!$C$89*B205)</f>
        <v>0</v>
      </c>
      <c r="AK205" s="125">
        <f>Valores!C$39*B205</f>
        <v>0</v>
      </c>
      <c r="AL205" s="125">
        <f>IF($F$3="NO",0,IF(Valores!$C$60*B205&gt;Valores!$F$60,Valores!$F$60,Valores!$C$60*B205))</f>
        <v>212.92500000000001</v>
      </c>
      <c r="AM205" s="125">
        <f t="shared" si="32"/>
        <v>212.92500000000001</v>
      </c>
      <c r="AN205" s="125">
        <f>AH205*Valores!$C$70</f>
        <v>-9849.3901000000005</v>
      </c>
      <c r="AO205" s="125">
        <f>AH205*-Valores!$C$71</f>
        <v>0</v>
      </c>
      <c r="AP205" s="125">
        <f>AH205*Valores!$C$72</f>
        <v>-4029.2959500000002</v>
      </c>
      <c r="AQ205" s="125">
        <f>Valores!$C$99</f>
        <v>-280.91000000000003</v>
      </c>
      <c r="AR205" s="125">
        <f>IF($F$5=0,Valores!$C$100,(Valores!$C$100+$F$5*(Valores!$C$100)))</f>
        <v>-329</v>
      </c>
      <c r="AS205" s="125">
        <f t="shared" si="35"/>
        <v>75264.238949999999</v>
      </c>
      <c r="AT205" s="125">
        <f t="shared" si="29"/>
        <v>-9849.3901000000005</v>
      </c>
      <c r="AU205" s="125">
        <f>AH205*Valores!$C$73</f>
        <v>-2417.5775699999999</v>
      </c>
      <c r="AV205" s="125">
        <f>AH205*Valores!$C$74</f>
        <v>-268.61973</v>
      </c>
      <c r="AW205" s="125">
        <f t="shared" si="33"/>
        <v>77217.247600000002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38333.43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7482.21</v>
      </c>
      <c r="N206" s="125">
        <f t="shared" si="30"/>
        <v>0</v>
      </c>
      <c r="O206" s="125">
        <f>Valores!$C$7*B206</f>
        <v>13131.36</v>
      </c>
      <c r="P206" s="125">
        <f>ROUND(IF(B206&lt;15,(Valores!$E$5*B206),Valores!$D$5),2)</f>
        <v>12371.24</v>
      </c>
      <c r="Q206" s="125">
        <v>0</v>
      </c>
      <c r="R206" s="125">
        <f>IF($F$4="NO",IF(Valores!$C$48*B206&gt;Valores!$C$45,Valores!$C$45,Valores!$C$48*B206),IF(Valores!$C$48*B206&gt;Valores!$C$45,Valores!$C$45,Valores!$C$48*B206)/2)</f>
        <v>7417.92</v>
      </c>
      <c r="S206" s="125">
        <f>Valores!$C$18*B206</f>
        <v>4130.08</v>
      </c>
      <c r="T206" s="125">
        <f t="shared" si="36"/>
        <v>4130.08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IF(Valores!$C$96*B206&gt;Valores!$C$95,Valores!$C$95,Valores!$C$96*B206)</f>
        <v>4479.04</v>
      </c>
      <c r="AA206" s="125">
        <f>IF((Valores!$C$28)*B206&gt;Valores!$F$28,Valores!$F$28,(Valores!$C$28)*B206)</f>
        <v>324.32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270.08</v>
      </c>
      <c r="AE206" s="192">
        <v>0</v>
      </c>
      <c r="AF206" s="125">
        <f>ROUND(AE206*Valores!$C$2,2)</f>
        <v>0</v>
      </c>
      <c r="AG206" s="125">
        <f>IF($F$4="NO",IF(Valores!$D$62*'Escala Docente'!B206&gt;Valores!$F$62,Valores!$F$62,Valores!$D$62*'Escala Docente'!B206),IF(Valores!$D$62*'Escala Docente'!B206&gt;Valores!$F$62,Valores!$F$62,Valores!$D$62*'Escala Docente'!B206)/2)</f>
        <v>6744.8</v>
      </c>
      <c r="AH206" s="125">
        <f t="shared" si="34"/>
        <v>94684.48000000001</v>
      </c>
      <c r="AI206" s="125">
        <f>IF(Valores!$C$32*B206&gt;Valores!$F$32,Valores!$F$32,Valores!$C$32*B206)</f>
        <v>0</v>
      </c>
      <c r="AJ206" s="125">
        <f>IF(Valores!$C$89*B206&gt;Valores!$C$88,Valores!$C$88,Valores!$C$89*B206)</f>
        <v>0</v>
      </c>
      <c r="AK206" s="125">
        <f>Valores!C$39*B206</f>
        <v>0</v>
      </c>
      <c r="AL206" s="125">
        <f>IF($F$3="NO",0,IF(Valores!$C$60*B206&gt;Valores!$F$60,Valores!$F$60,Valores!$C$60*B206))</f>
        <v>227.12</v>
      </c>
      <c r="AM206" s="125">
        <f t="shared" si="32"/>
        <v>227.12</v>
      </c>
      <c r="AN206" s="125">
        <f>AH206*Valores!$C$70</f>
        <v>-10415.292800000001</v>
      </c>
      <c r="AO206" s="125">
        <f>AH206*-Valores!$C$71</f>
        <v>0</v>
      </c>
      <c r="AP206" s="125">
        <f>AH206*Valores!$C$72</f>
        <v>-4260.8016000000007</v>
      </c>
      <c r="AQ206" s="125">
        <f>Valores!$C$99</f>
        <v>-280.91000000000003</v>
      </c>
      <c r="AR206" s="125">
        <f>IF($F$5=0,Valores!$C$100,(Valores!$C$100+$F$5*(Valores!$C$100)))</f>
        <v>-329</v>
      </c>
      <c r="AS206" s="125">
        <f t="shared" si="35"/>
        <v>79625.595600000015</v>
      </c>
      <c r="AT206" s="125">
        <f t="shared" si="29"/>
        <v>-10415.292800000001</v>
      </c>
      <c r="AU206" s="125">
        <f>AH206*Valores!$C$73</f>
        <v>-2556.4809600000003</v>
      </c>
      <c r="AV206" s="125">
        <f>AH206*Valores!$C$74</f>
        <v>-284.05344000000002</v>
      </c>
      <c r="AW206" s="125">
        <f t="shared" si="33"/>
        <v>81655.772800000006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40729.269999999997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7949.85</v>
      </c>
      <c r="N207" s="125">
        <f t="shared" si="30"/>
        <v>0</v>
      </c>
      <c r="O207" s="125">
        <f>Valores!$C$7*B207</f>
        <v>13952.07</v>
      </c>
      <c r="P207" s="125">
        <f>ROUND(IF(B207&lt;15,(Valores!$E$5*B207),Valores!$D$5),2)</f>
        <v>12371.24</v>
      </c>
      <c r="Q207" s="125">
        <v>0</v>
      </c>
      <c r="R207" s="125">
        <f>IF($F$4="NO",IF(Valores!$C$48*B207&gt;Valores!$C$45,Valores!$C$45,Valores!$C$48*B207),IF(Valores!$C$48*B207&gt;Valores!$C$45,Valores!$C$45,Valores!$C$48*B207)/2)</f>
        <v>7881.54</v>
      </c>
      <c r="S207" s="125">
        <f>Valores!$C$18*B207</f>
        <v>4388.21</v>
      </c>
      <c r="T207" s="125">
        <f t="shared" si="36"/>
        <v>4388.21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IF(Valores!$C$96*B207&gt;Valores!$C$95,Valores!$C$95,Valores!$C$96*B207)</f>
        <v>4758.9799999999996</v>
      </c>
      <c r="AA207" s="125">
        <f>IF((Valores!$C$28)*B207&gt;Valores!$F$28,Valores!$F$28,(Valores!$C$28)*B207)</f>
        <v>344.59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286.95999999999998</v>
      </c>
      <c r="AE207" s="192">
        <v>0</v>
      </c>
      <c r="AF207" s="125">
        <f>ROUND(AE207*Valores!$C$2,2)</f>
        <v>0</v>
      </c>
      <c r="AG207" s="125">
        <f>IF($F$4="NO",IF(Valores!$D$62*'Escala Docente'!B207&gt;Valores!$F$62,Valores!$F$62,Valores!$D$62*'Escala Docente'!B207),IF(Valores!$D$62*'Escala Docente'!B207&gt;Valores!$F$62,Valores!$F$62,Valores!$D$62*'Escala Docente'!B207)/2)</f>
        <v>7166.35</v>
      </c>
      <c r="AH207" s="125">
        <f t="shared" si="34"/>
        <v>99829.06</v>
      </c>
      <c r="AI207" s="125">
        <f>IF(Valores!$C$32*B207&gt;Valores!$F$32,Valores!$F$32,Valores!$C$32*B207)</f>
        <v>0</v>
      </c>
      <c r="AJ207" s="125">
        <f>IF(Valores!$C$89*B207&gt;Valores!$C$88,Valores!$C$88,Valores!$C$89*B207)</f>
        <v>0</v>
      </c>
      <c r="AK207" s="125">
        <f>Valores!C$39*B207</f>
        <v>0</v>
      </c>
      <c r="AL207" s="125">
        <f>IF($F$3="NO",0,IF(Valores!$C$60*B207&gt;Valores!$F$60,Valores!$F$60,Valores!$C$60*B207))</f>
        <v>241.315</v>
      </c>
      <c r="AM207" s="125">
        <f t="shared" si="32"/>
        <v>241.315</v>
      </c>
      <c r="AN207" s="125">
        <f>AH207*Valores!$C$70</f>
        <v>-10981.196599999999</v>
      </c>
      <c r="AO207" s="125">
        <f>AH207*-Valores!$C$71</f>
        <v>0</v>
      </c>
      <c r="AP207" s="125">
        <f>AH207*Valores!$C$72</f>
        <v>-4492.3076999999994</v>
      </c>
      <c r="AQ207" s="125">
        <f>Valores!$C$99</f>
        <v>-280.91000000000003</v>
      </c>
      <c r="AR207" s="125">
        <f>IF($F$5=0,Valores!$C$100,(Valores!$C$100+$F$5*(Valores!$C$100)))</f>
        <v>-329</v>
      </c>
      <c r="AS207" s="125">
        <f t="shared" si="35"/>
        <v>83986.960699999996</v>
      </c>
      <c r="AT207" s="125">
        <f t="shared" si="29"/>
        <v>-10981.196599999999</v>
      </c>
      <c r="AU207" s="125">
        <f>AH207*Valores!$C$73</f>
        <v>-2695.3846199999998</v>
      </c>
      <c r="AV207" s="125">
        <f>AH207*Valores!$C$74</f>
        <v>-299.48718000000002</v>
      </c>
      <c r="AW207" s="125">
        <f t="shared" si="33"/>
        <v>86094.306599999996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43125.11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8417.49</v>
      </c>
      <c r="N208" s="125">
        <f t="shared" si="30"/>
        <v>0</v>
      </c>
      <c r="O208" s="125">
        <f>Valores!$C$7*B208</f>
        <v>14772.78</v>
      </c>
      <c r="P208" s="125">
        <f>ROUND(IF(B208&lt;15,(Valores!$E$5*B208),Valores!$D$5),2)</f>
        <v>12371.24</v>
      </c>
      <c r="Q208" s="125">
        <v>0</v>
      </c>
      <c r="R208" s="125">
        <f>IF($F$4="NO",IF(Valores!$C$48*B208&gt;Valores!$C$45,Valores!$C$45,Valores!$C$48*B208),IF(Valores!$C$48*B208&gt;Valores!$C$45,Valores!$C$45,Valores!$C$48*B208)/2)</f>
        <v>8345.16</v>
      </c>
      <c r="S208" s="125">
        <f>Valores!$C$18*B208</f>
        <v>4646.34</v>
      </c>
      <c r="T208" s="125">
        <f t="shared" si="36"/>
        <v>4646.34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IF(Valores!$C$96*B208&gt;Valores!$C$95,Valores!$C$95,Valores!$C$96*B208)</f>
        <v>5038.92</v>
      </c>
      <c r="AA208" s="125">
        <f>IF((Valores!$C$28)*B208&gt;Valores!$F$28,Valores!$F$28,(Valores!$C$28)*B208)</f>
        <v>364.86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303.83999999999997</v>
      </c>
      <c r="AE208" s="192">
        <v>0</v>
      </c>
      <c r="AF208" s="125">
        <f>ROUND(AE208*Valores!$C$2,2)</f>
        <v>0</v>
      </c>
      <c r="AG208" s="125">
        <f>IF($F$4="NO",IF(Valores!$D$62*'Escala Docente'!B208&gt;Valores!$F$62,Valores!$F$62,Valores!$D$62*'Escala Docente'!B208),IF(Valores!$D$62*'Escala Docente'!B208&gt;Valores!$F$62,Valores!$F$62,Valores!$D$62*'Escala Docente'!B208)/2)</f>
        <v>7587.9000000000005</v>
      </c>
      <c r="AH208" s="125">
        <f t="shared" si="34"/>
        <v>104973.64</v>
      </c>
      <c r="AI208" s="125">
        <f>IF(Valores!$C$32*B208&gt;Valores!$F$32,Valores!$F$32,Valores!$C$32*B208)</f>
        <v>0</v>
      </c>
      <c r="AJ208" s="125">
        <f>IF(Valores!$C$89*B208&gt;Valores!$C$88,Valores!$C$88,Valores!$C$89*B208)</f>
        <v>0</v>
      </c>
      <c r="AK208" s="125">
        <f>Valores!C$39*B208</f>
        <v>0</v>
      </c>
      <c r="AL208" s="125">
        <f>IF($F$3="NO",0,IF(Valores!$C$60*B208&gt;Valores!$F$60,Valores!$F$60,Valores!$C$60*B208))</f>
        <v>255.51</v>
      </c>
      <c r="AM208" s="125">
        <f t="shared" si="32"/>
        <v>255.51</v>
      </c>
      <c r="AN208" s="125">
        <f>AH208*Valores!$C$70</f>
        <v>-11547.100399999999</v>
      </c>
      <c r="AO208" s="125">
        <f>AH208*-Valores!$C$71</f>
        <v>0</v>
      </c>
      <c r="AP208" s="125">
        <f>AH208*Valores!$C$72</f>
        <v>-4723.8137999999999</v>
      </c>
      <c r="AQ208" s="125">
        <f>Valores!$C$99</f>
        <v>-280.91000000000003</v>
      </c>
      <c r="AR208" s="125">
        <f>IF($F$5=0,Valores!$C$100,(Valores!$C$100+$F$5*(Valores!$C$100)))</f>
        <v>-329</v>
      </c>
      <c r="AS208" s="125">
        <f t="shared" si="35"/>
        <v>88348.325799999991</v>
      </c>
      <c r="AT208" s="125">
        <f t="shared" si="29"/>
        <v>-11547.100399999999</v>
      </c>
      <c r="AU208" s="125">
        <f>AH208*Valores!$C$73</f>
        <v>-2834.2882799999998</v>
      </c>
      <c r="AV208" s="125">
        <f>AH208*Valores!$C$74</f>
        <v>-314.92092000000002</v>
      </c>
      <c r="AW208" s="125">
        <f t="shared" si="33"/>
        <v>90532.840399999986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45520.95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8885.1299999999992</v>
      </c>
      <c r="N209" s="125">
        <f t="shared" si="30"/>
        <v>0</v>
      </c>
      <c r="O209" s="125">
        <f>Valores!$C$7*B209</f>
        <v>15593.490000000002</v>
      </c>
      <c r="P209" s="125">
        <f>ROUND(IF(B209&lt;15,(Valores!$E$5*B209),Valores!$D$5),2)</f>
        <v>12371.24</v>
      </c>
      <c r="Q209" s="125">
        <v>0</v>
      </c>
      <c r="R209" s="125">
        <f>IF($F$4="NO",IF(Valores!$C$48*B209&gt;Valores!$C$45,Valores!$C$45,Valores!$C$48*B209),IF(Valores!$C$48*B209&gt;Valores!$C$45,Valores!$C$45,Valores!$C$48*B209)/2)</f>
        <v>8808.7800000000007</v>
      </c>
      <c r="S209" s="125">
        <f>Valores!$C$18*B209</f>
        <v>4904.47</v>
      </c>
      <c r="T209" s="125">
        <f t="shared" si="36"/>
        <v>4904.47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IF(Valores!$C$96*B209&gt;Valores!$C$95,Valores!$C$95,Valores!$C$96*B209)</f>
        <v>5318.86</v>
      </c>
      <c r="AA209" s="125">
        <f>IF((Valores!$C$28)*B209&gt;Valores!$F$28,Valores!$F$28,(Valores!$C$28)*B209)</f>
        <v>385.13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320.71999999999997</v>
      </c>
      <c r="AE209" s="192">
        <v>0</v>
      </c>
      <c r="AF209" s="125">
        <f>ROUND(AE209*Valores!$C$2,2)</f>
        <v>0</v>
      </c>
      <c r="AG209" s="125">
        <f>IF($F$4="NO",IF(Valores!$D$62*'Escala Docente'!B209&gt;Valores!$F$62,Valores!$F$62,Valores!$D$62*'Escala Docente'!B209),IF(Valores!$D$62*'Escala Docente'!B209&gt;Valores!$F$62,Valores!$F$62,Valores!$D$62*'Escala Docente'!B209)/2)</f>
        <v>8009.45</v>
      </c>
      <c r="AH209" s="125">
        <f t="shared" si="34"/>
        <v>110118.22</v>
      </c>
      <c r="AI209" s="125">
        <f>IF(Valores!$C$32*B209&gt;Valores!$F$32,Valores!$F$32,Valores!$C$32*B209)</f>
        <v>0</v>
      </c>
      <c r="AJ209" s="125">
        <f>IF(Valores!$C$89*B209&gt;Valores!$C$88,Valores!$C$88,Valores!$C$89*B209)</f>
        <v>0</v>
      </c>
      <c r="AK209" s="125">
        <f>Valores!C$39*B209</f>
        <v>0</v>
      </c>
      <c r="AL209" s="125">
        <f>IF($F$3="NO",0,IF(Valores!$C$60*B209&gt;Valores!$F$60,Valores!$F$60,Valores!$C$60*B209))</f>
        <v>269.70499999999998</v>
      </c>
      <c r="AM209" s="125">
        <f t="shared" si="32"/>
        <v>269.70499999999998</v>
      </c>
      <c r="AN209" s="125">
        <f>AH209*Valores!$C$70</f>
        <v>-12113.004199999999</v>
      </c>
      <c r="AO209" s="125">
        <f>AH209*-Valores!$C$71</f>
        <v>0</v>
      </c>
      <c r="AP209" s="125">
        <f>AH209*Valores!$C$72</f>
        <v>-4955.3198999999995</v>
      </c>
      <c r="AQ209" s="125">
        <f>Valores!$C$99</f>
        <v>-280.91000000000003</v>
      </c>
      <c r="AR209" s="125">
        <f>IF($F$5=0,Valores!$C$100,(Valores!$C$100+$F$5*(Valores!$C$100)))</f>
        <v>-329</v>
      </c>
      <c r="AS209" s="125">
        <f t="shared" si="35"/>
        <v>92709.690900000001</v>
      </c>
      <c r="AT209" s="125">
        <f t="shared" si="29"/>
        <v>-12113.004199999999</v>
      </c>
      <c r="AU209" s="125">
        <f>AH209*Valores!$C$73</f>
        <v>-2973.1919400000002</v>
      </c>
      <c r="AV209" s="125">
        <f>AH209*Valores!$C$74</f>
        <v>-330.35466000000002</v>
      </c>
      <c r="AW209" s="125">
        <f t="shared" si="33"/>
        <v>94971.374200000006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47916.79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9352.77</v>
      </c>
      <c r="N210" s="125">
        <f t="shared" si="30"/>
        <v>0</v>
      </c>
      <c r="O210" s="125">
        <f>Valores!$C$7*B210</f>
        <v>16414.2</v>
      </c>
      <c r="P210" s="125">
        <f>ROUND(IF(B210&lt;15,(Valores!$E$5*B210),Valores!$D$5),2)</f>
        <v>12371.24</v>
      </c>
      <c r="Q210" s="125">
        <v>0</v>
      </c>
      <c r="R210" s="125">
        <f>IF($F$4="NO",IF(Valores!$C$48*B210&gt;Valores!$C$45,Valores!$C$45,Valores!$C$48*B210),IF(Valores!$C$48*B210&gt;Valores!$C$45,Valores!$C$45,Valores!$C$48*B210)/2)</f>
        <v>9272.4</v>
      </c>
      <c r="S210" s="125">
        <f>Valores!$C$18*B210</f>
        <v>5162.6000000000004</v>
      </c>
      <c r="T210" s="125">
        <f t="shared" si="36"/>
        <v>5162.6000000000004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IF(Valores!$C$96*B210&gt;Valores!$C$95,Valores!$C$95,Valores!$C$96*B210)</f>
        <v>5598.8</v>
      </c>
      <c r="AA210" s="125">
        <f>IF((Valores!$C$28)*B210&gt;Valores!$F$28,Valores!$F$28,(Valores!$C$28)*B210)</f>
        <v>405.4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337.59999999999997</v>
      </c>
      <c r="AE210" s="192">
        <v>0</v>
      </c>
      <c r="AF210" s="125">
        <f>ROUND(AE210*Valores!$C$2,2)</f>
        <v>0</v>
      </c>
      <c r="AG210" s="125">
        <f>IF($F$4="NO",IF(Valores!$D$62*'Escala Docente'!B210&gt;Valores!$F$62,Valores!$F$62,Valores!$D$62*'Escala Docente'!B210),IF(Valores!$D$62*'Escala Docente'!B210&gt;Valores!$F$62,Valores!$F$62,Valores!$D$62*'Escala Docente'!B210)/2)</f>
        <v>8431</v>
      </c>
      <c r="AH210" s="125">
        <f t="shared" si="34"/>
        <v>115262.8</v>
      </c>
      <c r="AI210" s="125">
        <f>IF(Valores!$C$32*B210&gt;Valores!$F$32,Valores!$F$32,Valores!$C$32*B210)</f>
        <v>0</v>
      </c>
      <c r="AJ210" s="125">
        <f>IF(Valores!$C$89*B210&gt;Valores!$C$88,Valores!$C$88,Valores!$C$89*B210)</f>
        <v>0</v>
      </c>
      <c r="AK210" s="125">
        <f>Valores!C$39*B210</f>
        <v>0</v>
      </c>
      <c r="AL210" s="125">
        <f>IF($F$3="NO",0,IF(Valores!$C$60*B210&gt;Valores!$F$60,Valores!$F$60,Valores!$C$60*B210))</f>
        <v>283.89999999999998</v>
      </c>
      <c r="AM210" s="125">
        <f t="shared" si="32"/>
        <v>283.89999999999998</v>
      </c>
      <c r="AN210" s="125">
        <f>AH210*Valores!$C$70</f>
        <v>-12678.908000000001</v>
      </c>
      <c r="AO210" s="125">
        <f>AH210*-Valores!$C$71</f>
        <v>0</v>
      </c>
      <c r="AP210" s="125">
        <f>AH210*Valores!$C$72</f>
        <v>-5186.826</v>
      </c>
      <c r="AQ210" s="125">
        <f>Valores!$C$99</f>
        <v>-280.91000000000003</v>
      </c>
      <c r="AR210" s="125">
        <f>IF($F$5=0,Valores!$C$100,(Valores!$C$100+$F$5*(Valores!$C$100)))</f>
        <v>-329</v>
      </c>
      <c r="AS210" s="125">
        <f t="shared" si="35"/>
        <v>97071.055999999997</v>
      </c>
      <c r="AT210" s="125">
        <f t="shared" si="29"/>
        <v>-12678.908000000001</v>
      </c>
      <c r="AU210" s="125">
        <f>AH210*Valores!$C$73</f>
        <v>-3112.0956000000001</v>
      </c>
      <c r="AV210" s="125">
        <f>AH210*Valores!$C$74</f>
        <v>-345.78840000000002</v>
      </c>
      <c r="AW210" s="125">
        <f t="shared" si="33"/>
        <v>99409.907999999996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50312.63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9820.41</v>
      </c>
      <c r="N211" s="125">
        <f t="shared" si="30"/>
        <v>0</v>
      </c>
      <c r="O211" s="125">
        <f>Valores!$C$7*B211</f>
        <v>17234.91</v>
      </c>
      <c r="P211" s="125">
        <f>ROUND(IF(B211&lt;15,(Valores!$E$5*B211),Valores!$D$5),2)</f>
        <v>12371.24</v>
      </c>
      <c r="Q211" s="125">
        <v>0</v>
      </c>
      <c r="R211" s="125">
        <f>IF($F$4="NO",IF(Valores!$C$48*B211&gt;Valores!$C$45,Valores!$C$45,Valores!$C$48*B211),IF(Valores!$C$48*B211&gt;Valores!$C$45,Valores!$C$45,Valores!$C$48*B211)/2)</f>
        <v>9736.02</v>
      </c>
      <c r="S211" s="125">
        <f>Valores!$C$18*B211</f>
        <v>5420.73</v>
      </c>
      <c r="T211" s="125">
        <f t="shared" si="36"/>
        <v>5420.73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IF(Valores!$C$96*B211&gt;Valores!$C$95,Valores!$C$95,Valores!$C$96*B211)</f>
        <v>5878.74</v>
      </c>
      <c r="AA211" s="125">
        <f>IF((Valores!$C$28)*B211&gt;Valores!$F$28,Valores!$F$28,(Valores!$C$28)*B211)</f>
        <v>425.67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354.47999999999996</v>
      </c>
      <c r="AE211" s="192">
        <v>0</v>
      </c>
      <c r="AF211" s="125">
        <f>ROUND(AE211*Valores!$C$2,2)</f>
        <v>0</v>
      </c>
      <c r="AG211" s="125">
        <f>IF($F$4="NO",IF(Valores!$D$62*'Escala Docente'!B211&gt;Valores!$F$62,Valores!$F$62,Valores!$D$62*'Escala Docente'!B211),IF(Valores!$D$62*'Escala Docente'!B211&gt;Valores!$F$62,Valores!$F$62,Valores!$D$62*'Escala Docente'!B211)/2)</f>
        <v>8852.5500000000011</v>
      </c>
      <c r="AH211" s="125">
        <f t="shared" si="34"/>
        <v>120407.38</v>
      </c>
      <c r="AI211" s="125">
        <f>IF(Valores!$C$32*B211&gt;Valores!$F$32,Valores!$F$32,Valores!$C$32*B211)</f>
        <v>0</v>
      </c>
      <c r="AJ211" s="125">
        <f>IF(Valores!$C$89*B211&gt;Valores!$C$88,Valores!$C$88,Valores!$C$89*B211)</f>
        <v>0</v>
      </c>
      <c r="AK211" s="125">
        <f>Valores!C$39*B211</f>
        <v>0</v>
      </c>
      <c r="AL211" s="125">
        <f>IF($F$3="NO",0,IF(Valores!$C$60*B211&gt;Valores!$F$60,Valores!$F$60,Valores!$C$60*B211))</f>
        <v>298.09500000000003</v>
      </c>
      <c r="AM211" s="125">
        <f t="shared" si="32"/>
        <v>298.09500000000003</v>
      </c>
      <c r="AN211" s="125">
        <f>AH211*Valores!$C$70</f>
        <v>-13244.811800000001</v>
      </c>
      <c r="AO211" s="125">
        <f>AH211*-Valores!$C$71</f>
        <v>0</v>
      </c>
      <c r="AP211" s="125">
        <f>AH211*Valores!$C$72</f>
        <v>-5418.3320999999996</v>
      </c>
      <c r="AQ211" s="125">
        <f>Valores!$C$99</f>
        <v>-280.91000000000003</v>
      </c>
      <c r="AR211" s="125">
        <f>IF($F$5=0,Valores!$C$100,(Valores!$C$100+$F$5*(Valores!$C$100)))</f>
        <v>-329</v>
      </c>
      <c r="AS211" s="125">
        <f t="shared" si="35"/>
        <v>101432.42110000001</v>
      </c>
      <c r="AT211" s="125">
        <f t="shared" si="29"/>
        <v>-13244.811800000001</v>
      </c>
      <c r="AU211" s="125">
        <f>AH211*Valores!$C$73</f>
        <v>-3250.99926</v>
      </c>
      <c r="AV211" s="125">
        <f>AH211*Valores!$C$74</f>
        <v>-361.22214000000002</v>
      </c>
      <c r="AW211" s="125">
        <f t="shared" si="33"/>
        <v>103848.4418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52708.47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10288.049999999999</v>
      </c>
      <c r="N212" s="125">
        <f t="shared" si="30"/>
        <v>0</v>
      </c>
      <c r="O212" s="125">
        <f>Valores!$C$7*B212</f>
        <v>18055.620000000003</v>
      </c>
      <c r="P212" s="125">
        <f>ROUND(IF(B212&lt;15,(Valores!$E$5*B212),Valores!$D$5),2)</f>
        <v>12371.24</v>
      </c>
      <c r="Q212" s="125">
        <v>0</v>
      </c>
      <c r="R212" s="125">
        <f>IF($F$4="NO",IF(Valores!$C$48*B212&gt;Valores!$C$45,Valores!$C$45,Valores!$C$48*B212),IF(Valores!$C$48*B212&gt;Valores!$C$45,Valores!$C$45,Valores!$C$48*B212)/2)</f>
        <v>10199.64</v>
      </c>
      <c r="S212" s="125">
        <f>Valores!$C$18*B212</f>
        <v>5678.86</v>
      </c>
      <c r="T212" s="125">
        <f t="shared" si="36"/>
        <v>5678.86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IF(Valores!$C$96*B212&gt;Valores!$C$95,Valores!$C$95,Valores!$C$96*B212)</f>
        <v>6158.68</v>
      </c>
      <c r="AA212" s="125">
        <f>IF((Valores!$C$28)*B212&gt;Valores!$F$28,Valores!$F$28,(Valores!$C$28)*B212)</f>
        <v>445.94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371.35999999999996</v>
      </c>
      <c r="AE212" s="192">
        <v>0</v>
      </c>
      <c r="AF212" s="125">
        <f>ROUND(AE212*Valores!$C$2,2)</f>
        <v>0</v>
      </c>
      <c r="AG212" s="125">
        <f>IF($F$4="NO",IF(Valores!$D$62*'Escala Docente'!B212&gt;Valores!$F$62,Valores!$F$62,Valores!$D$62*'Escala Docente'!B212),IF(Valores!$D$62*'Escala Docente'!B212&gt;Valores!$F$62,Valores!$F$62,Valores!$D$62*'Escala Docente'!B212)/2)</f>
        <v>9274.1</v>
      </c>
      <c r="AH212" s="125">
        <f t="shared" si="34"/>
        <v>125551.96000000004</v>
      </c>
      <c r="AI212" s="125">
        <f>IF(Valores!$C$32*B212&gt;Valores!$F$32,Valores!$F$32,Valores!$C$32*B212)</f>
        <v>0</v>
      </c>
      <c r="AJ212" s="125">
        <f>IF(Valores!$C$89*B212&gt;Valores!$C$88,Valores!$C$88,Valores!$C$89*B212)</f>
        <v>0</v>
      </c>
      <c r="AK212" s="125">
        <f>Valores!C$39*B212</f>
        <v>0</v>
      </c>
      <c r="AL212" s="125">
        <f>IF($F$3="NO",0,IF(Valores!$C$60*B212&gt;Valores!$F$60,Valores!$F$60,Valores!$C$60*B212))</f>
        <v>312.29000000000002</v>
      </c>
      <c r="AM212" s="125">
        <f t="shared" si="32"/>
        <v>312.29000000000002</v>
      </c>
      <c r="AN212" s="125">
        <f>AH212*Valores!$C$70</f>
        <v>-13810.715600000003</v>
      </c>
      <c r="AO212" s="125">
        <f>AH212*-Valores!$C$71</f>
        <v>0</v>
      </c>
      <c r="AP212" s="125">
        <f>AH212*Valores!$C$72</f>
        <v>-5649.8382000000011</v>
      </c>
      <c r="AQ212" s="125">
        <f>Valores!$C$99</f>
        <v>-280.91000000000003</v>
      </c>
      <c r="AR212" s="125">
        <f>IF($F$5=0,Valores!$C$100,(Valores!$C$100+$F$5*(Valores!$C$100)))</f>
        <v>-329</v>
      </c>
      <c r="AS212" s="125">
        <f t="shared" si="35"/>
        <v>105793.78620000003</v>
      </c>
      <c r="AT212" s="125">
        <f t="shared" si="29"/>
        <v>-13810.715600000003</v>
      </c>
      <c r="AU212" s="125">
        <f>AH212*Valores!$C$73</f>
        <v>-3389.9029200000009</v>
      </c>
      <c r="AV212" s="125">
        <f>AH212*Valores!$C$74</f>
        <v>-376.65588000000014</v>
      </c>
      <c r="AW212" s="125">
        <f t="shared" si="33"/>
        <v>108286.97560000003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55104.31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10755.68</v>
      </c>
      <c r="N213" s="125">
        <f t="shared" si="30"/>
        <v>0</v>
      </c>
      <c r="O213" s="125">
        <f>Valores!$C$7*B213</f>
        <v>18876.330000000002</v>
      </c>
      <c r="P213" s="125">
        <f>ROUND(IF(B213&lt;15,(Valores!$E$5*B213),Valores!$D$5),2)</f>
        <v>12371.24</v>
      </c>
      <c r="Q213" s="125">
        <v>0</v>
      </c>
      <c r="R213" s="125">
        <f>IF($F$4="NO",IF(Valores!$C$48*B213&gt;Valores!$C$45,Valores!$C$45,Valores!$C$48*B213),IF(Valores!$C$48*B213&gt;Valores!$C$45,Valores!$C$45,Valores!$C$48*B213)/2)</f>
        <v>10663.26</v>
      </c>
      <c r="S213" s="125">
        <f>Valores!$C$18*B213</f>
        <v>5936.99</v>
      </c>
      <c r="T213" s="125">
        <f t="shared" si="36"/>
        <v>5936.99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IF(Valores!$C$96*B213&gt;Valores!$C$95,Valores!$C$95,Valores!$C$96*B213)</f>
        <v>6438.62</v>
      </c>
      <c r="AA213" s="125">
        <f>IF((Valores!$C$28)*B213&gt;Valores!$F$28,Valores!$F$28,(Valores!$C$28)*B213)</f>
        <v>466.21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388.23999999999995</v>
      </c>
      <c r="AE213" s="192">
        <v>0</v>
      </c>
      <c r="AF213" s="125">
        <f>ROUND(AE213*Valores!$C$2,2)</f>
        <v>0</v>
      </c>
      <c r="AG213" s="125">
        <f>IF($F$4="NO",IF(Valores!$D$62*'Escala Docente'!B213&gt;Valores!$F$62,Valores!$F$62,Valores!$D$62*'Escala Docente'!B213),IF(Valores!$D$62*'Escala Docente'!B213&gt;Valores!$F$62,Valores!$F$62,Valores!$D$62*'Escala Docente'!B213)/2)</f>
        <v>9695.65</v>
      </c>
      <c r="AH213" s="125">
        <f t="shared" si="34"/>
        <v>130696.53</v>
      </c>
      <c r="AI213" s="125">
        <f>IF(Valores!$C$32*B213&gt;Valores!$F$32,Valores!$F$32,Valores!$C$32*B213)</f>
        <v>0</v>
      </c>
      <c r="AJ213" s="125">
        <f>IF(Valores!$C$89*B213&gt;Valores!$C$88,Valores!$C$88,Valores!$C$89*B213)</f>
        <v>0</v>
      </c>
      <c r="AK213" s="125">
        <f>Valores!C$39*B213</f>
        <v>0</v>
      </c>
      <c r="AL213" s="125">
        <f>IF($F$3="NO",0,IF(Valores!$C$60*B213&gt;Valores!$F$60,Valores!$F$60,Valores!$C$60*B213))</f>
        <v>326.48500000000001</v>
      </c>
      <c r="AM213" s="125">
        <f t="shared" si="32"/>
        <v>326.48500000000001</v>
      </c>
      <c r="AN213" s="125">
        <f>AH213*Valores!$C$70</f>
        <v>-14376.6183</v>
      </c>
      <c r="AO213" s="125">
        <f>AH213*-Valores!$C$71</f>
        <v>0</v>
      </c>
      <c r="AP213" s="125">
        <f>AH213*Valores!$C$72</f>
        <v>-5881.3438499999993</v>
      </c>
      <c r="AQ213" s="125">
        <f>Valores!$C$99</f>
        <v>-280.91000000000003</v>
      </c>
      <c r="AR213" s="125">
        <f>IF($F$5=0,Valores!$C$100,(Valores!$C$100+$F$5*(Valores!$C$100)))</f>
        <v>-329</v>
      </c>
      <c r="AS213" s="125">
        <f t="shared" si="35"/>
        <v>110155.14285</v>
      </c>
      <c r="AT213" s="125">
        <f t="shared" si="29"/>
        <v>-14376.6183</v>
      </c>
      <c r="AU213" s="125">
        <f>AH213*Valores!$C$73</f>
        <v>-3528.8063099999999</v>
      </c>
      <c r="AV213" s="125">
        <f>AH213*Valores!$C$74</f>
        <v>-392.08958999999999</v>
      </c>
      <c r="AW213" s="125">
        <f t="shared" si="33"/>
        <v>112725.50079999999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57500.15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11215.23</v>
      </c>
      <c r="N214" s="125">
        <f t="shared" si="30"/>
        <v>0</v>
      </c>
      <c r="O214" s="125">
        <f>Valores!$C$7*B214</f>
        <v>19697.04</v>
      </c>
      <c r="P214" s="125">
        <f>ROUND(IF(B214&lt;15,(Valores!$E$5*B214),Valores!$D$5),2)</f>
        <v>12371.24</v>
      </c>
      <c r="Q214" s="125">
        <v>0</v>
      </c>
      <c r="R214" s="125">
        <f>IF($F$4="NO",IF(Valores!$C$48*B214&gt;Valores!$C$45,Valores!$C$45,Valores!$C$48*B214),IF(Valores!$C$48*B214&gt;Valores!$C$45,Valores!$C$45,Valores!$C$48*B214)/2)</f>
        <v>11072.91</v>
      </c>
      <c r="S214" s="125">
        <f>Valores!$C$18*B214</f>
        <v>6195.12</v>
      </c>
      <c r="T214" s="125">
        <f t="shared" si="36"/>
        <v>6195.12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IF(Valores!$C$96*B214&gt;Valores!$C$95,Valores!$C$95,Valores!$C$96*B214)</f>
        <v>6718.5599999999995</v>
      </c>
      <c r="AA214" s="125">
        <f>IF((Valores!$C$28)*B214&gt;Valores!$F$28,Valores!$F$28,(Valores!$C$28)*B214)</f>
        <v>486.48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405.12</v>
      </c>
      <c r="AE214" s="192">
        <v>0</v>
      </c>
      <c r="AF214" s="125">
        <f>ROUND(AE214*Valores!$C$2,2)</f>
        <v>0</v>
      </c>
      <c r="AG214" s="125">
        <f>IF($F$4="NO",IF(Valores!$D$62*'Escala Docente'!B214&gt;Valores!$F$62,Valores!$F$62,Valores!$D$62*'Escala Docente'!B214),IF(Valores!$D$62*'Escala Docente'!B214&gt;Valores!$F$62,Valores!$F$62,Valores!$D$62*'Escala Docente'!B214)/2)</f>
        <v>10117.200000000001</v>
      </c>
      <c r="AH214" s="125">
        <f t="shared" si="34"/>
        <v>135779.05000000002</v>
      </c>
      <c r="AI214" s="125">
        <f>IF(Valores!$C$32*B214&gt;Valores!$F$32,Valores!$F$32,Valores!$C$32*B214)</f>
        <v>0</v>
      </c>
      <c r="AJ214" s="125">
        <f>IF(Valores!$C$89*B214&gt;Valores!$C$88,Valores!$C$88,Valores!$C$89*B214)</f>
        <v>0</v>
      </c>
      <c r="AK214" s="125">
        <f>Valores!C$39*B214</f>
        <v>0</v>
      </c>
      <c r="AL214" s="125">
        <f>IF($F$3="NO",0,IF(Valores!$C$60*B214&gt;Valores!$F$60,Valores!$F$60,Valores!$C$60*B214))</f>
        <v>327.60000000000002</v>
      </c>
      <c r="AM214" s="125">
        <f t="shared" si="32"/>
        <v>327.60000000000002</v>
      </c>
      <c r="AN214" s="125">
        <f>AH214*Valores!$C$70</f>
        <v>-14935.695500000002</v>
      </c>
      <c r="AO214" s="125">
        <f>AH214*-Valores!$C$71</f>
        <v>0</v>
      </c>
      <c r="AP214" s="125">
        <f>AH214*Valores!$C$72</f>
        <v>-6110.0572500000007</v>
      </c>
      <c r="AQ214" s="125">
        <f>Valores!$C$99</f>
        <v>-280.91000000000003</v>
      </c>
      <c r="AR214" s="125">
        <f>IF($F$5=0,Valores!$C$100,(Valores!$C$100+$F$5*(Valores!$C$100)))</f>
        <v>-329</v>
      </c>
      <c r="AS214" s="125">
        <f t="shared" si="35"/>
        <v>114450.98725000002</v>
      </c>
      <c r="AT214" s="125">
        <f t="shared" si="29"/>
        <v>-14935.695500000002</v>
      </c>
      <c r="AU214" s="125">
        <f>AH214*Valores!$C$73</f>
        <v>-3666.0343500000004</v>
      </c>
      <c r="AV214" s="125">
        <f>AH214*Valores!$C$74</f>
        <v>-407.33715000000007</v>
      </c>
      <c r="AW214" s="125">
        <f t="shared" si="33"/>
        <v>117097.58300000001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59895.99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11613.32</v>
      </c>
      <c r="N215" s="125">
        <f t="shared" si="30"/>
        <v>0</v>
      </c>
      <c r="O215" s="125">
        <f>Valores!$C$7*B215</f>
        <v>20517.75</v>
      </c>
      <c r="P215" s="125">
        <f>ROUND(IF(B215&lt;15,(Valores!$E$5*B215),Valores!$D$5),2)</f>
        <v>12371.24</v>
      </c>
      <c r="Q215" s="125">
        <v>0</v>
      </c>
      <c r="R215" s="125">
        <f>IF($F$4="NO",IF(Valores!$C$48*B215&gt;Valores!$C$45,Valores!$C$45,Valores!$C$48*B215),IF(Valores!$C$48*B215&gt;Valores!$C$45,Valores!$C$45,Valores!$C$48*B215)/2)</f>
        <v>11072.91</v>
      </c>
      <c r="S215" s="125">
        <f>Valores!$C$18*B215</f>
        <v>6453.25</v>
      </c>
      <c r="T215" s="125">
        <f t="shared" si="36"/>
        <v>6453.25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IF(Valores!$C$96*B215&gt;Valores!$C$95,Valores!$C$95,Valores!$C$96*B215)</f>
        <v>6998.5</v>
      </c>
      <c r="AA215" s="125">
        <f>IF((Valores!$C$28)*B215&gt;Valores!$F$28,Valores!$F$28,(Valores!$C$28)*B215)</f>
        <v>506.75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422</v>
      </c>
      <c r="AE215" s="192">
        <v>0</v>
      </c>
      <c r="AF215" s="125">
        <f>ROUND(AE215*Valores!$C$2,2)</f>
        <v>0</v>
      </c>
      <c r="AG215" s="125">
        <f>IF($F$4="NO",IF(Valores!$D$62*'Escala Docente'!B215&gt;Valores!$F$62,Valores!$F$62,Valores!$D$62*'Escala Docente'!B215),IF(Valores!$D$62*'Escala Docente'!B215&gt;Valores!$F$62,Valores!$F$62,Valores!$D$62*'Escala Docente'!B215)/2)</f>
        <v>10538.75</v>
      </c>
      <c r="AH215" s="125">
        <f t="shared" si="34"/>
        <v>140390.46000000002</v>
      </c>
      <c r="AI215" s="125">
        <f>IF(Valores!$C$32*B215&gt;Valores!$F$32,Valores!$F$32,Valores!$C$32*B215)</f>
        <v>0</v>
      </c>
      <c r="AJ215" s="125">
        <f>IF(Valores!$C$89*B215&gt;Valores!$C$88,Valores!$C$88,Valores!$C$89*B215)</f>
        <v>0</v>
      </c>
      <c r="AK215" s="125">
        <f>Valores!C$39*B215</f>
        <v>0</v>
      </c>
      <c r="AL215" s="125">
        <f>IF($F$3="NO",0,IF(Valores!$C$60*B215&gt;Valores!$F$60,Valores!$F$60,Valores!$C$60*B215))</f>
        <v>327.60000000000002</v>
      </c>
      <c r="AM215" s="125">
        <f t="shared" si="32"/>
        <v>327.60000000000002</v>
      </c>
      <c r="AN215" s="125">
        <f>AH215*Valores!$C$70</f>
        <v>-15442.950600000002</v>
      </c>
      <c r="AO215" s="125">
        <f>AH215*-Valores!$C$71</f>
        <v>0</v>
      </c>
      <c r="AP215" s="125">
        <f>AH215*Valores!$C$72</f>
        <v>-6317.5707000000011</v>
      </c>
      <c r="AQ215" s="125">
        <f>Valores!$C$99</f>
        <v>-280.91000000000003</v>
      </c>
      <c r="AR215" s="125">
        <f>IF($F$5=0,Valores!$C$100,(Valores!$C$100+$F$5*(Valores!$C$100)))</f>
        <v>-329</v>
      </c>
      <c r="AS215" s="125">
        <f t="shared" si="35"/>
        <v>118347.62870000002</v>
      </c>
      <c r="AT215" s="125">
        <f t="shared" si="29"/>
        <v>-15442.950600000002</v>
      </c>
      <c r="AU215" s="125">
        <f>AH215*Valores!$C$73</f>
        <v>-3790.5424200000007</v>
      </c>
      <c r="AV215" s="125">
        <f>AH215*Valores!$C$74</f>
        <v>-421.17138000000006</v>
      </c>
      <c r="AW215" s="125">
        <f t="shared" si="33"/>
        <v>121063.39560000002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62291.83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12011.42</v>
      </c>
      <c r="N216" s="125">
        <f t="shared" si="30"/>
        <v>0</v>
      </c>
      <c r="O216" s="125">
        <f>Valores!$C$7*B216</f>
        <v>21338.46</v>
      </c>
      <c r="P216" s="125">
        <f>ROUND(IF(B216&lt;15,(Valores!$E$5*B216),Valores!$D$5),2)</f>
        <v>12371.24</v>
      </c>
      <c r="Q216" s="125">
        <v>0</v>
      </c>
      <c r="R216" s="125">
        <f>IF($F$4="NO",IF(Valores!$C$48*B216&gt;Valores!$C$45,Valores!$C$45,Valores!$C$48*B216),IF(Valores!$C$48*B216&gt;Valores!$C$45,Valores!$C$45,Valores!$C$48*B216)/2)</f>
        <v>11072.91</v>
      </c>
      <c r="S216" s="125">
        <f>Valores!$C$18*B216</f>
        <v>6711.38</v>
      </c>
      <c r="T216" s="125">
        <f t="shared" si="36"/>
        <v>6711.38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IF(Valores!$C$96*B216&gt;Valores!$C$95,Valores!$C$95,Valores!$C$96*B216)</f>
        <v>7278.44</v>
      </c>
      <c r="AA216" s="125">
        <f>IF((Valores!$C$28)*B216&gt;Valores!$F$28,Valores!$F$28,(Valores!$C$28)*B216)</f>
        <v>527.02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438.88</v>
      </c>
      <c r="AE216" s="192">
        <v>0</v>
      </c>
      <c r="AF216" s="125">
        <f>ROUND(AE216*Valores!$C$2,2)</f>
        <v>0</v>
      </c>
      <c r="AG216" s="125">
        <f>IF($F$4="NO",IF(Valores!$D$62*'Escala Docente'!B216&gt;Valores!$F$62,Valores!$F$62,Valores!$D$62*'Escala Docente'!B216),IF(Valores!$D$62*'Escala Docente'!B216&gt;Valores!$F$62,Valores!$F$62,Valores!$D$62*'Escala Docente'!B216)/2)</f>
        <v>10960.300000000001</v>
      </c>
      <c r="AH216" s="125">
        <f t="shared" si="34"/>
        <v>145001.87999999998</v>
      </c>
      <c r="AI216" s="125">
        <f>IF(Valores!$C$32*B216&gt;Valores!$F$32,Valores!$F$32,Valores!$C$32*B216)</f>
        <v>0</v>
      </c>
      <c r="AJ216" s="125">
        <f>IF(Valores!$C$89*B216&gt;Valores!$C$88,Valores!$C$88,Valores!$C$89*B216)</f>
        <v>0</v>
      </c>
      <c r="AK216" s="125">
        <f>Valores!C$39*B216</f>
        <v>0</v>
      </c>
      <c r="AL216" s="125">
        <f>IF($F$3="NO",0,IF(Valores!$C$60*B216&gt;Valores!$F$60,Valores!$F$60,Valores!$C$60*B216))</f>
        <v>327.60000000000002</v>
      </c>
      <c r="AM216" s="125">
        <f t="shared" si="32"/>
        <v>327.60000000000002</v>
      </c>
      <c r="AN216" s="125">
        <f>AH216*Valores!$C$70</f>
        <v>-15950.206799999998</v>
      </c>
      <c r="AO216" s="125">
        <f>AH216*-Valores!$C$71</f>
        <v>0</v>
      </c>
      <c r="AP216" s="125">
        <f>AH216*Valores!$C$72</f>
        <v>-6525.0845999999983</v>
      </c>
      <c r="AQ216" s="125">
        <f>Valores!$C$99</f>
        <v>-280.91000000000003</v>
      </c>
      <c r="AR216" s="125">
        <f>IF($F$5=0,Valores!$C$100,(Valores!$C$100+$F$5*(Valores!$C$100)))</f>
        <v>-329</v>
      </c>
      <c r="AS216" s="125">
        <f t="shared" si="35"/>
        <v>122244.27859999998</v>
      </c>
      <c r="AT216" s="125">
        <f t="shared" si="29"/>
        <v>-15950.206799999998</v>
      </c>
      <c r="AU216" s="125">
        <f>AH216*Valores!$C$73</f>
        <v>-3915.0507599999992</v>
      </c>
      <c r="AV216" s="125">
        <f>AH216*Valores!$C$74</f>
        <v>-435.00563999999991</v>
      </c>
      <c r="AW216" s="125">
        <f t="shared" si="33"/>
        <v>125029.21679999998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64687.67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12409.51</v>
      </c>
      <c r="N217" s="125">
        <f t="shared" si="30"/>
        <v>0</v>
      </c>
      <c r="O217" s="125">
        <f>Valores!$C$7*B217</f>
        <v>22159.170000000002</v>
      </c>
      <c r="P217" s="125">
        <f>ROUND(IF(B217&lt;15,(Valores!$E$5*B217),Valores!$D$5),2)</f>
        <v>12371.24</v>
      </c>
      <c r="Q217" s="125">
        <v>0</v>
      </c>
      <c r="R217" s="125">
        <f>IF($F$4="NO",IF(Valores!$C$48*B217&gt;Valores!$C$45,Valores!$C$45,Valores!$C$48*B217),IF(Valores!$C$48*B217&gt;Valores!$C$45,Valores!$C$45,Valores!$C$48*B217)/2)</f>
        <v>11072.91</v>
      </c>
      <c r="S217" s="125">
        <f>Valores!$C$18*B217</f>
        <v>6969.51</v>
      </c>
      <c r="T217" s="125">
        <f t="shared" si="36"/>
        <v>6969.51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IF(Valores!$C$96*B217&gt;Valores!$C$95,Valores!$C$95,Valores!$C$96*B217)</f>
        <v>7558.38</v>
      </c>
      <c r="AA217" s="125">
        <f>IF((Valores!$C$28)*B217&gt;Valores!$F$28,Valores!$F$28,(Valores!$C$28)*B217)</f>
        <v>547.29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455.76</v>
      </c>
      <c r="AE217" s="192">
        <v>0</v>
      </c>
      <c r="AF217" s="125">
        <f>ROUND(AE217*Valores!$C$2,2)</f>
        <v>0</v>
      </c>
      <c r="AG217" s="125">
        <f>IF($F$4="NO",IF(Valores!$D$62*'Escala Docente'!B217&gt;Valores!$F$62,Valores!$F$62,Valores!$D$62*'Escala Docente'!B217),IF(Valores!$D$62*'Escala Docente'!B217&gt;Valores!$F$62,Valores!$F$62,Valores!$D$62*'Escala Docente'!B217)/2)</f>
        <v>11381.85</v>
      </c>
      <c r="AH217" s="125">
        <f t="shared" si="34"/>
        <v>149613.29</v>
      </c>
      <c r="AI217" s="125">
        <f>IF(Valores!$C$32*B217&gt;Valores!$F$32,Valores!$F$32,Valores!$C$32*B217)</f>
        <v>0</v>
      </c>
      <c r="AJ217" s="125">
        <f>IF(Valores!$C$89*B217&gt;Valores!$C$88,Valores!$C$88,Valores!$C$89*B217)</f>
        <v>0</v>
      </c>
      <c r="AK217" s="125">
        <f>Valores!C$39*B217</f>
        <v>0</v>
      </c>
      <c r="AL217" s="125">
        <f>IF($F$3="NO",0,IF(Valores!$C$60*B217&gt;Valores!$F$60,Valores!$F$60,Valores!$C$60*B217))</f>
        <v>327.60000000000002</v>
      </c>
      <c r="AM217" s="125">
        <f t="shared" si="32"/>
        <v>327.60000000000002</v>
      </c>
      <c r="AN217" s="125">
        <f>AH217*Valores!$C$70</f>
        <v>-16457.461900000002</v>
      </c>
      <c r="AO217" s="125">
        <f>AH217*-Valores!$C$71</f>
        <v>0</v>
      </c>
      <c r="AP217" s="125">
        <f>AH217*Valores!$C$72</f>
        <v>-6732.5980500000005</v>
      </c>
      <c r="AQ217" s="125">
        <f>Valores!$C$99</f>
        <v>-280.91000000000003</v>
      </c>
      <c r="AR217" s="125">
        <f>IF($F$5=0,Valores!$C$100,(Valores!$C$100+$F$5*(Valores!$C$100)))</f>
        <v>-329</v>
      </c>
      <c r="AS217" s="125">
        <f t="shared" si="35"/>
        <v>126140.92005</v>
      </c>
      <c r="AT217" s="125">
        <f t="shared" si="29"/>
        <v>-16457.461900000002</v>
      </c>
      <c r="AU217" s="125">
        <f>AH217*Valores!$C$73</f>
        <v>-4039.5588300000004</v>
      </c>
      <c r="AV217" s="125">
        <f>AH217*Valores!$C$74</f>
        <v>-448.83987000000002</v>
      </c>
      <c r="AW217" s="125">
        <f t="shared" si="33"/>
        <v>128995.02940000001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67083.509999999995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12807.61</v>
      </c>
      <c r="N218" s="125">
        <f t="shared" si="30"/>
        <v>0</v>
      </c>
      <c r="O218" s="125">
        <f>Valores!$C$7*B218</f>
        <v>22979.88</v>
      </c>
      <c r="P218" s="125">
        <f>ROUND(IF(B218&lt;15,(Valores!$E$5*B218),Valores!$D$5),2)</f>
        <v>12371.24</v>
      </c>
      <c r="Q218" s="125">
        <v>0</v>
      </c>
      <c r="R218" s="125">
        <f>IF($F$4="NO",IF(Valores!$C$48*B218&gt;Valores!$C$45,Valores!$C$45,Valores!$C$48*B218),IF(Valores!$C$48*B218&gt;Valores!$C$45,Valores!$C$45,Valores!$C$48*B218)/2)</f>
        <v>11072.91</v>
      </c>
      <c r="S218" s="125">
        <f>Valores!$C$18*B218</f>
        <v>7227.6399999999994</v>
      </c>
      <c r="T218" s="125">
        <f t="shared" si="36"/>
        <v>7227.64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IF(Valores!$C$96*B218&gt;Valores!$C$95,Valores!$C$95,Valores!$C$96*B218)</f>
        <v>7838.32</v>
      </c>
      <c r="AA218" s="125">
        <f>IF((Valores!$C$28)*B218&gt;Valores!$F$28,Valores!$F$28,(Valores!$C$28)*B218)</f>
        <v>567.55999999999995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472.64</v>
      </c>
      <c r="AE218" s="192">
        <v>0</v>
      </c>
      <c r="AF218" s="125">
        <f>ROUND(AE218*Valores!$C$2,2)</f>
        <v>0</v>
      </c>
      <c r="AG218" s="125">
        <f>IF($F$4="NO",IF(Valores!$D$62*'Escala Docente'!B218&gt;Valores!$F$62,Valores!$F$62,Valores!$D$62*'Escala Docente'!B218),IF(Valores!$D$62*'Escala Docente'!B218&gt;Valores!$F$62,Valores!$F$62,Valores!$D$62*'Escala Docente'!B218)/2)</f>
        <v>11803.4</v>
      </c>
      <c r="AH218" s="125">
        <f t="shared" si="34"/>
        <v>154224.71000000002</v>
      </c>
      <c r="AI218" s="125">
        <f>IF(Valores!$C$32*B218&gt;Valores!$F$32,Valores!$F$32,Valores!$C$32*B218)</f>
        <v>0</v>
      </c>
      <c r="AJ218" s="125">
        <f>IF(Valores!$C$89*B218&gt;Valores!$C$88,Valores!$C$88,Valores!$C$89*B218)</f>
        <v>0</v>
      </c>
      <c r="AK218" s="125">
        <f>Valores!C$39*B218</f>
        <v>0</v>
      </c>
      <c r="AL218" s="125">
        <f>IF($F$3="NO",0,IF(Valores!$C$60*B218&gt;Valores!$F$60,Valores!$F$60,Valores!$C$60*B218))</f>
        <v>327.60000000000002</v>
      </c>
      <c r="AM218" s="125">
        <f t="shared" si="32"/>
        <v>327.60000000000002</v>
      </c>
      <c r="AN218" s="125">
        <f>AH218*Valores!$C$70</f>
        <v>-16964.718100000002</v>
      </c>
      <c r="AO218" s="125">
        <f>AH218*-Valores!$C$71</f>
        <v>0</v>
      </c>
      <c r="AP218" s="125">
        <f>AH218*Valores!$C$72</f>
        <v>-6940.1119500000004</v>
      </c>
      <c r="AQ218" s="125">
        <f>Valores!$C$99</f>
        <v>-280.91000000000003</v>
      </c>
      <c r="AR218" s="125">
        <f>IF($F$5=0,Valores!$C$100,(Valores!$C$100+$F$5*(Valores!$C$100)))</f>
        <v>-329</v>
      </c>
      <c r="AS218" s="125">
        <f t="shared" si="35"/>
        <v>130037.56995000002</v>
      </c>
      <c r="AT218" s="125">
        <f t="shared" si="29"/>
        <v>-16964.718100000002</v>
      </c>
      <c r="AU218" s="125">
        <f>AH218*Valores!$C$73</f>
        <v>-4164.0671700000003</v>
      </c>
      <c r="AV218" s="125">
        <f>AH218*Valores!$C$74</f>
        <v>-462.67413000000005</v>
      </c>
      <c r="AW218" s="125">
        <f t="shared" si="33"/>
        <v>132960.85060000003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69479.350000000006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13205.7</v>
      </c>
      <c r="N219" s="125">
        <f t="shared" si="30"/>
        <v>0</v>
      </c>
      <c r="O219" s="125">
        <f>Valores!$C$7*B219</f>
        <v>23800.59</v>
      </c>
      <c r="P219" s="125">
        <f>ROUND(IF(B219&lt;15,(Valores!$E$5*B219),Valores!$D$5),2)</f>
        <v>12371.24</v>
      </c>
      <c r="Q219" s="125">
        <v>0</v>
      </c>
      <c r="R219" s="125">
        <f>IF($F$4="NO",IF(Valores!$C$48*B219&gt;Valores!$C$45,Valores!$C$45,Valores!$C$48*B219),IF(Valores!$C$48*B219&gt;Valores!$C$45,Valores!$C$45,Valores!$C$48*B219)/2)</f>
        <v>11072.91</v>
      </c>
      <c r="S219" s="125">
        <f>Valores!$C$18*B219</f>
        <v>7485.7699999999995</v>
      </c>
      <c r="T219" s="125">
        <f t="shared" si="36"/>
        <v>7485.77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IF(Valores!$C$96*B219&gt;Valores!$C$95,Valores!$C$95,Valores!$C$96*B219)</f>
        <v>8118.26</v>
      </c>
      <c r="AA219" s="125">
        <f>IF((Valores!$C$28)*B219&gt;Valores!$F$28,Valores!$F$28,(Valores!$C$28)*B219)</f>
        <v>587.83000000000004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489.52</v>
      </c>
      <c r="AE219" s="192">
        <v>0</v>
      </c>
      <c r="AF219" s="125">
        <f>ROUND(AE219*Valores!$C$2,2)</f>
        <v>0</v>
      </c>
      <c r="AG219" s="125">
        <f>IF($F$4="NO",IF(Valores!$D$62*'Escala Docente'!B219&gt;Valores!$F$62,Valores!$F$62,Valores!$D$62*'Escala Docente'!B219),IF(Valores!$D$62*'Escala Docente'!B219&gt;Valores!$F$62,Valores!$F$62,Valores!$D$62*'Escala Docente'!B219)/2)</f>
        <v>12224.95</v>
      </c>
      <c r="AH219" s="125">
        <f t="shared" si="34"/>
        <v>158836.12</v>
      </c>
      <c r="AI219" s="125">
        <f>IF(Valores!$C$32*B219&gt;Valores!$F$32,Valores!$F$32,Valores!$C$32*B219)</f>
        <v>0</v>
      </c>
      <c r="AJ219" s="125">
        <f>IF(Valores!$C$89*B219&gt;Valores!$C$88,Valores!$C$88,Valores!$C$89*B219)</f>
        <v>0</v>
      </c>
      <c r="AK219" s="125">
        <f>Valores!C$39*B219</f>
        <v>0</v>
      </c>
      <c r="AL219" s="125">
        <f>IF($F$3="NO",0,IF(Valores!$C$60*B219&gt;Valores!$F$60,Valores!$F$60,Valores!$C$60*B219))</f>
        <v>327.60000000000002</v>
      </c>
      <c r="AM219" s="125">
        <f t="shared" si="32"/>
        <v>327.60000000000002</v>
      </c>
      <c r="AN219" s="125">
        <f>AH219*Valores!$C$70</f>
        <v>-17471.9732</v>
      </c>
      <c r="AO219" s="125">
        <f>AH219*-Valores!$C$71</f>
        <v>0</v>
      </c>
      <c r="AP219" s="125">
        <f>AH219*Valores!$C$72</f>
        <v>-7147.6253999999999</v>
      </c>
      <c r="AQ219" s="125">
        <f>Valores!$C$99</f>
        <v>-280.91000000000003</v>
      </c>
      <c r="AR219" s="125">
        <f>IF($F$5=0,Valores!$C$100,(Valores!$C$100+$F$5*(Valores!$C$100)))</f>
        <v>-329</v>
      </c>
      <c r="AS219" s="125">
        <f t="shared" si="35"/>
        <v>133934.2114</v>
      </c>
      <c r="AT219" s="125">
        <f t="shared" si="29"/>
        <v>-17471.9732</v>
      </c>
      <c r="AU219" s="125">
        <f>AH219*Valores!$C$73</f>
        <v>-4288.5752400000001</v>
      </c>
      <c r="AV219" s="125">
        <f>AH219*Valores!$C$74</f>
        <v>-476.50835999999998</v>
      </c>
      <c r="AW219" s="125">
        <f t="shared" si="33"/>
        <v>136926.66320000001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71875.19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13603.8</v>
      </c>
      <c r="N220" s="125">
        <f t="shared" si="30"/>
        <v>0</v>
      </c>
      <c r="O220" s="125">
        <f>Valores!$C$7*B220</f>
        <v>24621.300000000003</v>
      </c>
      <c r="P220" s="125">
        <f>ROUND(IF(B220&lt;15,(Valores!$E$5*B220),Valores!$D$5),2)</f>
        <v>12371.24</v>
      </c>
      <c r="Q220" s="125">
        <v>0</v>
      </c>
      <c r="R220" s="125">
        <f>IF($F$4="NO",IF(Valores!$C$48*B220&gt;Valores!$C$45,Valores!$C$45,Valores!$C$48*B220),IF(Valores!$C$48*B220&gt;Valores!$C$45,Valores!$C$45,Valores!$C$48*B220)/2)</f>
        <v>11072.91</v>
      </c>
      <c r="S220" s="125">
        <f>Valores!$C$18*B220</f>
        <v>7743.9</v>
      </c>
      <c r="T220" s="125">
        <f t="shared" si="36"/>
        <v>7743.9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IF(Valores!$C$96*B220&gt;Valores!$C$95,Valores!$C$95,Valores!$C$96*B220)</f>
        <v>8398.2000000000007</v>
      </c>
      <c r="AA220" s="125">
        <f>IF((Valores!$C$28)*B220&gt;Valores!$F$28,Valores!$F$28,(Valores!$C$28)*B220)</f>
        <v>608.1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505.99</v>
      </c>
      <c r="AE220" s="192">
        <v>0</v>
      </c>
      <c r="AF220" s="125">
        <f>ROUND(AE220*Valores!$C$2,2)</f>
        <v>0</v>
      </c>
      <c r="AG220" s="125">
        <f>IF($F$4="NO",IF(Valores!$D$62*'Escala Docente'!B220&gt;Valores!$F$62,Valores!$F$62,Valores!$D$62*'Escala Docente'!B220),IF(Valores!$D$62*'Escala Docente'!B220&gt;Valores!$F$62,Valores!$F$62,Valores!$D$62*'Escala Docente'!B220)/2)</f>
        <v>12646.5</v>
      </c>
      <c r="AH220" s="125">
        <f t="shared" si="34"/>
        <v>163447.13</v>
      </c>
      <c r="AI220" s="125">
        <f>IF(Valores!$C$32*B220&gt;Valores!$F$32,Valores!$F$32,Valores!$C$32*B220)</f>
        <v>0</v>
      </c>
      <c r="AJ220" s="125">
        <f>IF(Valores!$C$89*B220&gt;Valores!$C$88,Valores!$C$88,Valores!$C$89*B220)</f>
        <v>0</v>
      </c>
      <c r="AK220" s="125">
        <f>Valores!C$39*B220</f>
        <v>0</v>
      </c>
      <c r="AL220" s="125">
        <f>IF($F$3="NO",0,IF(Valores!$C$60*B220&gt;Valores!$F$60,Valores!$F$60,Valores!$C$60*B220))</f>
        <v>327.60000000000002</v>
      </c>
      <c r="AM220" s="125">
        <f t="shared" si="32"/>
        <v>327.60000000000002</v>
      </c>
      <c r="AN220" s="125">
        <f>AH220*Valores!$C$70</f>
        <v>-17979.184300000001</v>
      </c>
      <c r="AO220" s="125">
        <f>AH220*-Valores!$C$71</f>
        <v>0</v>
      </c>
      <c r="AP220" s="125">
        <f>AH220*Valores!$C$72</f>
        <v>-7355.1208500000002</v>
      </c>
      <c r="AQ220" s="125">
        <f>Valores!$C$99</f>
        <v>-280.91000000000003</v>
      </c>
      <c r="AR220" s="125">
        <f>IF($F$5=0,Valores!$C$100,(Valores!$C$100+$F$5*(Valores!$C$100)))</f>
        <v>-329</v>
      </c>
      <c r="AS220" s="125">
        <f t="shared" si="35"/>
        <v>137830.51485000001</v>
      </c>
      <c r="AT220" s="125">
        <f t="shared" si="29"/>
        <v>-17979.184300000001</v>
      </c>
      <c r="AU220" s="125">
        <f>AH220*Valores!$C$73</f>
        <v>-4413.07251</v>
      </c>
      <c r="AV220" s="125">
        <f>AH220*Valores!$C$74</f>
        <v>-490.34139000000005</v>
      </c>
      <c r="AW220" s="125">
        <f t="shared" si="33"/>
        <v>140892.1318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74271.03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14001.9</v>
      </c>
      <c r="N221" s="125">
        <f t="shared" si="30"/>
        <v>0</v>
      </c>
      <c r="O221" s="125">
        <f>Valores!$C$7*B221</f>
        <v>25442.010000000002</v>
      </c>
      <c r="P221" s="125">
        <f>ROUND(IF(B221&lt;15,(Valores!$E$5*B221),Valores!$D$5),2)</f>
        <v>12371.24</v>
      </c>
      <c r="Q221" s="125">
        <v>0</v>
      </c>
      <c r="R221" s="125">
        <f>IF($F$4="NO",IF(Valores!$C$48*B221&gt;Valores!$C$45,Valores!$C$45,Valores!$C$48*B221),IF(Valores!$C$48*B221&gt;Valores!$C$45,Valores!$C$45,Valores!$C$48*B221)/2)</f>
        <v>11072.91</v>
      </c>
      <c r="S221" s="125">
        <f>Valores!$C$18*B221</f>
        <v>8002.03</v>
      </c>
      <c r="T221" s="125">
        <f t="shared" si="36"/>
        <v>8002.03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IF(Valores!$C$96*B221&gt;Valores!$C$95,Valores!$C$95,Valores!$C$96*B221)</f>
        <v>8678.14</v>
      </c>
      <c r="AA221" s="125">
        <f>IF((Valores!$C$28)*B221&gt;Valores!$F$28,Valores!$F$28,(Valores!$C$28)*B221)</f>
        <v>628.37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505.99</v>
      </c>
      <c r="AE221" s="192">
        <v>0</v>
      </c>
      <c r="AF221" s="125">
        <f>ROUND(AE221*Valores!$C$2,2)</f>
        <v>0</v>
      </c>
      <c r="AG221" s="125">
        <f>IF($F$4="NO",IF(Valores!$D$62*'Escala Docente'!B221&gt;Valores!$F$62,Valores!$F$62,Valores!$D$62*'Escala Docente'!B221),IF(Valores!$D$62*'Escala Docente'!B221&gt;Valores!$F$62,Valores!$F$62,Valores!$D$62*'Escala Docente'!B221)/2)</f>
        <v>12646.54</v>
      </c>
      <c r="AH221" s="125">
        <f t="shared" si="34"/>
        <v>167620.16</v>
      </c>
      <c r="AI221" s="125">
        <f>IF(Valores!$C$32*B221&gt;Valores!$F$32,Valores!$F$32,Valores!$C$32*B221)</f>
        <v>0</v>
      </c>
      <c r="AJ221" s="125">
        <f>IF(Valores!$C$89*B221&gt;Valores!$C$88,Valores!$C$88,Valores!$C$89*B221)</f>
        <v>0</v>
      </c>
      <c r="AK221" s="125">
        <f>Valores!C$39*B221</f>
        <v>0</v>
      </c>
      <c r="AL221" s="125">
        <f>IF($F$3="NO",0,IF(Valores!$C$60*B221&gt;Valores!$F$60,Valores!$F$60,Valores!$C$60*B221))</f>
        <v>327.60000000000002</v>
      </c>
      <c r="AM221" s="125">
        <f t="shared" si="32"/>
        <v>327.60000000000002</v>
      </c>
      <c r="AN221" s="125">
        <f>AH221*Valores!$C$70</f>
        <v>-18438.2176</v>
      </c>
      <c r="AO221" s="125">
        <f>AH221*-Valores!$C$71</f>
        <v>0</v>
      </c>
      <c r="AP221" s="125">
        <f>AH221*Valores!$C$72</f>
        <v>-7542.9071999999996</v>
      </c>
      <c r="AQ221" s="125">
        <f>Valores!$C$99</f>
        <v>-280.91000000000003</v>
      </c>
      <c r="AR221" s="125">
        <f>IF($F$5=0,Valores!$C$100,(Valores!$C$100+$F$5*(Valores!$C$100)))</f>
        <v>-329</v>
      </c>
      <c r="AS221" s="125">
        <f t="shared" si="35"/>
        <v>141356.72520000002</v>
      </c>
      <c r="AT221" s="125">
        <f t="shared" si="29"/>
        <v>-18438.2176</v>
      </c>
      <c r="AU221" s="125">
        <f>AH221*Valores!$C$73</f>
        <v>-4525.7443199999998</v>
      </c>
      <c r="AV221" s="125">
        <f>AH221*Valores!$C$74</f>
        <v>-502.86048</v>
      </c>
      <c r="AW221" s="125">
        <f t="shared" si="33"/>
        <v>144480.9376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76666.87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14399.99</v>
      </c>
      <c r="N222" s="125">
        <f t="shared" si="30"/>
        <v>0</v>
      </c>
      <c r="O222" s="125">
        <f>Valores!$C$7*B222</f>
        <v>26262.720000000001</v>
      </c>
      <c r="P222" s="125">
        <f>ROUND(IF(B222&lt;15,(Valores!$E$5*B222),Valores!$D$5),2)</f>
        <v>12371.24</v>
      </c>
      <c r="Q222" s="125">
        <v>0</v>
      </c>
      <c r="R222" s="125">
        <f>IF($F$4="NO",IF(Valores!$C$48*B222&gt;Valores!$C$45,Valores!$C$45,Valores!$C$48*B222),IF(Valores!$C$48*B222&gt;Valores!$C$45,Valores!$C$45,Valores!$C$48*B222)/2)</f>
        <v>11072.91</v>
      </c>
      <c r="S222" s="125">
        <f>Valores!$C$18*B222</f>
        <v>8260.16</v>
      </c>
      <c r="T222" s="125">
        <f t="shared" si="36"/>
        <v>8260.16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IF(Valores!$C$96*B222&gt;Valores!$C$95,Valores!$C$95,Valores!$C$96*B222)</f>
        <v>8958.08</v>
      </c>
      <c r="AA222" s="125">
        <f>IF((Valores!$C$28)*B222&gt;Valores!$F$28,Valores!$F$28,(Valores!$C$28)*B222)</f>
        <v>648.64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505.99</v>
      </c>
      <c r="AE222" s="192">
        <v>0</v>
      </c>
      <c r="AF222" s="125">
        <f>ROUND(AE222*Valores!$C$2,2)</f>
        <v>0</v>
      </c>
      <c r="AG222" s="125">
        <f>IF($F$4="NO",IF(Valores!$D$62*'Escala Docente'!B222&gt;Valores!$F$62,Valores!$F$62,Valores!$D$62*'Escala Docente'!B222),IF(Valores!$D$62*'Escala Docente'!B222&gt;Valores!$F$62,Valores!$F$62,Valores!$D$62*'Escala Docente'!B222)/2)</f>
        <v>12646.54</v>
      </c>
      <c r="AH222" s="125">
        <f t="shared" si="34"/>
        <v>171793.14</v>
      </c>
      <c r="AI222" s="125">
        <f>IF(Valores!$C$32*B222&gt;Valores!$F$32,Valores!$F$32,Valores!$C$32*B222)</f>
        <v>0</v>
      </c>
      <c r="AJ222" s="125">
        <f>IF(Valores!$C$89*B222&gt;Valores!$C$88,Valores!$C$88,Valores!$C$89*B222)</f>
        <v>0</v>
      </c>
      <c r="AK222" s="125">
        <f>Valores!C$39*B222</f>
        <v>0</v>
      </c>
      <c r="AL222" s="125">
        <f>IF($F$3="NO",0,IF(Valores!$C$60*B222&gt;Valores!$F$60,Valores!$F$60,Valores!$C$60*B222))</f>
        <v>327.60000000000002</v>
      </c>
      <c r="AM222" s="125">
        <f t="shared" si="32"/>
        <v>327.60000000000002</v>
      </c>
      <c r="AN222" s="125">
        <f>AH222*Valores!$C$70</f>
        <v>-18897.245400000003</v>
      </c>
      <c r="AO222" s="125">
        <f>AH222*-Valores!$C$71</f>
        <v>0</v>
      </c>
      <c r="AP222" s="125">
        <f>AH222*Valores!$C$72</f>
        <v>-7730.6913000000004</v>
      </c>
      <c r="AQ222" s="125">
        <f>Valores!$C$99</f>
        <v>-280.91000000000003</v>
      </c>
      <c r="AR222" s="125">
        <f>IF($F$5=0,Valores!$C$100,(Valores!$C$100+$F$5*(Valores!$C$100)))</f>
        <v>-329</v>
      </c>
      <c r="AS222" s="125">
        <f t="shared" si="35"/>
        <v>144882.8933</v>
      </c>
      <c r="AT222" s="125">
        <f t="shared" si="29"/>
        <v>-18897.245400000003</v>
      </c>
      <c r="AU222" s="125">
        <f>AH222*Valores!$C$73</f>
        <v>-4638.4147800000001</v>
      </c>
      <c r="AV222" s="125">
        <f>AH222*Valores!$C$74</f>
        <v>-515.3794200000001</v>
      </c>
      <c r="AW222" s="125">
        <f t="shared" si="33"/>
        <v>148069.70040000003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79062.710000000006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14798.09</v>
      </c>
      <c r="N223" s="125">
        <f t="shared" si="30"/>
        <v>0</v>
      </c>
      <c r="O223" s="125">
        <f>Valores!$C$7*B223</f>
        <v>27083.43</v>
      </c>
      <c r="P223" s="125">
        <f>ROUND(IF(B223&lt;15,(Valores!$E$5*B223),Valores!$D$5),2)</f>
        <v>12371.24</v>
      </c>
      <c r="Q223" s="125">
        <v>0</v>
      </c>
      <c r="R223" s="125">
        <f>IF($F$4="NO",IF(Valores!$C$48*B223&gt;Valores!$C$45,Valores!$C$45,Valores!$C$48*B223),IF(Valores!$C$48*B223&gt;Valores!$C$45,Valores!$C$45,Valores!$C$48*B223)/2)</f>
        <v>11072.91</v>
      </c>
      <c r="S223" s="125">
        <f>Valores!$C$18*B223</f>
        <v>8518.2899999999991</v>
      </c>
      <c r="T223" s="125">
        <f t="shared" si="36"/>
        <v>8518.2900000000009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IF(Valores!$C$96*B223&gt;Valores!$C$95,Valores!$C$95,Valores!$C$96*B223)</f>
        <v>9238.02</v>
      </c>
      <c r="AA223" s="125">
        <f>IF((Valores!$C$28)*B223&gt;Valores!$F$28,Valores!$F$28,(Valores!$C$28)*B223)</f>
        <v>668.91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505.99</v>
      </c>
      <c r="AE223" s="192">
        <v>0</v>
      </c>
      <c r="AF223" s="125">
        <f>ROUND(AE223*Valores!$C$2,2)</f>
        <v>0</v>
      </c>
      <c r="AG223" s="125">
        <f>IF($F$4="NO",IF(Valores!$D$62*'Escala Docente'!B223&gt;Valores!$F$62,Valores!$F$62,Valores!$D$62*'Escala Docente'!B223),IF(Valores!$D$62*'Escala Docente'!B223&gt;Valores!$F$62,Valores!$F$62,Valores!$D$62*'Escala Docente'!B223)/2)</f>
        <v>12646.54</v>
      </c>
      <c r="AH223" s="125">
        <f t="shared" si="34"/>
        <v>175966.13</v>
      </c>
      <c r="AI223" s="125">
        <f>IF(Valores!$C$32*B223&gt;Valores!$F$32,Valores!$F$32,Valores!$C$32*B223)</f>
        <v>0</v>
      </c>
      <c r="AJ223" s="125">
        <f>IF(Valores!$C$89*B223&gt;Valores!$C$88,Valores!$C$88,Valores!$C$89*B223)</f>
        <v>0</v>
      </c>
      <c r="AK223" s="125">
        <f>Valores!C$39*B223</f>
        <v>0</v>
      </c>
      <c r="AL223" s="125">
        <f>IF($F$3="NO",0,IF(Valores!$C$60*B223&gt;Valores!$F$60,Valores!$F$60,Valores!$C$60*B223))</f>
        <v>327.60000000000002</v>
      </c>
      <c r="AM223" s="125">
        <f t="shared" si="32"/>
        <v>327.60000000000002</v>
      </c>
      <c r="AN223" s="125">
        <f>AH223*Valores!$C$70</f>
        <v>-19356.274300000001</v>
      </c>
      <c r="AO223" s="125">
        <f>AH223*-Valores!$C$71</f>
        <v>0</v>
      </c>
      <c r="AP223" s="125">
        <f>AH223*Valores!$C$72</f>
        <v>-7918.4758499999998</v>
      </c>
      <c r="AQ223" s="125">
        <f>Valores!$C$99</f>
        <v>-280.91000000000003</v>
      </c>
      <c r="AR223" s="125">
        <f>IF($F$5=0,Valores!$C$100,(Valores!$C$100+$F$5*(Valores!$C$100)))</f>
        <v>-329</v>
      </c>
      <c r="AS223" s="125">
        <f t="shared" si="35"/>
        <v>148409.06985</v>
      </c>
      <c r="AT223" s="125">
        <f t="shared" si="29"/>
        <v>-19356.274300000001</v>
      </c>
      <c r="AU223" s="125">
        <f>AH223*Valores!$C$73</f>
        <v>-4751.0855099999999</v>
      </c>
      <c r="AV223" s="125">
        <f>AH223*Valores!$C$74</f>
        <v>-527.89839000000006</v>
      </c>
      <c r="AW223" s="125">
        <f t="shared" si="33"/>
        <v>151658.4718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81458.55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15196.18</v>
      </c>
      <c r="N224" s="125">
        <f t="shared" si="30"/>
        <v>0</v>
      </c>
      <c r="O224" s="125">
        <f>Valores!$C$7*B224</f>
        <v>27904.14</v>
      </c>
      <c r="P224" s="125">
        <f>ROUND(IF(B224&lt;15,(Valores!$E$5*B224),Valores!$D$5),2)</f>
        <v>12371.24</v>
      </c>
      <c r="Q224" s="125">
        <v>0</v>
      </c>
      <c r="R224" s="125">
        <f>IF($F$4="NO",IF(Valores!$C$48*B224&gt;Valores!$C$45,Valores!$C$45,Valores!$C$48*B224),IF(Valores!$C$48*B224&gt;Valores!$C$45,Valores!$C$45,Valores!$C$48*B224)/2)</f>
        <v>11072.91</v>
      </c>
      <c r="S224" s="125">
        <f>Valores!$C$18*B224</f>
        <v>8776.42</v>
      </c>
      <c r="T224" s="125">
        <f t="shared" si="36"/>
        <v>8776.42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IF(Valores!$C$96*B224&gt;Valores!$C$95,Valores!$C$95,Valores!$C$96*B224)</f>
        <v>9517.9599999999991</v>
      </c>
      <c r="AA224" s="125">
        <f>IF((Valores!$C$28)*B224&gt;Valores!$F$28,Valores!$F$28,(Valores!$C$28)*B224)</f>
        <v>689.18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505.99</v>
      </c>
      <c r="AE224" s="192">
        <v>0</v>
      </c>
      <c r="AF224" s="125">
        <f>ROUND(AE224*Valores!$C$2,2)</f>
        <v>0</v>
      </c>
      <c r="AG224" s="125">
        <f>IF($F$4="NO",IF(Valores!$D$62*'Escala Docente'!B224&gt;Valores!$F$62,Valores!$F$62,Valores!$D$62*'Escala Docente'!B224),IF(Valores!$D$62*'Escala Docente'!B224&gt;Valores!$F$62,Valores!$F$62,Valores!$D$62*'Escala Docente'!B224)/2)</f>
        <v>12646.54</v>
      </c>
      <c r="AH224" s="125">
        <f t="shared" si="34"/>
        <v>180139.11000000002</v>
      </c>
      <c r="AI224" s="125">
        <f>IF(Valores!$C$32*B224&gt;Valores!$F$32,Valores!$F$32,Valores!$C$32*B224)</f>
        <v>0</v>
      </c>
      <c r="AJ224" s="125">
        <f>IF(Valores!$C$89*B224&gt;Valores!$C$88,Valores!$C$88,Valores!$C$89*B224)</f>
        <v>0</v>
      </c>
      <c r="AK224" s="125">
        <f>Valores!C$39*B224</f>
        <v>0</v>
      </c>
      <c r="AL224" s="125">
        <f>IF($F$3="NO",0,IF(Valores!$C$60*B224&gt;Valores!$F$60,Valores!$F$60,Valores!$C$60*B224))</f>
        <v>327.60000000000002</v>
      </c>
      <c r="AM224" s="125">
        <f t="shared" si="32"/>
        <v>327.60000000000002</v>
      </c>
      <c r="AN224" s="125">
        <f>AH224*Valores!$C$70</f>
        <v>-19815.302100000001</v>
      </c>
      <c r="AO224" s="125">
        <f>AH224*-Valores!$C$71</f>
        <v>0</v>
      </c>
      <c r="AP224" s="125">
        <f>AH224*Valores!$C$72</f>
        <v>-8106.2599500000006</v>
      </c>
      <c r="AQ224" s="125">
        <f>Valores!$C$99</f>
        <v>-280.91000000000003</v>
      </c>
      <c r="AR224" s="125">
        <f>IF($F$5=0,Valores!$C$100,(Valores!$C$100+$F$5*(Valores!$C$100)))</f>
        <v>-329</v>
      </c>
      <c r="AS224" s="125">
        <f t="shared" si="35"/>
        <v>151935.23795000001</v>
      </c>
      <c r="AT224" s="125">
        <f t="shared" si="29"/>
        <v>-19815.302100000001</v>
      </c>
      <c r="AU224" s="125">
        <f>AH224*Valores!$C$73</f>
        <v>-4863.7559700000002</v>
      </c>
      <c r="AV224" s="125">
        <f>AH224*Valores!$C$74</f>
        <v>-540.41733000000011</v>
      </c>
      <c r="AW224" s="125">
        <f t="shared" si="33"/>
        <v>155247.23460000003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83854.39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15594.28</v>
      </c>
      <c r="N225" s="125">
        <f t="shared" si="30"/>
        <v>0</v>
      </c>
      <c r="O225" s="125">
        <f>Valores!$C$7*B225</f>
        <v>28724.850000000002</v>
      </c>
      <c r="P225" s="125">
        <f>ROUND(IF(B225&lt;15,(Valores!$E$5*B225),Valores!$D$5),2)</f>
        <v>12371.24</v>
      </c>
      <c r="Q225" s="125">
        <v>0</v>
      </c>
      <c r="R225" s="125">
        <f>IF($F$4="NO",IF(Valores!$C$48*B225&gt;Valores!$C$45,Valores!$C$45,Valores!$C$48*B225),IF(Valores!$C$48*B225&gt;Valores!$C$45,Valores!$C$45,Valores!$C$48*B225)/2)</f>
        <v>11072.91</v>
      </c>
      <c r="S225" s="125">
        <f>Valores!$C$18*B225</f>
        <v>9034.5499999999993</v>
      </c>
      <c r="T225" s="125">
        <f t="shared" si="36"/>
        <v>9034.5499999999993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IF(Valores!$C$96*B225&gt;Valores!$C$95,Valores!$C$95,Valores!$C$96*B225)</f>
        <v>9797.9</v>
      </c>
      <c r="AA225" s="125">
        <f>IF((Valores!$C$28)*B225&gt;Valores!$F$28,Valores!$F$28,(Valores!$C$28)*B225)</f>
        <v>709.44999999999993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505.99</v>
      </c>
      <c r="AE225" s="192">
        <v>0</v>
      </c>
      <c r="AF225" s="125">
        <f>ROUND(AE225*Valores!$C$2,2)</f>
        <v>0</v>
      </c>
      <c r="AG225" s="125">
        <f>IF($F$4="NO",IF(Valores!$D$62*'Escala Docente'!B225&gt;Valores!$F$62,Valores!$F$62,Valores!$D$62*'Escala Docente'!B225),IF(Valores!$D$62*'Escala Docente'!B225&gt;Valores!$F$62,Valores!$F$62,Valores!$D$62*'Escala Docente'!B225)/2)</f>
        <v>12646.54</v>
      </c>
      <c r="AH225" s="125">
        <f t="shared" si="34"/>
        <v>184312.1</v>
      </c>
      <c r="AI225" s="125">
        <f>IF(Valores!$C$32*B225&gt;Valores!$F$32,Valores!$F$32,Valores!$C$32*B225)</f>
        <v>0</v>
      </c>
      <c r="AJ225" s="125">
        <f>IF(Valores!$C$89*B225&gt;Valores!$C$88,Valores!$C$88,Valores!$C$89*B225)</f>
        <v>0</v>
      </c>
      <c r="AK225" s="125">
        <f>Valores!C$39*B225</f>
        <v>0</v>
      </c>
      <c r="AL225" s="125">
        <f>IF($F$3="NO",0,IF(Valores!$C$60*B225&gt;Valores!$F$60,Valores!$F$60,Valores!$C$60*B225))</f>
        <v>327.60000000000002</v>
      </c>
      <c r="AM225" s="125">
        <f t="shared" si="32"/>
        <v>327.60000000000002</v>
      </c>
      <c r="AN225" s="125">
        <f>AH225*Valores!$C$70</f>
        <v>-20274.331000000002</v>
      </c>
      <c r="AO225" s="125">
        <f>AH225*-Valores!$C$71</f>
        <v>0</v>
      </c>
      <c r="AP225" s="125">
        <f>AH225*Valores!$C$72</f>
        <v>-8294.0445</v>
      </c>
      <c r="AQ225" s="125">
        <f>Valores!$C$99</f>
        <v>-280.91000000000003</v>
      </c>
      <c r="AR225" s="125">
        <f>IF($F$5=0,Valores!$C$100,(Valores!$C$100+$F$5*(Valores!$C$100)))</f>
        <v>-329</v>
      </c>
      <c r="AS225" s="125">
        <f t="shared" si="35"/>
        <v>155461.41450000001</v>
      </c>
      <c r="AT225" s="125">
        <f t="shared" si="29"/>
        <v>-20274.331000000002</v>
      </c>
      <c r="AU225" s="125">
        <f>AH225*Valores!$C$73</f>
        <v>-4976.4267</v>
      </c>
      <c r="AV225" s="125">
        <f>AH225*Valores!$C$74</f>
        <v>-552.93630000000007</v>
      </c>
      <c r="AW225" s="125">
        <f t="shared" si="33"/>
        <v>158836.00599999999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86250.23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15992.37</v>
      </c>
      <c r="N226" s="125">
        <f t="shared" si="30"/>
        <v>0</v>
      </c>
      <c r="O226" s="125">
        <f>Valores!$C$7*B226</f>
        <v>29545.56</v>
      </c>
      <c r="P226" s="125">
        <f>ROUND(IF(B226&lt;15,(Valores!$E$5*B226),Valores!$D$5),2)</f>
        <v>12371.24</v>
      </c>
      <c r="Q226" s="125">
        <v>0</v>
      </c>
      <c r="R226" s="125">
        <f>IF($F$4="NO",IF(Valores!$C$48*B226&gt;Valores!$C$45,Valores!$C$45,Valores!$C$48*B226),IF(Valores!$C$48*B226&gt;Valores!$C$45,Valores!$C$45,Valores!$C$48*B226)/2)</f>
        <v>11072.91</v>
      </c>
      <c r="S226" s="125">
        <f>Valores!$C$18*B226</f>
        <v>9292.68</v>
      </c>
      <c r="T226" s="125">
        <f t="shared" si="36"/>
        <v>9292.68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IF(Valores!$C$96*B226&gt;Valores!$C$95,Valores!$C$95,Valores!$C$96*B226)</f>
        <v>10077.84</v>
      </c>
      <c r="AA226" s="125">
        <f>IF((Valores!$C$28)*B226&gt;Valores!$F$28,Valores!$F$28,(Valores!$C$28)*B226)</f>
        <v>729.72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505.99</v>
      </c>
      <c r="AE226" s="192">
        <v>0</v>
      </c>
      <c r="AF226" s="125">
        <f>ROUND(AE226*Valores!$C$2,2)</f>
        <v>0</v>
      </c>
      <c r="AG226" s="125">
        <f>IF($F$4="NO",IF(Valores!$D$62*'Escala Docente'!B226&gt;Valores!$F$62,Valores!$F$62,Valores!$D$62*'Escala Docente'!B226),IF(Valores!$D$62*'Escala Docente'!B226&gt;Valores!$F$62,Valores!$F$62,Valores!$D$62*'Escala Docente'!B226)/2)</f>
        <v>12646.54</v>
      </c>
      <c r="AH226" s="125">
        <f t="shared" si="34"/>
        <v>188485.08</v>
      </c>
      <c r="AI226" s="125">
        <f>IF(Valores!$C$32*B226&gt;Valores!$F$32,Valores!$F$32,Valores!$C$32*B226)</f>
        <v>0</v>
      </c>
      <c r="AJ226" s="125">
        <f>IF(Valores!$C$89*B226&gt;Valores!$C$88,Valores!$C$88,Valores!$C$89*B226)</f>
        <v>0</v>
      </c>
      <c r="AK226" s="125">
        <f>Valores!C$39*B226</f>
        <v>0</v>
      </c>
      <c r="AL226" s="125">
        <f>IF($F$3="NO",0,IF(Valores!$C$60*B226&gt;Valores!$F$60,Valores!$F$60,Valores!$C$60*B226))</f>
        <v>327.60000000000002</v>
      </c>
      <c r="AM226" s="125">
        <f t="shared" si="32"/>
        <v>327.60000000000002</v>
      </c>
      <c r="AN226" s="125">
        <f>AH226*Valores!$C$70</f>
        <v>-20733.358799999998</v>
      </c>
      <c r="AO226" s="125">
        <f>AH226*-Valores!$C$71</f>
        <v>0</v>
      </c>
      <c r="AP226" s="125">
        <f>AH226*Valores!$C$72</f>
        <v>-8481.8285999999989</v>
      </c>
      <c r="AQ226" s="125">
        <f>Valores!$C$99</f>
        <v>-280.91000000000003</v>
      </c>
      <c r="AR226" s="125">
        <f>IF($F$5=0,Valores!$C$100,(Valores!$C$100+$F$5*(Valores!$C$100)))</f>
        <v>-329</v>
      </c>
      <c r="AS226" s="125">
        <f t="shared" si="35"/>
        <v>158987.58259999999</v>
      </c>
      <c r="AT226" s="125">
        <f t="shared" si="29"/>
        <v>-20733.358799999998</v>
      </c>
      <c r="AU226" s="125">
        <f>AH226*Valores!$C$73</f>
        <v>-5089.0971599999993</v>
      </c>
      <c r="AV226" s="125">
        <f>AH226*Valores!$C$74</f>
        <v>-565.45524</v>
      </c>
      <c r="AW226" s="125">
        <f t="shared" si="33"/>
        <v>162424.76879999999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1911.83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395.04</v>
      </c>
      <c r="N227" s="125">
        <f t="shared" si="30"/>
        <v>0</v>
      </c>
      <c r="O227" s="125">
        <f>Valores!$C$7*B227</f>
        <v>820.71</v>
      </c>
      <c r="P227" s="125">
        <f>ROUND(IF(B227&lt;15,(Valores!$E$5*B227),Valores!$D$5),2)</f>
        <v>824.75</v>
      </c>
      <c r="Q227" s="125">
        <v>0</v>
      </c>
      <c r="R227" s="125">
        <f>IF($F$4="NO",IF(Valores!$C$48*B227&gt;Valores!$C$45,Valores!$C$45,Valores!$C$48*B227),IF(Valores!$C$48*B227&gt;Valores!$C$45,Valores!$C$45,Valores!$C$48*B227)/2)</f>
        <v>463.62</v>
      </c>
      <c r="S227" s="125">
        <f>Valores!$C$18*B227</f>
        <v>258.13</v>
      </c>
      <c r="T227" s="125">
        <f t="shared" si="36"/>
        <v>258.13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IF(Valores!$C$96*B227&gt;Valores!$C$95,Valores!$C$95,Valores!$C$96*B227)</f>
        <v>279.94</v>
      </c>
      <c r="AA227" s="125">
        <f>IF((Valores!$C$28)*B227&gt;Valores!$F$28,Valores!$F$28,(Valores!$C$28)*B227)</f>
        <v>20.27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16.88</v>
      </c>
      <c r="AE227" s="192">
        <v>0</v>
      </c>
      <c r="AF227" s="125">
        <f>ROUND(AE227*Valores!$C$2,2)</f>
        <v>0</v>
      </c>
      <c r="AG227" s="125">
        <f>IF($F$4="NO",IF(Valores!$D$62*'Escala Docente'!B227&gt;Valores!$F$62,Valores!$F$62,Valores!$D$62*'Escala Docente'!B227),IF(Valores!$D$62*'Escala Docente'!B227&gt;Valores!$F$62,Valores!$F$62,Valores!$D$62*'Escala Docente'!B227)/2)</f>
        <v>421.55</v>
      </c>
      <c r="AH227" s="125">
        <f t="shared" si="34"/>
        <v>5412.72</v>
      </c>
      <c r="AI227" s="125">
        <f>IF(Valores!$C$32*B227&gt;Valores!$F$32,Valores!$F$32,Valores!$C$32*B227)</f>
        <v>0</v>
      </c>
      <c r="AJ227" s="125">
        <f>IF(Valores!$C$89*B227&gt;Valores!$C$88,Valores!$C$88,Valores!$C$89*B227)</f>
        <v>0</v>
      </c>
      <c r="AK227" s="125">
        <f>Valores!C$39*B227</f>
        <v>0</v>
      </c>
      <c r="AL227" s="125">
        <f>IF($F$3="NO",0,IF(Valores!$C$61*B227&gt;Valores!$F$61,Valores!$F$61,Valores!$C$61*B227))</f>
        <v>11.3559</v>
      </c>
      <c r="AM227" s="125">
        <f t="shared" si="32"/>
        <v>11.3559</v>
      </c>
      <c r="AN227" s="125">
        <f>AH227*Valores!$C$70</f>
        <v>-595.39920000000006</v>
      </c>
      <c r="AO227" s="125">
        <f>AH227*-Valores!$C$71</f>
        <v>0</v>
      </c>
      <c r="AP227" s="125">
        <f>AH227*Valores!$C$72</f>
        <v>-243.57240000000002</v>
      </c>
      <c r="AQ227" s="125">
        <f>Valores!$C$99</f>
        <v>-280.91000000000003</v>
      </c>
      <c r="AR227" s="125">
        <f>IF($F$5=0,Valores!$C$100,(Valores!$C$100+$F$5*(Valores!$C$100)))</f>
        <v>-329</v>
      </c>
      <c r="AS227" s="125">
        <f t="shared" si="35"/>
        <v>3975.1943000000001</v>
      </c>
      <c r="AT227" s="125">
        <f t="shared" si="29"/>
        <v>-595.39920000000006</v>
      </c>
      <c r="AU227" s="125">
        <f>AH227*Valores!$C$73</f>
        <v>-146.14344</v>
      </c>
      <c r="AV227" s="125">
        <f>AH227*Valores!$C$74</f>
        <v>-16.238160000000001</v>
      </c>
      <c r="AW227" s="125">
        <f t="shared" si="33"/>
        <v>4666.2950999999994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1911.83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395.04</v>
      </c>
      <c r="N228" s="125">
        <f t="shared" si="30"/>
        <v>0</v>
      </c>
      <c r="O228" s="125">
        <f>Valores!$C$7*B228</f>
        <v>820.71</v>
      </c>
      <c r="P228" s="125">
        <f>ROUND(IF(B228&lt;15,(Valores!$E$5*B228),Valores!$D$5),2)</f>
        <v>824.75</v>
      </c>
      <c r="Q228" s="125">
        <v>0</v>
      </c>
      <c r="R228" s="125">
        <f>IF($F$4="NO",IF(Valores!$C$48*B228&gt;Valores!$C$45,Valores!$C$45,Valores!$C$48*B228),IF(Valores!$C$48*B228&gt;Valores!$C$45,Valores!$C$45,Valores!$C$48*B228)/2)</f>
        <v>463.62</v>
      </c>
      <c r="S228" s="125">
        <f>Valores!$C$18*B228</f>
        <v>258.13</v>
      </c>
      <c r="T228" s="125">
        <f t="shared" si="36"/>
        <v>258.13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IF(Valores!$C$96*B228&gt;Valores!$C$95,Valores!$C$95,Valores!$C$96*B228)</f>
        <v>279.94</v>
      </c>
      <c r="AA228" s="125">
        <f>IF((Valores!$C$28)*B228&gt;Valores!$F$28,Valores!$F$28,(Valores!$C$28)*B228)</f>
        <v>20.27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16.88</v>
      </c>
      <c r="AE228" s="192">
        <v>94</v>
      </c>
      <c r="AF228" s="125">
        <f>ROUND(AE228*Valores!$C$2,2)</f>
        <v>2274.84</v>
      </c>
      <c r="AG228" s="125">
        <f>IF($F$4="NO",IF(Valores!$D$62*'Escala Docente'!B228&gt;Valores!$F$62,Valores!$F$62,Valores!$D$62*'Escala Docente'!B228),IF(Valores!$D$62*'Escala Docente'!B228&gt;Valores!$F$62,Valores!$F$62,Valores!$D$62*'Escala Docente'!B228)/2)</f>
        <v>421.55</v>
      </c>
      <c r="AH228" s="125">
        <f t="shared" si="34"/>
        <v>7687.56</v>
      </c>
      <c r="AI228" s="125">
        <f>IF(Valores!$C$32*B228&gt;Valores!$F$32,Valores!$F$32,Valores!$C$32*B228)</f>
        <v>0</v>
      </c>
      <c r="AJ228" s="125">
        <f>IF(Valores!$C$89*B228&gt;Valores!$C$88,Valores!$C$88,Valores!$C$89*B228)</f>
        <v>0</v>
      </c>
      <c r="AK228" s="125">
        <f>Valores!C$39*B228</f>
        <v>0</v>
      </c>
      <c r="AL228" s="125">
        <f>IF($F$3="NO",0,IF(Valores!$C$61*B228&gt;Valores!$F$61,Valores!$F$61,Valores!$C$61*B228))</f>
        <v>11.3559</v>
      </c>
      <c r="AM228" s="125">
        <f t="shared" si="32"/>
        <v>11.3559</v>
      </c>
      <c r="AN228" s="125">
        <f>AH228*Valores!$C$70</f>
        <v>-845.63160000000005</v>
      </c>
      <c r="AO228" s="125">
        <f>AH228*-Valores!$C$71</f>
        <v>0</v>
      </c>
      <c r="AP228" s="125">
        <f>AH228*Valores!$C$72</f>
        <v>-345.9402</v>
      </c>
      <c r="AQ228" s="125">
        <f>Valores!$C$99</f>
        <v>-280.91000000000003</v>
      </c>
      <c r="AR228" s="125">
        <f>IF($F$5=0,Valores!$C$100,(Valores!$C$100+$F$5*(Valores!$C$100)))</f>
        <v>-329</v>
      </c>
      <c r="AS228" s="125">
        <f t="shared" si="35"/>
        <v>5897.4341000000004</v>
      </c>
      <c r="AT228" s="125">
        <f t="shared" si="29"/>
        <v>-845.63160000000005</v>
      </c>
      <c r="AU228" s="125">
        <f>AH228*Valores!$C$73</f>
        <v>-207.56412</v>
      </c>
      <c r="AV228" s="125">
        <f>AH228*Valores!$C$74</f>
        <v>-23.06268</v>
      </c>
      <c r="AW228" s="125">
        <f t="shared" si="33"/>
        <v>6622.6574999999993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3823.66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790.07</v>
      </c>
      <c r="N229" s="125">
        <f t="shared" si="30"/>
        <v>0</v>
      </c>
      <c r="O229" s="125">
        <f>Valores!$C$7*B229</f>
        <v>1641.42</v>
      </c>
      <c r="P229" s="125">
        <f>ROUND(IF(B229&lt;15,(Valores!$E$5*B229),Valores!$D$5),2)</f>
        <v>1649.5</v>
      </c>
      <c r="Q229" s="125">
        <v>0</v>
      </c>
      <c r="R229" s="125">
        <f>IF($F$4="NO",IF(Valores!$C$48*B229&gt;Valores!$C$45,Valores!$C$45,Valores!$C$48*B229),IF(Valores!$C$48*B229&gt;Valores!$C$45,Valores!$C$45,Valores!$C$48*B229)/2)</f>
        <v>927.24</v>
      </c>
      <c r="S229" s="125">
        <f>Valores!$C$18*B229</f>
        <v>516.26</v>
      </c>
      <c r="T229" s="125">
        <f t="shared" si="36"/>
        <v>516.26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IF(Valores!$C$96*B229&gt;Valores!$C$95,Valores!$C$95,Valores!$C$96*B229)</f>
        <v>559.88</v>
      </c>
      <c r="AA229" s="125">
        <f>IF((Valores!$C$28)*B229&gt;Valores!$F$28,Valores!$F$28,(Valores!$C$28)*B229)</f>
        <v>40.54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33.76</v>
      </c>
      <c r="AE229" s="192">
        <v>0</v>
      </c>
      <c r="AF229" s="125">
        <f>ROUND(AE229*Valores!$C$2,2)</f>
        <v>0</v>
      </c>
      <c r="AG229" s="125">
        <f>IF($F$4="NO",IF(Valores!$D$62*'Escala Docente'!B229&gt;Valores!$F$62,Valores!$F$62,Valores!$D$62*'Escala Docente'!B229),IF(Valores!$D$62*'Escala Docente'!B229&gt;Valores!$F$62,Valores!$F$62,Valores!$D$62*'Escala Docente'!B229)/2)</f>
        <v>843.1</v>
      </c>
      <c r="AH229" s="125">
        <f t="shared" si="34"/>
        <v>10825.43</v>
      </c>
      <c r="AI229" s="125">
        <f>IF(Valores!$C$32*B229&gt;Valores!$F$32,Valores!$F$32,Valores!$C$32*B229)</f>
        <v>0</v>
      </c>
      <c r="AJ229" s="125">
        <f>IF(Valores!$C$89*B229&gt;Valores!$C$88,Valores!$C$88,Valores!$C$89*B229)</f>
        <v>0</v>
      </c>
      <c r="AK229" s="125">
        <f>Valores!C$39*B229</f>
        <v>0</v>
      </c>
      <c r="AL229" s="125">
        <f>IF($F$3="NO",0,IF(Valores!$C$61*B229&gt;Valores!$F$61,Valores!$F$61,Valores!$C$61*B229))</f>
        <v>22.7118</v>
      </c>
      <c r="AM229" s="125">
        <f t="shared" si="32"/>
        <v>22.7118</v>
      </c>
      <c r="AN229" s="125">
        <f>AH229*Valores!$C$70</f>
        <v>-1190.7973</v>
      </c>
      <c r="AO229" s="125">
        <f>AH229*-Valores!$C$71</f>
        <v>0</v>
      </c>
      <c r="AP229" s="125">
        <f>AH229*Valores!$C$72</f>
        <v>-487.14434999999997</v>
      </c>
      <c r="AQ229" s="125">
        <f>Valores!$C$99</f>
        <v>-280.91000000000003</v>
      </c>
      <c r="AR229" s="125">
        <f>IF($F$5=0,Valores!$C$100,(Valores!$C$100+$F$5*(Valores!$C$100)))</f>
        <v>-329</v>
      </c>
      <c r="AS229" s="125">
        <f t="shared" si="35"/>
        <v>8560.2901500000007</v>
      </c>
      <c r="AT229" s="125">
        <f t="shared" si="29"/>
        <v>-1190.7973</v>
      </c>
      <c r="AU229" s="125">
        <f>AH229*Valores!$C$73</f>
        <v>-292.28661</v>
      </c>
      <c r="AV229" s="125">
        <f>AH229*Valores!$C$74</f>
        <v>-32.476289999999999</v>
      </c>
      <c r="AW229" s="125">
        <f t="shared" si="33"/>
        <v>9332.5815999999995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3823.66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790.07</v>
      </c>
      <c r="N230" s="125">
        <f t="shared" si="30"/>
        <v>0</v>
      </c>
      <c r="O230" s="125">
        <f>Valores!$C$7*B230</f>
        <v>1641.42</v>
      </c>
      <c r="P230" s="125">
        <f>ROUND(IF(B230&lt;15,(Valores!$E$5*B230),Valores!$D$5),2)</f>
        <v>1649.5</v>
      </c>
      <c r="Q230" s="125">
        <v>0</v>
      </c>
      <c r="R230" s="125">
        <f>IF($F$4="NO",IF(Valores!$C$48*B230&gt;Valores!$C$45,Valores!$C$45,Valores!$C$48*B230),IF(Valores!$C$48*B230&gt;Valores!$C$45,Valores!$C$45,Valores!$C$48*B230)/2)</f>
        <v>927.24</v>
      </c>
      <c r="S230" s="125">
        <f>Valores!$C$18*B230</f>
        <v>516.26</v>
      </c>
      <c r="T230" s="125">
        <f t="shared" si="36"/>
        <v>516.26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IF(Valores!$C$96*B230&gt;Valores!$C$95,Valores!$C$95,Valores!$C$96*B230)</f>
        <v>559.88</v>
      </c>
      <c r="AA230" s="125">
        <f>IF((Valores!$C$28)*B230&gt;Valores!$F$28,Valores!$F$28,(Valores!$C$28)*B230)</f>
        <v>40.54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33.76</v>
      </c>
      <c r="AE230" s="192">
        <v>94</v>
      </c>
      <c r="AF230" s="125">
        <f>ROUND(AE230*Valores!$C$2,2)</f>
        <v>2274.84</v>
      </c>
      <c r="AG230" s="125">
        <f>IF($F$4="NO",IF(Valores!$D$62*'Escala Docente'!B230&gt;Valores!$F$62,Valores!$F$62,Valores!$D$62*'Escala Docente'!B230),IF(Valores!$D$62*'Escala Docente'!B230&gt;Valores!$F$62,Valores!$F$62,Valores!$D$62*'Escala Docente'!B230)/2)</f>
        <v>843.1</v>
      </c>
      <c r="AH230" s="125">
        <f t="shared" si="34"/>
        <v>13100.27</v>
      </c>
      <c r="AI230" s="125">
        <f>IF(Valores!$C$32*B230&gt;Valores!$F$32,Valores!$F$32,Valores!$C$32*B230)</f>
        <v>0</v>
      </c>
      <c r="AJ230" s="125">
        <f>IF(Valores!$C$89*B230&gt;Valores!$C$88,Valores!$C$88,Valores!$C$89*B230)</f>
        <v>0</v>
      </c>
      <c r="AK230" s="125">
        <f>Valores!C$39*B230</f>
        <v>0</v>
      </c>
      <c r="AL230" s="125">
        <f>IF($F$3="NO",0,IF(Valores!$C$61*B230&gt;Valores!$F$61,Valores!$F$61,Valores!$C$61*B230))</f>
        <v>22.7118</v>
      </c>
      <c r="AM230" s="125">
        <f t="shared" si="32"/>
        <v>22.7118</v>
      </c>
      <c r="AN230" s="125">
        <f>AH230*Valores!$C$70</f>
        <v>-1441.0297</v>
      </c>
      <c r="AO230" s="125">
        <f>AH230*-Valores!$C$71</f>
        <v>0</v>
      </c>
      <c r="AP230" s="125">
        <f>AH230*Valores!$C$72</f>
        <v>-589.51215000000002</v>
      </c>
      <c r="AQ230" s="125">
        <f>Valores!$C$99</f>
        <v>-280.91000000000003</v>
      </c>
      <c r="AR230" s="125">
        <f>IF($F$5=0,Valores!$C$100,(Valores!$C$100+$F$5*(Valores!$C$100)))</f>
        <v>-329</v>
      </c>
      <c r="AS230" s="125">
        <f t="shared" si="35"/>
        <v>10482.52995</v>
      </c>
      <c r="AT230" s="125">
        <f t="shared" si="29"/>
        <v>-1441.0297</v>
      </c>
      <c r="AU230" s="125">
        <f>AH230*Valores!$C$73</f>
        <v>-353.70729</v>
      </c>
      <c r="AV230" s="125">
        <f>AH230*Valores!$C$74</f>
        <v>-39.300810000000006</v>
      </c>
      <c r="AW230" s="125">
        <f t="shared" si="33"/>
        <v>11288.944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5735.49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1185.1099999999999</v>
      </c>
      <c r="N231" s="125">
        <f t="shared" si="30"/>
        <v>0</v>
      </c>
      <c r="O231" s="125">
        <f>Valores!$C$7*B231</f>
        <v>2462.13</v>
      </c>
      <c r="P231" s="125">
        <f>ROUND(IF(B231&lt;15,(Valores!$E$5*B231),Valores!$D$5),2)</f>
        <v>2474.25</v>
      </c>
      <c r="Q231" s="125">
        <v>0</v>
      </c>
      <c r="R231" s="125">
        <f>IF($F$4="NO",IF(Valores!$C$48*B231&gt;Valores!$C$45,Valores!$C$45,Valores!$C$48*B231),IF(Valores!$C$48*B231&gt;Valores!$C$45,Valores!$C$45,Valores!$C$48*B231)/2)</f>
        <v>1390.8600000000001</v>
      </c>
      <c r="S231" s="125">
        <f>Valores!$C$18*B231</f>
        <v>774.39</v>
      </c>
      <c r="T231" s="125">
        <f t="shared" si="36"/>
        <v>774.39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IF(Valores!$C$96*B231&gt;Valores!$C$95,Valores!$C$95,Valores!$C$96*B231)</f>
        <v>839.81999999999994</v>
      </c>
      <c r="AA231" s="125">
        <f>IF((Valores!$C$28)*B231&gt;Valores!$F$28,Valores!$F$28,(Valores!$C$28)*B231)</f>
        <v>60.81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50.64</v>
      </c>
      <c r="AE231" s="192">
        <v>0</v>
      </c>
      <c r="AF231" s="125">
        <f>ROUND(AE231*Valores!$C$2,2)</f>
        <v>0</v>
      </c>
      <c r="AG231" s="125">
        <f>IF($F$4="NO",IF(Valores!$D$62*'Escala Docente'!B231&gt;Valores!$F$62,Valores!$F$62,Valores!$D$62*'Escala Docente'!B231),IF(Valores!$D$62*'Escala Docente'!B231&gt;Valores!$F$62,Valores!$F$62,Valores!$D$62*'Escala Docente'!B231)/2)</f>
        <v>1264.6500000000001</v>
      </c>
      <c r="AH231" s="125">
        <f t="shared" si="34"/>
        <v>16238.149999999998</v>
      </c>
      <c r="AI231" s="125">
        <f>IF(Valores!$C$32*B231&gt;Valores!$F$32,Valores!$F$32,Valores!$C$32*B231)</f>
        <v>0</v>
      </c>
      <c r="AJ231" s="125">
        <f>IF(Valores!$C$89*B231&gt;Valores!$C$88,Valores!$C$88,Valores!$C$89*B231)</f>
        <v>0</v>
      </c>
      <c r="AK231" s="125">
        <f>Valores!C$39*B231</f>
        <v>0</v>
      </c>
      <c r="AL231" s="125">
        <f>IF($F$3="NO",0,IF(Valores!$C$61*B231&gt;Valores!$F$61,Valores!$F$61,Valores!$C$61*B231))</f>
        <v>34.067700000000002</v>
      </c>
      <c r="AM231" s="125">
        <f t="shared" si="32"/>
        <v>34.067700000000002</v>
      </c>
      <c r="AN231" s="125">
        <f>AH231*Valores!$C$70</f>
        <v>-1786.1964999999998</v>
      </c>
      <c r="AO231" s="125">
        <f>AH231*-Valores!$C$71</f>
        <v>0</v>
      </c>
      <c r="AP231" s="125">
        <f>AH231*Valores!$C$72</f>
        <v>-730.71674999999982</v>
      </c>
      <c r="AQ231" s="125">
        <f>Valores!$C$99</f>
        <v>-280.91000000000003</v>
      </c>
      <c r="AR231" s="125">
        <f>IF($F$5=0,Valores!$C$100,(Valores!$C$100+$F$5*(Valores!$C$100)))</f>
        <v>-329</v>
      </c>
      <c r="AS231" s="125">
        <f t="shared" si="35"/>
        <v>13145.394449999998</v>
      </c>
      <c r="AT231" s="125">
        <f t="shared" si="29"/>
        <v>-1786.1964999999998</v>
      </c>
      <c r="AU231" s="125">
        <f>AH231*Valores!$C$73</f>
        <v>-438.43004999999994</v>
      </c>
      <c r="AV231" s="125">
        <f>AH231*Valores!$C$74</f>
        <v>-48.714449999999992</v>
      </c>
      <c r="AW231" s="125">
        <f t="shared" si="33"/>
        <v>13998.876699999997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5735.49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1185.1099999999999</v>
      </c>
      <c r="N232" s="125">
        <f t="shared" si="30"/>
        <v>0</v>
      </c>
      <c r="O232" s="125">
        <f>Valores!$C$7*B232</f>
        <v>2462.13</v>
      </c>
      <c r="P232" s="125">
        <f>ROUND(IF(B232&lt;15,(Valores!$E$5*B232),Valores!$D$5),2)</f>
        <v>2474.25</v>
      </c>
      <c r="Q232" s="125">
        <v>0</v>
      </c>
      <c r="R232" s="125">
        <f>IF($F$4="NO",IF(Valores!$C$48*B232&gt;Valores!$C$45,Valores!$C$45,Valores!$C$48*B232),IF(Valores!$C$48*B232&gt;Valores!$C$45,Valores!$C$45,Valores!$C$48*B232)/2)</f>
        <v>1390.8600000000001</v>
      </c>
      <c r="S232" s="125">
        <f>Valores!$C$18*B232</f>
        <v>774.39</v>
      </c>
      <c r="T232" s="125">
        <f t="shared" si="36"/>
        <v>774.39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IF(Valores!$C$96*B232&gt;Valores!$C$95,Valores!$C$95,Valores!$C$96*B232)</f>
        <v>839.81999999999994</v>
      </c>
      <c r="AA232" s="125">
        <f>IF((Valores!$C$28)*B232&gt;Valores!$F$28,Valores!$F$28,(Valores!$C$28)*B232)</f>
        <v>60.81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50.64</v>
      </c>
      <c r="AE232" s="192">
        <v>94</v>
      </c>
      <c r="AF232" s="125">
        <f>ROUND(AE232*Valores!$C$2,2)</f>
        <v>2274.84</v>
      </c>
      <c r="AG232" s="125">
        <f>IF($F$4="NO",IF(Valores!$D$62*'Escala Docente'!B232&gt;Valores!$F$62,Valores!$F$62,Valores!$D$62*'Escala Docente'!B232),IF(Valores!$D$62*'Escala Docente'!B232&gt;Valores!$F$62,Valores!$F$62,Valores!$D$62*'Escala Docente'!B232)/2)</f>
        <v>1264.6500000000001</v>
      </c>
      <c r="AH232" s="125">
        <f t="shared" si="34"/>
        <v>18512.989999999998</v>
      </c>
      <c r="AI232" s="125">
        <f>IF(Valores!$C$32*B232&gt;Valores!$F$32,Valores!$F$32,Valores!$C$32*B232)</f>
        <v>0</v>
      </c>
      <c r="AJ232" s="125">
        <f>IF(Valores!$C$89*B232&gt;Valores!$C$88,Valores!$C$88,Valores!$C$89*B232)</f>
        <v>0</v>
      </c>
      <c r="AK232" s="125">
        <f>Valores!C$39*B232</f>
        <v>0</v>
      </c>
      <c r="AL232" s="125">
        <f>IF($F$3="NO",0,IF(Valores!$C$61*B232&gt;Valores!$F$61,Valores!$F$61,Valores!$C$61*B232))</f>
        <v>34.067700000000002</v>
      </c>
      <c r="AM232" s="125">
        <f t="shared" si="32"/>
        <v>34.067700000000002</v>
      </c>
      <c r="AN232" s="125">
        <f>AH232*Valores!$C$70</f>
        <v>-2036.4288999999999</v>
      </c>
      <c r="AO232" s="125">
        <f>AH232*-Valores!$C$71</f>
        <v>0</v>
      </c>
      <c r="AP232" s="125">
        <f>AH232*Valores!$C$72</f>
        <v>-833.08454999999992</v>
      </c>
      <c r="AQ232" s="125">
        <f>Valores!$C$99</f>
        <v>-280.91000000000003</v>
      </c>
      <c r="AR232" s="125">
        <f>IF($F$5=0,Valores!$C$100,(Valores!$C$100+$F$5*(Valores!$C$100)))</f>
        <v>-329</v>
      </c>
      <c r="AS232" s="125">
        <f t="shared" si="35"/>
        <v>15067.634249999999</v>
      </c>
      <c r="AT232" s="125">
        <f t="shared" si="29"/>
        <v>-2036.4288999999999</v>
      </c>
      <c r="AU232" s="125">
        <f>AH232*Valores!$C$73</f>
        <v>-499.85072999999994</v>
      </c>
      <c r="AV232" s="125">
        <f>AH232*Valores!$C$74</f>
        <v>-55.538969999999992</v>
      </c>
      <c r="AW232" s="125">
        <f t="shared" si="33"/>
        <v>15955.239099999997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7647.33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1580.15</v>
      </c>
      <c r="N233" s="125">
        <f t="shared" si="30"/>
        <v>0</v>
      </c>
      <c r="O233" s="125">
        <f>Valores!$C$7*B233</f>
        <v>3282.84</v>
      </c>
      <c r="P233" s="125">
        <f>ROUND(IF(B233&lt;15,(Valores!$E$5*B233),Valores!$D$5),2)</f>
        <v>3299</v>
      </c>
      <c r="Q233" s="125">
        <v>0</v>
      </c>
      <c r="R233" s="125">
        <f>IF($F$4="NO",IF(Valores!$C$48*B233&gt;Valores!$C$45,Valores!$C$45,Valores!$C$48*B233),IF(Valores!$C$48*B233&gt;Valores!$C$45,Valores!$C$45,Valores!$C$48*B233)/2)</f>
        <v>1854.48</v>
      </c>
      <c r="S233" s="125">
        <f>Valores!$C$18*B233</f>
        <v>1032.52</v>
      </c>
      <c r="T233" s="125">
        <f t="shared" si="36"/>
        <v>1032.52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IF(Valores!$C$96*B233&gt;Valores!$C$95,Valores!$C$95,Valores!$C$96*B233)</f>
        <v>1119.76</v>
      </c>
      <c r="AA233" s="125">
        <f>IF((Valores!$C$28)*B233&gt;Valores!$F$28,Valores!$F$28,(Valores!$C$28)*B233)</f>
        <v>81.08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67.52</v>
      </c>
      <c r="AE233" s="192">
        <v>0</v>
      </c>
      <c r="AF233" s="125">
        <f>ROUND(AE233*Valores!$C$2,2)</f>
        <v>0</v>
      </c>
      <c r="AG233" s="125">
        <f>IF($F$4="NO",IF(Valores!$D$62*'Escala Docente'!B233&gt;Valores!$F$62,Valores!$F$62,Valores!$D$62*'Escala Docente'!B233),IF(Valores!$D$62*'Escala Docente'!B233&gt;Valores!$F$62,Valores!$F$62,Valores!$D$62*'Escala Docente'!B233)/2)</f>
        <v>1686.2</v>
      </c>
      <c r="AH233" s="125">
        <f t="shared" si="34"/>
        <v>21650.880000000001</v>
      </c>
      <c r="AI233" s="125">
        <f>IF(Valores!$C$32*B233&gt;Valores!$F$32,Valores!$F$32,Valores!$C$32*B233)</f>
        <v>0</v>
      </c>
      <c r="AJ233" s="125">
        <f>IF(Valores!$C$89*B233&gt;Valores!$C$88,Valores!$C$88,Valores!$C$89*B233)</f>
        <v>0</v>
      </c>
      <c r="AK233" s="125">
        <f>Valores!C$39*B233</f>
        <v>0</v>
      </c>
      <c r="AL233" s="125">
        <f>IF($F$3="NO",0,IF(Valores!$C$61*B233&gt;Valores!$F$61,Valores!$F$61,Valores!$C$61*B233))</f>
        <v>45.4236</v>
      </c>
      <c r="AM233" s="125">
        <f t="shared" si="32"/>
        <v>45.4236</v>
      </c>
      <c r="AN233" s="125">
        <f>AH233*Valores!$C$70</f>
        <v>-2381.5968000000003</v>
      </c>
      <c r="AO233" s="125">
        <f>AH233*-Valores!$C$71</f>
        <v>0</v>
      </c>
      <c r="AP233" s="125">
        <f>AH233*Valores!$C$72</f>
        <v>-974.28960000000006</v>
      </c>
      <c r="AQ233" s="125">
        <f>Valores!$C$99</f>
        <v>-280.91000000000003</v>
      </c>
      <c r="AR233" s="125">
        <f>IF($F$5=0,Valores!$C$100,(Valores!$C$100+$F$5*(Valores!$C$100)))</f>
        <v>-329</v>
      </c>
      <c r="AS233" s="125">
        <f t="shared" si="35"/>
        <v>17730.5072</v>
      </c>
      <c r="AT233" s="125">
        <f t="shared" si="29"/>
        <v>-2381.5968000000003</v>
      </c>
      <c r="AU233" s="125">
        <f>AH233*Valores!$C$73</f>
        <v>-584.57375999999999</v>
      </c>
      <c r="AV233" s="125">
        <f>AH233*Valores!$C$74</f>
        <v>-64.952640000000002</v>
      </c>
      <c r="AW233" s="125">
        <f t="shared" si="33"/>
        <v>18665.180399999997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7647.33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1580.15</v>
      </c>
      <c r="N234" s="125">
        <f t="shared" si="30"/>
        <v>0</v>
      </c>
      <c r="O234" s="125">
        <f>Valores!$C$7*B234</f>
        <v>3282.84</v>
      </c>
      <c r="P234" s="125">
        <f>ROUND(IF(B234&lt;15,(Valores!$E$5*B234),Valores!$D$5),2)</f>
        <v>3299</v>
      </c>
      <c r="Q234" s="125">
        <v>0</v>
      </c>
      <c r="R234" s="125">
        <f>IF($F$4="NO",IF(Valores!$C$48*B234&gt;Valores!$C$45,Valores!$C$45,Valores!$C$48*B234),IF(Valores!$C$48*B234&gt;Valores!$C$45,Valores!$C$45,Valores!$C$48*B234)/2)</f>
        <v>1854.48</v>
      </c>
      <c r="S234" s="125">
        <f>Valores!$C$18*B234</f>
        <v>1032.52</v>
      </c>
      <c r="T234" s="125">
        <f t="shared" si="36"/>
        <v>1032.52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IF(Valores!$C$96*B234&gt;Valores!$C$95,Valores!$C$95,Valores!$C$96*B234)</f>
        <v>1119.76</v>
      </c>
      <c r="AA234" s="125">
        <f>IF((Valores!$C$28)*B234&gt;Valores!$F$28,Valores!$F$28,(Valores!$C$28)*B234)</f>
        <v>81.08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67.52</v>
      </c>
      <c r="AE234" s="192">
        <v>94</v>
      </c>
      <c r="AF234" s="125">
        <f>ROUND(AE234*Valores!$C$2,2)</f>
        <v>2274.84</v>
      </c>
      <c r="AG234" s="125">
        <f>IF($F$4="NO",IF(Valores!$D$62*'Escala Docente'!B234&gt;Valores!$F$62,Valores!$F$62,Valores!$D$62*'Escala Docente'!B234),IF(Valores!$D$62*'Escala Docente'!B234&gt;Valores!$F$62,Valores!$F$62,Valores!$D$62*'Escala Docente'!B234)/2)</f>
        <v>1686.2</v>
      </c>
      <c r="AH234" s="125">
        <f t="shared" si="34"/>
        <v>23925.72</v>
      </c>
      <c r="AI234" s="125">
        <f>IF(Valores!$C$32*B234&gt;Valores!$F$32,Valores!$F$32,Valores!$C$32*B234)</f>
        <v>0</v>
      </c>
      <c r="AJ234" s="125">
        <f>IF(Valores!$C$89*B234&gt;Valores!$C$88,Valores!$C$88,Valores!$C$89*B234)</f>
        <v>0</v>
      </c>
      <c r="AK234" s="125">
        <f>Valores!C$39*B234</f>
        <v>0</v>
      </c>
      <c r="AL234" s="125">
        <f>IF($F$3="NO",0,IF(Valores!$C$61*B234&gt;Valores!$F$61,Valores!$F$61,Valores!$C$61*B234))</f>
        <v>45.4236</v>
      </c>
      <c r="AM234" s="125">
        <f t="shared" si="32"/>
        <v>45.4236</v>
      </c>
      <c r="AN234" s="125">
        <f>AH234*Valores!$C$70</f>
        <v>-2631.8292000000001</v>
      </c>
      <c r="AO234" s="125">
        <f>AH234*-Valores!$C$71</f>
        <v>0</v>
      </c>
      <c r="AP234" s="125">
        <f>AH234*Valores!$C$72</f>
        <v>-1076.6574000000001</v>
      </c>
      <c r="AQ234" s="125">
        <f>Valores!$C$99</f>
        <v>-280.91000000000003</v>
      </c>
      <c r="AR234" s="125">
        <f>IF($F$5=0,Valores!$C$100,(Valores!$C$100+$F$5*(Valores!$C$100)))</f>
        <v>-329</v>
      </c>
      <c r="AS234" s="125">
        <f t="shared" si="35"/>
        <v>19652.747000000003</v>
      </c>
      <c r="AT234" s="125">
        <f t="shared" si="29"/>
        <v>-2631.8292000000001</v>
      </c>
      <c r="AU234" s="125">
        <f>AH234*Valores!$C$73</f>
        <v>-645.99444000000005</v>
      </c>
      <c r="AV234" s="125">
        <f>AH234*Valores!$C$74</f>
        <v>-71.777160000000009</v>
      </c>
      <c r="AW234" s="125">
        <f t="shared" si="33"/>
        <v>20621.542799999999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9559.16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1975.19</v>
      </c>
      <c r="N235" s="125">
        <f t="shared" si="30"/>
        <v>0</v>
      </c>
      <c r="O235" s="125">
        <f>Valores!$C$7*B235</f>
        <v>4103.55</v>
      </c>
      <c r="P235" s="125">
        <f>ROUND(IF(B235&lt;15,(Valores!$E$5*B235),Valores!$D$5),2)</f>
        <v>4123.75</v>
      </c>
      <c r="Q235" s="125">
        <v>0</v>
      </c>
      <c r="R235" s="125">
        <f>IF($F$4="NO",IF(Valores!$C$48*B235&gt;Valores!$C$45,Valores!$C$45,Valores!$C$48*B235),IF(Valores!$C$48*B235&gt;Valores!$C$45,Valores!$C$45,Valores!$C$48*B235)/2)</f>
        <v>2318.1</v>
      </c>
      <c r="S235" s="125">
        <f>Valores!$C$18*B235</f>
        <v>1290.6500000000001</v>
      </c>
      <c r="T235" s="125">
        <f t="shared" si="36"/>
        <v>1290.6500000000001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IF(Valores!$C$96*B235&gt;Valores!$C$95,Valores!$C$95,Valores!$C$96*B235)</f>
        <v>1399.7</v>
      </c>
      <c r="AA235" s="125">
        <f>IF((Valores!$C$28)*B235&gt;Valores!$F$28,Valores!$F$28,(Valores!$C$28)*B235)</f>
        <v>101.35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84.399999999999991</v>
      </c>
      <c r="AE235" s="192">
        <v>0</v>
      </c>
      <c r="AF235" s="125">
        <f>ROUND(AE235*Valores!$C$2,2)</f>
        <v>0</v>
      </c>
      <c r="AG235" s="125">
        <f>IF($F$4="NO",IF(Valores!$D$62*'Escala Docente'!B235&gt;Valores!$F$62,Valores!$F$62,Valores!$D$62*'Escala Docente'!B235),IF(Valores!$D$62*'Escala Docente'!B235&gt;Valores!$F$62,Valores!$F$62,Valores!$D$62*'Escala Docente'!B235)/2)</f>
        <v>2107.75</v>
      </c>
      <c r="AH235" s="125">
        <f t="shared" si="34"/>
        <v>27063.600000000002</v>
      </c>
      <c r="AI235" s="125">
        <f>IF(Valores!$C$32*B235&gt;Valores!$F$32,Valores!$F$32,Valores!$C$32*B235)</f>
        <v>0</v>
      </c>
      <c r="AJ235" s="125">
        <f>IF(Valores!$C$89*B235&gt;Valores!$C$88,Valores!$C$88,Valores!$C$89*B235)</f>
        <v>0</v>
      </c>
      <c r="AK235" s="125">
        <f>Valores!C$39*B235</f>
        <v>0</v>
      </c>
      <c r="AL235" s="125">
        <f>IF($F$3="NO",0,IF(Valores!$C$61*B235&gt;Valores!$F$61,Valores!$F$61,Valores!$C$61*B235))</f>
        <v>56.779499999999999</v>
      </c>
      <c r="AM235" s="125">
        <f t="shared" si="32"/>
        <v>56.779499999999999</v>
      </c>
      <c r="AN235" s="125">
        <f>AH235*Valores!$C$70</f>
        <v>-2976.9960000000001</v>
      </c>
      <c r="AO235" s="125">
        <f>AH235*-Valores!$C$71</f>
        <v>0</v>
      </c>
      <c r="AP235" s="125">
        <f>AH235*Valores!$C$72</f>
        <v>-1217.8620000000001</v>
      </c>
      <c r="AQ235" s="125">
        <f>Valores!$C$99</f>
        <v>-280.91000000000003</v>
      </c>
      <c r="AR235" s="125">
        <f>IF($F$5=0,Valores!$C$100,(Valores!$C$100+$F$5*(Valores!$C$100)))</f>
        <v>-329</v>
      </c>
      <c r="AS235" s="125">
        <f t="shared" si="35"/>
        <v>22315.611500000003</v>
      </c>
      <c r="AT235" s="125">
        <f t="shared" si="29"/>
        <v>-2976.9960000000001</v>
      </c>
      <c r="AU235" s="125">
        <f>AH235*Valores!$C$73</f>
        <v>-730.71720000000005</v>
      </c>
      <c r="AV235" s="125">
        <f>AH235*Valores!$C$74</f>
        <v>-81.19080000000001</v>
      </c>
      <c r="AW235" s="125">
        <f t="shared" si="33"/>
        <v>23331.475500000004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9559.16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1975.19</v>
      </c>
      <c r="N236" s="125">
        <f t="shared" si="30"/>
        <v>0</v>
      </c>
      <c r="O236" s="125">
        <f>Valores!$C$7*B236</f>
        <v>4103.55</v>
      </c>
      <c r="P236" s="125">
        <f>ROUND(IF(B236&lt;15,(Valores!$E$5*B236),Valores!$D$5),2)</f>
        <v>4123.75</v>
      </c>
      <c r="Q236" s="125">
        <v>0</v>
      </c>
      <c r="R236" s="125">
        <f>IF($F$4="NO",IF(Valores!$C$48*B236&gt;Valores!$C$45,Valores!$C$45,Valores!$C$48*B236),IF(Valores!$C$48*B236&gt;Valores!$C$45,Valores!$C$45,Valores!$C$48*B236)/2)</f>
        <v>2318.1</v>
      </c>
      <c r="S236" s="125">
        <f>Valores!$C$18*B236</f>
        <v>1290.6500000000001</v>
      </c>
      <c r="T236" s="125">
        <f t="shared" si="36"/>
        <v>1290.6500000000001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IF(Valores!$C$96*B236&gt;Valores!$C$95,Valores!$C$95,Valores!$C$96*B236)</f>
        <v>1399.7</v>
      </c>
      <c r="AA236" s="125">
        <f>IF((Valores!$C$28)*B236&gt;Valores!$F$28,Valores!$F$28,(Valores!$C$28)*B236)</f>
        <v>101.35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84.399999999999991</v>
      </c>
      <c r="AE236" s="192">
        <v>94</v>
      </c>
      <c r="AF236" s="125">
        <f>ROUND(AE236*Valores!$C$2,2)</f>
        <v>2274.84</v>
      </c>
      <c r="AG236" s="125">
        <f>IF($F$4="NO",IF(Valores!$D$62*'Escala Docente'!B236&gt;Valores!$F$62,Valores!$F$62,Valores!$D$62*'Escala Docente'!B236),IF(Valores!$D$62*'Escala Docente'!B236&gt;Valores!$F$62,Valores!$F$62,Valores!$D$62*'Escala Docente'!B236)/2)</f>
        <v>2107.75</v>
      </c>
      <c r="AH236" s="125">
        <f t="shared" si="34"/>
        <v>29338.440000000002</v>
      </c>
      <c r="AI236" s="125">
        <f>IF(Valores!$C$32*B236&gt;Valores!$F$32,Valores!$F$32,Valores!$C$32*B236)</f>
        <v>0</v>
      </c>
      <c r="AJ236" s="125">
        <f>IF(Valores!$C$89*B236&gt;Valores!$C$88,Valores!$C$88,Valores!$C$89*B236)</f>
        <v>0</v>
      </c>
      <c r="AK236" s="125">
        <f>Valores!C$39*B236</f>
        <v>0</v>
      </c>
      <c r="AL236" s="125">
        <f>IF($F$3="NO",0,IF(Valores!$C$61*B236&gt;Valores!$F$61,Valores!$F$61,Valores!$C$61*B236))</f>
        <v>56.779499999999999</v>
      </c>
      <c r="AM236" s="125">
        <f t="shared" si="32"/>
        <v>56.779499999999999</v>
      </c>
      <c r="AN236" s="125">
        <f>AH236*Valores!$C$70</f>
        <v>-3227.2284000000004</v>
      </c>
      <c r="AO236" s="125">
        <f>AH236*-Valores!$C$71</f>
        <v>0</v>
      </c>
      <c r="AP236" s="125">
        <f>AH236*Valores!$C$72</f>
        <v>-1320.2298000000001</v>
      </c>
      <c r="AQ236" s="125">
        <f>Valores!$C$99</f>
        <v>-280.91000000000003</v>
      </c>
      <c r="AR236" s="125">
        <f>IF($F$5=0,Valores!$C$100,(Valores!$C$100+$F$5*(Valores!$C$100)))</f>
        <v>-329</v>
      </c>
      <c r="AS236" s="125">
        <f t="shared" si="35"/>
        <v>24237.851300000002</v>
      </c>
      <c r="AT236" s="125">
        <f t="shared" si="29"/>
        <v>-3227.2284000000004</v>
      </c>
      <c r="AU236" s="125">
        <f>AH236*Valores!$C$73</f>
        <v>-792.13788000000011</v>
      </c>
      <c r="AV236" s="125">
        <f>AH236*Valores!$C$74</f>
        <v>-88.015320000000003</v>
      </c>
      <c r="AW236" s="125">
        <f t="shared" si="33"/>
        <v>25287.837900000002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11470.99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2370.2199999999998</v>
      </c>
      <c r="N237" s="125">
        <f t="shared" si="30"/>
        <v>0</v>
      </c>
      <c r="O237" s="125">
        <f>Valores!$C$7*B237</f>
        <v>4924.26</v>
      </c>
      <c r="P237" s="125">
        <f>ROUND(IF(B237&lt;15,(Valores!$E$5*B237),Valores!$D$5),2)</f>
        <v>4948.5</v>
      </c>
      <c r="Q237" s="125">
        <v>0</v>
      </c>
      <c r="R237" s="125">
        <f>IF($F$4="NO",IF(Valores!$C$48*B237&gt;Valores!$C$45,Valores!$C$45,Valores!$C$48*B237),IF(Valores!$C$48*B237&gt;Valores!$C$45,Valores!$C$45,Valores!$C$48*B237)/2)</f>
        <v>2781.7200000000003</v>
      </c>
      <c r="S237" s="125">
        <f>Valores!$C$18*B237</f>
        <v>1548.78</v>
      </c>
      <c r="T237" s="125">
        <f t="shared" si="36"/>
        <v>1548.78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IF(Valores!$C$96*B237&gt;Valores!$C$95,Valores!$C$95,Valores!$C$96*B237)</f>
        <v>1679.6399999999999</v>
      </c>
      <c r="AA237" s="125">
        <f>IF((Valores!$C$28)*B237&gt;Valores!$F$28,Valores!$F$28,(Valores!$C$28)*B237)</f>
        <v>121.62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101.28</v>
      </c>
      <c r="AE237" s="192">
        <v>0</v>
      </c>
      <c r="AF237" s="125">
        <f>ROUND(AE237*Valores!$C$2,2)</f>
        <v>0</v>
      </c>
      <c r="AG237" s="125">
        <f>IF($F$4="NO",IF(Valores!$D$62*'Escala Docente'!B237&gt;Valores!$F$62,Valores!$F$62,Valores!$D$62*'Escala Docente'!B237),IF(Valores!$D$62*'Escala Docente'!B237&gt;Valores!$F$62,Valores!$F$62,Valores!$D$62*'Escala Docente'!B237)/2)</f>
        <v>2529.3000000000002</v>
      </c>
      <c r="AH237" s="125">
        <f t="shared" si="34"/>
        <v>32476.309999999998</v>
      </c>
      <c r="AI237" s="125">
        <f>IF(Valores!$C$32*B237&gt;Valores!$F$32,Valores!$F$32,Valores!$C$32*B237)</f>
        <v>0</v>
      </c>
      <c r="AJ237" s="125">
        <f>IF(Valores!$C$89*B237&gt;Valores!$C$88,Valores!$C$88,Valores!$C$89*B237)</f>
        <v>0</v>
      </c>
      <c r="AK237" s="125">
        <f>Valores!C$39*B237</f>
        <v>0</v>
      </c>
      <c r="AL237" s="125">
        <f>IF($F$3="NO",0,IF(Valores!$C$61*B237&gt;Valores!$F$61,Valores!$F$61,Valores!$C$61*B237))</f>
        <v>68.135400000000004</v>
      </c>
      <c r="AM237" s="125">
        <f t="shared" si="32"/>
        <v>68.135400000000004</v>
      </c>
      <c r="AN237" s="125">
        <f>AH237*Valores!$C$70</f>
        <v>-3572.3941</v>
      </c>
      <c r="AO237" s="125">
        <f>AH237*-Valores!$C$71</f>
        <v>0</v>
      </c>
      <c r="AP237" s="125">
        <f>AH237*Valores!$C$72</f>
        <v>-1461.4339499999999</v>
      </c>
      <c r="AQ237" s="125">
        <f>Valores!$C$99</f>
        <v>-280.91000000000003</v>
      </c>
      <c r="AR237" s="125">
        <f>IF($F$5=0,Valores!$C$100,(Valores!$C$100+$F$5*(Valores!$C$100)))</f>
        <v>-329</v>
      </c>
      <c r="AS237" s="125">
        <f t="shared" si="35"/>
        <v>26900.707349999997</v>
      </c>
      <c r="AT237" s="125">
        <f t="shared" si="29"/>
        <v>-3572.3941</v>
      </c>
      <c r="AU237" s="125">
        <f>AH237*Valores!$C$73</f>
        <v>-876.86036999999988</v>
      </c>
      <c r="AV237" s="125">
        <f>AH237*Valores!$C$74</f>
        <v>-97.428929999999994</v>
      </c>
      <c r="AW237" s="125">
        <f t="shared" si="33"/>
        <v>27997.761999999995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11470.99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2370.2199999999998</v>
      </c>
      <c r="N238" s="125">
        <f t="shared" si="30"/>
        <v>0</v>
      </c>
      <c r="O238" s="125">
        <f>Valores!$C$7*B238</f>
        <v>4924.26</v>
      </c>
      <c r="P238" s="125">
        <f>ROUND(IF(B238&lt;15,(Valores!$E$5*B238),Valores!$D$5),2)</f>
        <v>4948.5</v>
      </c>
      <c r="Q238" s="125">
        <v>0</v>
      </c>
      <c r="R238" s="125">
        <f>IF($F$4="NO",IF(Valores!$C$48*B238&gt;Valores!$C$45,Valores!$C$45,Valores!$C$48*B238),IF(Valores!$C$48*B238&gt;Valores!$C$45,Valores!$C$45,Valores!$C$48*B238)/2)</f>
        <v>2781.7200000000003</v>
      </c>
      <c r="S238" s="125">
        <f>Valores!$C$18*B238</f>
        <v>1548.78</v>
      </c>
      <c r="T238" s="125">
        <f t="shared" si="36"/>
        <v>1548.78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IF(Valores!$C$96*B238&gt;Valores!$C$95,Valores!$C$95,Valores!$C$96*B238)</f>
        <v>1679.6399999999999</v>
      </c>
      <c r="AA238" s="125">
        <f>IF((Valores!$C$28)*B238&gt;Valores!$F$28,Valores!$F$28,(Valores!$C$28)*B238)</f>
        <v>121.62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101.28</v>
      </c>
      <c r="AE238" s="192">
        <v>94</v>
      </c>
      <c r="AF238" s="125">
        <f>ROUND(AE238*Valores!$C$2,2)</f>
        <v>2274.84</v>
      </c>
      <c r="AG238" s="125">
        <f>IF($F$4="NO",IF(Valores!$D$62*'Escala Docente'!B238&gt;Valores!$F$62,Valores!$F$62,Valores!$D$62*'Escala Docente'!B238),IF(Valores!$D$62*'Escala Docente'!B238&gt;Valores!$F$62,Valores!$F$62,Valores!$D$62*'Escala Docente'!B238)/2)</f>
        <v>2529.3000000000002</v>
      </c>
      <c r="AH238" s="125">
        <f t="shared" si="34"/>
        <v>34751.15</v>
      </c>
      <c r="AI238" s="125">
        <f>IF(Valores!$C$32*B238&gt;Valores!$F$32,Valores!$F$32,Valores!$C$32*B238)</f>
        <v>0</v>
      </c>
      <c r="AJ238" s="125">
        <f>IF(Valores!$C$89*B238&gt;Valores!$C$88,Valores!$C$88,Valores!$C$89*B238)</f>
        <v>0</v>
      </c>
      <c r="AK238" s="125">
        <f>Valores!C$39*B238</f>
        <v>0</v>
      </c>
      <c r="AL238" s="125">
        <f>IF($F$3="NO",0,IF(Valores!$C$61*B238&gt;Valores!$F$61,Valores!$F$61,Valores!$C$61*B238))</f>
        <v>68.135400000000004</v>
      </c>
      <c r="AM238" s="125">
        <f t="shared" si="32"/>
        <v>68.135400000000004</v>
      </c>
      <c r="AN238" s="125">
        <f>AH238*Valores!$C$70</f>
        <v>-3822.6265000000003</v>
      </c>
      <c r="AO238" s="125">
        <f>AH238*-Valores!$C$71</f>
        <v>0</v>
      </c>
      <c r="AP238" s="125">
        <f>AH238*Valores!$C$72</f>
        <v>-1563.8017500000001</v>
      </c>
      <c r="AQ238" s="125">
        <f>Valores!$C$99</f>
        <v>-280.91000000000003</v>
      </c>
      <c r="AR238" s="125">
        <f>IF($F$5=0,Valores!$C$100,(Valores!$C$100+$F$5*(Valores!$C$100)))</f>
        <v>-329</v>
      </c>
      <c r="AS238" s="125">
        <f t="shared" si="35"/>
        <v>28822.94715</v>
      </c>
      <c r="AT238" s="125">
        <f t="shared" si="29"/>
        <v>-3822.6265000000003</v>
      </c>
      <c r="AU238" s="125">
        <f>AH238*Valores!$C$73</f>
        <v>-938.28105000000005</v>
      </c>
      <c r="AV238" s="125">
        <f>AH238*Valores!$C$74</f>
        <v>-104.25345</v>
      </c>
      <c r="AW238" s="125">
        <f t="shared" si="33"/>
        <v>29954.124400000001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13382.82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2765.26</v>
      </c>
      <c r="N239" s="125">
        <f t="shared" si="30"/>
        <v>0</v>
      </c>
      <c r="O239" s="125">
        <f>Valores!$C$7*B239</f>
        <v>5744.97</v>
      </c>
      <c r="P239" s="125">
        <f>ROUND(IF(B239&lt;15,(Valores!$E$5*B239),Valores!$D$5),2)</f>
        <v>5773.25</v>
      </c>
      <c r="Q239" s="125">
        <v>0</v>
      </c>
      <c r="R239" s="125">
        <f>IF($F$4="NO",IF(Valores!$C$48*B239&gt;Valores!$C$45,Valores!$C$45,Valores!$C$48*B239),IF(Valores!$C$48*B239&gt;Valores!$C$45,Valores!$C$45,Valores!$C$48*B239)/2)</f>
        <v>3245.34</v>
      </c>
      <c r="S239" s="125">
        <f>Valores!$C$18*B239</f>
        <v>1806.9099999999999</v>
      </c>
      <c r="T239" s="125">
        <f t="shared" si="36"/>
        <v>1806.91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IF(Valores!$C$96*B239&gt;Valores!$C$95,Valores!$C$95,Valores!$C$96*B239)</f>
        <v>1959.58</v>
      </c>
      <c r="AA239" s="125">
        <f>IF((Valores!$C$28)*B239&gt;Valores!$F$28,Valores!$F$28,(Valores!$C$28)*B239)</f>
        <v>141.88999999999999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118.16</v>
      </c>
      <c r="AE239" s="192">
        <v>0</v>
      </c>
      <c r="AF239" s="125">
        <f>ROUND(AE239*Valores!$C$2,2)</f>
        <v>0</v>
      </c>
      <c r="AG239" s="125">
        <f>IF($F$4="NO",IF(Valores!$D$62*'Escala Docente'!B239&gt;Valores!$F$62,Valores!$F$62,Valores!$D$62*'Escala Docente'!B239),IF(Valores!$D$62*'Escala Docente'!B239&gt;Valores!$F$62,Valores!$F$62,Valores!$D$62*'Escala Docente'!B239)/2)</f>
        <v>2950.85</v>
      </c>
      <c r="AH239" s="125">
        <f t="shared" si="34"/>
        <v>37889.03</v>
      </c>
      <c r="AI239" s="125">
        <f>IF(Valores!$C$32*B239&gt;Valores!$F$32,Valores!$F$32,Valores!$C$32*B239)</f>
        <v>0</v>
      </c>
      <c r="AJ239" s="125">
        <f>IF(Valores!$C$89*B239&gt;Valores!$C$88,Valores!$C$88,Valores!$C$89*B239)</f>
        <v>0</v>
      </c>
      <c r="AK239" s="125">
        <f>Valores!C$39*B239</f>
        <v>0</v>
      </c>
      <c r="AL239" s="125">
        <f>IF($F$3="NO",0,IF(Valores!$C$61*B239&gt;Valores!$F$61,Valores!$F$61,Valores!$C$61*B239))</f>
        <v>79.491299999999995</v>
      </c>
      <c r="AM239" s="125">
        <f t="shared" si="32"/>
        <v>79.491299999999995</v>
      </c>
      <c r="AN239" s="125">
        <f>AH239*Valores!$C$70</f>
        <v>-4167.7933000000003</v>
      </c>
      <c r="AO239" s="125">
        <f>AH239*-Valores!$C$71</f>
        <v>0</v>
      </c>
      <c r="AP239" s="125">
        <f>AH239*Valores!$C$72</f>
        <v>-1705.0063499999999</v>
      </c>
      <c r="AQ239" s="125">
        <f>Valores!$C$99</f>
        <v>-280.91000000000003</v>
      </c>
      <c r="AR239" s="125">
        <f>IF($F$5=0,Valores!$C$100,(Valores!$C$100+$F$5*(Valores!$C$100)))</f>
        <v>-329</v>
      </c>
      <c r="AS239" s="125">
        <f t="shared" si="35"/>
        <v>31485.81165</v>
      </c>
      <c r="AT239" s="125">
        <f t="shared" si="29"/>
        <v>-4167.7933000000003</v>
      </c>
      <c r="AU239" s="125">
        <f>AH239*Valores!$C$73</f>
        <v>-1023.0038099999999</v>
      </c>
      <c r="AV239" s="125">
        <f>AH239*Valores!$C$74</f>
        <v>-113.66709</v>
      </c>
      <c r="AW239" s="125">
        <f t="shared" si="33"/>
        <v>32664.057099999998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13382.82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2765.26</v>
      </c>
      <c r="N240" s="125">
        <f t="shared" si="30"/>
        <v>0</v>
      </c>
      <c r="O240" s="125">
        <f>Valores!$C$7*B240</f>
        <v>5744.97</v>
      </c>
      <c r="P240" s="125">
        <f>ROUND(IF(B240&lt;15,(Valores!$E$5*B240),Valores!$D$5),2)</f>
        <v>5773.25</v>
      </c>
      <c r="Q240" s="125">
        <v>0</v>
      </c>
      <c r="R240" s="125">
        <f>IF($F$4="NO",IF(Valores!$C$48*B240&gt;Valores!$C$45,Valores!$C$45,Valores!$C$48*B240),IF(Valores!$C$48*B240&gt;Valores!$C$45,Valores!$C$45,Valores!$C$48*B240)/2)</f>
        <v>3245.34</v>
      </c>
      <c r="S240" s="125">
        <f>Valores!$C$18*B240</f>
        <v>1806.9099999999999</v>
      </c>
      <c r="T240" s="125">
        <f t="shared" si="36"/>
        <v>1806.91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IF(Valores!$C$96*B240&gt;Valores!$C$95,Valores!$C$95,Valores!$C$96*B240)</f>
        <v>1959.58</v>
      </c>
      <c r="AA240" s="125">
        <f>IF((Valores!$C$28)*B240&gt;Valores!$F$28,Valores!$F$28,(Valores!$C$28)*B240)</f>
        <v>141.88999999999999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118.16</v>
      </c>
      <c r="AE240" s="192">
        <v>94</v>
      </c>
      <c r="AF240" s="125">
        <f>ROUND(AE240*Valores!$C$2,2)</f>
        <v>2274.84</v>
      </c>
      <c r="AG240" s="125">
        <f>IF($F$4="NO",IF(Valores!$D$62*'Escala Docente'!B240&gt;Valores!$F$62,Valores!$F$62,Valores!$D$62*'Escala Docente'!B240),IF(Valores!$D$62*'Escala Docente'!B240&gt;Valores!$F$62,Valores!$F$62,Valores!$D$62*'Escala Docente'!B240)/2)</f>
        <v>2950.85</v>
      </c>
      <c r="AH240" s="125">
        <f t="shared" si="34"/>
        <v>40163.870000000003</v>
      </c>
      <c r="AI240" s="125">
        <f>IF(Valores!$C$32*B240&gt;Valores!$F$32,Valores!$F$32,Valores!$C$32*B240)</f>
        <v>0</v>
      </c>
      <c r="AJ240" s="125">
        <f>IF(Valores!$C$89*B240&gt;Valores!$C$88,Valores!$C$88,Valores!$C$89*B240)</f>
        <v>0</v>
      </c>
      <c r="AK240" s="125">
        <f>Valores!C$39*B240</f>
        <v>0</v>
      </c>
      <c r="AL240" s="125">
        <f>IF($F$3="NO",0,IF(Valores!$C$61*B240&gt;Valores!$F$61,Valores!$F$61,Valores!$C$61*B240))</f>
        <v>79.491299999999995</v>
      </c>
      <c r="AM240" s="125">
        <f t="shared" si="32"/>
        <v>79.491299999999995</v>
      </c>
      <c r="AN240" s="125">
        <f>AH240*Valores!$C$70</f>
        <v>-4418.0257000000001</v>
      </c>
      <c r="AO240" s="125">
        <f>AH240*-Valores!$C$71</f>
        <v>0</v>
      </c>
      <c r="AP240" s="125">
        <f>AH240*Valores!$C$72</f>
        <v>-1807.3741500000001</v>
      </c>
      <c r="AQ240" s="125">
        <f>Valores!$C$99</f>
        <v>-280.91000000000003</v>
      </c>
      <c r="AR240" s="125">
        <f>IF($F$5=0,Valores!$C$100,(Valores!$C$100+$F$5*(Valores!$C$100)))</f>
        <v>-329</v>
      </c>
      <c r="AS240" s="125">
        <f t="shared" si="35"/>
        <v>33408.051449999999</v>
      </c>
      <c r="AT240" s="125">
        <f t="shared" si="29"/>
        <v>-4418.0257000000001</v>
      </c>
      <c r="AU240" s="125">
        <f>AH240*Valores!$C$73</f>
        <v>-1084.4244900000001</v>
      </c>
      <c r="AV240" s="125">
        <f>AH240*Valores!$C$74</f>
        <v>-120.49161000000001</v>
      </c>
      <c r="AW240" s="125">
        <f t="shared" si="33"/>
        <v>34620.419500000004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15294.65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3160.3</v>
      </c>
      <c r="N241" s="125">
        <f t="shared" si="30"/>
        <v>0</v>
      </c>
      <c r="O241" s="125">
        <f>Valores!$C$7*B241</f>
        <v>6565.68</v>
      </c>
      <c r="P241" s="125">
        <f>ROUND(IF(B241&lt;15,(Valores!$E$5*B241),Valores!$D$5),2)</f>
        <v>6598</v>
      </c>
      <c r="Q241" s="125">
        <v>0</v>
      </c>
      <c r="R241" s="125">
        <f>IF($F$4="NO",IF(Valores!$C$48*B241&gt;Valores!$C$45,Valores!$C$45,Valores!$C$48*B241),IF(Valores!$C$48*B241&gt;Valores!$C$45,Valores!$C$45,Valores!$C$48*B241)/2)</f>
        <v>3708.96</v>
      </c>
      <c r="S241" s="125">
        <f>Valores!$C$18*B241</f>
        <v>2065.04</v>
      </c>
      <c r="T241" s="125">
        <f t="shared" si="36"/>
        <v>2065.04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IF(Valores!$C$96*B241&gt;Valores!$C$95,Valores!$C$95,Valores!$C$96*B241)</f>
        <v>2239.52</v>
      </c>
      <c r="AA241" s="125">
        <f>IF((Valores!$C$28)*B241&gt;Valores!$F$28,Valores!$F$28,(Valores!$C$28)*B241)</f>
        <v>162.16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135.04</v>
      </c>
      <c r="AE241" s="192">
        <v>0</v>
      </c>
      <c r="AF241" s="125">
        <f>ROUND(AE241*Valores!$C$2,2)</f>
        <v>0</v>
      </c>
      <c r="AG241" s="125">
        <f>IF($F$4="NO",IF(Valores!$D$62*'Escala Docente'!B241&gt;Valores!$F$62,Valores!$F$62,Valores!$D$62*'Escala Docente'!B241),IF(Valores!$D$62*'Escala Docente'!B241&gt;Valores!$F$62,Valores!$F$62,Valores!$D$62*'Escala Docente'!B241)/2)</f>
        <v>3372.4</v>
      </c>
      <c r="AH241" s="125">
        <f t="shared" si="34"/>
        <v>43301.750000000007</v>
      </c>
      <c r="AI241" s="125">
        <f>IF(Valores!$C$32*B241&gt;Valores!$F$32,Valores!$F$32,Valores!$C$32*B241)</f>
        <v>0</v>
      </c>
      <c r="AJ241" s="125">
        <f>IF(Valores!$C$89*B241&gt;Valores!$C$88,Valores!$C$88,Valores!$C$89*B241)</f>
        <v>0</v>
      </c>
      <c r="AK241" s="125">
        <f>Valores!C$39*B241</f>
        <v>0</v>
      </c>
      <c r="AL241" s="125">
        <f>IF($F$3="NO",0,IF(Valores!$C$61*B241&gt;Valores!$F$61,Valores!$F$61,Valores!$C$61*B241))</f>
        <v>90.847200000000001</v>
      </c>
      <c r="AM241" s="125">
        <f t="shared" si="32"/>
        <v>90.847200000000001</v>
      </c>
      <c r="AN241" s="125">
        <f>AH241*Valores!$C$70</f>
        <v>-4763.192500000001</v>
      </c>
      <c r="AO241" s="125">
        <f>AH241*-Valores!$C$71</f>
        <v>0</v>
      </c>
      <c r="AP241" s="125">
        <f>AH241*Valores!$C$72</f>
        <v>-1948.5787500000004</v>
      </c>
      <c r="AQ241" s="125">
        <f>Valores!$C$99</f>
        <v>-280.91000000000003</v>
      </c>
      <c r="AR241" s="125">
        <f>IF($F$5=0,Valores!$C$100,(Valores!$C$100+$F$5*(Valores!$C$100)))</f>
        <v>-329</v>
      </c>
      <c r="AS241" s="125">
        <f t="shared" si="35"/>
        <v>36070.91595000001</v>
      </c>
      <c r="AT241" s="125">
        <f t="shared" si="29"/>
        <v>-4763.192500000001</v>
      </c>
      <c r="AU241" s="125">
        <f>AH241*Valores!$C$73</f>
        <v>-1169.1472500000002</v>
      </c>
      <c r="AV241" s="125">
        <f>AH241*Valores!$C$74</f>
        <v>-129.90525000000002</v>
      </c>
      <c r="AW241" s="125">
        <f t="shared" si="33"/>
        <v>37330.352200000001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15294.65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3160.3</v>
      </c>
      <c r="N242" s="125">
        <f t="shared" si="30"/>
        <v>0</v>
      </c>
      <c r="O242" s="125">
        <f>Valores!$C$7*B242</f>
        <v>6565.68</v>
      </c>
      <c r="P242" s="125">
        <f>ROUND(IF(B242&lt;15,(Valores!$E$5*B242),Valores!$D$5),2)</f>
        <v>6598</v>
      </c>
      <c r="Q242" s="125">
        <v>0</v>
      </c>
      <c r="R242" s="125">
        <f>IF($F$4="NO",IF(Valores!$C$48*B242&gt;Valores!$C$45,Valores!$C$45,Valores!$C$48*B242),IF(Valores!$C$48*B242&gt;Valores!$C$45,Valores!$C$45,Valores!$C$48*B242)/2)</f>
        <v>3708.96</v>
      </c>
      <c r="S242" s="125">
        <f>Valores!$C$18*B242</f>
        <v>2065.04</v>
      </c>
      <c r="T242" s="125">
        <f t="shared" si="36"/>
        <v>2065.04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IF(Valores!$C$96*B242&gt;Valores!$C$95,Valores!$C$95,Valores!$C$96*B242)</f>
        <v>2239.52</v>
      </c>
      <c r="AA242" s="125">
        <f>IF((Valores!$C$28)*B242&gt;Valores!$F$28,Valores!$F$28,(Valores!$C$28)*B242)</f>
        <v>162.16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135.04</v>
      </c>
      <c r="AE242" s="192">
        <v>94</v>
      </c>
      <c r="AF242" s="125">
        <f>ROUND(AE242*Valores!$C$2,2)</f>
        <v>2274.84</v>
      </c>
      <c r="AG242" s="125">
        <f>IF($F$4="NO",IF(Valores!$D$62*'Escala Docente'!B242&gt;Valores!$F$62,Valores!$F$62,Valores!$D$62*'Escala Docente'!B242),IF(Valores!$D$62*'Escala Docente'!B242&gt;Valores!$F$62,Valores!$F$62,Valores!$D$62*'Escala Docente'!B242)/2)</f>
        <v>3372.4</v>
      </c>
      <c r="AH242" s="125">
        <f t="shared" si="34"/>
        <v>45576.590000000004</v>
      </c>
      <c r="AI242" s="125">
        <f>IF(Valores!$C$32*B242&gt;Valores!$F$32,Valores!$F$32,Valores!$C$32*B242)</f>
        <v>0</v>
      </c>
      <c r="AJ242" s="125">
        <f>IF(Valores!$C$89*B242&gt;Valores!$C$88,Valores!$C$88,Valores!$C$89*B242)</f>
        <v>0</v>
      </c>
      <c r="AK242" s="125">
        <f>Valores!C$39*B242</f>
        <v>0</v>
      </c>
      <c r="AL242" s="125">
        <f>IF($F$3="NO",0,IF(Valores!$C$61*B242&gt;Valores!$F$61,Valores!$F$61,Valores!$C$61*B242))</f>
        <v>90.847200000000001</v>
      </c>
      <c r="AM242" s="125">
        <f t="shared" si="32"/>
        <v>90.847200000000001</v>
      </c>
      <c r="AN242" s="125">
        <f>AH242*Valores!$C$70</f>
        <v>-5013.4249000000009</v>
      </c>
      <c r="AO242" s="125">
        <f>AH242*-Valores!$C$71</f>
        <v>0</v>
      </c>
      <c r="AP242" s="125">
        <f>AH242*Valores!$C$72</f>
        <v>-2050.9465500000001</v>
      </c>
      <c r="AQ242" s="125">
        <f>Valores!$C$99</f>
        <v>-280.91000000000003</v>
      </c>
      <c r="AR242" s="125">
        <f>IF($F$5=0,Valores!$C$100,(Valores!$C$100+$F$5*(Valores!$C$100)))</f>
        <v>-329</v>
      </c>
      <c r="AS242" s="125">
        <f t="shared" si="35"/>
        <v>37993.155750000005</v>
      </c>
      <c r="AT242" s="125">
        <f t="shared" si="29"/>
        <v>-5013.4249000000009</v>
      </c>
      <c r="AU242" s="125">
        <f>AH242*Valores!$C$73</f>
        <v>-1230.5679300000002</v>
      </c>
      <c r="AV242" s="125">
        <f>AH242*Valores!$C$74</f>
        <v>-136.72977</v>
      </c>
      <c r="AW242" s="125">
        <f t="shared" si="33"/>
        <v>39286.714599999999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17206.48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3555.33</v>
      </c>
      <c r="N243" s="125">
        <f t="shared" si="30"/>
        <v>0</v>
      </c>
      <c r="O243" s="125">
        <f>Valores!$C$7*B243</f>
        <v>7386.39</v>
      </c>
      <c r="P243" s="125">
        <f>ROUND(IF(B243&lt;15,(Valores!$E$5*B243),Valores!$D$5),2)</f>
        <v>7422.75</v>
      </c>
      <c r="Q243" s="125">
        <v>0</v>
      </c>
      <c r="R243" s="125">
        <f>IF($F$4="NO",IF(Valores!$C$48*B243&gt;Valores!$C$45,Valores!$C$45,Valores!$C$48*B243),IF(Valores!$C$48*B243&gt;Valores!$C$45,Valores!$C$45,Valores!$C$48*B243)/2)</f>
        <v>4172.58</v>
      </c>
      <c r="S243" s="125">
        <f>Valores!$C$18*B243</f>
        <v>2323.17</v>
      </c>
      <c r="T243" s="125">
        <f t="shared" si="36"/>
        <v>2323.17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IF(Valores!$C$96*B243&gt;Valores!$C$95,Valores!$C$95,Valores!$C$96*B243)</f>
        <v>2519.46</v>
      </c>
      <c r="AA243" s="125">
        <f>IF((Valores!$C$28)*B243&gt;Valores!$F$28,Valores!$F$28,(Valores!$C$28)*B243)</f>
        <v>182.43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151.91999999999999</v>
      </c>
      <c r="AE243" s="192">
        <v>0</v>
      </c>
      <c r="AF243" s="125">
        <f>ROUND(AE243*Valores!$C$2,2)</f>
        <v>0</v>
      </c>
      <c r="AG243" s="125">
        <f>IF($F$4="NO",IF(Valores!$D$62*'Escala Docente'!B243&gt;Valores!$F$62,Valores!$F$62,Valores!$D$62*'Escala Docente'!B243),IF(Valores!$D$62*'Escala Docente'!B243&gt;Valores!$F$62,Valores!$F$62,Valores!$D$62*'Escala Docente'!B243)/2)</f>
        <v>3793.9500000000003</v>
      </c>
      <c r="AH243" s="125">
        <f t="shared" si="34"/>
        <v>48714.459999999992</v>
      </c>
      <c r="AI243" s="125">
        <f>IF(Valores!$C$32*B243&gt;Valores!$F$32,Valores!$F$32,Valores!$C$32*B243)</f>
        <v>0</v>
      </c>
      <c r="AJ243" s="125">
        <f>IF(Valores!$C$89*B243&gt;Valores!$C$88,Valores!$C$88,Valores!$C$89*B243)</f>
        <v>0</v>
      </c>
      <c r="AK243" s="125">
        <f>Valores!C$39*B243</f>
        <v>0</v>
      </c>
      <c r="AL243" s="125">
        <f>IF($F$3="NO",0,IF(Valores!$C$61*B243&gt;Valores!$F$61,Valores!$F$61,Valores!$C$61*B243))</f>
        <v>102.20310000000001</v>
      </c>
      <c r="AM243" s="125">
        <f t="shared" si="32"/>
        <v>102.20310000000001</v>
      </c>
      <c r="AN243" s="125">
        <f>AH243*Valores!$C$70</f>
        <v>-5358.5905999999995</v>
      </c>
      <c r="AO243" s="125">
        <f>AH243*-Valores!$C$71</f>
        <v>0</v>
      </c>
      <c r="AP243" s="125">
        <f>AH243*Valores!$C$72</f>
        <v>-2192.1506999999997</v>
      </c>
      <c r="AQ243" s="125">
        <f>Valores!$C$99</f>
        <v>-280.91000000000003</v>
      </c>
      <c r="AR243" s="125">
        <f>IF($F$5=0,Valores!$C$100,(Valores!$C$100+$F$5*(Valores!$C$100)))</f>
        <v>-329</v>
      </c>
      <c r="AS243" s="125">
        <f t="shared" si="35"/>
        <v>40656.011799999993</v>
      </c>
      <c r="AT243" s="125">
        <f t="shared" si="29"/>
        <v>-5358.5905999999995</v>
      </c>
      <c r="AU243" s="125">
        <f>AH243*Valores!$C$73</f>
        <v>-1315.2904199999998</v>
      </c>
      <c r="AV243" s="125">
        <f>AH243*Valores!$C$74</f>
        <v>-146.14337999999998</v>
      </c>
      <c r="AW243" s="125">
        <f t="shared" si="33"/>
        <v>41996.638699999996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17206.48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3555.33</v>
      </c>
      <c r="N244" s="125">
        <f t="shared" si="30"/>
        <v>0</v>
      </c>
      <c r="O244" s="125">
        <f>Valores!$C$7*B244</f>
        <v>7386.39</v>
      </c>
      <c r="P244" s="125">
        <f>ROUND(IF(B244&lt;15,(Valores!$E$5*B244),Valores!$D$5),2)</f>
        <v>7422.75</v>
      </c>
      <c r="Q244" s="125">
        <v>0</v>
      </c>
      <c r="R244" s="125">
        <f>IF($F$4="NO",IF(Valores!$C$48*B244&gt;Valores!$C$45,Valores!$C$45,Valores!$C$48*B244),IF(Valores!$C$48*B244&gt;Valores!$C$45,Valores!$C$45,Valores!$C$48*B244)/2)</f>
        <v>4172.58</v>
      </c>
      <c r="S244" s="125">
        <f>Valores!$C$18*B244</f>
        <v>2323.17</v>
      </c>
      <c r="T244" s="125">
        <f t="shared" si="36"/>
        <v>2323.17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IF(Valores!$C$96*B244&gt;Valores!$C$95,Valores!$C$95,Valores!$C$96*B244)</f>
        <v>2519.46</v>
      </c>
      <c r="AA244" s="125">
        <f>IF((Valores!$C$28)*B244&gt;Valores!$F$28,Valores!$F$28,(Valores!$C$28)*B244)</f>
        <v>182.43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151.91999999999999</v>
      </c>
      <c r="AE244" s="192">
        <v>94</v>
      </c>
      <c r="AF244" s="125">
        <f>ROUND(AE244*Valores!$C$2,2)</f>
        <v>2274.84</v>
      </c>
      <c r="AG244" s="125">
        <f>IF($F$4="NO",IF(Valores!$D$62*'Escala Docente'!B244&gt;Valores!$F$62,Valores!$F$62,Valores!$D$62*'Escala Docente'!B244),IF(Valores!$D$62*'Escala Docente'!B244&gt;Valores!$F$62,Valores!$F$62,Valores!$D$62*'Escala Docente'!B244)/2)</f>
        <v>3793.9500000000003</v>
      </c>
      <c r="AH244" s="125">
        <f t="shared" si="34"/>
        <v>50989.299999999988</v>
      </c>
      <c r="AI244" s="125">
        <f>IF(Valores!$C$32*B244&gt;Valores!$F$32,Valores!$F$32,Valores!$C$32*B244)</f>
        <v>0</v>
      </c>
      <c r="AJ244" s="125">
        <f>IF(Valores!$C$89*B244&gt;Valores!$C$88,Valores!$C$88,Valores!$C$89*B244)</f>
        <v>0</v>
      </c>
      <c r="AK244" s="125">
        <f>Valores!C$39*B244</f>
        <v>0</v>
      </c>
      <c r="AL244" s="125">
        <f>IF($F$3="NO",0,IF(Valores!$C$61*B244&gt;Valores!$F$61,Valores!$F$61,Valores!$C$61*B244))</f>
        <v>102.20310000000001</v>
      </c>
      <c r="AM244" s="125">
        <f t="shared" si="32"/>
        <v>102.20310000000001</v>
      </c>
      <c r="AN244" s="125">
        <f>AH244*Valores!$C$70</f>
        <v>-5608.8229999999985</v>
      </c>
      <c r="AO244" s="125">
        <f>AH244*-Valores!$C$71</f>
        <v>0</v>
      </c>
      <c r="AP244" s="125">
        <f>AH244*Valores!$C$72</f>
        <v>-2294.5184999999992</v>
      </c>
      <c r="AQ244" s="125">
        <f>Valores!$C$99</f>
        <v>-280.91000000000003</v>
      </c>
      <c r="AR244" s="125">
        <f>IF($F$5=0,Valores!$C$100,(Valores!$C$100+$F$5*(Valores!$C$100)))</f>
        <v>-329</v>
      </c>
      <c r="AS244" s="125">
        <f t="shared" si="35"/>
        <v>42578.251599999989</v>
      </c>
      <c r="AT244" s="125">
        <f t="shared" si="29"/>
        <v>-5608.8229999999985</v>
      </c>
      <c r="AU244" s="125">
        <f>AH244*Valores!$C$73</f>
        <v>-1376.7110999999998</v>
      </c>
      <c r="AV244" s="125">
        <f>AH244*Valores!$C$74</f>
        <v>-152.96789999999996</v>
      </c>
      <c r="AW244" s="125">
        <f t="shared" si="33"/>
        <v>43953.001099999987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19118.32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3950.37</v>
      </c>
      <c r="N245" s="125">
        <f t="shared" si="30"/>
        <v>0</v>
      </c>
      <c r="O245" s="125">
        <f>Valores!$C$7*B245</f>
        <v>8207.1</v>
      </c>
      <c r="P245" s="125">
        <f>ROUND(IF(B245&lt;15,(Valores!$E$5*B245),Valores!$D$5),2)</f>
        <v>8247.5</v>
      </c>
      <c r="Q245" s="125">
        <v>0</v>
      </c>
      <c r="R245" s="125">
        <f>IF($F$4="NO",IF(Valores!$C$48*B245&gt;Valores!$C$45,Valores!$C$45,Valores!$C$48*B245),IF(Valores!$C$48*B245&gt;Valores!$C$45,Valores!$C$45,Valores!$C$48*B245)/2)</f>
        <v>4636.2</v>
      </c>
      <c r="S245" s="125">
        <f>Valores!$C$18*B245</f>
        <v>2581.3000000000002</v>
      </c>
      <c r="T245" s="125">
        <f t="shared" si="36"/>
        <v>2581.3000000000002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IF(Valores!$C$96*B245&gt;Valores!$C$95,Valores!$C$95,Valores!$C$96*B245)</f>
        <v>2799.4</v>
      </c>
      <c r="AA245" s="125">
        <f>IF((Valores!$C$28)*B245&gt;Valores!$F$28,Valores!$F$28,(Valores!$C$28)*B245)</f>
        <v>202.7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168.79999999999998</v>
      </c>
      <c r="AE245" s="192">
        <v>0</v>
      </c>
      <c r="AF245" s="125">
        <f>ROUND(AE245*Valores!$C$2,2)</f>
        <v>0</v>
      </c>
      <c r="AG245" s="125">
        <f>IF($F$4="NO",IF(Valores!$D$62*'Escala Docente'!B245&gt;Valores!$F$62,Valores!$F$62,Valores!$D$62*'Escala Docente'!B245),IF(Valores!$D$62*'Escala Docente'!B245&gt;Valores!$F$62,Valores!$F$62,Valores!$D$62*'Escala Docente'!B245)/2)</f>
        <v>4215.5</v>
      </c>
      <c r="AH245" s="125">
        <f t="shared" si="34"/>
        <v>54127.19</v>
      </c>
      <c r="AI245" s="125">
        <f>IF(Valores!$C$32*B245&gt;Valores!$F$32,Valores!$F$32,Valores!$C$32*B245)</f>
        <v>0</v>
      </c>
      <c r="AJ245" s="125">
        <f>IF(Valores!$C$89*B245&gt;Valores!$C$88,Valores!$C$88,Valores!$C$89*B245)</f>
        <v>0</v>
      </c>
      <c r="AK245" s="125">
        <f>Valores!C$39*B245</f>
        <v>0</v>
      </c>
      <c r="AL245" s="125">
        <f>IF($F$3="NO",0,IF(Valores!$C$61*B245&gt;Valores!$F$61,Valores!$F$61,Valores!$C$61*B245))</f>
        <v>113.559</v>
      </c>
      <c r="AM245" s="125">
        <f t="shared" si="32"/>
        <v>113.559</v>
      </c>
      <c r="AN245" s="125">
        <f>AH245*Valores!$C$70</f>
        <v>-5953.9909000000007</v>
      </c>
      <c r="AO245" s="125">
        <f>AH245*-Valores!$C$71</f>
        <v>0</v>
      </c>
      <c r="AP245" s="125">
        <f>AH245*Valores!$C$72</f>
        <v>-2435.7235500000002</v>
      </c>
      <c r="AQ245" s="125">
        <f>Valores!$C$99</f>
        <v>-280.91000000000003</v>
      </c>
      <c r="AR245" s="125">
        <f>IF($F$5=0,Valores!$C$100,(Valores!$C$100+$F$5*(Valores!$C$100)))</f>
        <v>-329</v>
      </c>
      <c r="AS245" s="125">
        <f t="shared" si="35"/>
        <v>45241.12455</v>
      </c>
      <c r="AT245" s="125">
        <f t="shared" si="29"/>
        <v>-5953.9909000000007</v>
      </c>
      <c r="AU245" s="125">
        <f>AH245*Valores!$C$73</f>
        <v>-1461.4341300000001</v>
      </c>
      <c r="AV245" s="125">
        <f>AH245*Valores!$C$74</f>
        <v>-162.38157000000001</v>
      </c>
      <c r="AW245" s="125">
        <f t="shared" si="33"/>
        <v>46662.9424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19118.32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3950.37</v>
      </c>
      <c r="N246" s="125">
        <f t="shared" si="30"/>
        <v>0</v>
      </c>
      <c r="O246" s="125">
        <f>Valores!$C$7*B246</f>
        <v>8207.1</v>
      </c>
      <c r="P246" s="125">
        <f>ROUND(IF(B246&lt;15,(Valores!$E$5*B246),Valores!$D$5),2)</f>
        <v>8247.5</v>
      </c>
      <c r="Q246" s="125">
        <v>0</v>
      </c>
      <c r="R246" s="125">
        <f>IF($F$4="NO",IF(Valores!$C$48*B246&gt;Valores!$C$45,Valores!$C$45,Valores!$C$48*B246),IF(Valores!$C$48*B246&gt;Valores!$C$45,Valores!$C$45,Valores!$C$48*B246)/2)</f>
        <v>4636.2</v>
      </c>
      <c r="S246" s="125">
        <f>Valores!$C$18*B246</f>
        <v>2581.3000000000002</v>
      </c>
      <c r="T246" s="125">
        <f t="shared" si="36"/>
        <v>2581.3000000000002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IF(Valores!$C$96*B246&gt;Valores!$C$95,Valores!$C$95,Valores!$C$96*B246)</f>
        <v>2799.4</v>
      </c>
      <c r="AA246" s="125">
        <f>IF((Valores!$C$28)*B246&gt;Valores!$F$28,Valores!$F$28,(Valores!$C$28)*B246)</f>
        <v>202.7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168.79999999999998</v>
      </c>
      <c r="AE246" s="192">
        <v>94</v>
      </c>
      <c r="AF246" s="125">
        <f>ROUND(AE246*Valores!$C$2,2)</f>
        <v>2274.84</v>
      </c>
      <c r="AG246" s="125">
        <f>IF($F$4="NO",IF(Valores!$D$62*'Escala Docente'!B246&gt;Valores!$F$62,Valores!$F$62,Valores!$D$62*'Escala Docente'!B246),IF(Valores!$D$62*'Escala Docente'!B246&gt;Valores!$F$62,Valores!$F$62,Valores!$D$62*'Escala Docente'!B246)/2)</f>
        <v>4215.5</v>
      </c>
      <c r="AH246" s="125">
        <f t="shared" si="34"/>
        <v>56402.03</v>
      </c>
      <c r="AI246" s="125">
        <f>IF(Valores!$C$32*B246&gt;Valores!$F$32,Valores!$F$32,Valores!$C$32*B246)</f>
        <v>0</v>
      </c>
      <c r="AJ246" s="125">
        <f>IF(Valores!$C$89*B246&gt;Valores!$C$88,Valores!$C$88,Valores!$C$89*B246)</f>
        <v>0</v>
      </c>
      <c r="AK246" s="125">
        <f>Valores!C$39*B246</f>
        <v>0</v>
      </c>
      <c r="AL246" s="125">
        <f>IF($F$3="NO",0,IF(Valores!$C$61*B246&gt;Valores!$F$61,Valores!$F$61,Valores!$C$61*B246))</f>
        <v>113.559</v>
      </c>
      <c r="AM246" s="125">
        <f t="shared" si="32"/>
        <v>113.559</v>
      </c>
      <c r="AN246" s="125">
        <f>AH246*Valores!$C$70</f>
        <v>-6204.2232999999997</v>
      </c>
      <c r="AO246" s="125">
        <f>AH246*-Valores!$C$71</f>
        <v>0</v>
      </c>
      <c r="AP246" s="125">
        <f>AH246*Valores!$C$72</f>
        <v>-2538.0913499999997</v>
      </c>
      <c r="AQ246" s="125">
        <f>Valores!$C$99</f>
        <v>-280.91000000000003</v>
      </c>
      <c r="AR246" s="125">
        <f>IF($F$5=0,Valores!$C$100,(Valores!$C$100+$F$5*(Valores!$C$100)))</f>
        <v>-329</v>
      </c>
      <c r="AS246" s="125">
        <f t="shared" si="35"/>
        <v>47163.364350000003</v>
      </c>
      <c r="AT246" s="125">
        <f t="shared" si="29"/>
        <v>-6204.2232999999997</v>
      </c>
      <c r="AU246" s="125">
        <f>AH246*Valores!$C$73</f>
        <v>-1522.85481</v>
      </c>
      <c r="AV246" s="125">
        <f>AH246*Valores!$C$74</f>
        <v>-169.20608999999999</v>
      </c>
      <c r="AW246" s="125">
        <f t="shared" si="33"/>
        <v>48619.304799999998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21030.15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4345.41</v>
      </c>
      <c r="N247" s="125">
        <f t="shared" si="30"/>
        <v>0</v>
      </c>
      <c r="O247" s="125">
        <f>Valores!$C$7*B247</f>
        <v>9027.8100000000013</v>
      </c>
      <c r="P247" s="125">
        <f>ROUND(IF(B247&lt;15,(Valores!$E$5*B247),Valores!$D$5),2)</f>
        <v>9072.25</v>
      </c>
      <c r="Q247" s="125">
        <v>0</v>
      </c>
      <c r="R247" s="125">
        <f>IF($F$4="NO",IF(Valores!$C$48*B247&gt;Valores!$C$45,Valores!$C$45,Valores!$C$48*B247),IF(Valores!$C$48*B247&gt;Valores!$C$45,Valores!$C$45,Valores!$C$48*B247)/2)</f>
        <v>5099.82</v>
      </c>
      <c r="S247" s="125">
        <f>Valores!$C$18*B247</f>
        <v>2839.43</v>
      </c>
      <c r="T247" s="125">
        <f t="shared" si="36"/>
        <v>2839.43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IF(Valores!$C$96*B247&gt;Valores!$C$95,Valores!$C$95,Valores!$C$96*B247)</f>
        <v>3079.34</v>
      </c>
      <c r="AA247" s="125">
        <f>IF((Valores!$C$28)*B247&gt;Valores!$F$28,Valores!$F$28,(Valores!$C$28)*B247)</f>
        <v>222.97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185.67999999999998</v>
      </c>
      <c r="AE247" s="192">
        <v>0</v>
      </c>
      <c r="AF247" s="125">
        <f>ROUND(AE247*Valores!$C$2,2)</f>
        <v>0</v>
      </c>
      <c r="AG247" s="125">
        <f>IF($F$4="NO",IF(Valores!$D$62*'Escala Docente'!B247&gt;Valores!$F$62,Valores!$F$62,Valores!$D$62*'Escala Docente'!B247),IF(Valores!$D$62*'Escala Docente'!B247&gt;Valores!$F$62,Valores!$F$62,Valores!$D$62*'Escala Docente'!B247)/2)</f>
        <v>4637.05</v>
      </c>
      <c r="AH247" s="125">
        <f t="shared" si="34"/>
        <v>59539.910000000011</v>
      </c>
      <c r="AI247" s="125">
        <f>IF(Valores!$C$32*B247&gt;Valores!$F$32,Valores!$F$32,Valores!$C$32*B247)</f>
        <v>0</v>
      </c>
      <c r="AJ247" s="125">
        <f>IF(Valores!$C$89*B247&gt;Valores!$C$88,Valores!$C$88,Valores!$C$89*B247)</f>
        <v>0</v>
      </c>
      <c r="AK247" s="125">
        <f>Valores!C$39*B247</f>
        <v>0</v>
      </c>
      <c r="AL247" s="125">
        <f>IF($F$3="NO",0,IF(Valores!$C$61*B247&gt;Valores!$F$61,Valores!$F$61,Valores!$C$61*B247))</f>
        <v>124.9149</v>
      </c>
      <c r="AM247" s="125">
        <f t="shared" si="32"/>
        <v>124.9149</v>
      </c>
      <c r="AN247" s="125">
        <f>AH247*Valores!$C$70</f>
        <v>-6549.3901000000014</v>
      </c>
      <c r="AO247" s="125">
        <f>AH247*-Valores!$C$71</f>
        <v>0</v>
      </c>
      <c r="AP247" s="125">
        <f>AH247*Valores!$C$72</f>
        <v>-2679.2959500000002</v>
      </c>
      <c r="AQ247" s="125">
        <f>Valores!$C$99</f>
        <v>-280.91000000000003</v>
      </c>
      <c r="AR247" s="125">
        <f>IF($F$5=0,Valores!$C$100,(Valores!$C$100+$F$5*(Valores!$C$100)))</f>
        <v>-329</v>
      </c>
      <c r="AS247" s="125">
        <f t="shared" si="35"/>
        <v>49826.228850000007</v>
      </c>
      <c r="AT247" s="125">
        <f t="shared" si="29"/>
        <v>-6549.3901000000014</v>
      </c>
      <c r="AU247" s="125">
        <f>AH247*Valores!$C$73</f>
        <v>-1607.5775700000004</v>
      </c>
      <c r="AV247" s="125">
        <f>AH247*Valores!$C$74</f>
        <v>-178.61973000000003</v>
      </c>
      <c r="AW247" s="125">
        <f t="shared" si="33"/>
        <v>51329.23750000001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21030.15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4345.41</v>
      </c>
      <c r="N248" s="125">
        <f t="shared" si="30"/>
        <v>0</v>
      </c>
      <c r="O248" s="125">
        <f>Valores!$C$7*B248</f>
        <v>9027.8100000000013</v>
      </c>
      <c r="P248" s="125">
        <f>ROUND(IF(B248&lt;15,(Valores!$E$5*B248),Valores!$D$5),2)</f>
        <v>9072.25</v>
      </c>
      <c r="Q248" s="125">
        <v>0</v>
      </c>
      <c r="R248" s="125">
        <f>IF($F$4="NO",IF(Valores!$C$48*B248&gt;Valores!$C$45,Valores!$C$45,Valores!$C$48*B248),IF(Valores!$C$48*B248&gt;Valores!$C$45,Valores!$C$45,Valores!$C$48*B248)/2)</f>
        <v>5099.82</v>
      </c>
      <c r="S248" s="125">
        <f>Valores!$C$18*B248</f>
        <v>2839.43</v>
      </c>
      <c r="T248" s="125">
        <f t="shared" si="36"/>
        <v>2839.43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IF(Valores!$C$96*B248&gt;Valores!$C$95,Valores!$C$95,Valores!$C$96*B248)</f>
        <v>3079.34</v>
      </c>
      <c r="AA248" s="125">
        <f>IF((Valores!$C$28)*B248&gt;Valores!$F$28,Valores!$F$28,(Valores!$C$28)*B248)</f>
        <v>222.97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185.67999999999998</v>
      </c>
      <c r="AE248" s="192">
        <v>94</v>
      </c>
      <c r="AF248" s="125">
        <f>ROUND(AE248*Valores!$C$2,2)</f>
        <v>2274.84</v>
      </c>
      <c r="AG248" s="125">
        <f>IF($F$4="NO",IF(Valores!$D$62*'Escala Docente'!B248&gt;Valores!$F$62,Valores!$F$62,Valores!$D$62*'Escala Docente'!B248),IF(Valores!$D$62*'Escala Docente'!B248&gt;Valores!$F$62,Valores!$F$62,Valores!$D$62*'Escala Docente'!B248)/2)</f>
        <v>4637.05</v>
      </c>
      <c r="AH248" s="125">
        <f t="shared" si="34"/>
        <v>61814.750000000015</v>
      </c>
      <c r="AI248" s="125">
        <f>IF(Valores!$C$32*B248&gt;Valores!$F$32,Valores!$F$32,Valores!$C$32*B248)</f>
        <v>0</v>
      </c>
      <c r="AJ248" s="125">
        <f>IF(Valores!$C$89*B248&gt;Valores!$C$88,Valores!$C$88,Valores!$C$89*B248)</f>
        <v>0</v>
      </c>
      <c r="AK248" s="125">
        <f>Valores!C$39*B248</f>
        <v>0</v>
      </c>
      <c r="AL248" s="125">
        <f>IF($F$3="NO",0,IF(Valores!$C$61*B248&gt;Valores!$F$61,Valores!$F$61,Valores!$C$61*B248))</f>
        <v>124.9149</v>
      </c>
      <c r="AM248" s="125">
        <f t="shared" si="32"/>
        <v>124.9149</v>
      </c>
      <c r="AN248" s="125">
        <f>AH248*Valores!$C$70</f>
        <v>-6799.6225000000013</v>
      </c>
      <c r="AO248" s="125">
        <f>AH248*-Valores!$C$71</f>
        <v>0</v>
      </c>
      <c r="AP248" s="125">
        <f>AH248*Valores!$C$72</f>
        <v>-2781.6637500000006</v>
      </c>
      <c r="AQ248" s="125">
        <f>Valores!$C$99</f>
        <v>-280.91000000000003</v>
      </c>
      <c r="AR248" s="125">
        <f>IF($F$5=0,Valores!$C$100,(Valores!$C$100+$F$5*(Valores!$C$100)))</f>
        <v>-329</v>
      </c>
      <c r="AS248" s="125">
        <f t="shared" si="35"/>
        <v>51748.46865000001</v>
      </c>
      <c r="AT248" s="125">
        <f t="shared" si="29"/>
        <v>-6799.6225000000013</v>
      </c>
      <c r="AU248" s="125">
        <f>AH248*Valores!$C$73</f>
        <v>-1668.9982500000003</v>
      </c>
      <c r="AV248" s="125">
        <f>AH248*Valores!$C$74</f>
        <v>-185.44425000000004</v>
      </c>
      <c r="AW248" s="125">
        <f t="shared" si="33"/>
        <v>53285.599900000016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22941.98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4740.45</v>
      </c>
      <c r="N249" s="125">
        <f t="shared" si="30"/>
        <v>0</v>
      </c>
      <c r="O249" s="125">
        <f>Valores!$C$7*B249</f>
        <v>9848.52</v>
      </c>
      <c r="P249" s="125">
        <f>ROUND(IF(B249&lt;15,(Valores!$E$5*B249),Valores!$D$5),2)</f>
        <v>9897</v>
      </c>
      <c r="Q249" s="125">
        <v>0</v>
      </c>
      <c r="R249" s="125">
        <f>IF($F$4="NO",IF(Valores!$C$48*B249&gt;Valores!$C$45,Valores!$C$45,Valores!$C$48*B249),IF(Valores!$C$48*B249&gt;Valores!$C$45,Valores!$C$45,Valores!$C$48*B249)/2)</f>
        <v>5563.4400000000005</v>
      </c>
      <c r="S249" s="125">
        <f>Valores!$C$18*B249</f>
        <v>3097.56</v>
      </c>
      <c r="T249" s="125">
        <f t="shared" si="36"/>
        <v>3097.56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IF(Valores!$C$96*B249&gt;Valores!$C$95,Valores!$C$95,Valores!$C$96*B249)</f>
        <v>3359.2799999999997</v>
      </c>
      <c r="AA249" s="125">
        <f>IF((Valores!$C$28)*B249&gt;Valores!$F$28,Valores!$F$28,(Valores!$C$28)*B249)</f>
        <v>243.24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202.56</v>
      </c>
      <c r="AE249" s="192">
        <v>0</v>
      </c>
      <c r="AF249" s="125">
        <f>ROUND(AE249*Valores!$C$2,2)</f>
        <v>0</v>
      </c>
      <c r="AG249" s="125">
        <f>IF($F$4="NO",IF(Valores!$D$62*'Escala Docente'!B249&gt;Valores!$F$62,Valores!$F$62,Valores!$D$62*'Escala Docente'!B249),IF(Valores!$D$62*'Escala Docente'!B249&gt;Valores!$F$62,Valores!$F$62,Valores!$D$62*'Escala Docente'!B249)/2)</f>
        <v>5058.6000000000004</v>
      </c>
      <c r="AH249" s="125">
        <f t="shared" si="34"/>
        <v>64952.62999999999</v>
      </c>
      <c r="AI249" s="125">
        <f>IF(Valores!$C$32*B249&gt;Valores!$F$32,Valores!$F$32,Valores!$C$32*B249)</f>
        <v>0</v>
      </c>
      <c r="AJ249" s="125">
        <f>IF(Valores!$C$89*B249&gt;Valores!$C$88,Valores!$C$88,Valores!$C$89*B249)</f>
        <v>0</v>
      </c>
      <c r="AK249" s="125">
        <f>Valores!C$39*B249</f>
        <v>0</v>
      </c>
      <c r="AL249" s="125">
        <f>IF($F$3="NO",0,IF(Valores!$C$61*B249&gt;Valores!$F$61,Valores!$F$61,Valores!$C$61*B249))</f>
        <v>136.27080000000001</v>
      </c>
      <c r="AM249" s="125">
        <f t="shared" si="32"/>
        <v>136.27080000000001</v>
      </c>
      <c r="AN249" s="125">
        <f>AH249*Valores!$C$70</f>
        <v>-7144.7892999999985</v>
      </c>
      <c r="AO249" s="125">
        <f>AH249*-Valores!$C$71</f>
        <v>0</v>
      </c>
      <c r="AP249" s="125">
        <f>AH249*Valores!$C$72</f>
        <v>-2922.8683499999993</v>
      </c>
      <c r="AQ249" s="125">
        <f>Valores!$C$99</f>
        <v>-280.91000000000003</v>
      </c>
      <c r="AR249" s="125">
        <f>IF($F$5=0,Valores!$C$100,(Valores!$C$100+$F$5*(Valores!$C$100)))</f>
        <v>-329</v>
      </c>
      <c r="AS249" s="125">
        <f t="shared" si="35"/>
        <v>54411.333149999991</v>
      </c>
      <c r="AT249" s="125">
        <f t="shared" si="29"/>
        <v>-7144.7892999999985</v>
      </c>
      <c r="AU249" s="125">
        <f>AH249*Valores!$C$73</f>
        <v>-1753.7210099999998</v>
      </c>
      <c r="AV249" s="125">
        <f>AH249*Valores!$C$74</f>
        <v>-194.85788999999997</v>
      </c>
      <c r="AW249" s="125">
        <f t="shared" si="33"/>
        <v>55995.532599999991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22941.98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4740.45</v>
      </c>
      <c r="N250" s="125">
        <f t="shared" si="30"/>
        <v>0</v>
      </c>
      <c r="O250" s="125">
        <f>Valores!$C$7*B250</f>
        <v>9848.52</v>
      </c>
      <c r="P250" s="125">
        <f>ROUND(IF(B250&lt;15,(Valores!$E$5*B250),Valores!$D$5),2)</f>
        <v>9897</v>
      </c>
      <c r="Q250" s="125">
        <v>0</v>
      </c>
      <c r="R250" s="125">
        <f>IF($F$4="NO",IF(Valores!$C$48*B250&gt;Valores!$C$45,Valores!$C$45,Valores!$C$48*B250),IF(Valores!$C$48*B250&gt;Valores!$C$45,Valores!$C$45,Valores!$C$48*B250)/2)</f>
        <v>5563.4400000000005</v>
      </c>
      <c r="S250" s="125">
        <f>Valores!$C$18*B250</f>
        <v>3097.56</v>
      </c>
      <c r="T250" s="125">
        <f t="shared" si="36"/>
        <v>3097.56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IF(Valores!$C$96*B250&gt;Valores!$C$95,Valores!$C$95,Valores!$C$96*B250)</f>
        <v>3359.2799999999997</v>
      </c>
      <c r="AA250" s="125">
        <f>IF((Valores!$C$28)*B250&gt;Valores!$F$28,Valores!$F$28,(Valores!$C$28)*B250)</f>
        <v>243.24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202.56</v>
      </c>
      <c r="AE250" s="192">
        <v>94</v>
      </c>
      <c r="AF250" s="125">
        <f>ROUND(AE250*Valores!$C$2,2)</f>
        <v>2274.84</v>
      </c>
      <c r="AG250" s="125">
        <f>IF($F$4="NO",IF(Valores!$D$62*'Escala Docente'!B250&gt;Valores!$F$62,Valores!$F$62,Valores!$D$62*'Escala Docente'!B250),IF(Valores!$D$62*'Escala Docente'!B250&gt;Valores!$F$62,Valores!$F$62,Valores!$D$62*'Escala Docente'!B250)/2)</f>
        <v>5058.6000000000004</v>
      </c>
      <c r="AH250" s="125">
        <f t="shared" si="34"/>
        <v>67227.47</v>
      </c>
      <c r="AI250" s="125">
        <f>IF(Valores!$C$32*B250&gt;Valores!$F$32,Valores!$F$32,Valores!$C$32*B250)</f>
        <v>0</v>
      </c>
      <c r="AJ250" s="125">
        <f>IF(Valores!$C$89*B250&gt;Valores!$C$88,Valores!$C$88,Valores!$C$89*B250)</f>
        <v>0</v>
      </c>
      <c r="AK250" s="125">
        <f>Valores!C$39*B250</f>
        <v>0</v>
      </c>
      <c r="AL250" s="125">
        <f>IF($F$3="NO",0,IF(Valores!$C$61*B250&gt;Valores!$F$61,Valores!$F$61,Valores!$C$61*B250))</f>
        <v>136.27080000000001</v>
      </c>
      <c r="AM250" s="125">
        <f t="shared" si="32"/>
        <v>136.27080000000001</v>
      </c>
      <c r="AN250" s="125">
        <f>AH250*Valores!$C$70</f>
        <v>-7395.0217000000002</v>
      </c>
      <c r="AO250" s="125">
        <f>AH250*-Valores!$C$71</f>
        <v>0</v>
      </c>
      <c r="AP250" s="125">
        <f>AH250*Valores!$C$72</f>
        <v>-3025.2361499999997</v>
      </c>
      <c r="AQ250" s="125">
        <f>Valores!$C$99</f>
        <v>-280.91000000000003</v>
      </c>
      <c r="AR250" s="125">
        <f>IF($F$5=0,Valores!$C$100,(Valores!$C$100+$F$5*(Valores!$C$100)))</f>
        <v>-329</v>
      </c>
      <c r="AS250" s="125">
        <f t="shared" si="35"/>
        <v>56333.572950000002</v>
      </c>
      <c r="AT250" s="125">
        <f t="shared" si="29"/>
        <v>-7395.0217000000002</v>
      </c>
      <c r="AU250" s="125">
        <f>AH250*Valores!$C$73</f>
        <v>-1815.1416899999999</v>
      </c>
      <c r="AV250" s="125">
        <f>AH250*Valores!$C$74</f>
        <v>-201.68241</v>
      </c>
      <c r="AW250" s="125">
        <f t="shared" si="33"/>
        <v>57951.895000000004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24853.81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5135.4799999999996</v>
      </c>
      <c r="N251" s="125">
        <f t="shared" si="30"/>
        <v>0</v>
      </c>
      <c r="O251" s="125">
        <f>Valores!$C$7*B251</f>
        <v>10669.23</v>
      </c>
      <c r="P251" s="125">
        <f>ROUND(IF(B251&lt;15,(Valores!$E$5*B251),Valores!$D$5),2)</f>
        <v>10721.75</v>
      </c>
      <c r="Q251" s="125">
        <v>0</v>
      </c>
      <c r="R251" s="125">
        <f>IF($F$4="NO",IF(Valores!$C$48*B251&gt;Valores!$C$45,Valores!$C$45,Valores!$C$48*B251),IF(Valores!$C$48*B251&gt;Valores!$C$45,Valores!$C$45,Valores!$C$48*B251)/2)</f>
        <v>6027.06</v>
      </c>
      <c r="S251" s="125">
        <f>Valores!$C$18*B251</f>
        <v>3355.69</v>
      </c>
      <c r="T251" s="125">
        <f t="shared" si="36"/>
        <v>3355.69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IF(Valores!$C$96*B251&gt;Valores!$C$95,Valores!$C$95,Valores!$C$96*B251)</f>
        <v>3639.22</v>
      </c>
      <c r="AA251" s="125">
        <f>IF((Valores!$C$28)*B251&gt;Valores!$F$28,Valores!$F$28,(Valores!$C$28)*B251)</f>
        <v>263.51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219.44</v>
      </c>
      <c r="AE251" s="192">
        <v>0</v>
      </c>
      <c r="AF251" s="125">
        <f>ROUND(AE251*Valores!$C$2,2)</f>
        <v>0</v>
      </c>
      <c r="AG251" s="125">
        <f>IF($F$4="NO",IF(Valores!$D$62*'Escala Docente'!B251&gt;Valores!$F$62,Valores!$F$62,Valores!$D$62*'Escala Docente'!B251),IF(Valores!$D$62*'Escala Docente'!B251&gt;Valores!$F$62,Valores!$F$62,Valores!$D$62*'Escala Docente'!B251)/2)</f>
        <v>5480.1500000000005</v>
      </c>
      <c r="AH251" s="125">
        <f t="shared" si="34"/>
        <v>70365.340000000011</v>
      </c>
      <c r="AI251" s="125">
        <f>IF(Valores!$C$32*B251&gt;Valores!$F$32,Valores!$F$32,Valores!$C$32*B251)</f>
        <v>0</v>
      </c>
      <c r="AJ251" s="125">
        <f>IF(Valores!$C$89*B251&gt;Valores!$C$88,Valores!$C$88,Valores!$C$89*B251)</f>
        <v>0</v>
      </c>
      <c r="AK251" s="125">
        <f>Valores!C$39*B251</f>
        <v>0</v>
      </c>
      <c r="AL251" s="125">
        <f>IF($F$3="NO",0,IF(Valores!$C$61*B251&gt;Valores!$F$61,Valores!$F$61,Valores!$C$61*B251))</f>
        <v>147.6267</v>
      </c>
      <c r="AM251" s="125">
        <f t="shared" si="32"/>
        <v>147.6267</v>
      </c>
      <c r="AN251" s="125">
        <f>AH251*Valores!$C$70</f>
        <v>-7740.1874000000016</v>
      </c>
      <c r="AO251" s="125">
        <f>AH251*-Valores!$C$71</f>
        <v>0</v>
      </c>
      <c r="AP251" s="125">
        <f>AH251*Valores!$C$72</f>
        <v>-3166.4403000000002</v>
      </c>
      <c r="AQ251" s="125">
        <f>Valores!$C$99</f>
        <v>-280.91000000000003</v>
      </c>
      <c r="AR251" s="125">
        <f>IF($F$5=0,Valores!$C$100,(Valores!$C$100+$F$5*(Valores!$C$100)))</f>
        <v>-329</v>
      </c>
      <c r="AS251" s="125">
        <f t="shared" si="35"/>
        <v>58996.429000000011</v>
      </c>
      <c r="AT251" s="125">
        <f t="shared" si="29"/>
        <v>-7740.1874000000016</v>
      </c>
      <c r="AU251" s="125">
        <f>AH251*Valores!$C$73</f>
        <v>-1899.8641800000003</v>
      </c>
      <c r="AV251" s="125">
        <f>AH251*Valores!$C$74</f>
        <v>-211.09602000000004</v>
      </c>
      <c r="AW251" s="125">
        <f t="shared" si="33"/>
        <v>60661.819100000001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24853.81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5135.4799999999996</v>
      </c>
      <c r="N252" s="125">
        <f t="shared" si="30"/>
        <v>0</v>
      </c>
      <c r="O252" s="125">
        <f>Valores!$C$7*B252</f>
        <v>10669.23</v>
      </c>
      <c r="P252" s="125">
        <f>ROUND(IF(B252&lt;15,(Valores!$E$5*B252),Valores!$D$5),2)</f>
        <v>10721.75</v>
      </c>
      <c r="Q252" s="125">
        <v>0</v>
      </c>
      <c r="R252" s="125">
        <f>IF($F$4="NO",IF(Valores!$C$48*B252&gt;Valores!$C$45,Valores!$C$45,Valores!$C$48*B252),IF(Valores!$C$48*B252&gt;Valores!$C$45,Valores!$C$45,Valores!$C$48*B252)/2)</f>
        <v>6027.06</v>
      </c>
      <c r="S252" s="125">
        <f>Valores!$C$18*B252</f>
        <v>3355.69</v>
      </c>
      <c r="T252" s="125">
        <f t="shared" si="36"/>
        <v>3355.69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IF(Valores!$C$96*B252&gt;Valores!$C$95,Valores!$C$95,Valores!$C$96*B252)</f>
        <v>3639.22</v>
      </c>
      <c r="AA252" s="125">
        <f>IF((Valores!$C$28)*B252&gt;Valores!$F$28,Valores!$F$28,(Valores!$C$28)*B252)</f>
        <v>263.51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219.44</v>
      </c>
      <c r="AE252" s="192">
        <v>94</v>
      </c>
      <c r="AF252" s="125">
        <f>ROUND(AE252*Valores!$C$2,2)</f>
        <v>2274.84</v>
      </c>
      <c r="AG252" s="125">
        <f>IF($F$4="NO",IF(Valores!$D$62*'Escala Docente'!B252&gt;Valores!$F$62,Valores!$F$62,Valores!$D$62*'Escala Docente'!B252),IF(Valores!$D$62*'Escala Docente'!B252&gt;Valores!$F$62,Valores!$F$62,Valores!$D$62*'Escala Docente'!B252)/2)</f>
        <v>5480.1500000000005</v>
      </c>
      <c r="AH252" s="125">
        <f t="shared" si="34"/>
        <v>72640.180000000008</v>
      </c>
      <c r="AI252" s="125">
        <f>IF(Valores!$C$32*B252&gt;Valores!$F$32,Valores!$F$32,Valores!$C$32*B252)</f>
        <v>0</v>
      </c>
      <c r="AJ252" s="125">
        <f>IF(Valores!$C$89*B252&gt;Valores!$C$88,Valores!$C$88,Valores!$C$89*B252)</f>
        <v>0</v>
      </c>
      <c r="AK252" s="125">
        <f>Valores!C$39*B252</f>
        <v>0</v>
      </c>
      <c r="AL252" s="125">
        <f>IF($F$3="NO",0,IF(Valores!$C$61*B252&gt;Valores!$F$61,Valores!$F$61,Valores!$C$61*B252))</f>
        <v>147.6267</v>
      </c>
      <c r="AM252" s="125">
        <f t="shared" si="32"/>
        <v>147.6267</v>
      </c>
      <c r="AN252" s="125">
        <f>AH252*Valores!$C$70</f>
        <v>-7990.4198000000006</v>
      </c>
      <c r="AO252" s="125">
        <f>AH252*-Valores!$C$71</f>
        <v>0</v>
      </c>
      <c r="AP252" s="125">
        <f>AH252*Valores!$C$72</f>
        <v>-3268.8081000000002</v>
      </c>
      <c r="AQ252" s="125">
        <f>Valores!$C$99</f>
        <v>-280.91000000000003</v>
      </c>
      <c r="AR252" s="125">
        <f>IF($F$5=0,Valores!$C$100,(Valores!$C$100+$F$5*(Valores!$C$100)))</f>
        <v>-329</v>
      </c>
      <c r="AS252" s="125">
        <f t="shared" si="35"/>
        <v>60918.668800000007</v>
      </c>
      <c r="AT252" s="125">
        <f t="shared" si="29"/>
        <v>-7990.4198000000006</v>
      </c>
      <c r="AU252" s="125">
        <f>AH252*Valores!$C$73</f>
        <v>-1961.2848600000002</v>
      </c>
      <c r="AV252" s="125">
        <f>AH252*Valores!$C$74</f>
        <v>-217.92054000000002</v>
      </c>
      <c r="AW252" s="125">
        <f t="shared" si="33"/>
        <v>62618.181499999999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26765.64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5530.52</v>
      </c>
      <c r="N253" s="125">
        <f t="shared" si="30"/>
        <v>0</v>
      </c>
      <c r="O253" s="125">
        <f>Valores!$C$7*B253</f>
        <v>11489.94</v>
      </c>
      <c r="P253" s="125">
        <f>ROUND(IF(B253&lt;15,(Valores!$E$5*B253),Valores!$D$5),2)</f>
        <v>11546.5</v>
      </c>
      <c r="Q253" s="125">
        <v>0</v>
      </c>
      <c r="R253" s="125">
        <f>IF($F$4="NO",IF(Valores!$C$48*B253&gt;Valores!$C$45,Valores!$C$45,Valores!$C$48*B253),IF(Valores!$C$48*B253&gt;Valores!$C$45,Valores!$C$45,Valores!$C$48*B253)/2)</f>
        <v>6490.68</v>
      </c>
      <c r="S253" s="125">
        <f>Valores!$C$18*B253</f>
        <v>3613.8199999999997</v>
      </c>
      <c r="T253" s="125">
        <f t="shared" si="36"/>
        <v>3613.82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IF(Valores!$C$96*B253&gt;Valores!$C$95,Valores!$C$95,Valores!$C$96*B253)</f>
        <v>3919.16</v>
      </c>
      <c r="AA253" s="125">
        <f>IF((Valores!$C$28)*B253&gt;Valores!$F$28,Valores!$F$28,(Valores!$C$28)*B253)</f>
        <v>283.77999999999997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236.32</v>
      </c>
      <c r="AE253" s="192">
        <v>0</v>
      </c>
      <c r="AF253" s="125">
        <f>ROUND(AE253*Valores!$C$2,2)</f>
        <v>0</v>
      </c>
      <c r="AG253" s="125">
        <f>IF($F$4="NO",IF(Valores!$D$62*'Escala Docente'!B253&gt;Valores!$F$62,Valores!$F$62,Valores!$D$62*'Escala Docente'!B253),IF(Valores!$D$62*'Escala Docente'!B253&gt;Valores!$F$62,Valores!$F$62,Valores!$D$62*'Escala Docente'!B253)/2)</f>
        <v>5901.7</v>
      </c>
      <c r="AH253" s="125">
        <f t="shared" si="34"/>
        <v>75778.06</v>
      </c>
      <c r="AI253" s="125">
        <f>IF(Valores!$C$32*B253&gt;Valores!$F$32,Valores!$F$32,Valores!$C$32*B253)</f>
        <v>0</v>
      </c>
      <c r="AJ253" s="125">
        <f>IF(Valores!$C$89*B253&gt;Valores!$C$88,Valores!$C$88,Valores!$C$89*B253)</f>
        <v>0</v>
      </c>
      <c r="AK253" s="125">
        <f>Valores!C$39*B253</f>
        <v>0</v>
      </c>
      <c r="AL253" s="125">
        <f>IF($F$3="NO",0,IF(Valores!$C$61*B253&gt;Valores!$F$61,Valores!$F$61,Valores!$C$61*B253))</f>
        <v>158.98259999999999</v>
      </c>
      <c r="AM253" s="125">
        <f t="shared" si="32"/>
        <v>158.98259999999999</v>
      </c>
      <c r="AN253" s="125">
        <f>AH253*Valores!$C$70</f>
        <v>-8335.5866000000005</v>
      </c>
      <c r="AO253" s="125">
        <f>AH253*-Valores!$C$71</f>
        <v>0</v>
      </c>
      <c r="AP253" s="125">
        <f>AH253*Valores!$C$72</f>
        <v>-3410.0126999999998</v>
      </c>
      <c r="AQ253" s="125">
        <f>Valores!$C$99</f>
        <v>-280.91000000000003</v>
      </c>
      <c r="AR253" s="125">
        <f>IF($F$5=0,Valores!$C$100,(Valores!$C$100+$F$5*(Valores!$C$100)))</f>
        <v>-329</v>
      </c>
      <c r="AS253" s="125">
        <f t="shared" si="35"/>
        <v>63581.533299999996</v>
      </c>
      <c r="AT253" s="125">
        <f t="shared" si="29"/>
        <v>-8335.5866000000005</v>
      </c>
      <c r="AU253" s="125">
        <f>AH253*Valores!$C$73</f>
        <v>-2046.0076199999999</v>
      </c>
      <c r="AV253" s="125">
        <f>AH253*Valores!$C$74</f>
        <v>-227.33418</v>
      </c>
      <c r="AW253" s="125">
        <f t="shared" si="33"/>
        <v>65328.114199999996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26765.64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5530.52</v>
      </c>
      <c r="N254" s="125">
        <f t="shared" si="30"/>
        <v>0</v>
      </c>
      <c r="O254" s="125">
        <f>Valores!$C$7*B254</f>
        <v>11489.94</v>
      </c>
      <c r="P254" s="125">
        <f>ROUND(IF(B254&lt;15,(Valores!$E$5*B254),Valores!$D$5),2)</f>
        <v>11546.5</v>
      </c>
      <c r="Q254" s="125">
        <v>0</v>
      </c>
      <c r="R254" s="125">
        <f>IF($F$4="NO",IF(Valores!$C$48*B254&gt;Valores!$C$45,Valores!$C$45,Valores!$C$48*B254),IF(Valores!$C$48*B254&gt;Valores!$C$45,Valores!$C$45,Valores!$C$48*B254)/2)</f>
        <v>6490.68</v>
      </c>
      <c r="S254" s="125">
        <f>Valores!$C$18*B254</f>
        <v>3613.8199999999997</v>
      </c>
      <c r="T254" s="125">
        <f t="shared" si="36"/>
        <v>3613.82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IF(Valores!$C$96*B254&gt;Valores!$C$95,Valores!$C$95,Valores!$C$96*B254)</f>
        <v>3919.16</v>
      </c>
      <c r="AA254" s="125">
        <f>IF((Valores!$C$28)*B254&gt;Valores!$F$28,Valores!$F$28,(Valores!$C$28)*B254)</f>
        <v>283.77999999999997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236.32</v>
      </c>
      <c r="AE254" s="192">
        <v>94</v>
      </c>
      <c r="AF254" s="125">
        <f>ROUND(AE254*Valores!$C$2,2)</f>
        <v>2274.84</v>
      </c>
      <c r="AG254" s="125">
        <f>IF($F$4="NO",IF(Valores!$D$62*'Escala Docente'!B254&gt;Valores!$F$62,Valores!$F$62,Valores!$D$62*'Escala Docente'!B254),IF(Valores!$D$62*'Escala Docente'!B254&gt;Valores!$F$62,Valores!$F$62,Valores!$D$62*'Escala Docente'!B254)/2)</f>
        <v>5901.7</v>
      </c>
      <c r="AH254" s="125">
        <f t="shared" si="34"/>
        <v>78052.899999999994</v>
      </c>
      <c r="AI254" s="125">
        <f>IF(Valores!$C$32*B254&gt;Valores!$F$32,Valores!$F$32,Valores!$C$32*B254)</f>
        <v>0</v>
      </c>
      <c r="AJ254" s="125">
        <f>IF(Valores!$C$89*B254&gt;Valores!$C$88,Valores!$C$88,Valores!$C$89*B254)</f>
        <v>0</v>
      </c>
      <c r="AK254" s="125">
        <f>Valores!C$39*B254</f>
        <v>0</v>
      </c>
      <c r="AL254" s="125">
        <f>IF($F$3="NO",0,IF(Valores!$C$61*B254&gt;Valores!$F$61,Valores!$F$61,Valores!$C$61*B254))</f>
        <v>158.98259999999999</v>
      </c>
      <c r="AM254" s="125">
        <f t="shared" si="32"/>
        <v>158.98259999999999</v>
      </c>
      <c r="AN254" s="125">
        <f>AH254*Valores!$C$70</f>
        <v>-8585.8189999999995</v>
      </c>
      <c r="AO254" s="125">
        <f>AH254*-Valores!$C$71</f>
        <v>0</v>
      </c>
      <c r="AP254" s="125">
        <f>AH254*Valores!$C$72</f>
        <v>-3512.3804999999998</v>
      </c>
      <c r="AQ254" s="125">
        <f>Valores!$C$99</f>
        <v>-280.91000000000003</v>
      </c>
      <c r="AR254" s="125">
        <f>IF($F$5=0,Valores!$C$100,(Valores!$C$100+$F$5*(Valores!$C$100)))</f>
        <v>-329</v>
      </c>
      <c r="AS254" s="125">
        <f t="shared" si="35"/>
        <v>65503.773099999991</v>
      </c>
      <c r="AT254" s="125">
        <f t="shared" si="29"/>
        <v>-8585.8189999999995</v>
      </c>
      <c r="AU254" s="125">
        <f>AH254*Valores!$C$73</f>
        <v>-2107.4283</v>
      </c>
      <c r="AV254" s="125">
        <f>AH254*Valores!$C$74</f>
        <v>-234.15869999999998</v>
      </c>
      <c r="AW254" s="125">
        <f t="shared" si="33"/>
        <v>67284.476599999995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28677.47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5925.56</v>
      </c>
      <c r="N255" s="125">
        <f t="shared" si="30"/>
        <v>0</v>
      </c>
      <c r="O255" s="125">
        <f>Valores!$C$7*B255</f>
        <v>12310.650000000001</v>
      </c>
      <c r="P255" s="125">
        <f>ROUND(IF(B255&lt;15,(Valores!$E$5*B255),Valores!$D$5),2)</f>
        <v>12371.24</v>
      </c>
      <c r="Q255" s="125">
        <v>0</v>
      </c>
      <c r="R255" s="125">
        <f>IF($F$4="NO",IF(Valores!$C$48*B255&gt;Valores!$C$45,Valores!$C$45,Valores!$C$48*B255),IF(Valores!$C$48*B255&gt;Valores!$C$45,Valores!$C$45,Valores!$C$48*B255)/2)</f>
        <v>6954.3</v>
      </c>
      <c r="S255" s="125">
        <f>Valores!$C$18*B255</f>
        <v>3871.95</v>
      </c>
      <c r="T255" s="125">
        <f t="shared" si="36"/>
        <v>3871.95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IF(Valores!$C$96*B255&gt;Valores!$C$95,Valores!$C$95,Valores!$C$96*B255)</f>
        <v>4199.1000000000004</v>
      </c>
      <c r="AA255" s="125">
        <f>IF((Valores!$C$28)*B255&gt;Valores!$F$28,Valores!$F$28,(Valores!$C$28)*B255)</f>
        <v>304.05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253.2</v>
      </c>
      <c r="AE255" s="192">
        <v>0</v>
      </c>
      <c r="AF255" s="125">
        <f>ROUND(AE255*Valores!$C$2,2)</f>
        <v>0</v>
      </c>
      <c r="AG255" s="125">
        <f>IF($F$4="NO",IF(Valores!$D$62*'Escala Docente'!B255&gt;Valores!$F$62,Valores!$F$62,Valores!$D$62*'Escala Docente'!B255),IF(Valores!$D$62*'Escala Docente'!B255&gt;Valores!$F$62,Valores!$F$62,Valores!$D$62*'Escala Docente'!B255)/2)</f>
        <v>6323.25</v>
      </c>
      <c r="AH255" s="125">
        <f t="shared" si="34"/>
        <v>81190.77</v>
      </c>
      <c r="AI255" s="125">
        <f>IF(Valores!$C$32*B255&gt;Valores!$F$32,Valores!$F$32,Valores!$C$32*B255)</f>
        <v>0</v>
      </c>
      <c r="AJ255" s="125">
        <f>IF(Valores!$C$89*B255&gt;Valores!$C$88,Valores!$C$88,Valores!$C$89*B255)</f>
        <v>0</v>
      </c>
      <c r="AK255" s="125">
        <f>Valores!C$39*B255</f>
        <v>0</v>
      </c>
      <c r="AL255" s="125">
        <f>IF($F$3="NO",0,IF(Valores!$C$61*B255&gt;Valores!$F$61,Valores!$F$61,Valores!$C$61*B255))</f>
        <v>170.33850000000001</v>
      </c>
      <c r="AM255" s="125">
        <f t="shared" si="32"/>
        <v>170.33850000000001</v>
      </c>
      <c r="AN255" s="125">
        <f>AH255*Valores!$C$70</f>
        <v>-8930.9847000000009</v>
      </c>
      <c r="AO255" s="125">
        <f>AH255*-Valores!$C$71</f>
        <v>0</v>
      </c>
      <c r="AP255" s="125">
        <f>AH255*Valores!$C$72</f>
        <v>-3653.5846500000002</v>
      </c>
      <c r="AQ255" s="125">
        <f>Valores!$C$99</f>
        <v>-280.91000000000003</v>
      </c>
      <c r="AR255" s="125">
        <f>IF($F$5=0,Valores!$C$100,(Valores!$C$100+$F$5*(Valores!$C$100)))</f>
        <v>-329</v>
      </c>
      <c r="AS255" s="125">
        <f t="shared" si="35"/>
        <v>68166.629150000008</v>
      </c>
      <c r="AT255" s="125">
        <f t="shared" si="29"/>
        <v>-8930.9847000000009</v>
      </c>
      <c r="AU255" s="125">
        <f>AH255*Valores!$C$73</f>
        <v>-2192.1507900000001</v>
      </c>
      <c r="AV255" s="125">
        <f>AH255*Valores!$C$74</f>
        <v>-243.57231000000002</v>
      </c>
      <c r="AW255" s="125">
        <f t="shared" si="33"/>
        <v>69994.400699999998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28677.47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5925.56</v>
      </c>
      <c r="N256" s="125">
        <f t="shared" si="30"/>
        <v>0</v>
      </c>
      <c r="O256" s="125">
        <f>Valores!$C$7*B256</f>
        <v>12310.650000000001</v>
      </c>
      <c r="P256" s="125">
        <f>ROUND(IF(B256&lt;15,(Valores!$E$5*B256),Valores!$D$5),2)</f>
        <v>12371.24</v>
      </c>
      <c r="Q256" s="125">
        <v>0</v>
      </c>
      <c r="R256" s="125">
        <f>IF($F$4="NO",IF(Valores!$C$48*B256&gt;Valores!$C$45,Valores!$C$45,Valores!$C$48*B256),IF(Valores!$C$48*B256&gt;Valores!$C$45,Valores!$C$45,Valores!$C$48*B256)/2)</f>
        <v>6954.3</v>
      </c>
      <c r="S256" s="125">
        <f>Valores!$C$18*B256</f>
        <v>3871.95</v>
      </c>
      <c r="T256" s="125">
        <f t="shared" si="36"/>
        <v>3871.95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IF(Valores!$C$96*B256&gt;Valores!$C$95,Valores!$C$95,Valores!$C$96*B256)</f>
        <v>4199.1000000000004</v>
      </c>
      <c r="AA256" s="125">
        <f>IF((Valores!$C$28)*B256&gt;Valores!$F$28,Valores!$F$28,(Valores!$C$28)*B256)</f>
        <v>304.05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253.2</v>
      </c>
      <c r="AE256" s="192">
        <v>94</v>
      </c>
      <c r="AF256" s="125">
        <f>ROUND(AE256*Valores!$C$2,2)</f>
        <v>2274.84</v>
      </c>
      <c r="AG256" s="125">
        <f>IF($F$4="NO",IF(Valores!$D$62*'Escala Docente'!B256&gt;Valores!$F$62,Valores!$F$62,Valores!$D$62*'Escala Docente'!B256),IF(Valores!$D$62*'Escala Docente'!B256&gt;Valores!$F$62,Valores!$F$62,Valores!$D$62*'Escala Docente'!B256)/2)</f>
        <v>6323.25</v>
      </c>
      <c r="AH256" s="125">
        <f t="shared" si="34"/>
        <v>83465.61</v>
      </c>
      <c r="AI256" s="125">
        <f>IF(Valores!$C$32*B256&gt;Valores!$F$32,Valores!$F$32,Valores!$C$32*B256)</f>
        <v>0</v>
      </c>
      <c r="AJ256" s="125">
        <f>IF(Valores!$C$89*B256&gt;Valores!$C$88,Valores!$C$88,Valores!$C$89*B256)</f>
        <v>0</v>
      </c>
      <c r="AK256" s="125">
        <f>Valores!C$39*B256</f>
        <v>0</v>
      </c>
      <c r="AL256" s="125">
        <f>IF($F$3="NO",0,IF(Valores!$C$61*B256&gt;Valores!$F$61,Valores!$F$61,Valores!$C$61*B256))</f>
        <v>170.33850000000001</v>
      </c>
      <c r="AM256" s="125">
        <f t="shared" si="32"/>
        <v>170.33850000000001</v>
      </c>
      <c r="AN256" s="125">
        <f>AH256*Valores!$C$70</f>
        <v>-9181.2170999999998</v>
      </c>
      <c r="AO256" s="125">
        <f>AH256*-Valores!$C$71</f>
        <v>0</v>
      </c>
      <c r="AP256" s="125">
        <f>AH256*Valores!$C$72</f>
        <v>-3755.9524499999998</v>
      </c>
      <c r="AQ256" s="125">
        <f>Valores!$C$99</f>
        <v>-280.91000000000003</v>
      </c>
      <c r="AR256" s="125">
        <f>IF($F$5=0,Valores!$C$100,(Valores!$C$100+$F$5*(Valores!$C$100)))</f>
        <v>-329</v>
      </c>
      <c r="AS256" s="125">
        <f t="shared" si="35"/>
        <v>70088.868950000004</v>
      </c>
      <c r="AT256" s="125">
        <f t="shared" si="29"/>
        <v>-9181.2170999999998</v>
      </c>
      <c r="AU256" s="125">
        <f>AH256*Valores!$C$73</f>
        <v>-2253.5714699999999</v>
      </c>
      <c r="AV256" s="125">
        <f>AH256*Valores!$C$74</f>
        <v>-250.39682999999999</v>
      </c>
      <c r="AW256" s="125">
        <f t="shared" si="33"/>
        <v>71950.763099999996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30589.31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6320.6</v>
      </c>
      <c r="N257" s="125">
        <f t="shared" si="30"/>
        <v>0</v>
      </c>
      <c r="O257" s="125">
        <f>Valores!$C$7*B257</f>
        <v>13131.36</v>
      </c>
      <c r="P257" s="125">
        <f>ROUND(IF(B257&lt;15,(Valores!$E$5*B257),Valores!$D$5),2)</f>
        <v>12371.24</v>
      </c>
      <c r="Q257" s="125">
        <v>0</v>
      </c>
      <c r="R257" s="125">
        <f>IF($F$4="NO",IF(Valores!$C$48*B257&gt;Valores!$C$45,Valores!$C$45,Valores!$C$48*B257),IF(Valores!$C$48*B257&gt;Valores!$C$45,Valores!$C$45,Valores!$C$48*B257)/2)</f>
        <v>7417.92</v>
      </c>
      <c r="S257" s="125">
        <f>Valores!$C$18*B257</f>
        <v>4130.08</v>
      </c>
      <c r="T257" s="125">
        <f t="shared" si="36"/>
        <v>4130.08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IF(Valores!$C$96*B257&gt;Valores!$C$95,Valores!$C$95,Valores!$C$96*B257)</f>
        <v>4479.04</v>
      </c>
      <c r="AA257" s="125">
        <f>IF((Valores!$C$28)*B257&gt;Valores!$F$28,Valores!$F$28,(Valores!$C$28)*B257)</f>
        <v>324.32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270.08</v>
      </c>
      <c r="AE257" s="192">
        <v>0</v>
      </c>
      <c r="AF257" s="125">
        <f>ROUND(AE257*Valores!$C$2,2)</f>
        <v>0</v>
      </c>
      <c r="AG257" s="125">
        <f>IF($F$4="NO",IF(Valores!$D$62*'Escala Docente'!B257&gt;Valores!$F$62,Valores!$F$62,Valores!$D$62*'Escala Docente'!B257),IF(Valores!$D$62*'Escala Docente'!B257&gt;Valores!$F$62,Valores!$F$62,Valores!$D$62*'Escala Docente'!B257)/2)</f>
        <v>6744.8</v>
      </c>
      <c r="AH257" s="125">
        <f t="shared" si="34"/>
        <v>85778.750000000015</v>
      </c>
      <c r="AI257" s="125">
        <f>IF(Valores!$C$32*B257&gt;Valores!$F$32,Valores!$F$32,Valores!$C$32*B257)</f>
        <v>0</v>
      </c>
      <c r="AJ257" s="125">
        <f>IF(Valores!$C$89*B257&gt;Valores!$C$88,Valores!$C$88,Valores!$C$89*B257)</f>
        <v>0</v>
      </c>
      <c r="AK257" s="125">
        <f>Valores!C$39*B257</f>
        <v>0</v>
      </c>
      <c r="AL257" s="125">
        <f>IF($F$3="NO",0,IF(Valores!$C$61*B257&gt;Valores!$F$61,Valores!$F$61,Valores!$C$61*B257))</f>
        <v>181.6944</v>
      </c>
      <c r="AM257" s="125">
        <f t="shared" si="32"/>
        <v>181.6944</v>
      </c>
      <c r="AN257" s="125">
        <f>AH257*Valores!$C$70</f>
        <v>-9435.6625000000022</v>
      </c>
      <c r="AO257" s="125">
        <f>AH257*-Valores!$C$71</f>
        <v>0</v>
      </c>
      <c r="AP257" s="125">
        <f>AH257*Valores!$C$72</f>
        <v>-3860.0437500000007</v>
      </c>
      <c r="AQ257" s="125">
        <f>Valores!$C$99</f>
        <v>-280.91000000000003</v>
      </c>
      <c r="AR257" s="125">
        <f>IF($F$5=0,Valores!$C$100,(Valores!$C$100+$F$5*(Valores!$C$100)))</f>
        <v>-329</v>
      </c>
      <c r="AS257" s="125">
        <f t="shared" si="35"/>
        <v>72054.828150000016</v>
      </c>
      <c r="AT257" s="125">
        <f t="shared" si="29"/>
        <v>-9435.6625000000022</v>
      </c>
      <c r="AU257" s="125">
        <f>AH257*Valores!$C$73</f>
        <v>-2316.0262500000003</v>
      </c>
      <c r="AV257" s="125">
        <f>AH257*Valores!$C$74</f>
        <v>-257.33625000000006</v>
      </c>
      <c r="AW257" s="125">
        <f t="shared" si="33"/>
        <v>73951.419399999999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30589.31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6320.6</v>
      </c>
      <c r="N258" s="125">
        <f t="shared" si="30"/>
        <v>0</v>
      </c>
      <c r="O258" s="125">
        <f>Valores!$C$7*B258</f>
        <v>13131.36</v>
      </c>
      <c r="P258" s="125">
        <f>ROUND(IF(B258&lt;15,(Valores!$E$5*B258),Valores!$D$5),2)</f>
        <v>12371.24</v>
      </c>
      <c r="Q258" s="125">
        <v>0</v>
      </c>
      <c r="R258" s="125">
        <f>IF($F$4="NO",IF(Valores!$C$48*B258&gt;Valores!$C$45,Valores!$C$45,Valores!$C$48*B258),IF(Valores!$C$48*B258&gt;Valores!$C$45,Valores!$C$45,Valores!$C$48*B258)/2)</f>
        <v>7417.92</v>
      </c>
      <c r="S258" s="125">
        <f>Valores!$C$18*B258</f>
        <v>4130.08</v>
      </c>
      <c r="T258" s="125">
        <f t="shared" si="36"/>
        <v>4130.08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IF(Valores!$C$96*B258&gt;Valores!$C$95,Valores!$C$95,Valores!$C$96*B258)</f>
        <v>4479.04</v>
      </c>
      <c r="AA258" s="125">
        <f>IF((Valores!$C$28)*B258&gt;Valores!$F$28,Valores!$F$28,(Valores!$C$28)*B258)</f>
        <v>324.32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270.08</v>
      </c>
      <c r="AE258" s="192">
        <v>94</v>
      </c>
      <c r="AF258" s="125">
        <f>ROUND(AE258*Valores!$C$2,2)</f>
        <v>2274.84</v>
      </c>
      <c r="AG258" s="125">
        <f>IF($F$4="NO",IF(Valores!$D$62*'Escala Docente'!B258&gt;Valores!$F$62,Valores!$F$62,Valores!$D$62*'Escala Docente'!B258),IF(Valores!$D$62*'Escala Docente'!B258&gt;Valores!$F$62,Valores!$F$62,Valores!$D$62*'Escala Docente'!B258)/2)</f>
        <v>6744.8</v>
      </c>
      <c r="AH258" s="125">
        <f t="shared" si="34"/>
        <v>88053.590000000011</v>
      </c>
      <c r="AI258" s="125">
        <f>IF(Valores!$C$32*B258&gt;Valores!$F$32,Valores!$F$32,Valores!$C$32*B258)</f>
        <v>0</v>
      </c>
      <c r="AJ258" s="125">
        <f>IF(Valores!$C$89*B258&gt;Valores!$C$88,Valores!$C$88,Valores!$C$89*B258)</f>
        <v>0</v>
      </c>
      <c r="AK258" s="125">
        <f>Valores!C$39*B258</f>
        <v>0</v>
      </c>
      <c r="AL258" s="125">
        <f>IF($F$3="NO",0,IF(Valores!$C$61*B258&gt;Valores!$F$61,Valores!$F$61,Valores!$C$61*B258))</f>
        <v>181.6944</v>
      </c>
      <c r="AM258" s="125">
        <f t="shared" si="32"/>
        <v>181.6944</v>
      </c>
      <c r="AN258" s="125">
        <f>AH258*Valores!$C$70</f>
        <v>-9685.8949000000011</v>
      </c>
      <c r="AO258" s="125">
        <f>AH258*-Valores!$C$71</f>
        <v>0</v>
      </c>
      <c r="AP258" s="125">
        <f>AH258*Valores!$C$72</f>
        <v>-3962.4115500000003</v>
      </c>
      <c r="AQ258" s="125">
        <f>Valores!$C$99</f>
        <v>-280.91000000000003</v>
      </c>
      <c r="AR258" s="125">
        <f>IF($F$5=0,Valores!$C$100,(Valores!$C$100+$F$5*(Valores!$C$100)))</f>
        <v>-329</v>
      </c>
      <c r="AS258" s="125">
        <f t="shared" si="35"/>
        <v>73977.067950000011</v>
      </c>
      <c r="AT258" s="125">
        <f t="shared" si="29"/>
        <v>-9685.8949000000011</v>
      </c>
      <c r="AU258" s="125">
        <f>AH258*Valores!$C$73</f>
        <v>-2377.4469300000001</v>
      </c>
      <c r="AV258" s="125">
        <f>AH258*Valores!$C$74</f>
        <v>-264.16077000000001</v>
      </c>
      <c r="AW258" s="125">
        <f t="shared" si="33"/>
        <v>75907.781799999997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32501.14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6715.63</v>
      </c>
      <c r="N259" s="125">
        <f t="shared" si="30"/>
        <v>0</v>
      </c>
      <c r="O259" s="125">
        <f>Valores!$C$7*B259</f>
        <v>13952.07</v>
      </c>
      <c r="P259" s="125">
        <f>ROUND(IF(B259&lt;15,(Valores!$E$5*B259),Valores!$D$5),2)</f>
        <v>12371.24</v>
      </c>
      <c r="Q259" s="125">
        <v>0</v>
      </c>
      <c r="R259" s="125">
        <f>IF($F$4="NO",IF(Valores!$C$48*B259&gt;Valores!$C$45,Valores!$C$45,Valores!$C$48*B259),IF(Valores!$C$48*B259&gt;Valores!$C$45,Valores!$C$45,Valores!$C$48*B259)/2)</f>
        <v>7881.54</v>
      </c>
      <c r="S259" s="125">
        <f>Valores!$C$18*B259</f>
        <v>4388.21</v>
      </c>
      <c r="T259" s="125">
        <f t="shared" si="36"/>
        <v>4388.21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IF(Valores!$C$96*B259&gt;Valores!$C$95,Valores!$C$95,Valores!$C$96*B259)</f>
        <v>4758.9799999999996</v>
      </c>
      <c r="AA259" s="125">
        <f>IF((Valores!$C$28)*B259&gt;Valores!$F$28,Valores!$F$28,(Valores!$C$28)*B259)</f>
        <v>344.59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286.95999999999998</v>
      </c>
      <c r="AE259" s="192">
        <v>0</v>
      </c>
      <c r="AF259" s="125">
        <f>ROUND(AE259*Valores!$C$2,2)</f>
        <v>0</v>
      </c>
      <c r="AG259" s="125">
        <f>IF($F$4="NO",IF(Valores!$D$62*'Escala Docente'!B259&gt;Valores!$F$62,Valores!$F$62,Valores!$D$62*'Escala Docente'!B259),IF(Valores!$D$62*'Escala Docente'!B259&gt;Valores!$F$62,Valores!$F$62,Valores!$D$62*'Escala Docente'!B259)/2)</f>
        <v>7166.35</v>
      </c>
      <c r="AH259" s="125">
        <f t="shared" si="34"/>
        <v>90366.71</v>
      </c>
      <c r="AI259" s="125">
        <f>IF(Valores!$C$32*B259&gt;Valores!$F$32,Valores!$F$32,Valores!$C$32*B259)</f>
        <v>0</v>
      </c>
      <c r="AJ259" s="125">
        <f>IF(Valores!$C$89*B259&gt;Valores!$C$88,Valores!$C$88,Valores!$C$89*B259)</f>
        <v>0</v>
      </c>
      <c r="AK259" s="125">
        <f>Valores!C$39*B259</f>
        <v>0</v>
      </c>
      <c r="AL259" s="125">
        <f>IF($F$3="NO",0,IF(Valores!$C$61*B259&gt;Valores!$F$61,Valores!$F$61,Valores!$C$61*B259))</f>
        <v>193.05029999999999</v>
      </c>
      <c r="AM259" s="125">
        <f t="shared" si="32"/>
        <v>193.05029999999999</v>
      </c>
      <c r="AN259" s="125">
        <f>AH259*Valores!$C$70</f>
        <v>-9940.3381000000008</v>
      </c>
      <c r="AO259" s="125">
        <f>AH259*-Valores!$C$71</f>
        <v>0</v>
      </c>
      <c r="AP259" s="125">
        <f>AH259*Valores!$C$72</f>
        <v>-4066.5019500000003</v>
      </c>
      <c r="AQ259" s="125">
        <f>Valores!$C$99</f>
        <v>-280.91000000000003</v>
      </c>
      <c r="AR259" s="125">
        <f>IF($F$5=0,Valores!$C$100,(Valores!$C$100+$F$5*(Valores!$C$100)))</f>
        <v>-329</v>
      </c>
      <c r="AS259" s="125">
        <f t="shared" si="35"/>
        <v>75943.010250000007</v>
      </c>
      <c r="AT259" s="125">
        <f t="shared" si="29"/>
        <v>-9940.3381000000008</v>
      </c>
      <c r="AU259" s="125">
        <f>AH259*Valores!$C$73</f>
        <v>-2439.9011700000001</v>
      </c>
      <c r="AV259" s="125">
        <f>AH259*Valores!$C$74</f>
        <v>-271.10013000000004</v>
      </c>
      <c r="AW259" s="125">
        <f t="shared" si="33"/>
        <v>77908.420900000012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32501.14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6715.63</v>
      </c>
      <c r="N260" s="125">
        <f t="shared" si="30"/>
        <v>0</v>
      </c>
      <c r="O260" s="125">
        <f>Valores!$C$7*B260</f>
        <v>13952.07</v>
      </c>
      <c r="P260" s="125">
        <f>ROUND(IF(B260&lt;15,(Valores!$E$5*B260),Valores!$D$5),2)</f>
        <v>12371.24</v>
      </c>
      <c r="Q260" s="125">
        <v>0</v>
      </c>
      <c r="R260" s="125">
        <f>IF($F$4="NO",IF(Valores!$C$48*B260&gt;Valores!$C$45,Valores!$C$45,Valores!$C$48*B260),IF(Valores!$C$48*B260&gt;Valores!$C$45,Valores!$C$45,Valores!$C$48*B260)/2)</f>
        <v>7881.54</v>
      </c>
      <c r="S260" s="125">
        <f>Valores!$C$18*B260</f>
        <v>4388.21</v>
      </c>
      <c r="T260" s="125">
        <f t="shared" si="36"/>
        <v>4388.21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IF(Valores!$C$96*B260&gt;Valores!$C$95,Valores!$C$95,Valores!$C$96*B260)</f>
        <v>4758.9799999999996</v>
      </c>
      <c r="AA260" s="125">
        <f>IF((Valores!$C$28)*B260&gt;Valores!$F$28,Valores!$F$28,(Valores!$C$28)*B260)</f>
        <v>344.59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286.95999999999998</v>
      </c>
      <c r="AE260" s="192">
        <v>94</v>
      </c>
      <c r="AF260" s="125">
        <f>ROUND(AE260*Valores!$C$2,2)</f>
        <v>2274.84</v>
      </c>
      <c r="AG260" s="125">
        <f>IF($F$4="NO",IF(Valores!$D$62*'Escala Docente'!B260&gt;Valores!$F$62,Valores!$F$62,Valores!$D$62*'Escala Docente'!B260),IF(Valores!$D$62*'Escala Docente'!B260&gt;Valores!$F$62,Valores!$F$62,Valores!$D$62*'Escala Docente'!B260)/2)</f>
        <v>7166.35</v>
      </c>
      <c r="AH260" s="125">
        <f t="shared" si="34"/>
        <v>92641.55</v>
      </c>
      <c r="AI260" s="125">
        <f>IF(Valores!$C$32*B260&gt;Valores!$F$32,Valores!$F$32,Valores!$C$32*B260)</f>
        <v>0</v>
      </c>
      <c r="AJ260" s="125">
        <f>IF(Valores!$C$89*B260&gt;Valores!$C$88,Valores!$C$88,Valores!$C$89*B260)</f>
        <v>0</v>
      </c>
      <c r="AK260" s="125">
        <f>Valores!C$39*B260</f>
        <v>0</v>
      </c>
      <c r="AL260" s="125">
        <f>IF($F$3="NO",0,IF(Valores!$C$61*B260&gt;Valores!$F$61,Valores!$F$61,Valores!$C$61*B260))</f>
        <v>193.05029999999999</v>
      </c>
      <c r="AM260" s="125">
        <f t="shared" si="32"/>
        <v>193.05029999999999</v>
      </c>
      <c r="AN260" s="125">
        <f>AH260*Valores!$C$70</f>
        <v>-10190.5705</v>
      </c>
      <c r="AO260" s="125">
        <f>AH260*-Valores!$C$71</f>
        <v>0</v>
      </c>
      <c r="AP260" s="125">
        <f>AH260*Valores!$C$72</f>
        <v>-4168.8697499999998</v>
      </c>
      <c r="AQ260" s="125">
        <f>Valores!$C$99</f>
        <v>-280.91000000000003</v>
      </c>
      <c r="AR260" s="125">
        <f>IF($F$5=0,Valores!$C$100,(Valores!$C$100+$F$5*(Valores!$C$100)))</f>
        <v>-329</v>
      </c>
      <c r="AS260" s="125">
        <f t="shared" si="35"/>
        <v>77865.250050000002</v>
      </c>
      <c r="AT260" s="125">
        <f t="shared" si="29"/>
        <v>-10190.5705</v>
      </c>
      <c r="AU260" s="125">
        <f>AH260*Valores!$C$73</f>
        <v>-2501.3218500000003</v>
      </c>
      <c r="AV260" s="125">
        <f>AH260*Valores!$C$74</f>
        <v>-277.92465000000004</v>
      </c>
      <c r="AW260" s="125">
        <f t="shared" si="33"/>
        <v>79864.78330000001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34412.97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7110.67</v>
      </c>
      <c r="N261" s="125">
        <f t="shared" si="30"/>
        <v>0</v>
      </c>
      <c r="O261" s="125">
        <f>Valores!$C$7*B261</f>
        <v>14772.78</v>
      </c>
      <c r="P261" s="125">
        <f>ROUND(IF(B261&lt;15,(Valores!$E$5*B261),Valores!$D$5),2)</f>
        <v>12371.24</v>
      </c>
      <c r="Q261" s="125">
        <v>0</v>
      </c>
      <c r="R261" s="125">
        <f>IF($F$4="NO",IF(Valores!$C$48*B261&gt;Valores!$C$45,Valores!$C$45,Valores!$C$48*B261),IF(Valores!$C$48*B261&gt;Valores!$C$45,Valores!$C$45,Valores!$C$48*B261)/2)</f>
        <v>8345.16</v>
      </c>
      <c r="S261" s="125">
        <f>Valores!$C$18*B261</f>
        <v>4646.34</v>
      </c>
      <c r="T261" s="125">
        <f t="shared" si="36"/>
        <v>4646.34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IF(Valores!$C$96*B261&gt;Valores!$C$95,Valores!$C$95,Valores!$C$96*B261)</f>
        <v>5038.92</v>
      </c>
      <c r="AA261" s="125">
        <f>IF((Valores!$C$28)*B261&gt;Valores!$F$28,Valores!$F$28,(Valores!$C$28)*B261)</f>
        <v>364.86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303.83999999999997</v>
      </c>
      <c r="AE261" s="192">
        <v>0</v>
      </c>
      <c r="AF261" s="125">
        <f>ROUND(AE261*Valores!$C$2,2)</f>
        <v>0</v>
      </c>
      <c r="AG261" s="125">
        <f>IF($F$4="NO",IF(Valores!$D$62*'Escala Docente'!B261&gt;Valores!$F$62,Valores!$F$62,Valores!$D$62*'Escala Docente'!B261),IF(Valores!$D$62*'Escala Docente'!B261&gt;Valores!$F$62,Valores!$F$62,Valores!$D$62*'Escala Docente'!B261)/2)</f>
        <v>7587.9000000000005</v>
      </c>
      <c r="AH261" s="125">
        <f t="shared" si="34"/>
        <v>94954.68</v>
      </c>
      <c r="AI261" s="125">
        <f>IF(Valores!$C$32*B261&gt;Valores!$F$32,Valores!$F$32,Valores!$C$32*B261)</f>
        <v>0</v>
      </c>
      <c r="AJ261" s="125">
        <f>IF(Valores!$C$89*B261&gt;Valores!$C$88,Valores!$C$88,Valores!$C$89*B261)</f>
        <v>0</v>
      </c>
      <c r="AK261" s="125">
        <f>Valores!C$39*B261</f>
        <v>0</v>
      </c>
      <c r="AL261" s="125">
        <f>IF($F$3="NO",0,IF(Valores!$C$61*B261&gt;Valores!$F$61,Valores!$F$61,Valores!$C$61*B261))</f>
        <v>204.40620000000001</v>
      </c>
      <c r="AM261" s="125">
        <f t="shared" si="32"/>
        <v>204.40620000000001</v>
      </c>
      <c r="AN261" s="125">
        <f>AH261*Valores!$C$70</f>
        <v>-10445.014799999999</v>
      </c>
      <c r="AO261" s="125">
        <f>AH261*-Valores!$C$71</f>
        <v>0</v>
      </c>
      <c r="AP261" s="125">
        <f>AH261*Valores!$C$72</f>
        <v>-4272.9605999999994</v>
      </c>
      <c r="AQ261" s="125">
        <f>Valores!$C$99</f>
        <v>-280.91000000000003</v>
      </c>
      <c r="AR261" s="125">
        <f>IF($F$5=0,Valores!$C$100,(Valores!$C$100+$F$5*(Valores!$C$100)))</f>
        <v>-329</v>
      </c>
      <c r="AS261" s="125">
        <f t="shared" si="35"/>
        <v>79831.200799999991</v>
      </c>
      <c r="AT261" s="125">
        <f t="shared" ref="AT261:AT325" si="41">AN261</f>
        <v>-10445.014799999999</v>
      </c>
      <c r="AU261" s="125">
        <f>AH261*Valores!$C$73</f>
        <v>-2563.7763599999998</v>
      </c>
      <c r="AV261" s="125">
        <f>AH261*Valores!$C$74</f>
        <v>-284.86403999999999</v>
      </c>
      <c r="AW261" s="125">
        <f t="shared" si="33"/>
        <v>81865.430999999997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34412.97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7110.67</v>
      </c>
      <c r="N262" s="125">
        <f t="shared" si="30"/>
        <v>0</v>
      </c>
      <c r="O262" s="125">
        <f>Valores!$C$7*B262</f>
        <v>14772.78</v>
      </c>
      <c r="P262" s="125">
        <f>ROUND(IF(B262&lt;15,(Valores!$E$5*B262),Valores!$D$5),2)</f>
        <v>12371.24</v>
      </c>
      <c r="Q262" s="125">
        <v>0</v>
      </c>
      <c r="R262" s="125">
        <f>IF($F$4="NO",IF(Valores!$C$48*B262&gt;Valores!$C$45,Valores!$C$45,Valores!$C$48*B262),IF(Valores!$C$48*B262&gt;Valores!$C$45,Valores!$C$45,Valores!$C$48*B262)/2)</f>
        <v>8345.16</v>
      </c>
      <c r="S262" s="125">
        <f>Valores!$C$18*B262</f>
        <v>4646.34</v>
      </c>
      <c r="T262" s="125">
        <f t="shared" si="36"/>
        <v>4646.34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IF(Valores!$C$96*B262&gt;Valores!$C$95,Valores!$C$95,Valores!$C$96*B262)</f>
        <v>5038.92</v>
      </c>
      <c r="AA262" s="125">
        <f>IF((Valores!$C$28)*B262&gt;Valores!$F$28,Valores!$F$28,(Valores!$C$28)*B262)</f>
        <v>364.86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303.83999999999997</v>
      </c>
      <c r="AE262" s="192">
        <v>94</v>
      </c>
      <c r="AF262" s="125">
        <f>ROUND(AE262*Valores!$C$2,2)</f>
        <v>2274.84</v>
      </c>
      <c r="AG262" s="125">
        <f>IF($F$4="NO",IF(Valores!$D$62*'Escala Docente'!B262&gt;Valores!$F$62,Valores!$F$62,Valores!$D$62*'Escala Docente'!B262),IF(Valores!$D$62*'Escala Docente'!B262&gt;Valores!$F$62,Valores!$F$62,Valores!$D$62*'Escala Docente'!B262)/2)</f>
        <v>7587.9000000000005</v>
      </c>
      <c r="AH262" s="125">
        <f t="shared" si="34"/>
        <v>97229.51999999999</v>
      </c>
      <c r="AI262" s="125">
        <f>IF(Valores!$C$32*B262&gt;Valores!$F$32,Valores!$F$32,Valores!$C$32*B262)</f>
        <v>0</v>
      </c>
      <c r="AJ262" s="125">
        <f>IF(Valores!$C$89*B262&gt;Valores!$C$88,Valores!$C$88,Valores!$C$89*B262)</f>
        <v>0</v>
      </c>
      <c r="AK262" s="125">
        <f>Valores!C$39*B262</f>
        <v>0</v>
      </c>
      <c r="AL262" s="125">
        <f>IF($F$3="NO",0,IF(Valores!$C$61*B262&gt;Valores!$F$61,Valores!$F$61,Valores!$C$61*B262))</f>
        <v>204.40620000000001</v>
      </c>
      <c r="AM262" s="125">
        <f t="shared" si="32"/>
        <v>204.40620000000001</v>
      </c>
      <c r="AN262" s="125">
        <f>AH262*Valores!$C$70</f>
        <v>-10695.2472</v>
      </c>
      <c r="AO262" s="125">
        <f>AH262*-Valores!$C$71</f>
        <v>0</v>
      </c>
      <c r="AP262" s="125">
        <f>AH262*Valores!$C$72</f>
        <v>-4375.3283999999994</v>
      </c>
      <c r="AQ262" s="125">
        <f>Valores!$C$99</f>
        <v>-280.91000000000003</v>
      </c>
      <c r="AR262" s="125">
        <f>IF($F$5=0,Valores!$C$100,(Valores!$C$100+$F$5*(Valores!$C$100)))</f>
        <v>-329</v>
      </c>
      <c r="AS262" s="125">
        <f t="shared" si="35"/>
        <v>81753.440599999987</v>
      </c>
      <c r="AT262" s="125">
        <f t="shared" si="41"/>
        <v>-10695.2472</v>
      </c>
      <c r="AU262" s="125">
        <f>AH262*Valores!$C$73</f>
        <v>-2625.1970399999996</v>
      </c>
      <c r="AV262" s="125">
        <f>AH262*Valores!$C$74</f>
        <v>-291.68856</v>
      </c>
      <c r="AW262" s="125">
        <f t="shared" si="33"/>
        <v>83821.793399999995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36324.800000000003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7505.71</v>
      </c>
      <c r="N263" s="125">
        <f t="shared" si="30"/>
        <v>0</v>
      </c>
      <c r="O263" s="125">
        <f>Valores!$C$7*B263</f>
        <v>15593.490000000002</v>
      </c>
      <c r="P263" s="125">
        <f>ROUND(IF(B263&lt;15,(Valores!$E$5*B263),Valores!$D$5),2)</f>
        <v>12371.24</v>
      </c>
      <c r="Q263" s="125">
        <v>0</v>
      </c>
      <c r="R263" s="125">
        <f>IF($F$4="NO",IF(Valores!$C$48*B263&gt;Valores!$C$45,Valores!$C$45,Valores!$C$48*B263),IF(Valores!$C$48*B263&gt;Valores!$C$45,Valores!$C$45,Valores!$C$48*B263)/2)</f>
        <v>8808.7800000000007</v>
      </c>
      <c r="S263" s="125">
        <f>Valores!$C$18*B263</f>
        <v>4904.47</v>
      </c>
      <c r="T263" s="125">
        <f t="shared" si="36"/>
        <v>4904.47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IF(Valores!$C$96*B263&gt;Valores!$C$95,Valores!$C$95,Valores!$C$96*B263)</f>
        <v>5318.86</v>
      </c>
      <c r="AA263" s="125">
        <f>IF((Valores!$C$28)*B263&gt;Valores!$F$28,Valores!$F$28,(Valores!$C$28)*B263)</f>
        <v>385.13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320.71999999999997</v>
      </c>
      <c r="AE263" s="192">
        <v>0</v>
      </c>
      <c r="AF263" s="125">
        <f>ROUND(AE263*Valores!$C$2,2)</f>
        <v>0</v>
      </c>
      <c r="AG263" s="125">
        <f>IF($F$4="NO",IF(Valores!$D$62*'Escala Docente'!B263&gt;Valores!$F$62,Valores!$F$62,Valores!$D$62*'Escala Docente'!B263),IF(Valores!$D$62*'Escala Docente'!B263&gt;Valores!$F$62,Valores!$F$62,Valores!$D$62*'Escala Docente'!B263)/2)</f>
        <v>8009.45</v>
      </c>
      <c r="AH263" s="125">
        <f t="shared" si="34"/>
        <v>99542.650000000009</v>
      </c>
      <c r="AI263" s="125">
        <f>IF(Valores!$C$32*B263&gt;Valores!$F$32,Valores!$F$32,Valores!$C$32*B263)</f>
        <v>0</v>
      </c>
      <c r="AJ263" s="125">
        <f>IF(Valores!$C$89*B263&gt;Valores!$C$88,Valores!$C$88,Valores!$C$89*B263)</f>
        <v>0</v>
      </c>
      <c r="AK263" s="125">
        <f>Valores!C$39*B263</f>
        <v>0</v>
      </c>
      <c r="AL263" s="125">
        <f>IF($F$3="NO",0,IF(Valores!$C$61*B263&gt;Valores!$F$61,Valores!$F$61,Valores!$C$61*B263))</f>
        <v>215.7621</v>
      </c>
      <c r="AM263" s="125">
        <f t="shared" si="32"/>
        <v>215.7621</v>
      </c>
      <c r="AN263" s="125">
        <f>AH263*Valores!$C$70</f>
        <v>-10949.691500000001</v>
      </c>
      <c r="AO263" s="125">
        <f>AH263*-Valores!$C$71</f>
        <v>0</v>
      </c>
      <c r="AP263" s="125">
        <f>AH263*Valores!$C$72</f>
        <v>-4479.4192499999999</v>
      </c>
      <c r="AQ263" s="125">
        <f>Valores!$C$99</f>
        <v>-280.91000000000003</v>
      </c>
      <c r="AR263" s="125">
        <f>IF($F$5=0,Valores!$C$100,(Valores!$C$100+$F$5*(Valores!$C$100)))</f>
        <v>-329</v>
      </c>
      <c r="AS263" s="125">
        <f t="shared" si="35"/>
        <v>83719.391350000005</v>
      </c>
      <c r="AT263" s="125">
        <f t="shared" si="41"/>
        <v>-10949.691500000001</v>
      </c>
      <c r="AU263" s="125">
        <f>AH263*Valores!$C$73</f>
        <v>-2687.65155</v>
      </c>
      <c r="AV263" s="125">
        <f>AH263*Valores!$C$74</f>
        <v>-298.62795000000006</v>
      </c>
      <c r="AW263" s="125">
        <f t="shared" si="33"/>
        <v>85822.441100000011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36324.800000000003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7505.71</v>
      </c>
      <c r="N264" s="125">
        <f t="shared" ref="N264:N326" si="42">ROUND(SUM(F264,H264,J264,L264,X264,R264)*$H$2,2)</f>
        <v>0</v>
      </c>
      <c r="O264" s="125">
        <f>Valores!$C$7*B264</f>
        <v>15593.490000000002</v>
      </c>
      <c r="P264" s="125">
        <f>ROUND(IF(B264&lt;15,(Valores!$E$5*B264),Valores!$D$5),2)</f>
        <v>12371.24</v>
      </c>
      <c r="Q264" s="125">
        <v>0</v>
      </c>
      <c r="R264" s="125">
        <f>IF($F$4="NO",IF(Valores!$C$48*B264&gt;Valores!$C$45,Valores!$C$45,Valores!$C$48*B264),IF(Valores!$C$48*B264&gt;Valores!$C$45,Valores!$C$45,Valores!$C$48*B264)/2)</f>
        <v>8808.7800000000007</v>
      </c>
      <c r="S264" s="125">
        <f>Valores!$C$18*B264</f>
        <v>4904.47</v>
      </c>
      <c r="T264" s="125">
        <f t="shared" si="36"/>
        <v>4904.47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IF(Valores!$C$96*B264&gt;Valores!$C$95,Valores!$C$95,Valores!$C$96*B264)</f>
        <v>5318.86</v>
      </c>
      <c r="AA264" s="125">
        <f>IF((Valores!$C$28)*B264&gt;Valores!$F$28,Valores!$F$28,(Valores!$C$28)*B264)</f>
        <v>385.13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320.71999999999997</v>
      </c>
      <c r="AE264" s="192">
        <v>94</v>
      </c>
      <c r="AF264" s="125">
        <f>ROUND(AE264*Valores!$C$2,2)</f>
        <v>2274.84</v>
      </c>
      <c r="AG264" s="125">
        <f>IF($F$4="NO",IF(Valores!$D$62*'Escala Docente'!B264&gt;Valores!$F$62,Valores!$F$62,Valores!$D$62*'Escala Docente'!B264),IF(Valores!$D$62*'Escala Docente'!B264&gt;Valores!$F$62,Valores!$F$62,Valores!$D$62*'Escala Docente'!B264)/2)</f>
        <v>8009.45</v>
      </c>
      <c r="AH264" s="125">
        <f t="shared" si="34"/>
        <v>101817.49</v>
      </c>
      <c r="AI264" s="125">
        <f>IF(Valores!$C$32*B264&gt;Valores!$F$32,Valores!$F$32,Valores!$C$32*B264)</f>
        <v>0</v>
      </c>
      <c r="AJ264" s="125">
        <f>IF(Valores!$C$89*B264&gt;Valores!$C$88,Valores!$C$88,Valores!$C$89*B264)</f>
        <v>0</v>
      </c>
      <c r="AK264" s="125">
        <f>Valores!C$39*B264</f>
        <v>0</v>
      </c>
      <c r="AL264" s="125">
        <f>IF($F$3="NO",0,IF(Valores!$C$61*B264&gt;Valores!$F$61,Valores!$F$61,Valores!$C$61*B264))</f>
        <v>215.7621</v>
      </c>
      <c r="AM264" s="125">
        <f t="shared" ref="AM264:AM326" si="44">SUM(AI264:AL264)</f>
        <v>215.7621</v>
      </c>
      <c r="AN264" s="125">
        <f>AH264*Valores!$C$70</f>
        <v>-11199.9239</v>
      </c>
      <c r="AO264" s="125">
        <f>AH264*-Valores!$C$71</f>
        <v>0</v>
      </c>
      <c r="AP264" s="125">
        <f>AH264*Valores!$C$72</f>
        <v>-4581.7870499999999</v>
      </c>
      <c r="AQ264" s="125">
        <f>Valores!$C$99</f>
        <v>-280.91000000000003</v>
      </c>
      <c r="AR264" s="125">
        <f>IF($F$5=0,Valores!$C$100,(Valores!$C$100+$F$5*(Valores!$C$100)))</f>
        <v>-329</v>
      </c>
      <c r="AS264" s="125">
        <f t="shared" si="35"/>
        <v>85641.631150000001</v>
      </c>
      <c r="AT264" s="125">
        <f t="shared" si="41"/>
        <v>-11199.9239</v>
      </c>
      <c r="AU264" s="125">
        <f>AH264*Valores!$C$73</f>
        <v>-2749.0722300000002</v>
      </c>
      <c r="AV264" s="125">
        <f>AH264*Valores!$C$74</f>
        <v>-305.45247000000001</v>
      </c>
      <c r="AW264" s="125">
        <f t="shared" ref="AW264:AW326" si="45">AH264+AM264+SUM(AT264:AV264)</f>
        <v>87778.803500000009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38236.629999999997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7900.74</v>
      </c>
      <c r="N265" s="125">
        <f t="shared" si="42"/>
        <v>0</v>
      </c>
      <c r="O265" s="125">
        <f>Valores!$C$7*B265</f>
        <v>16414.2</v>
      </c>
      <c r="P265" s="125">
        <f>ROUND(IF(B265&lt;15,(Valores!$E$5*B265),Valores!$D$5),2)</f>
        <v>12371.24</v>
      </c>
      <c r="Q265" s="125">
        <v>0</v>
      </c>
      <c r="R265" s="125">
        <f>IF($F$4="NO",IF(Valores!$C$48*B265&gt;Valores!$C$45,Valores!$C$45,Valores!$C$48*B265),IF(Valores!$C$48*B265&gt;Valores!$C$45,Valores!$C$45,Valores!$C$48*B265)/2)</f>
        <v>9272.4</v>
      </c>
      <c r="S265" s="125">
        <f>Valores!$C$18*B265</f>
        <v>5162.6000000000004</v>
      </c>
      <c r="T265" s="125">
        <f t="shared" si="36"/>
        <v>5162.6000000000004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IF(Valores!$C$96*B265&gt;Valores!$C$95,Valores!$C$95,Valores!$C$96*B265)</f>
        <v>5598.8</v>
      </c>
      <c r="AA265" s="125">
        <f>IF((Valores!$C$28)*B265&gt;Valores!$F$28,Valores!$F$28,(Valores!$C$28)*B265)</f>
        <v>405.4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337.59999999999997</v>
      </c>
      <c r="AE265" s="192">
        <v>0</v>
      </c>
      <c r="AF265" s="125">
        <f>ROUND(AE265*Valores!$C$2,2)</f>
        <v>0</v>
      </c>
      <c r="AG265" s="125">
        <f>IF($F$4="NO",IF(Valores!$D$62*'Escala Docente'!B265&gt;Valores!$F$62,Valores!$F$62,Valores!$D$62*'Escala Docente'!B265),IF(Valores!$D$62*'Escala Docente'!B265&gt;Valores!$F$62,Valores!$F$62,Valores!$D$62*'Escala Docente'!B265)/2)</f>
        <v>8431</v>
      </c>
      <c r="AH265" s="125">
        <f t="shared" ref="AH265:AH326" si="46">SUM(F265,H265,J265,L265,M265,N265,O265,P265,Q265,R265,T265,U265,V265,X265,Y265,Z265,AA265,AC265,AD265,AF265,AG265)</f>
        <v>104130.61</v>
      </c>
      <c r="AI265" s="125">
        <f>IF(Valores!$C$32*B265&gt;Valores!$F$32,Valores!$F$32,Valores!$C$32*B265)</f>
        <v>0</v>
      </c>
      <c r="AJ265" s="125">
        <f>IF(Valores!$C$89*B265&gt;Valores!$C$88,Valores!$C$88,Valores!$C$89*B265)</f>
        <v>0</v>
      </c>
      <c r="AK265" s="125">
        <f>Valores!C$39*B265</f>
        <v>0</v>
      </c>
      <c r="AL265" s="125">
        <f>IF($F$3="NO",0,IF(Valores!$C$61*B265&gt;Valores!$F$61,Valores!$F$61,Valores!$C$61*B265))</f>
        <v>227.11799999999999</v>
      </c>
      <c r="AM265" s="125">
        <f t="shared" si="44"/>
        <v>227.11799999999999</v>
      </c>
      <c r="AN265" s="125">
        <f>AH265*Valores!$C$70</f>
        <v>-11454.367099999999</v>
      </c>
      <c r="AO265" s="125">
        <f>AH265*-Valores!$C$71</f>
        <v>0</v>
      </c>
      <c r="AP265" s="125">
        <f>AH265*Valores!$C$72</f>
        <v>-4685.87745</v>
      </c>
      <c r="AQ265" s="125">
        <f>Valores!$C$99</f>
        <v>-280.91000000000003</v>
      </c>
      <c r="AR265" s="125">
        <f>IF($F$5=0,Valores!$C$100,(Valores!$C$100+$F$5*(Valores!$C$100)))</f>
        <v>-329</v>
      </c>
      <c r="AS265" s="125">
        <f t="shared" ref="AS265:AS326" si="47">AH265+SUM(AM265:AR265)</f>
        <v>87607.573449999996</v>
      </c>
      <c r="AT265" s="125">
        <f t="shared" si="41"/>
        <v>-11454.367099999999</v>
      </c>
      <c r="AU265" s="125">
        <f>AH265*Valores!$C$73</f>
        <v>-2811.5264699999998</v>
      </c>
      <c r="AV265" s="125">
        <f>AH265*Valores!$C$74</f>
        <v>-312.39183000000003</v>
      </c>
      <c r="AW265" s="125">
        <f t="shared" si="45"/>
        <v>89779.442600000009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38236.629999999997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7900.74</v>
      </c>
      <c r="N266" s="125">
        <f t="shared" si="42"/>
        <v>0</v>
      </c>
      <c r="O266" s="125">
        <f>Valores!$C$7*B266</f>
        <v>16414.2</v>
      </c>
      <c r="P266" s="125">
        <f>ROUND(IF(B266&lt;15,(Valores!$E$5*B266),Valores!$D$5),2)</f>
        <v>12371.24</v>
      </c>
      <c r="Q266" s="125">
        <v>0</v>
      </c>
      <c r="R266" s="125">
        <f>IF($F$4="NO",IF(Valores!$C$48*B266&gt;Valores!$C$45,Valores!$C$45,Valores!$C$48*B266),IF(Valores!$C$48*B266&gt;Valores!$C$45,Valores!$C$45,Valores!$C$48*B266)/2)</f>
        <v>9272.4</v>
      </c>
      <c r="S266" s="125">
        <f>Valores!$C$18*B266</f>
        <v>5162.6000000000004</v>
      </c>
      <c r="T266" s="125">
        <f t="shared" si="36"/>
        <v>5162.6000000000004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IF(Valores!$C$96*B266&gt;Valores!$C$95,Valores!$C$95,Valores!$C$96*B266)</f>
        <v>5598.8</v>
      </c>
      <c r="AA266" s="125">
        <f>IF((Valores!$C$28)*B266&gt;Valores!$F$28,Valores!$F$28,(Valores!$C$28)*B266)</f>
        <v>405.4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337.59999999999997</v>
      </c>
      <c r="AE266" s="192">
        <v>94</v>
      </c>
      <c r="AF266" s="125">
        <f>ROUND(AE266*Valores!$C$2,2)</f>
        <v>2274.84</v>
      </c>
      <c r="AG266" s="125">
        <f>IF($F$4="NO",IF(Valores!$D$62*'Escala Docente'!B266&gt;Valores!$F$62,Valores!$F$62,Valores!$D$62*'Escala Docente'!B266),IF(Valores!$D$62*'Escala Docente'!B266&gt;Valores!$F$62,Valores!$F$62,Valores!$D$62*'Escala Docente'!B266)/2)</f>
        <v>8431</v>
      </c>
      <c r="AH266" s="125">
        <f t="shared" si="46"/>
        <v>106405.45</v>
      </c>
      <c r="AI266" s="125">
        <f>IF(Valores!$C$32*B266&gt;Valores!$F$32,Valores!$F$32,Valores!$C$32*B266)</f>
        <v>0</v>
      </c>
      <c r="AJ266" s="125">
        <f>IF(Valores!$C$89*B266&gt;Valores!$C$88,Valores!$C$88,Valores!$C$89*B266)</f>
        <v>0</v>
      </c>
      <c r="AK266" s="125">
        <f>Valores!C$39*B266</f>
        <v>0</v>
      </c>
      <c r="AL266" s="125">
        <f>IF($F$3="NO",0,IF(Valores!$C$61*B266&gt;Valores!$F$61,Valores!$F$61,Valores!$C$61*B266))</f>
        <v>227.11799999999999</v>
      </c>
      <c r="AM266" s="125">
        <f t="shared" si="44"/>
        <v>227.11799999999999</v>
      </c>
      <c r="AN266" s="125">
        <f>AH266*Valores!$C$70</f>
        <v>-11704.5995</v>
      </c>
      <c r="AO266" s="125">
        <f>AH266*-Valores!$C$71</f>
        <v>0</v>
      </c>
      <c r="AP266" s="125">
        <f>AH266*Valores!$C$72</f>
        <v>-4788.2452499999999</v>
      </c>
      <c r="AQ266" s="125">
        <f>Valores!$C$99</f>
        <v>-280.91000000000003</v>
      </c>
      <c r="AR266" s="125">
        <f>IF($F$5=0,Valores!$C$100,(Valores!$C$100+$F$5*(Valores!$C$100)))</f>
        <v>-329</v>
      </c>
      <c r="AS266" s="125">
        <f t="shared" si="47"/>
        <v>89529.813249999992</v>
      </c>
      <c r="AT266" s="125">
        <f t="shared" si="41"/>
        <v>-11704.5995</v>
      </c>
      <c r="AU266" s="125">
        <f>AH266*Valores!$C$73</f>
        <v>-2872.94715</v>
      </c>
      <c r="AV266" s="125">
        <f>AH266*Valores!$C$74</f>
        <v>-319.21634999999998</v>
      </c>
      <c r="AW266" s="125">
        <f t="shared" si="45"/>
        <v>91735.804999999993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40148.46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8295.7800000000007</v>
      </c>
      <c r="N267" s="125">
        <f t="shared" si="42"/>
        <v>0</v>
      </c>
      <c r="O267" s="125">
        <f>Valores!$C$7*B267</f>
        <v>17234.91</v>
      </c>
      <c r="P267" s="125">
        <f>ROUND(IF(B267&lt;15,(Valores!$E$5*B267),Valores!$D$5),2)</f>
        <v>12371.24</v>
      </c>
      <c r="Q267" s="125">
        <v>0</v>
      </c>
      <c r="R267" s="125">
        <f>IF($F$4="NO",IF(Valores!$C$48*B267&gt;Valores!$C$45,Valores!$C$45,Valores!$C$48*B267),IF(Valores!$C$48*B267&gt;Valores!$C$45,Valores!$C$45,Valores!$C$48*B267)/2)</f>
        <v>9736.02</v>
      </c>
      <c r="S267" s="125">
        <f>Valores!$C$18*B267</f>
        <v>5420.73</v>
      </c>
      <c r="T267" s="125">
        <f t="shared" ref="T267:T299" si="48">ROUND(S267*(1+$H$2),2)</f>
        <v>5420.73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IF(Valores!$C$96*B267&gt;Valores!$C$95,Valores!$C$95,Valores!$C$96*B267)</f>
        <v>5878.74</v>
      </c>
      <c r="AA267" s="125">
        <f>IF((Valores!$C$28)*B267&gt;Valores!$F$28,Valores!$F$28,(Valores!$C$28)*B267)</f>
        <v>425.67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354.47999999999996</v>
      </c>
      <c r="AE267" s="192">
        <v>0</v>
      </c>
      <c r="AF267" s="125">
        <f>ROUND(AE267*Valores!$C$2,2)</f>
        <v>0</v>
      </c>
      <c r="AG267" s="125">
        <f>IF($F$4="NO",IF(Valores!$D$62*'Escala Docente'!B267&gt;Valores!$F$62,Valores!$F$62,Valores!$D$62*'Escala Docente'!B267),IF(Valores!$D$62*'Escala Docente'!B267&gt;Valores!$F$62,Valores!$F$62,Valores!$D$62*'Escala Docente'!B267)/2)</f>
        <v>8852.5500000000011</v>
      </c>
      <c r="AH267" s="125">
        <f t="shared" si="46"/>
        <v>108718.58</v>
      </c>
      <c r="AI267" s="125">
        <f>IF(Valores!$C$32*B267&gt;Valores!$F$32,Valores!$F$32,Valores!$C$32*B267)</f>
        <v>0</v>
      </c>
      <c r="AJ267" s="125">
        <f>IF(Valores!$C$89*B267&gt;Valores!$C$88,Valores!$C$88,Valores!$C$89*B267)</f>
        <v>0</v>
      </c>
      <c r="AK267" s="125">
        <f>Valores!C$39*B267</f>
        <v>0</v>
      </c>
      <c r="AL267" s="125">
        <f>IF($F$3="NO",0,IF(Valores!$C$61*B267&gt;Valores!$F$61,Valores!$F$61,Valores!$C$61*B267))</f>
        <v>238.47390000000001</v>
      </c>
      <c r="AM267" s="125">
        <f t="shared" si="44"/>
        <v>238.47390000000001</v>
      </c>
      <c r="AN267" s="125">
        <f>AH267*Valores!$C$70</f>
        <v>-11959.043799999999</v>
      </c>
      <c r="AO267" s="125">
        <f>AH267*-Valores!$C$71</f>
        <v>0</v>
      </c>
      <c r="AP267" s="125">
        <f>AH267*Valores!$C$72</f>
        <v>-4892.3360999999995</v>
      </c>
      <c r="AQ267" s="125">
        <f>Valores!$C$99</f>
        <v>-280.91000000000003</v>
      </c>
      <c r="AR267" s="125">
        <f>IF($F$5=0,Valores!$C$100,(Valores!$C$100+$F$5*(Valores!$C$100)))</f>
        <v>-329</v>
      </c>
      <c r="AS267" s="125">
        <f t="shared" si="47"/>
        <v>91495.763999999996</v>
      </c>
      <c r="AT267" s="125">
        <f t="shared" si="41"/>
        <v>-11959.043799999999</v>
      </c>
      <c r="AU267" s="125">
        <f>AH267*Valores!$C$73</f>
        <v>-2935.40166</v>
      </c>
      <c r="AV267" s="125">
        <f>AH267*Valores!$C$74</f>
        <v>-326.15574000000004</v>
      </c>
      <c r="AW267" s="125">
        <f t="shared" si="45"/>
        <v>93736.452699999994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40148.46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8295.7800000000007</v>
      </c>
      <c r="N268" s="125">
        <f t="shared" si="42"/>
        <v>0</v>
      </c>
      <c r="O268" s="125">
        <f>Valores!$C$7*B268</f>
        <v>17234.91</v>
      </c>
      <c r="P268" s="125">
        <f>ROUND(IF(B268&lt;15,(Valores!$E$5*B268),Valores!$D$5),2)</f>
        <v>12371.24</v>
      </c>
      <c r="Q268" s="125">
        <v>0</v>
      </c>
      <c r="R268" s="125">
        <f>IF($F$4="NO",IF(Valores!$C$48*B268&gt;Valores!$C$45,Valores!$C$45,Valores!$C$48*B268),IF(Valores!$C$48*B268&gt;Valores!$C$45,Valores!$C$45,Valores!$C$48*B268)/2)</f>
        <v>9736.02</v>
      </c>
      <c r="S268" s="125">
        <f>Valores!$C$18*B268</f>
        <v>5420.73</v>
      </c>
      <c r="T268" s="125">
        <f t="shared" si="48"/>
        <v>5420.73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IF(Valores!$C$96*B268&gt;Valores!$C$95,Valores!$C$95,Valores!$C$96*B268)</f>
        <v>5878.74</v>
      </c>
      <c r="AA268" s="125">
        <f>IF((Valores!$C$28)*B268&gt;Valores!$F$28,Valores!$F$28,(Valores!$C$28)*B268)</f>
        <v>425.67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354.47999999999996</v>
      </c>
      <c r="AE268" s="192">
        <v>94</v>
      </c>
      <c r="AF268" s="125">
        <f>ROUND(AE268*Valores!$C$2,2)</f>
        <v>2274.84</v>
      </c>
      <c r="AG268" s="125">
        <f>IF($F$4="NO",IF(Valores!$D$62*'Escala Docente'!B268&gt;Valores!$F$62,Valores!$F$62,Valores!$D$62*'Escala Docente'!B268),IF(Valores!$D$62*'Escala Docente'!B268&gt;Valores!$F$62,Valores!$F$62,Valores!$D$62*'Escala Docente'!B268)/2)</f>
        <v>8852.5500000000011</v>
      </c>
      <c r="AH268" s="125">
        <f t="shared" si="46"/>
        <v>110993.42</v>
      </c>
      <c r="AI268" s="125">
        <f>IF(Valores!$C$32*B268&gt;Valores!$F$32,Valores!$F$32,Valores!$C$32*B268)</f>
        <v>0</v>
      </c>
      <c r="AJ268" s="125">
        <f>IF(Valores!$C$89*B268&gt;Valores!$C$88,Valores!$C$88,Valores!$C$89*B268)</f>
        <v>0</v>
      </c>
      <c r="AK268" s="125">
        <f>Valores!C$39*B268</f>
        <v>0</v>
      </c>
      <c r="AL268" s="125">
        <f>IF($F$3="NO",0,IF(Valores!$C$61*B268&gt;Valores!$F$61,Valores!$F$61,Valores!$C$61*B268))</f>
        <v>238.47390000000001</v>
      </c>
      <c r="AM268" s="125">
        <f t="shared" si="44"/>
        <v>238.47390000000001</v>
      </c>
      <c r="AN268" s="125">
        <f>AH268*Valores!$C$70</f>
        <v>-12209.2762</v>
      </c>
      <c r="AO268" s="125">
        <f>AH268*-Valores!$C$71</f>
        <v>0</v>
      </c>
      <c r="AP268" s="125">
        <f>AH268*Valores!$C$72</f>
        <v>-4994.7038999999995</v>
      </c>
      <c r="AQ268" s="125">
        <f>Valores!$C$99</f>
        <v>-280.91000000000003</v>
      </c>
      <c r="AR268" s="125">
        <f>IF($F$5=0,Valores!$C$100,(Valores!$C$100+$F$5*(Valores!$C$100)))</f>
        <v>-329</v>
      </c>
      <c r="AS268" s="125">
        <f t="shared" si="47"/>
        <v>93418.003800000006</v>
      </c>
      <c r="AT268" s="125">
        <f t="shared" si="41"/>
        <v>-12209.2762</v>
      </c>
      <c r="AU268" s="125">
        <f>AH268*Valores!$C$73</f>
        <v>-2996.8223399999997</v>
      </c>
      <c r="AV268" s="125">
        <f>AH268*Valores!$C$74</f>
        <v>-332.98025999999999</v>
      </c>
      <c r="AW268" s="125">
        <f t="shared" si="45"/>
        <v>95692.815099999993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42060.3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8690.82</v>
      </c>
      <c r="N269" s="125">
        <f t="shared" si="42"/>
        <v>0</v>
      </c>
      <c r="O269" s="125">
        <f>Valores!$C$7*B269</f>
        <v>18055.620000000003</v>
      </c>
      <c r="P269" s="125">
        <f>ROUND(IF(B269&lt;15,(Valores!$E$5*B269),Valores!$D$5),2)</f>
        <v>12371.24</v>
      </c>
      <c r="Q269" s="125">
        <v>0</v>
      </c>
      <c r="R269" s="125">
        <f>IF($F$4="NO",IF(Valores!$C$48*B269&gt;Valores!$C$45,Valores!$C$45,Valores!$C$48*B269),IF(Valores!$C$48*B269&gt;Valores!$C$45,Valores!$C$45,Valores!$C$48*B269)/2)</f>
        <v>10199.64</v>
      </c>
      <c r="S269" s="125">
        <f>Valores!$C$18*B269</f>
        <v>5678.86</v>
      </c>
      <c r="T269" s="125">
        <f t="shared" si="48"/>
        <v>5678.86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IF(Valores!$C$96*B269&gt;Valores!$C$95,Valores!$C$95,Valores!$C$96*B269)</f>
        <v>6158.68</v>
      </c>
      <c r="AA269" s="125">
        <f>IF((Valores!$C$28)*B269&gt;Valores!$F$28,Valores!$F$28,(Valores!$C$28)*B269)</f>
        <v>445.94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371.35999999999996</v>
      </c>
      <c r="AE269" s="192">
        <v>0</v>
      </c>
      <c r="AF269" s="125">
        <f>ROUND(AE269*Valores!$C$2,2)</f>
        <v>0</v>
      </c>
      <c r="AG269" s="125">
        <f>IF($F$4="NO",IF(Valores!$D$62*'Escala Docente'!B269&gt;Valores!$F$62,Valores!$F$62,Valores!$D$62*'Escala Docente'!B269),IF(Valores!$D$62*'Escala Docente'!B269&gt;Valores!$F$62,Valores!$F$62,Valores!$D$62*'Escala Docente'!B269)/2)</f>
        <v>9274.1</v>
      </c>
      <c r="AH269" s="125">
        <f t="shared" si="46"/>
        <v>113306.56000000001</v>
      </c>
      <c r="AI269" s="125">
        <f>IF(Valores!$C$32*B269&gt;Valores!$F$32,Valores!$F$32,Valores!$C$32*B269)</f>
        <v>0</v>
      </c>
      <c r="AJ269" s="125">
        <f>IF(Valores!$C$89*B269&gt;Valores!$C$88,Valores!$C$88,Valores!$C$89*B269)</f>
        <v>0</v>
      </c>
      <c r="AK269" s="125">
        <f>Valores!C$39*B269</f>
        <v>0</v>
      </c>
      <c r="AL269" s="125">
        <f>IF($F$3="NO",0,IF(Valores!$C$61*B269&gt;Valores!$F$61,Valores!$F$61,Valores!$C$61*B269))</f>
        <v>249.82980000000001</v>
      </c>
      <c r="AM269" s="125">
        <f t="shared" si="44"/>
        <v>249.82980000000001</v>
      </c>
      <c r="AN269" s="125">
        <f>AH269*Valores!$C$70</f>
        <v>-12463.721600000001</v>
      </c>
      <c r="AO269" s="125">
        <f>AH269*-Valores!$C$71</f>
        <v>0</v>
      </c>
      <c r="AP269" s="125">
        <f>AH269*Valores!$C$72</f>
        <v>-5098.7952000000005</v>
      </c>
      <c r="AQ269" s="125">
        <f>Valores!$C$99</f>
        <v>-280.91000000000003</v>
      </c>
      <c r="AR269" s="125">
        <f>IF($F$5=0,Valores!$C$100,(Valores!$C$100+$F$5*(Valores!$C$100)))</f>
        <v>-329</v>
      </c>
      <c r="AS269" s="125">
        <f t="shared" si="47"/>
        <v>95383.963000000018</v>
      </c>
      <c r="AT269" s="125">
        <f t="shared" si="41"/>
        <v>-12463.721600000001</v>
      </c>
      <c r="AU269" s="125">
        <f>AH269*Valores!$C$73</f>
        <v>-3059.2771200000002</v>
      </c>
      <c r="AV269" s="125">
        <f>AH269*Valores!$C$74</f>
        <v>-339.91968000000003</v>
      </c>
      <c r="AW269" s="125">
        <f t="shared" si="45"/>
        <v>97693.471400000009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42060.3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8690.82</v>
      </c>
      <c r="N270" s="125">
        <f t="shared" si="42"/>
        <v>0</v>
      </c>
      <c r="O270" s="125">
        <f>Valores!$C$7*B270</f>
        <v>18055.620000000003</v>
      </c>
      <c r="P270" s="125">
        <f>ROUND(IF(B270&lt;15,(Valores!$E$5*B270),Valores!$D$5),2)</f>
        <v>12371.24</v>
      </c>
      <c r="Q270" s="125">
        <v>0</v>
      </c>
      <c r="R270" s="125">
        <f>IF($F$4="NO",IF(Valores!$C$48*B270&gt;Valores!$C$45,Valores!$C$45,Valores!$C$48*B270),IF(Valores!$C$48*B270&gt;Valores!$C$45,Valores!$C$45,Valores!$C$48*B270)/2)</f>
        <v>10199.64</v>
      </c>
      <c r="S270" s="125">
        <f>Valores!$C$18*B270</f>
        <v>5678.86</v>
      </c>
      <c r="T270" s="125">
        <f t="shared" si="48"/>
        <v>5678.86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IF(Valores!$C$96*B270&gt;Valores!$C$95,Valores!$C$95,Valores!$C$96*B270)</f>
        <v>6158.68</v>
      </c>
      <c r="AA270" s="125">
        <f>IF((Valores!$C$28)*B270&gt;Valores!$F$28,Valores!$F$28,(Valores!$C$28)*B270)</f>
        <v>445.94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371.35999999999996</v>
      </c>
      <c r="AE270" s="192">
        <v>94</v>
      </c>
      <c r="AF270" s="125">
        <f>ROUND(AE270*Valores!$C$2,2)</f>
        <v>2274.84</v>
      </c>
      <c r="AG270" s="125">
        <f>IF($F$4="NO",IF(Valores!$D$62*'Escala Docente'!B270&gt;Valores!$F$62,Valores!$F$62,Valores!$D$62*'Escala Docente'!B270),IF(Valores!$D$62*'Escala Docente'!B270&gt;Valores!$F$62,Valores!$F$62,Valores!$D$62*'Escala Docente'!B270)/2)</f>
        <v>9274.1</v>
      </c>
      <c r="AH270" s="125">
        <f t="shared" si="46"/>
        <v>115581.40000000001</v>
      </c>
      <c r="AI270" s="125">
        <f>IF(Valores!$C$32*B270&gt;Valores!$F$32,Valores!$F$32,Valores!$C$32*B270)</f>
        <v>0</v>
      </c>
      <c r="AJ270" s="125">
        <f>IF(Valores!$C$89*B270&gt;Valores!$C$88,Valores!$C$88,Valores!$C$89*B270)</f>
        <v>0</v>
      </c>
      <c r="AK270" s="125">
        <f>Valores!C$39*B270</f>
        <v>0</v>
      </c>
      <c r="AL270" s="125">
        <f>IF($F$3="NO",0,IF(Valores!$C$61*B270&gt;Valores!$F$61,Valores!$F$61,Valores!$C$61*B270))</f>
        <v>249.82980000000001</v>
      </c>
      <c r="AM270" s="125">
        <f t="shared" si="44"/>
        <v>249.82980000000001</v>
      </c>
      <c r="AN270" s="125">
        <f>AH270*Valores!$C$70</f>
        <v>-12713.954000000002</v>
      </c>
      <c r="AO270" s="125">
        <f>AH270*-Valores!$C$71</f>
        <v>0</v>
      </c>
      <c r="AP270" s="125">
        <f>AH270*Valores!$C$72</f>
        <v>-5201.1630000000005</v>
      </c>
      <c r="AQ270" s="125">
        <f>Valores!$C$99</f>
        <v>-280.91000000000003</v>
      </c>
      <c r="AR270" s="125">
        <f>IF($F$5=0,Valores!$C$100,(Valores!$C$100+$F$5*(Valores!$C$100)))</f>
        <v>-329</v>
      </c>
      <c r="AS270" s="125">
        <f t="shared" si="47"/>
        <v>97306.202799999999</v>
      </c>
      <c r="AT270" s="125">
        <f t="shared" si="41"/>
        <v>-12713.954000000002</v>
      </c>
      <c r="AU270" s="125">
        <f>AH270*Valores!$C$73</f>
        <v>-3120.6978000000004</v>
      </c>
      <c r="AV270" s="125">
        <f>AH270*Valores!$C$74</f>
        <v>-346.74420000000003</v>
      </c>
      <c r="AW270" s="125">
        <f t="shared" si="45"/>
        <v>99649.833800000022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43972.13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9085.86</v>
      </c>
      <c r="N271" s="125">
        <f t="shared" si="42"/>
        <v>0</v>
      </c>
      <c r="O271" s="125">
        <f>Valores!$C$7*B271</f>
        <v>18876.330000000002</v>
      </c>
      <c r="P271" s="125">
        <f>ROUND(IF(B271&lt;15,(Valores!$E$5*B271),Valores!$D$5),2)</f>
        <v>12371.24</v>
      </c>
      <c r="Q271" s="125">
        <v>0</v>
      </c>
      <c r="R271" s="125">
        <f>IF($F$4="NO",IF(Valores!$C$48*B271&gt;Valores!$C$45,Valores!$C$45,Valores!$C$48*B271),IF(Valores!$C$48*B271&gt;Valores!$C$45,Valores!$C$45,Valores!$C$48*B271)/2)</f>
        <v>10663.26</v>
      </c>
      <c r="S271" s="125">
        <f>Valores!$C$18*B271</f>
        <v>5936.99</v>
      </c>
      <c r="T271" s="125">
        <f t="shared" si="48"/>
        <v>5936.99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IF(Valores!$C$96*B271&gt;Valores!$C$95,Valores!$C$95,Valores!$C$96*B271)</f>
        <v>6438.62</v>
      </c>
      <c r="AA271" s="125">
        <f>IF((Valores!$C$28)*B271&gt;Valores!$F$28,Valores!$F$28,(Valores!$C$28)*B271)</f>
        <v>466.21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388.23999999999995</v>
      </c>
      <c r="AE271" s="192">
        <v>0</v>
      </c>
      <c r="AF271" s="125">
        <f>ROUND(AE271*Valores!$C$2,2)</f>
        <v>0</v>
      </c>
      <c r="AG271" s="125">
        <f>IF($F$4="NO",IF(Valores!$D$62*'Escala Docente'!B271&gt;Valores!$F$62,Valores!$F$62,Valores!$D$62*'Escala Docente'!B271),IF(Valores!$D$62*'Escala Docente'!B271&gt;Valores!$F$62,Valores!$F$62,Valores!$D$62*'Escala Docente'!B271)/2)</f>
        <v>9695.65</v>
      </c>
      <c r="AH271" s="125">
        <f t="shared" si="46"/>
        <v>117894.53000000001</v>
      </c>
      <c r="AI271" s="125">
        <f>IF(Valores!$C$32*B271&gt;Valores!$F$32,Valores!$F$32,Valores!$C$32*B271)</f>
        <v>0</v>
      </c>
      <c r="AJ271" s="125">
        <f>IF(Valores!$C$89*B271&gt;Valores!$C$88,Valores!$C$88,Valores!$C$89*B271)</f>
        <v>0</v>
      </c>
      <c r="AK271" s="125">
        <f>Valores!C$39*B271</f>
        <v>0</v>
      </c>
      <c r="AL271" s="125">
        <f>IF($F$3="NO",0,IF(Valores!$C$61*B271&gt;Valores!$F$61,Valores!$F$61,Valores!$C$61*B271))</f>
        <v>261.1857</v>
      </c>
      <c r="AM271" s="125">
        <f t="shared" si="44"/>
        <v>261.1857</v>
      </c>
      <c r="AN271" s="125">
        <f>AH271*Valores!$C$70</f>
        <v>-12968.398300000001</v>
      </c>
      <c r="AO271" s="125">
        <f>AH271*-Valores!$C$71</f>
        <v>0</v>
      </c>
      <c r="AP271" s="125">
        <f>AH271*Valores!$C$72</f>
        <v>-5305.2538500000001</v>
      </c>
      <c r="AQ271" s="125">
        <f>Valores!$C$99</f>
        <v>-280.91000000000003</v>
      </c>
      <c r="AR271" s="125">
        <f>IF($F$5=0,Valores!$C$100,(Valores!$C$100+$F$5*(Valores!$C$100)))</f>
        <v>-329</v>
      </c>
      <c r="AS271" s="125">
        <f t="shared" si="47"/>
        <v>99272.153550000017</v>
      </c>
      <c r="AT271" s="125">
        <f t="shared" si="41"/>
        <v>-12968.398300000001</v>
      </c>
      <c r="AU271" s="125">
        <f>AH271*Valores!$C$73</f>
        <v>-3183.1523100000004</v>
      </c>
      <c r="AV271" s="125">
        <f>AH271*Valores!$C$74</f>
        <v>-353.68359000000004</v>
      </c>
      <c r="AW271" s="125">
        <f t="shared" si="45"/>
        <v>101650.48150000001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43972.13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9085.86</v>
      </c>
      <c r="N272" s="125">
        <f t="shared" si="42"/>
        <v>0</v>
      </c>
      <c r="O272" s="125">
        <f>Valores!$C$7*B272</f>
        <v>18876.330000000002</v>
      </c>
      <c r="P272" s="125">
        <f>ROUND(IF(B272&lt;15,(Valores!$E$5*B272),Valores!$D$5),2)</f>
        <v>12371.24</v>
      </c>
      <c r="Q272" s="125">
        <v>0</v>
      </c>
      <c r="R272" s="125">
        <f>IF($F$4="NO",IF(Valores!$C$48*B272&gt;Valores!$C$45,Valores!$C$45,Valores!$C$48*B272),IF(Valores!$C$48*B272&gt;Valores!$C$45,Valores!$C$45,Valores!$C$48*B272)/2)</f>
        <v>10663.26</v>
      </c>
      <c r="S272" s="125">
        <f>Valores!$C$18*B272</f>
        <v>5936.99</v>
      </c>
      <c r="T272" s="125">
        <f t="shared" si="48"/>
        <v>5936.99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IF(Valores!$C$96*B272&gt;Valores!$C$95,Valores!$C$95,Valores!$C$96*B272)</f>
        <v>6438.62</v>
      </c>
      <c r="AA272" s="125">
        <f>IF((Valores!$C$28)*B272&gt;Valores!$F$28,Valores!$F$28,(Valores!$C$28)*B272)</f>
        <v>466.21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388.23999999999995</v>
      </c>
      <c r="AE272" s="192">
        <v>94</v>
      </c>
      <c r="AF272" s="125">
        <f>ROUND(AE272*Valores!$C$2,2)</f>
        <v>2274.84</v>
      </c>
      <c r="AG272" s="125">
        <f>IF($F$4="NO",IF(Valores!$D$62*'Escala Docente'!B272&gt;Valores!$F$62,Valores!$F$62,Valores!$D$62*'Escala Docente'!B272),IF(Valores!$D$62*'Escala Docente'!B272&gt;Valores!$F$62,Valores!$F$62,Valores!$D$62*'Escala Docente'!B272)/2)</f>
        <v>9695.65</v>
      </c>
      <c r="AH272" s="125">
        <f t="shared" si="46"/>
        <v>120169.37000000001</v>
      </c>
      <c r="AI272" s="125">
        <f>IF(Valores!$C$32*B272&gt;Valores!$F$32,Valores!$F$32,Valores!$C$32*B272)</f>
        <v>0</v>
      </c>
      <c r="AJ272" s="125">
        <f>IF(Valores!$C$89*B272&gt;Valores!$C$88,Valores!$C$88,Valores!$C$89*B272)</f>
        <v>0</v>
      </c>
      <c r="AK272" s="125">
        <f>Valores!C$39*B272</f>
        <v>0</v>
      </c>
      <c r="AL272" s="125">
        <f>IF($F$3="NO",0,IF(Valores!$C$61*B272&gt;Valores!$F$61,Valores!$F$61,Valores!$C$61*B272))</f>
        <v>261.1857</v>
      </c>
      <c r="AM272" s="125">
        <f t="shared" si="44"/>
        <v>261.1857</v>
      </c>
      <c r="AN272" s="125">
        <f>AH272*Valores!$C$70</f>
        <v>-13218.630700000002</v>
      </c>
      <c r="AO272" s="125">
        <f>AH272*-Valores!$C$71</f>
        <v>0</v>
      </c>
      <c r="AP272" s="125">
        <f>AH272*Valores!$C$72</f>
        <v>-5407.62165</v>
      </c>
      <c r="AQ272" s="125">
        <f>Valores!$C$99</f>
        <v>-280.91000000000003</v>
      </c>
      <c r="AR272" s="125">
        <f>IF($F$5=0,Valores!$C$100,(Valores!$C$100+$F$5*(Valores!$C$100)))</f>
        <v>-329</v>
      </c>
      <c r="AS272" s="125">
        <f t="shared" si="47"/>
        <v>101194.39335000001</v>
      </c>
      <c r="AT272" s="125">
        <f t="shared" si="41"/>
        <v>-13218.630700000002</v>
      </c>
      <c r="AU272" s="125">
        <f>AH272*Valores!$C$73</f>
        <v>-3244.5729900000001</v>
      </c>
      <c r="AV272" s="125">
        <f>AH272*Valores!$C$74</f>
        <v>-360.50811000000004</v>
      </c>
      <c r="AW272" s="125">
        <f t="shared" si="45"/>
        <v>103606.84390000001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45883.96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9472.7999999999993</v>
      </c>
      <c r="N273" s="125">
        <f t="shared" si="42"/>
        <v>0</v>
      </c>
      <c r="O273" s="125">
        <f>Valores!$C$7*B273</f>
        <v>19697.04</v>
      </c>
      <c r="P273" s="125">
        <f>ROUND(IF(B273&lt;15,(Valores!$E$5*B273),Valores!$D$5),2)</f>
        <v>12371.24</v>
      </c>
      <c r="Q273" s="125">
        <v>0</v>
      </c>
      <c r="R273" s="125">
        <f>IF($F$4="NO",IF(Valores!$C$48*B273&gt;Valores!$C$45,Valores!$C$45,Valores!$C$48*B273),IF(Valores!$C$48*B273&gt;Valores!$C$45,Valores!$C$45,Valores!$C$48*B273)/2)</f>
        <v>11072.91</v>
      </c>
      <c r="S273" s="125">
        <f>Valores!$C$18*B273</f>
        <v>6195.12</v>
      </c>
      <c r="T273" s="125">
        <f t="shared" si="48"/>
        <v>6195.12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IF(Valores!$C$96*B273&gt;Valores!$C$95,Valores!$C$95,Valores!$C$96*B273)</f>
        <v>6718.5599999999995</v>
      </c>
      <c r="AA273" s="125">
        <f>IF((Valores!$C$28)*B273&gt;Valores!$F$28,Valores!$F$28,(Valores!$C$28)*B273)</f>
        <v>486.48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405.12</v>
      </c>
      <c r="AE273" s="192">
        <v>0</v>
      </c>
      <c r="AF273" s="125">
        <f>ROUND(AE273*Valores!$C$2,2)</f>
        <v>0</v>
      </c>
      <c r="AG273" s="125">
        <f>IF($F$4="NO",IF(Valores!$D$62*'Escala Docente'!B273&gt;Valores!$F$62,Valores!$F$62,Valores!$D$62*'Escala Docente'!B273),IF(Valores!$D$62*'Escala Docente'!B273&gt;Valores!$F$62,Valores!$F$62,Valores!$D$62*'Escala Docente'!B273)/2)</f>
        <v>10117.200000000001</v>
      </c>
      <c r="AH273" s="125">
        <f t="shared" si="46"/>
        <v>122420.42999999998</v>
      </c>
      <c r="AI273" s="125">
        <f>IF(Valores!$C$32*B273&gt;Valores!$F$32,Valores!$F$32,Valores!$C$32*B273)</f>
        <v>0</v>
      </c>
      <c r="AJ273" s="125">
        <f>IF(Valores!$C$89*B273&gt;Valores!$C$88,Valores!$C$88,Valores!$C$89*B273)</f>
        <v>0</v>
      </c>
      <c r="AK273" s="125">
        <f>Valores!C$39*B273</f>
        <v>0</v>
      </c>
      <c r="AL273" s="125">
        <f>IF($F$3="NO",0,IF(Valores!$C$61*B273&gt;Valores!$F$61,Valores!$F$61,Valores!$C$61*B273))</f>
        <v>272.54160000000002</v>
      </c>
      <c r="AM273" s="125">
        <f t="shared" si="44"/>
        <v>272.54160000000002</v>
      </c>
      <c r="AN273" s="125">
        <f>AH273*Valores!$C$70</f>
        <v>-13466.247299999997</v>
      </c>
      <c r="AO273" s="125">
        <f>AH273*-Valores!$C$71</f>
        <v>0</v>
      </c>
      <c r="AP273" s="125">
        <f>AH273*Valores!$C$72</f>
        <v>-5508.9193499999992</v>
      </c>
      <c r="AQ273" s="125">
        <f>Valores!$C$99</f>
        <v>-280.91000000000003</v>
      </c>
      <c r="AR273" s="125">
        <f>IF($F$5=0,Valores!$C$100,(Valores!$C$100+$F$5*(Valores!$C$100)))</f>
        <v>-329</v>
      </c>
      <c r="AS273" s="125">
        <f t="shared" si="47"/>
        <v>103107.89494999999</v>
      </c>
      <c r="AT273" s="125">
        <f t="shared" si="41"/>
        <v>-13466.247299999997</v>
      </c>
      <c r="AU273" s="125">
        <f>AH273*Valores!$C$73</f>
        <v>-3305.3516099999993</v>
      </c>
      <c r="AV273" s="125">
        <f>AH273*Valores!$C$74</f>
        <v>-367.26128999999992</v>
      </c>
      <c r="AW273" s="125">
        <f t="shared" si="45"/>
        <v>105554.11139999998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45883.96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9472.7999999999993</v>
      </c>
      <c r="N274" s="125">
        <f t="shared" si="42"/>
        <v>0</v>
      </c>
      <c r="O274" s="125">
        <f>Valores!$C$7*B274</f>
        <v>19697.04</v>
      </c>
      <c r="P274" s="125">
        <f>ROUND(IF(B274&lt;15,(Valores!$E$5*B274),Valores!$D$5),2)</f>
        <v>12371.24</v>
      </c>
      <c r="Q274" s="125">
        <v>0</v>
      </c>
      <c r="R274" s="125">
        <f>IF($F$4="NO",IF(Valores!$C$48*B274&gt;Valores!$C$45,Valores!$C$45,Valores!$C$48*B274),IF(Valores!$C$48*B274&gt;Valores!$C$45,Valores!$C$45,Valores!$C$48*B274)/2)</f>
        <v>11072.91</v>
      </c>
      <c r="S274" s="125">
        <f>Valores!$C$18*B274</f>
        <v>6195.12</v>
      </c>
      <c r="T274" s="125">
        <f t="shared" si="48"/>
        <v>6195.12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IF(Valores!$C$96*B274&gt;Valores!$C$95,Valores!$C$95,Valores!$C$96*B274)</f>
        <v>6718.5599999999995</v>
      </c>
      <c r="AA274" s="125">
        <f>IF((Valores!$C$28)*B274&gt;Valores!$F$28,Valores!$F$28,(Valores!$C$28)*B274)</f>
        <v>486.48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405.12</v>
      </c>
      <c r="AE274" s="192">
        <v>94</v>
      </c>
      <c r="AF274" s="125">
        <f>ROUND(AE274*Valores!$C$2,2)</f>
        <v>2274.84</v>
      </c>
      <c r="AG274" s="125">
        <f>IF($F$4="NO",IF(Valores!$D$62*'Escala Docente'!B274&gt;Valores!$F$62,Valores!$F$62,Valores!$D$62*'Escala Docente'!B274),IF(Valores!$D$62*'Escala Docente'!B274&gt;Valores!$F$62,Valores!$F$62,Valores!$D$62*'Escala Docente'!B274)/2)</f>
        <v>10117.200000000001</v>
      </c>
      <c r="AH274" s="125">
        <f t="shared" si="46"/>
        <v>124695.26999999997</v>
      </c>
      <c r="AI274" s="125">
        <f>IF(Valores!$C$32*B274&gt;Valores!$F$32,Valores!$F$32,Valores!$C$32*B274)</f>
        <v>0</v>
      </c>
      <c r="AJ274" s="125">
        <f>IF(Valores!$C$89*B274&gt;Valores!$C$88,Valores!$C$88,Valores!$C$89*B274)</f>
        <v>0</v>
      </c>
      <c r="AK274" s="125">
        <f>Valores!C$39*B274</f>
        <v>0</v>
      </c>
      <c r="AL274" s="125">
        <f>IF($F$3="NO",0,IF(Valores!$C$61*B274&gt;Valores!$F$61,Valores!$F$61,Valores!$C$61*B274))</f>
        <v>272.54160000000002</v>
      </c>
      <c r="AM274" s="125">
        <f t="shared" si="44"/>
        <v>272.54160000000002</v>
      </c>
      <c r="AN274" s="125">
        <f>AH274*Valores!$C$70</f>
        <v>-13716.479699999998</v>
      </c>
      <c r="AO274" s="125">
        <f>AH274*-Valores!$C$71</f>
        <v>0</v>
      </c>
      <c r="AP274" s="125">
        <f>AH274*Valores!$C$72</f>
        <v>-5611.2871499999983</v>
      </c>
      <c r="AQ274" s="125">
        <f>Valores!$C$99</f>
        <v>-280.91000000000003</v>
      </c>
      <c r="AR274" s="125">
        <f>IF($F$5=0,Valores!$C$100,(Valores!$C$100+$F$5*(Valores!$C$100)))</f>
        <v>-329</v>
      </c>
      <c r="AS274" s="125">
        <f t="shared" si="47"/>
        <v>105030.13474999998</v>
      </c>
      <c r="AT274" s="125">
        <f t="shared" si="41"/>
        <v>-13716.479699999998</v>
      </c>
      <c r="AU274" s="125">
        <f>AH274*Valores!$C$73</f>
        <v>-3366.7722899999994</v>
      </c>
      <c r="AV274" s="125">
        <f>AH274*Valores!$C$74</f>
        <v>-374.08580999999992</v>
      </c>
      <c r="AW274" s="125">
        <f t="shared" si="45"/>
        <v>107510.47379999998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47795.79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9798.2900000000009</v>
      </c>
      <c r="N275" s="125">
        <f t="shared" si="42"/>
        <v>0</v>
      </c>
      <c r="O275" s="125">
        <f>Valores!$C$7*B275</f>
        <v>20517.75</v>
      </c>
      <c r="P275" s="125">
        <f>ROUND(IF(B275&lt;15,(Valores!$E$5*B275),Valores!$D$5),2)</f>
        <v>12371.24</v>
      </c>
      <c r="Q275" s="125">
        <v>0</v>
      </c>
      <c r="R275" s="125">
        <f>IF($F$4="NO",IF(Valores!$C$48*B275&gt;Valores!$C$45,Valores!$C$45,Valores!$C$48*B275),IF(Valores!$C$48*B275&gt;Valores!$C$45,Valores!$C$45,Valores!$C$48*B275)/2)</f>
        <v>11072.91</v>
      </c>
      <c r="S275" s="125">
        <f>Valores!$C$18*B275</f>
        <v>6453.25</v>
      </c>
      <c r="T275" s="125">
        <f t="shared" si="48"/>
        <v>6453.25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IF(Valores!$C$96*B275&gt;Valores!$C$95,Valores!$C$95,Valores!$C$96*B275)</f>
        <v>6998.5</v>
      </c>
      <c r="AA275" s="125">
        <f>IF((Valores!$C$28)*B275&gt;Valores!$F$28,Valores!$F$28,(Valores!$C$28)*B275)</f>
        <v>506.75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422</v>
      </c>
      <c r="AE275" s="192">
        <v>0</v>
      </c>
      <c r="AF275" s="125">
        <f>ROUND(AE275*Valores!$C$2,2)</f>
        <v>0</v>
      </c>
      <c r="AG275" s="125">
        <f>IF($F$4="NO",IF(Valores!$D$62*'Escala Docente'!B275&gt;Valores!$F$62,Valores!$F$62,Valores!$D$62*'Escala Docente'!B275),IF(Valores!$D$62*'Escala Docente'!B275&gt;Valores!$F$62,Valores!$F$62,Valores!$D$62*'Escala Docente'!B275)/2)</f>
        <v>10538.75</v>
      </c>
      <c r="AH275" s="125">
        <f t="shared" si="46"/>
        <v>126475.23000000001</v>
      </c>
      <c r="AI275" s="125">
        <f>IF(Valores!$C$32*B275&gt;Valores!$F$32,Valores!$F$32,Valores!$C$32*B275)</f>
        <v>0</v>
      </c>
      <c r="AJ275" s="125">
        <f>IF(Valores!$C$89*B275&gt;Valores!$C$88,Valores!$C$88,Valores!$C$89*B275)</f>
        <v>0</v>
      </c>
      <c r="AK275" s="125">
        <f>Valores!C$39*B275</f>
        <v>0</v>
      </c>
      <c r="AL275" s="125">
        <f>IF($F$3="NO",0,IF(Valores!$C$61*B275&gt;Valores!$F$61,Valores!$F$61,Valores!$C$61*B275))</f>
        <v>283.89749999999998</v>
      </c>
      <c r="AM275" s="125">
        <f t="shared" si="44"/>
        <v>283.89749999999998</v>
      </c>
      <c r="AN275" s="125">
        <f>AH275*Valores!$C$70</f>
        <v>-13912.275300000001</v>
      </c>
      <c r="AO275" s="125">
        <f>AH275*-Valores!$C$71</f>
        <v>0</v>
      </c>
      <c r="AP275" s="125">
        <f>AH275*Valores!$C$72</f>
        <v>-5691.3853500000005</v>
      </c>
      <c r="AQ275" s="125">
        <f>Valores!$C$99</f>
        <v>-280.91000000000003</v>
      </c>
      <c r="AR275" s="125">
        <f>IF($F$5=0,Valores!$C$100,(Valores!$C$100+$F$5*(Valores!$C$100)))</f>
        <v>-329</v>
      </c>
      <c r="AS275" s="125">
        <f t="shared" si="47"/>
        <v>106545.55685000001</v>
      </c>
      <c r="AT275" s="125">
        <f t="shared" si="41"/>
        <v>-13912.275300000001</v>
      </c>
      <c r="AU275" s="125">
        <f>AH275*Valores!$C$73</f>
        <v>-3414.8312100000003</v>
      </c>
      <c r="AV275" s="125">
        <f>AH275*Valores!$C$74</f>
        <v>-379.42569000000003</v>
      </c>
      <c r="AW275" s="125">
        <f t="shared" si="45"/>
        <v>109052.59530000002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47795.79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9798.2900000000009</v>
      </c>
      <c r="N276" s="125">
        <f t="shared" si="42"/>
        <v>0</v>
      </c>
      <c r="O276" s="125">
        <f>Valores!$C$7*B276</f>
        <v>20517.75</v>
      </c>
      <c r="P276" s="125">
        <f>ROUND(IF(B276&lt;15,(Valores!$E$5*B276),Valores!$D$5),2)</f>
        <v>12371.24</v>
      </c>
      <c r="Q276" s="125">
        <v>0</v>
      </c>
      <c r="R276" s="125">
        <f>IF($F$4="NO",IF(Valores!$C$48*B276&gt;Valores!$C$45,Valores!$C$45,Valores!$C$48*B276),IF(Valores!$C$48*B276&gt;Valores!$C$45,Valores!$C$45,Valores!$C$48*B276)/2)</f>
        <v>11072.91</v>
      </c>
      <c r="S276" s="125">
        <f>Valores!$C$18*B276</f>
        <v>6453.25</v>
      </c>
      <c r="T276" s="125">
        <f t="shared" si="48"/>
        <v>6453.25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IF(Valores!$C$96*B276&gt;Valores!$C$95,Valores!$C$95,Valores!$C$96*B276)</f>
        <v>6998.5</v>
      </c>
      <c r="AA276" s="125">
        <f>IF((Valores!$C$28)*B276&gt;Valores!$F$28,Valores!$F$28,(Valores!$C$28)*B276)</f>
        <v>506.75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422</v>
      </c>
      <c r="AE276" s="192">
        <v>94</v>
      </c>
      <c r="AF276" s="125">
        <f>ROUND(AE276*Valores!$C$2,2)</f>
        <v>2274.84</v>
      </c>
      <c r="AG276" s="125">
        <f>IF($F$4="NO",IF(Valores!$D$62*'Escala Docente'!B276&gt;Valores!$F$62,Valores!$F$62,Valores!$D$62*'Escala Docente'!B276),IF(Valores!$D$62*'Escala Docente'!B276&gt;Valores!$F$62,Valores!$F$62,Valores!$D$62*'Escala Docente'!B276)/2)</f>
        <v>10538.75</v>
      </c>
      <c r="AH276" s="125">
        <f t="shared" si="46"/>
        <v>128750.07</v>
      </c>
      <c r="AI276" s="125">
        <f>IF(Valores!$C$32*B276&gt;Valores!$F$32,Valores!$F$32,Valores!$C$32*B276)</f>
        <v>0</v>
      </c>
      <c r="AJ276" s="125">
        <f>IF(Valores!$C$89*B276&gt;Valores!$C$88,Valores!$C$88,Valores!$C$89*B276)</f>
        <v>0</v>
      </c>
      <c r="AK276" s="125">
        <f>Valores!C$39*B276</f>
        <v>0</v>
      </c>
      <c r="AL276" s="125">
        <f>IF($F$3="NO",0,IF(Valores!$C$61*B276&gt;Valores!$F$61,Valores!$F$61,Valores!$C$61*B276))</f>
        <v>283.89749999999998</v>
      </c>
      <c r="AM276" s="125">
        <f t="shared" si="44"/>
        <v>283.89749999999998</v>
      </c>
      <c r="AN276" s="125">
        <f>AH276*Valores!$C$70</f>
        <v>-14162.5077</v>
      </c>
      <c r="AO276" s="125">
        <f>AH276*-Valores!$C$71</f>
        <v>0</v>
      </c>
      <c r="AP276" s="125">
        <f>AH276*Valores!$C$72</f>
        <v>-5793.7531500000005</v>
      </c>
      <c r="AQ276" s="125">
        <f>Valores!$C$99</f>
        <v>-280.91000000000003</v>
      </c>
      <c r="AR276" s="125">
        <f>IF($F$5=0,Valores!$C$100,(Valores!$C$100+$F$5*(Valores!$C$100)))</f>
        <v>-329</v>
      </c>
      <c r="AS276" s="125">
        <f t="shared" si="47"/>
        <v>108467.79665</v>
      </c>
      <c r="AT276" s="125">
        <f t="shared" si="41"/>
        <v>-14162.5077</v>
      </c>
      <c r="AU276" s="125">
        <f>AH276*Valores!$C$73</f>
        <v>-3476.25189</v>
      </c>
      <c r="AV276" s="125">
        <f>AH276*Valores!$C$74</f>
        <v>-386.25021000000004</v>
      </c>
      <c r="AW276" s="125">
        <f t="shared" si="45"/>
        <v>111008.95770000001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49707.62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10123.790000000001</v>
      </c>
      <c r="N277" s="125">
        <f t="shared" si="42"/>
        <v>0</v>
      </c>
      <c r="O277" s="125">
        <f>Valores!$C$7*B277</f>
        <v>21338.46</v>
      </c>
      <c r="P277" s="125">
        <f>ROUND(IF(B277&lt;15,(Valores!$E$5*B277),Valores!$D$5),2)</f>
        <v>12371.24</v>
      </c>
      <c r="Q277" s="125">
        <v>0</v>
      </c>
      <c r="R277" s="125">
        <f>IF($F$4="NO",IF(Valores!$C$48*B277&gt;Valores!$C$45,Valores!$C$45,Valores!$C$48*B277),IF(Valores!$C$48*B277&gt;Valores!$C$45,Valores!$C$45,Valores!$C$48*B277)/2)</f>
        <v>11072.91</v>
      </c>
      <c r="S277" s="125">
        <f>Valores!$C$18*B277</f>
        <v>6711.38</v>
      </c>
      <c r="T277" s="125">
        <f t="shared" si="48"/>
        <v>6711.38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IF(Valores!$C$96*B277&gt;Valores!$C$95,Valores!$C$95,Valores!$C$96*B277)</f>
        <v>7278.44</v>
      </c>
      <c r="AA277" s="125">
        <f>IF((Valores!$C$28)*B277&gt;Valores!$F$28,Valores!$F$28,(Valores!$C$28)*B277)</f>
        <v>527.02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438.88</v>
      </c>
      <c r="AE277" s="192">
        <v>0</v>
      </c>
      <c r="AF277" s="125">
        <f>ROUND(AE277*Valores!$C$2,2)</f>
        <v>0</v>
      </c>
      <c r="AG277" s="125">
        <f>IF($F$4="NO",IF(Valores!$D$62*'Escala Docente'!B277&gt;Valores!$F$62,Valores!$F$62,Valores!$D$62*'Escala Docente'!B277),IF(Valores!$D$62*'Escala Docente'!B277&gt;Valores!$F$62,Valores!$F$62,Valores!$D$62*'Escala Docente'!B277)/2)</f>
        <v>10960.300000000001</v>
      </c>
      <c r="AH277" s="125">
        <f t="shared" si="46"/>
        <v>130530.04000000002</v>
      </c>
      <c r="AI277" s="125">
        <f>IF(Valores!$C$32*B277&gt;Valores!$F$32,Valores!$F$32,Valores!$C$32*B277)</f>
        <v>0</v>
      </c>
      <c r="AJ277" s="125">
        <f>IF(Valores!$C$89*B277&gt;Valores!$C$88,Valores!$C$88,Valores!$C$89*B277)</f>
        <v>0</v>
      </c>
      <c r="AK277" s="125">
        <f>Valores!C$39*B277</f>
        <v>0</v>
      </c>
      <c r="AL277" s="125">
        <f>IF($F$3="NO",0,IF(Valores!$C$61*B277&gt;Valores!$F$61,Valores!$F$61,Valores!$C$61*B277))</f>
        <v>295.2534</v>
      </c>
      <c r="AM277" s="125">
        <f t="shared" si="44"/>
        <v>295.2534</v>
      </c>
      <c r="AN277" s="125">
        <f>AH277*Valores!$C$70</f>
        <v>-14358.304400000003</v>
      </c>
      <c r="AO277" s="125">
        <f>AH277*-Valores!$C$71</f>
        <v>0</v>
      </c>
      <c r="AP277" s="125">
        <f>AH277*Valores!$C$72</f>
        <v>-5873.8518000000004</v>
      </c>
      <c r="AQ277" s="125">
        <f>Valores!$C$99</f>
        <v>-280.91000000000003</v>
      </c>
      <c r="AR277" s="125">
        <f>IF($F$5=0,Valores!$C$100,(Valores!$C$100+$F$5*(Valores!$C$100)))</f>
        <v>-329</v>
      </c>
      <c r="AS277" s="125">
        <f t="shared" si="47"/>
        <v>109983.22720000002</v>
      </c>
      <c r="AT277" s="125">
        <f t="shared" si="41"/>
        <v>-14358.304400000003</v>
      </c>
      <c r="AU277" s="125">
        <f>AH277*Valores!$C$73</f>
        <v>-3524.3110800000004</v>
      </c>
      <c r="AV277" s="125">
        <f>AH277*Valores!$C$74</f>
        <v>-391.59012000000007</v>
      </c>
      <c r="AW277" s="125">
        <f t="shared" si="45"/>
        <v>112551.08780000002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49707.62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10123.790000000001</v>
      </c>
      <c r="N278" s="125">
        <f t="shared" si="42"/>
        <v>0</v>
      </c>
      <c r="O278" s="125">
        <f>Valores!$C$7*B278</f>
        <v>21338.46</v>
      </c>
      <c r="P278" s="125">
        <f>ROUND(IF(B278&lt;15,(Valores!$E$5*B278),Valores!$D$5),2)</f>
        <v>12371.24</v>
      </c>
      <c r="Q278" s="125">
        <v>0</v>
      </c>
      <c r="R278" s="125">
        <f>IF($F$4="NO",IF(Valores!$C$48*B278&gt;Valores!$C$45,Valores!$C$45,Valores!$C$48*B278),IF(Valores!$C$48*B278&gt;Valores!$C$45,Valores!$C$45,Valores!$C$48*B278)/2)</f>
        <v>11072.91</v>
      </c>
      <c r="S278" s="125">
        <f>Valores!$C$18*B278</f>
        <v>6711.38</v>
      </c>
      <c r="T278" s="125">
        <f t="shared" si="48"/>
        <v>6711.38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IF(Valores!$C$96*B278&gt;Valores!$C$95,Valores!$C$95,Valores!$C$96*B278)</f>
        <v>7278.44</v>
      </c>
      <c r="AA278" s="125">
        <f>IF((Valores!$C$28)*B278&gt;Valores!$F$28,Valores!$F$28,(Valores!$C$28)*B278)</f>
        <v>527.02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438.88</v>
      </c>
      <c r="AE278" s="192">
        <v>94</v>
      </c>
      <c r="AF278" s="125">
        <f>ROUND(AE278*Valores!$C$2,2)</f>
        <v>2274.84</v>
      </c>
      <c r="AG278" s="125">
        <f>IF($F$4="NO",IF(Valores!$D$62*'Escala Docente'!B278&gt;Valores!$F$62,Valores!$F$62,Valores!$D$62*'Escala Docente'!B278),IF(Valores!$D$62*'Escala Docente'!B278&gt;Valores!$F$62,Valores!$F$62,Valores!$D$62*'Escala Docente'!B278)/2)</f>
        <v>10960.300000000001</v>
      </c>
      <c r="AH278" s="125">
        <f t="shared" si="46"/>
        <v>132804.88</v>
      </c>
      <c r="AI278" s="125">
        <f>IF(Valores!$C$32*B278&gt;Valores!$F$32,Valores!$F$32,Valores!$C$32*B278)</f>
        <v>0</v>
      </c>
      <c r="AJ278" s="125">
        <f>IF(Valores!$C$89*B278&gt;Valores!$C$88,Valores!$C$88,Valores!$C$89*B278)</f>
        <v>0</v>
      </c>
      <c r="AK278" s="125">
        <f>Valores!C$39*B278</f>
        <v>0</v>
      </c>
      <c r="AL278" s="125">
        <f>IF($F$3="NO",0,IF(Valores!$C$61*B278&gt;Valores!$F$61,Valores!$F$61,Valores!$C$61*B278))</f>
        <v>295.2534</v>
      </c>
      <c r="AM278" s="125">
        <f t="shared" si="44"/>
        <v>295.2534</v>
      </c>
      <c r="AN278" s="125">
        <f>AH278*Valores!$C$70</f>
        <v>-14608.5368</v>
      </c>
      <c r="AO278" s="125">
        <f>AH278*-Valores!$C$71</f>
        <v>0</v>
      </c>
      <c r="AP278" s="125">
        <f>AH278*Valores!$C$72</f>
        <v>-5976.2196000000004</v>
      </c>
      <c r="AQ278" s="125">
        <f>Valores!$C$99</f>
        <v>-280.91000000000003</v>
      </c>
      <c r="AR278" s="125">
        <f>IF($F$5=0,Valores!$C$100,(Valores!$C$100+$F$5*(Valores!$C$100)))</f>
        <v>-329</v>
      </c>
      <c r="AS278" s="125">
        <f t="shared" si="47"/>
        <v>111905.467</v>
      </c>
      <c r="AT278" s="125">
        <f t="shared" si="41"/>
        <v>-14608.5368</v>
      </c>
      <c r="AU278" s="125">
        <f>AH278*Valores!$C$73</f>
        <v>-3585.7317600000001</v>
      </c>
      <c r="AV278" s="125">
        <f>AH278*Valores!$C$74</f>
        <v>-398.41464000000002</v>
      </c>
      <c r="AW278" s="125">
        <f t="shared" si="45"/>
        <v>114507.45019999999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51619.45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10449.280000000001</v>
      </c>
      <c r="N279" s="125">
        <f t="shared" si="42"/>
        <v>0</v>
      </c>
      <c r="O279" s="125">
        <f>Valores!$C$7*B279</f>
        <v>22159.170000000002</v>
      </c>
      <c r="P279" s="125">
        <f>ROUND(IF(B279&lt;15,(Valores!$E$5*B279),Valores!$D$5),2)</f>
        <v>12371.24</v>
      </c>
      <c r="Q279" s="125">
        <v>0</v>
      </c>
      <c r="R279" s="125">
        <f>IF($F$4="NO",IF(Valores!$C$48*B279&gt;Valores!$C$45,Valores!$C$45,Valores!$C$48*B279),IF(Valores!$C$48*B279&gt;Valores!$C$45,Valores!$C$45,Valores!$C$48*B279)/2)</f>
        <v>11072.91</v>
      </c>
      <c r="S279" s="125">
        <f>Valores!$C$18*B279</f>
        <v>6969.51</v>
      </c>
      <c r="T279" s="125">
        <f t="shared" si="48"/>
        <v>6969.51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IF(Valores!$C$96*B279&gt;Valores!$C$95,Valores!$C$95,Valores!$C$96*B279)</f>
        <v>7558.38</v>
      </c>
      <c r="AA279" s="125">
        <f>IF((Valores!$C$28)*B279&gt;Valores!$F$28,Valores!$F$28,(Valores!$C$28)*B279)</f>
        <v>547.29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455.76</v>
      </c>
      <c r="AE279" s="192">
        <v>0</v>
      </c>
      <c r="AF279" s="125">
        <f>ROUND(AE279*Valores!$C$2,2)</f>
        <v>0</v>
      </c>
      <c r="AG279" s="125">
        <f>IF($F$4="NO",IF(Valores!$D$62*'Escala Docente'!B279&gt;Valores!$F$62,Valores!$F$62,Valores!$D$62*'Escala Docente'!B279),IF(Valores!$D$62*'Escala Docente'!B279&gt;Valores!$F$62,Valores!$F$62,Valores!$D$62*'Escala Docente'!B279)/2)</f>
        <v>11381.85</v>
      </c>
      <c r="AH279" s="125">
        <f t="shared" si="46"/>
        <v>134584.84</v>
      </c>
      <c r="AI279" s="125">
        <f>IF(Valores!$C$32*B279&gt;Valores!$F$32,Valores!$F$32,Valores!$C$32*B279)</f>
        <v>0</v>
      </c>
      <c r="AJ279" s="125">
        <f>IF(Valores!$C$89*B279&gt;Valores!$C$88,Valores!$C$88,Valores!$C$89*B279)</f>
        <v>0</v>
      </c>
      <c r="AK279" s="125">
        <f>Valores!C$39*B279</f>
        <v>0</v>
      </c>
      <c r="AL279" s="125">
        <f>IF($F$3="NO",0,IF(Valores!$C$61*B279&gt;Valores!$F$61,Valores!$F$61,Valores!$C$61*B279))</f>
        <v>306.60930000000002</v>
      </c>
      <c r="AM279" s="125">
        <f t="shared" si="44"/>
        <v>306.60930000000002</v>
      </c>
      <c r="AN279" s="125">
        <f>AH279*Valores!$C$70</f>
        <v>-14804.332399999999</v>
      </c>
      <c r="AO279" s="125">
        <f>AH279*-Valores!$C$71</f>
        <v>0</v>
      </c>
      <c r="AP279" s="125">
        <f>AH279*Valores!$C$72</f>
        <v>-6056.3177999999998</v>
      </c>
      <c r="AQ279" s="125">
        <f>Valores!$C$99</f>
        <v>-280.91000000000003</v>
      </c>
      <c r="AR279" s="125">
        <f>IF($F$5=0,Valores!$C$100,(Valores!$C$100+$F$5*(Valores!$C$100)))</f>
        <v>-329</v>
      </c>
      <c r="AS279" s="125">
        <f t="shared" si="47"/>
        <v>113420.8891</v>
      </c>
      <c r="AT279" s="125">
        <f t="shared" si="41"/>
        <v>-14804.332399999999</v>
      </c>
      <c r="AU279" s="125">
        <f>AH279*Valores!$C$73</f>
        <v>-3633.7906800000001</v>
      </c>
      <c r="AV279" s="125">
        <f>AH279*Valores!$C$74</f>
        <v>-403.75452000000001</v>
      </c>
      <c r="AW279" s="125">
        <f t="shared" si="45"/>
        <v>116049.57170000001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51619.45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10449.280000000001</v>
      </c>
      <c r="N280" s="125">
        <f t="shared" si="42"/>
        <v>0</v>
      </c>
      <c r="O280" s="125">
        <f>Valores!$C$7*B280</f>
        <v>22159.170000000002</v>
      </c>
      <c r="P280" s="125">
        <f>ROUND(IF(B280&lt;15,(Valores!$E$5*B280),Valores!$D$5),2)</f>
        <v>12371.24</v>
      </c>
      <c r="Q280" s="125">
        <v>0</v>
      </c>
      <c r="R280" s="125">
        <f>IF($F$4="NO",IF(Valores!$C$48*B280&gt;Valores!$C$45,Valores!$C$45,Valores!$C$48*B280),IF(Valores!$C$48*B280&gt;Valores!$C$45,Valores!$C$45,Valores!$C$48*B280)/2)</f>
        <v>11072.91</v>
      </c>
      <c r="S280" s="125">
        <f>Valores!$C$18*B280</f>
        <v>6969.51</v>
      </c>
      <c r="T280" s="125">
        <f t="shared" si="48"/>
        <v>6969.51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IF(Valores!$C$96*B280&gt;Valores!$C$95,Valores!$C$95,Valores!$C$96*B280)</f>
        <v>7558.38</v>
      </c>
      <c r="AA280" s="125">
        <f>IF((Valores!$C$28)*B280&gt;Valores!$F$28,Valores!$F$28,(Valores!$C$28)*B280)</f>
        <v>547.29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455.76</v>
      </c>
      <c r="AE280" s="192">
        <v>94</v>
      </c>
      <c r="AF280" s="125">
        <f>ROUND(AE280*Valores!$C$2,2)</f>
        <v>2274.84</v>
      </c>
      <c r="AG280" s="125">
        <f>IF($F$4="NO",IF(Valores!$D$62*'Escala Docente'!B280&gt;Valores!$F$62,Valores!$F$62,Valores!$D$62*'Escala Docente'!B280),IF(Valores!$D$62*'Escala Docente'!B280&gt;Valores!$F$62,Valores!$F$62,Valores!$D$62*'Escala Docente'!B280)/2)</f>
        <v>11381.85</v>
      </c>
      <c r="AH280" s="125">
        <f t="shared" si="46"/>
        <v>136859.68</v>
      </c>
      <c r="AI280" s="125">
        <f>IF(Valores!$C$32*B280&gt;Valores!$F$32,Valores!$F$32,Valores!$C$32*B280)</f>
        <v>0</v>
      </c>
      <c r="AJ280" s="125">
        <f>IF(Valores!$C$89*B280&gt;Valores!$C$88,Valores!$C$88,Valores!$C$89*B280)</f>
        <v>0</v>
      </c>
      <c r="AK280" s="125">
        <f>Valores!C$39*B280</f>
        <v>0</v>
      </c>
      <c r="AL280" s="125">
        <f>IF($F$3="NO",0,IF(Valores!$C$61*B280&gt;Valores!$F$61,Valores!$F$61,Valores!$C$61*B280))</f>
        <v>306.60930000000002</v>
      </c>
      <c r="AM280" s="125">
        <f t="shared" si="44"/>
        <v>306.60930000000002</v>
      </c>
      <c r="AN280" s="125">
        <f>AH280*Valores!$C$70</f>
        <v>-15054.5648</v>
      </c>
      <c r="AO280" s="125">
        <f>AH280*-Valores!$C$71</f>
        <v>0</v>
      </c>
      <c r="AP280" s="125">
        <f>AH280*Valores!$C$72</f>
        <v>-6158.6855999999998</v>
      </c>
      <c r="AQ280" s="125">
        <f>Valores!$C$99</f>
        <v>-280.91000000000003</v>
      </c>
      <c r="AR280" s="125">
        <f>IF($F$5=0,Valores!$C$100,(Valores!$C$100+$F$5*(Valores!$C$100)))</f>
        <v>-329</v>
      </c>
      <c r="AS280" s="125">
        <f t="shared" si="47"/>
        <v>115343.1289</v>
      </c>
      <c r="AT280" s="125">
        <f t="shared" si="41"/>
        <v>-15054.5648</v>
      </c>
      <c r="AU280" s="125">
        <f>AH280*Valores!$C$73</f>
        <v>-3695.2113599999998</v>
      </c>
      <c r="AV280" s="125">
        <f>AH280*Valores!$C$74</f>
        <v>-410.57903999999996</v>
      </c>
      <c r="AW280" s="125">
        <f t="shared" si="45"/>
        <v>118005.9341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53531.28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10774.77</v>
      </c>
      <c r="N281" s="125">
        <f t="shared" si="42"/>
        <v>0</v>
      </c>
      <c r="O281" s="125">
        <f>Valores!$C$7*B281</f>
        <v>22979.88</v>
      </c>
      <c r="P281" s="125">
        <f>ROUND(IF(B281&lt;15,(Valores!$E$5*B281),Valores!$D$5),2)</f>
        <v>12371.24</v>
      </c>
      <c r="Q281" s="125">
        <v>0</v>
      </c>
      <c r="R281" s="125">
        <f>IF($F$4="NO",IF(Valores!$C$48*B281&gt;Valores!$C$45,Valores!$C$45,Valores!$C$48*B281),IF(Valores!$C$48*B281&gt;Valores!$C$45,Valores!$C$45,Valores!$C$48*B281)/2)</f>
        <v>11072.91</v>
      </c>
      <c r="S281" s="125">
        <f>Valores!$C$18*B281</f>
        <v>7227.6399999999994</v>
      </c>
      <c r="T281" s="125">
        <f t="shared" si="48"/>
        <v>7227.64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IF(Valores!$C$96*B281&gt;Valores!$C$95,Valores!$C$95,Valores!$C$96*B281)</f>
        <v>7838.32</v>
      </c>
      <c r="AA281" s="125">
        <f>IF((Valores!$C$28)*B281&gt;Valores!$F$28,Valores!$F$28,(Valores!$C$28)*B281)</f>
        <v>567.55999999999995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472.64</v>
      </c>
      <c r="AE281" s="192">
        <v>0</v>
      </c>
      <c r="AF281" s="125">
        <f>ROUND(AE281*Valores!$C$2,2)</f>
        <v>0</v>
      </c>
      <c r="AG281" s="125">
        <f>IF($F$4="NO",IF(Valores!$D$62*'Escala Docente'!B281&gt;Valores!$F$62,Valores!$F$62,Valores!$D$62*'Escala Docente'!B281),IF(Valores!$D$62*'Escala Docente'!B281&gt;Valores!$F$62,Valores!$F$62,Valores!$D$62*'Escala Docente'!B281)/2)</f>
        <v>11803.4</v>
      </c>
      <c r="AH281" s="125">
        <f t="shared" si="46"/>
        <v>138639.64000000001</v>
      </c>
      <c r="AI281" s="125">
        <f>IF(Valores!$C$32*B281&gt;Valores!$F$32,Valores!$F$32,Valores!$C$32*B281)</f>
        <v>0</v>
      </c>
      <c r="AJ281" s="125">
        <f>IF(Valores!$C$89*B281&gt;Valores!$C$88,Valores!$C$88,Valores!$C$89*B281)</f>
        <v>0</v>
      </c>
      <c r="AK281" s="125">
        <f>Valores!C$39*B281</f>
        <v>0</v>
      </c>
      <c r="AL281" s="125">
        <f>IF($F$3="NO",0,IF(Valores!$C$61*B281&gt;Valores!$F$61,Valores!$F$61,Valores!$C$61*B281))</f>
        <v>317.96519999999998</v>
      </c>
      <c r="AM281" s="125">
        <f t="shared" si="44"/>
        <v>317.96519999999998</v>
      </c>
      <c r="AN281" s="125">
        <f>AH281*Valores!$C$70</f>
        <v>-15250.360400000001</v>
      </c>
      <c r="AO281" s="125">
        <f>AH281*-Valores!$C$71</f>
        <v>0</v>
      </c>
      <c r="AP281" s="125">
        <f>AH281*Valores!$C$72</f>
        <v>-6238.7838000000002</v>
      </c>
      <c r="AQ281" s="125">
        <f>Valores!$C$99</f>
        <v>-280.91000000000003</v>
      </c>
      <c r="AR281" s="125">
        <f>IF($F$5=0,Valores!$C$100,(Valores!$C$100+$F$5*(Valores!$C$100)))</f>
        <v>-329</v>
      </c>
      <c r="AS281" s="125">
        <f t="shared" si="47"/>
        <v>116858.55100000001</v>
      </c>
      <c r="AT281" s="125">
        <f t="shared" si="41"/>
        <v>-15250.360400000001</v>
      </c>
      <c r="AU281" s="125">
        <f>AH281*Valores!$C$73</f>
        <v>-3743.2702800000002</v>
      </c>
      <c r="AV281" s="125">
        <f>AH281*Valores!$C$74</f>
        <v>-415.91892000000007</v>
      </c>
      <c r="AW281" s="125">
        <f t="shared" si="45"/>
        <v>119548.05560000002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53531.28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10774.77</v>
      </c>
      <c r="N282" s="125">
        <f t="shared" si="42"/>
        <v>0</v>
      </c>
      <c r="O282" s="125">
        <f>Valores!$C$7*B282</f>
        <v>22979.88</v>
      </c>
      <c r="P282" s="125">
        <f>ROUND(IF(B282&lt;15,(Valores!$E$5*B282),Valores!$D$5),2)</f>
        <v>12371.24</v>
      </c>
      <c r="Q282" s="125">
        <v>0</v>
      </c>
      <c r="R282" s="125">
        <f>IF($F$4="NO",IF(Valores!$C$48*B282&gt;Valores!$C$45,Valores!$C$45,Valores!$C$48*B282),IF(Valores!$C$48*B282&gt;Valores!$C$45,Valores!$C$45,Valores!$C$48*B282)/2)</f>
        <v>11072.91</v>
      </c>
      <c r="S282" s="125">
        <f>Valores!$C$18*B282</f>
        <v>7227.6399999999994</v>
      </c>
      <c r="T282" s="125">
        <f t="shared" si="48"/>
        <v>7227.64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IF(Valores!$C$96*B282&gt;Valores!$C$95,Valores!$C$95,Valores!$C$96*B282)</f>
        <v>7838.32</v>
      </c>
      <c r="AA282" s="125">
        <f>IF((Valores!$C$28)*B282&gt;Valores!$F$28,Valores!$F$28,(Valores!$C$28)*B282)</f>
        <v>567.55999999999995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472.64</v>
      </c>
      <c r="AE282" s="192">
        <v>94</v>
      </c>
      <c r="AF282" s="125">
        <f>ROUND(AE282*Valores!$C$2,2)</f>
        <v>2274.84</v>
      </c>
      <c r="AG282" s="125">
        <f>IF($F$4="NO",IF(Valores!$D$62*'Escala Docente'!B282&gt;Valores!$F$62,Valores!$F$62,Valores!$D$62*'Escala Docente'!B282),IF(Valores!$D$62*'Escala Docente'!B282&gt;Valores!$F$62,Valores!$F$62,Valores!$D$62*'Escala Docente'!B282)/2)</f>
        <v>11803.4</v>
      </c>
      <c r="AH282" s="125">
        <f t="shared" si="46"/>
        <v>140914.48000000001</v>
      </c>
      <c r="AI282" s="125">
        <f>IF(Valores!$C$32*B282&gt;Valores!$F$32,Valores!$F$32,Valores!$C$32*B282)</f>
        <v>0</v>
      </c>
      <c r="AJ282" s="125">
        <f>IF(Valores!$C$89*B282&gt;Valores!$C$88,Valores!$C$88,Valores!$C$89*B282)</f>
        <v>0</v>
      </c>
      <c r="AK282" s="125">
        <f>Valores!C$39*B282</f>
        <v>0</v>
      </c>
      <c r="AL282" s="125">
        <f>IF($F$3="NO",0,IF(Valores!$C$61*B282&gt;Valores!$F$61,Valores!$F$61,Valores!$C$61*B282))</f>
        <v>317.96519999999998</v>
      </c>
      <c r="AM282" s="125">
        <f t="shared" si="44"/>
        <v>317.96519999999998</v>
      </c>
      <c r="AN282" s="125">
        <f>AH282*Valores!$C$70</f>
        <v>-15500.5928</v>
      </c>
      <c r="AO282" s="125">
        <f>AH282*-Valores!$C$71</f>
        <v>0</v>
      </c>
      <c r="AP282" s="125">
        <f>AH282*Valores!$C$72</f>
        <v>-6341.1516000000001</v>
      </c>
      <c r="AQ282" s="125">
        <f>Valores!$C$99</f>
        <v>-280.91000000000003</v>
      </c>
      <c r="AR282" s="125">
        <f>IF($F$5=0,Valores!$C$100,(Valores!$C$100+$F$5*(Valores!$C$100)))</f>
        <v>-329</v>
      </c>
      <c r="AS282" s="125">
        <f t="shared" si="47"/>
        <v>118780.79080000002</v>
      </c>
      <c r="AT282" s="125">
        <f t="shared" si="41"/>
        <v>-15500.5928</v>
      </c>
      <c r="AU282" s="125">
        <f>AH282*Valores!$C$73</f>
        <v>-3804.6909600000004</v>
      </c>
      <c r="AV282" s="125">
        <f>AH282*Valores!$C$74</f>
        <v>-422.74344000000002</v>
      </c>
      <c r="AW282" s="125">
        <f t="shared" si="45"/>
        <v>121504.41800000002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55443.12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11100.27</v>
      </c>
      <c r="N283" s="125">
        <f t="shared" si="42"/>
        <v>0</v>
      </c>
      <c r="O283" s="125">
        <f>Valores!$C$7*B283</f>
        <v>23800.59</v>
      </c>
      <c r="P283" s="125">
        <f>ROUND(IF(B283&lt;15,(Valores!$E$5*B283),Valores!$D$5),2)</f>
        <v>12371.24</v>
      </c>
      <c r="Q283" s="125">
        <v>0</v>
      </c>
      <c r="R283" s="125">
        <f>IF($F$4="NO",IF(Valores!$C$48*B283&gt;Valores!$C$45,Valores!$C$45,Valores!$C$48*B283),IF(Valores!$C$48*B283&gt;Valores!$C$45,Valores!$C$45,Valores!$C$48*B283)/2)</f>
        <v>11072.91</v>
      </c>
      <c r="S283" s="125">
        <f>Valores!$C$18*B283</f>
        <v>7485.7699999999995</v>
      </c>
      <c r="T283" s="125">
        <f t="shared" si="48"/>
        <v>7485.77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IF(Valores!$C$96*B283&gt;Valores!$C$95,Valores!$C$95,Valores!$C$96*B283)</f>
        <v>8118.26</v>
      </c>
      <c r="AA283" s="125">
        <f>IF((Valores!$C$28)*B283&gt;Valores!$F$28,Valores!$F$28,(Valores!$C$28)*B283)</f>
        <v>587.83000000000004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489.52</v>
      </c>
      <c r="AE283" s="192">
        <v>0</v>
      </c>
      <c r="AF283" s="125">
        <f>ROUND(AE283*Valores!$C$2,2)</f>
        <v>0</v>
      </c>
      <c r="AG283" s="125">
        <f>IF($F$4="NO",IF(Valores!$D$62*'Escala Docente'!B283&gt;Valores!$F$62,Valores!$F$62,Valores!$D$62*'Escala Docente'!B283),IF(Valores!$D$62*'Escala Docente'!B283&gt;Valores!$F$62,Valores!$F$62,Valores!$D$62*'Escala Docente'!B283)/2)</f>
        <v>12224.95</v>
      </c>
      <c r="AH283" s="125">
        <f t="shared" si="46"/>
        <v>142694.46000000002</v>
      </c>
      <c r="AI283" s="125">
        <f>IF(Valores!$C$32*B283&gt;Valores!$F$32,Valores!$F$32,Valores!$C$32*B283)</f>
        <v>0</v>
      </c>
      <c r="AJ283" s="125">
        <f>IF(Valores!$C$89*B283&gt;Valores!$C$88,Valores!$C$88,Valores!$C$89*B283)</f>
        <v>0</v>
      </c>
      <c r="AK283" s="125">
        <f>Valores!C$39*B283</f>
        <v>0</v>
      </c>
      <c r="AL283" s="125">
        <f>IF($F$3="NO",0,IF(Valores!$C$61*B283&gt;Valores!$F$61,Valores!$F$61,Valores!$C$61*B283))</f>
        <v>327.60000000000002</v>
      </c>
      <c r="AM283" s="125">
        <f t="shared" si="44"/>
        <v>327.60000000000002</v>
      </c>
      <c r="AN283" s="125">
        <f>AH283*Valores!$C$70</f>
        <v>-15696.390600000002</v>
      </c>
      <c r="AO283" s="125">
        <f>AH283*-Valores!$C$71</f>
        <v>0</v>
      </c>
      <c r="AP283" s="125">
        <f>AH283*Valores!$C$72</f>
        <v>-6421.2507000000005</v>
      </c>
      <c r="AQ283" s="125">
        <f>Valores!$C$99</f>
        <v>-280.91000000000003</v>
      </c>
      <c r="AR283" s="125">
        <f>IF($F$5=0,Valores!$C$100,(Valores!$C$100+$F$5*(Valores!$C$100)))</f>
        <v>-329</v>
      </c>
      <c r="AS283" s="125">
        <f t="shared" si="47"/>
        <v>120294.50870000002</v>
      </c>
      <c r="AT283" s="125">
        <f t="shared" si="41"/>
        <v>-15696.390600000002</v>
      </c>
      <c r="AU283" s="125">
        <f>AH283*Valores!$C$73</f>
        <v>-3852.7504200000003</v>
      </c>
      <c r="AV283" s="125">
        <f>AH283*Valores!$C$74</f>
        <v>-428.08338000000009</v>
      </c>
      <c r="AW283" s="125">
        <f t="shared" si="45"/>
        <v>123044.83560000002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55443.12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11100.27</v>
      </c>
      <c r="N284" s="125">
        <f t="shared" si="42"/>
        <v>0</v>
      </c>
      <c r="O284" s="125">
        <f>Valores!$C$7*B284</f>
        <v>23800.59</v>
      </c>
      <c r="P284" s="125">
        <f>ROUND(IF(B284&lt;15,(Valores!$E$5*B284),Valores!$D$5),2)</f>
        <v>12371.24</v>
      </c>
      <c r="Q284" s="125">
        <v>0</v>
      </c>
      <c r="R284" s="125">
        <f>IF($F$4="NO",IF(Valores!$C$48*B284&gt;Valores!$C$45,Valores!$C$45,Valores!$C$48*B284),IF(Valores!$C$48*B284&gt;Valores!$C$45,Valores!$C$45,Valores!$C$48*B284)/2)</f>
        <v>11072.91</v>
      </c>
      <c r="S284" s="125">
        <f>Valores!$C$18*B284</f>
        <v>7485.7699999999995</v>
      </c>
      <c r="T284" s="125">
        <f t="shared" si="48"/>
        <v>7485.77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IF(Valores!$C$96*B284&gt;Valores!$C$95,Valores!$C$95,Valores!$C$96*B284)</f>
        <v>8118.26</v>
      </c>
      <c r="AA284" s="125">
        <f>IF((Valores!$C$28)*B284&gt;Valores!$F$28,Valores!$F$28,(Valores!$C$28)*B284)</f>
        <v>587.83000000000004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489.52</v>
      </c>
      <c r="AE284" s="192">
        <v>94</v>
      </c>
      <c r="AF284" s="125">
        <f>ROUND(AE284*Valores!$C$2,2)</f>
        <v>2274.84</v>
      </c>
      <c r="AG284" s="125">
        <f>IF($F$4="NO",IF(Valores!$D$62*'Escala Docente'!B284&gt;Valores!$F$62,Valores!$F$62,Valores!$D$62*'Escala Docente'!B284),IF(Valores!$D$62*'Escala Docente'!B284&gt;Valores!$F$62,Valores!$F$62,Valores!$D$62*'Escala Docente'!B284)/2)</f>
        <v>12224.95</v>
      </c>
      <c r="AH284" s="125">
        <f t="shared" si="46"/>
        <v>144969.30000000002</v>
      </c>
      <c r="AI284" s="125">
        <f>IF(Valores!$C$32*B284&gt;Valores!$F$32,Valores!$F$32,Valores!$C$32*B284)</f>
        <v>0</v>
      </c>
      <c r="AJ284" s="125">
        <f>IF(Valores!$C$89*B284&gt;Valores!$C$88,Valores!$C$88,Valores!$C$89*B284)</f>
        <v>0</v>
      </c>
      <c r="AK284" s="125">
        <f>Valores!C$39*B284</f>
        <v>0</v>
      </c>
      <c r="AL284" s="125">
        <f>IF($F$3="NO",0,IF(Valores!$C$61*B284&gt;Valores!$F$61,Valores!$F$61,Valores!$C$61*B284))</f>
        <v>327.60000000000002</v>
      </c>
      <c r="AM284" s="125">
        <f t="shared" si="44"/>
        <v>327.60000000000002</v>
      </c>
      <c r="AN284" s="125">
        <f>AH284*Valores!$C$70</f>
        <v>-15946.623000000001</v>
      </c>
      <c r="AO284" s="125">
        <f>AH284*-Valores!$C$71</f>
        <v>0</v>
      </c>
      <c r="AP284" s="125">
        <f>AH284*Valores!$C$72</f>
        <v>-6523.6185000000005</v>
      </c>
      <c r="AQ284" s="125">
        <f>Valores!$C$99</f>
        <v>-280.91000000000003</v>
      </c>
      <c r="AR284" s="125">
        <f>IF($F$5=0,Valores!$C$100,(Valores!$C$100+$F$5*(Valores!$C$100)))</f>
        <v>-329</v>
      </c>
      <c r="AS284" s="125">
        <f t="shared" si="47"/>
        <v>122216.74850000002</v>
      </c>
      <c r="AT284" s="125">
        <f t="shared" si="41"/>
        <v>-15946.623000000001</v>
      </c>
      <c r="AU284" s="125">
        <f>AH284*Valores!$C$73</f>
        <v>-3914.1711000000005</v>
      </c>
      <c r="AV284" s="125">
        <f>AH284*Valores!$C$74</f>
        <v>-434.90790000000004</v>
      </c>
      <c r="AW284" s="125">
        <f t="shared" si="45"/>
        <v>125001.19800000002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57354.95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11425.76</v>
      </c>
      <c r="N285" s="125">
        <f t="shared" si="42"/>
        <v>0</v>
      </c>
      <c r="O285" s="125">
        <f>Valores!$C$7*B285</f>
        <v>24621.300000000003</v>
      </c>
      <c r="P285" s="125">
        <f>ROUND(IF(B285&lt;15,(Valores!$E$5*B285),Valores!$D$5),2)</f>
        <v>12371.24</v>
      </c>
      <c r="Q285" s="125">
        <v>0</v>
      </c>
      <c r="R285" s="125">
        <f>IF($F$4="NO",IF(Valores!$C$48*B285&gt;Valores!$C$45,Valores!$C$45,Valores!$C$48*B285),IF(Valores!$C$48*B285&gt;Valores!$C$45,Valores!$C$45,Valores!$C$48*B285)/2)</f>
        <v>11072.91</v>
      </c>
      <c r="S285" s="125">
        <f>Valores!$C$18*B285</f>
        <v>7743.9</v>
      </c>
      <c r="T285" s="125">
        <f t="shared" si="48"/>
        <v>7743.9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IF(Valores!$C$96*B285&gt;Valores!$C$95,Valores!$C$95,Valores!$C$96*B285)</f>
        <v>8398.2000000000007</v>
      </c>
      <c r="AA285" s="125">
        <f>IF((Valores!$C$28)*B285&gt;Valores!$F$28,Valores!$F$28,(Valores!$C$28)*B285)</f>
        <v>608.1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505.99</v>
      </c>
      <c r="AE285" s="192">
        <v>0</v>
      </c>
      <c r="AF285" s="125">
        <f>ROUND(AE285*Valores!$C$2,2)</f>
        <v>0</v>
      </c>
      <c r="AG285" s="125">
        <f>IF($F$4="NO",IF(Valores!$D$62*'Escala Docente'!B285&gt;Valores!$F$62,Valores!$F$62,Valores!$D$62*'Escala Docente'!B285),IF(Valores!$D$62*'Escala Docente'!B285&gt;Valores!$F$62,Valores!$F$62,Valores!$D$62*'Escala Docente'!B285)/2)</f>
        <v>12646.5</v>
      </c>
      <c r="AH285" s="125">
        <f t="shared" si="46"/>
        <v>146748.85</v>
      </c>
      <c r="AI285" s="125">
        <f>IF(Valores!$C$32*B285&gt;Valores!$F$32,Valores!$F$32,Valores!$C$32*B285)</f>
        <v>0</v>
      </c>
      <c r="AJ285" s="125">
        <f>IF(Valores!$C$89*B285&gt;Valores!$C$88,Valores!$C$88,Valores!$C$89*B285)</f>
        <v>0</v>
      </c>
      <c r="AK285" s="125">
        <f>Valores!C$39*B285</f>
        <v>0</v>
      </c>
      <c r="AL285" s="125">
        <f>IF($F$3="NO",0,IF(Valores!$C$61*B285&gt;Valores!$F$61,Valores!$F$61,Valores!$C$61*B285))</f>
        <v>327.60000000000002</v>
      </c>
      <c r="AM285" s="125">
        <f t="shared" si="44"/>
        <v>327.60000000000002</v>
      </c>
      <c r="AN285" s="125">
        <f>AH285*Valores!$C$70</f>
        <v>-16142.373500000002</v>
      </c>
      <c r="AO285" s="125">
        <f>AH285*-Valores!$C$71</f>
        <v>0</v>
      </c>
      <c r="AP285" s="125">
        <f>AH285*Valores!$C$72</f>
        <v>-6603.6982500000004</v>
      </c>
      <c r="AQ285" s="125">
        <f>Valores!$C$99</f>
        <v>-280.91000000000003</v>
      </c>
      <c r="AR285" s="125">
        <f>IF($F$5=0,Valores!$C$100,(Valores!$C$100+$F$5*(Valores!$C$100)))</f>
        <v>-329</v>
      </c>
      <c r="AS285" s="125">
        <f t="shared" si="47"/>
        <v>123720.46825000001</v>
      </c>
      <c r="AT285" s="125">
        <f t="shared" si="41"/>
        <v>-16142.373500000002</v>
      </c>
      <c r="AU285" s="125">
        <f>AH285*Valores!$C$73</f>
        <v>-3962.2189499999999</v>
      </c>
      <c r="AV285" s="125">
        <f>AH285*Valores!$C$74</f>
        <v>-440.24655000000001</v>
      </c>
      <c r="AW285" s="125">
        <f t="shared" si="45"/>
        <v>126531.611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57354.95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11425.76</v>
      </c>
      <c r="N286" s="125">
        <f t="shared" si="42"/>
        <v>0</v>
      </c>
      <c r="O286" s="125">
        <f>Valores!$C$7*B286</f>
        <v>24621.300000000003</v>
      </c>
      <c r="P286" s="125">
        <f>ROUND(IF(B286&lt;15,(Valores!$E$5*B286),Valores!$D$5),2)</f>
        <v>12371.24</v>
      </c>
      <c r="Q286" s="125">
        <v>0</v>
      </c>
      <c r="R286" s="125">
        <f>IF($F$4="NO",IF(Valores!$C$48*B286&gt;Valores!$C$45,Valores!$C$45,Valores!$C$48*B286),IF(Valores!$C$48*B286&gt;Valores!$C$45,Valores!$C$45,Valores!$C$48*B286)/2)</f>
        <v>11072.91</v>
      </c>
      <c r="S286" s="125">
        <f>Valores!$C$18*B286</f>
        <v>7743.9</v>
      </c>
      <c r="T286" s="125">
        <f t="shared" si="48"/>
        <v>7743.9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IF(Valores!$C$96*B286&gt;Valores!$C$95,Valores!$C$95,Valores!$C$96*B286)</f>
        <v>8398.2000000000007</v>
      </c>
      <c r="AA286" s="125">
        <f>IF((Valores!$C$28)*B286&gt;Valores!$F$28,Valores!$F$28,(Valores!$C$28)*B286)</f>
        <v>608.1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505.99</v>
      </c>
      <c r="AE286" s="192">
        <v>94</v>
      </c>
      <c r="AF286" s="125">
        <f>ROUND(AE286*Valores!$C$2,2)</f>
        <v>2274.84</v>
      </c>
      <c r="AG286" s="125">
        <f>IF($F$4="NO",IF(Valores!$D$62*'Escala Docente'!B286&gt;Valores!$F$62,Valores!$F$62,Valores!$D$62*'Escala Docente'!B286),IF(Valores!$D$62*'Escala Docente'!B286&gt;Valores!$F$62,Valores!$F$62,Valores!$D$62*'Escala Docente'!B286)/2)</f>
        <v>12646.5</v>
      </c>
      <c r="AH286" s="125">
        <f t="shared" si="46"/>
        <v>149023.69</v>
      </c>
      <c r="AI286" s="125">
        <f>IF(Valores!$C$32*B286&gt;Valores!$F$32,Valores!$F$32,Valores!$C$32*B286)</f>
        <v>0</v>
      </c>
      <c r="AJ286" s="125">
        <f>IF(Valores!$C$89*B286&gt;Valores!$C$88,Valores!$C$88,Valores!$C$89*B286)</f>
        <v>0</v>
      </c>
      <c r="AK286" s="125">
        <f>Valores!C$39*B286</f>
        <v>0</v>
      </c>
      <c r="AL286" s="125">
        <f>IF($F$3="NO",0,IF(Valores!$C$61*B286&gt;Valores!$F$61,Valores!$F$61,Valores!$C$61*B286))</f>
        <v>327.60000000000002</v>
      </c>
      <c r="AM286" s="125">
        <f t="shared" si="44"/>
        <v>327.60000000000002</v>
      </c>
      <c r="AN286" s="125">
        <f>AH286*Valores!$C$70</f>
        <v>-16392.605899999999</v>
      </c>
      <c r="AO286" s="125">
        <f>AH286*-Valores!$C$71</f>
        <v>0</v>
      </c>
      <c r="AP286" s="125">
        <f>AH286*Valores!$C$72</f>
        <v>-6706.0660499999994</v>
      </c>
      <c r="AQ286" s="125">
        <f>Valores!$C$99</f>
        <v>-280.91000000000003</v>
      </c>
      <c r="AR286" s="125">
        <f>IF($F$5=0,Valores!$C$100,(Valores!$C$100+$F$5*(Valores!$C$100)))</f>
        <v>-329</v>
      </c>
      <c r="AS286" s="125">
        <f t="shared" si="47"/>
        <v>125642.70805</v>
      </c>
      <c r="AT286" s="125">
        <f t="shared" si="41"/>
        <v>-16392.605899999999</v>
      </c>
      <c r="AU286" s="125">
        <f>AH286*Valores!$C$73</f>
        <v>-4023.6396300000001</v>
      </c>
      <c r="AV286" s="125">
        <f>AH286*Valores!$C$74</f>
        <v>-447.07107000000002</v>
      </c>
      <c r="AW286" s="125">
        <f t="shared" si="45"/>
        <v>128487.9734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59266.78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11751.26</v>
      </c>
      <c r="N287" s="125">
        <f t="shared" si="42"/>
        <v>0</v>
      </c>
      <c r="O287" s="125">
        <f>Valores!$C$7*B287</f>
        <v>25442.010000000002</v>
      </c>
      <c r="P287" s="125">
        <f>ROUND(IF(B287&lt;15,(Valores!$E$5*B287),Valores!$D$5),2)</f>
        <v>12371.24</v>
      </c>
      <c r="Q287" s="125">
        <v>0</v>
      </c>
      <c r="R287" s="125">
        <f>IF($F$4="NO",IF(Valores!$C$48*B287&gt;Valores!$C$45,Valores!$C$45,Valores!$C$48*B287),IF(Valores!$C$48*B287&gt;Valores!$C$45,Valores!$C$45,Valores!$C$48*B287)/2)</f>
        <v>11072.91</v>
      </c>
      <c r="S287" s="125">
        <f>Valores!$C$18*B287</f>
        <v>8002.03</v>
      </c>
      <c r="T287" s="125">
        <f t="shared" si="48"/>
        <v>8002.03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IF(Valores!$C$96*B287&gt;Valores!$C$95,Valores!$C$95,Valores!$C$96*B287)</f>
        <v>8678.14</v>
      </c>
      <c r="AA287" s="125">
        <f>IF((Valores!$C$28)*B287&gt;Valores!$F$28,Valores!$F$28,(Valores!$C$28)*B287)</f>
        <v>628.37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505.99</v>
      </c>
      <c r="AE287" s="192">
        <v>0</v>
      </c>
      <c r="AF287" s="125">
        <f>ROUND(AE287*Valores!$C$2,2)</f>
        <v>0</v>
      </c>
      <c r="AG287" s="125">
        <f>IF($F$4="NO",IF(Valores!$D$62*'Escala Docente'!B287&gt;Valores!$F$62,Valores!$F$62,Valores!$D$62*'Escala Docente'!B287),IF(Valores!$D$62*'Escala Docente'!B287&gt;Valores!$F$62,Valores!$F$62,Valores!$D$62*'Escala Docente'!B287)/2)</f>
        <v>12646.54</v>
      </c>
      <c r="AH287" s="125">
        <f t="shared" si="46"/>
        <v>150365.26999999999</v>
      </c>
      <c r="AI287" s="125">
        <f>IF(Valores!$C$32*B287&gt;Valores!$F$32,Valores!$F$32,Valores!$C$32*B287)</f>
        <v>0</v>
      </c>
      <c r="AJ287" s="125">
        <f>IF(Valores!$C$89*B287&gt;Valores!$C$88,Valores!$C$88,Valores!$C$89*B287)</f>
        <v>0</v>
      </c>
      <c r="AK287" s="125">
        <f>Valores!C$39*B287</f>
        <v>0</v>
      </c>
      <c r="AL287" s="125">
        <f>IF($F$3="NO",0,IF(Valores!$C$61*B287&gt;Valores!$F$61,Valores!$F$61,Valores!$C$61*B287))</f>
        <v>327.60000000000002</v>
      </c>
      <c r="AM287" s="125">
        <f t="shared" si="44"/>
        <v>327.60000000000002</v>
      </c>
      <c r="AN287" s="125">
        <f>AH287*Valores!$C$70</f>
        <v>-16540.179700000001</v>
      </c>
      <c r="AO287" s="125">
        <f>AH287*-Valores!$C$71</f>
        <v>0</v>
      </c>
      <c r="AP287" s="125">
        <f>AH287*Valores!$C$72</f>
        <v>-6766.4371499999988</v>
      </c>
      <c r="AQ287" s="125">
        <f>Valores!$C$99</f>
        <v>-280.91000000000003</v>
      </c>
      <c r="AR287" s="125">
        <f>IF($F$5=0,Valores!$C$100,(Valores!$C$100+$F$5*(Valores!$C$100)))</f>
        <v>-329</v>
      </c>
      <c r="AS287" s="125">
        <f t="shared" si="47"/>
        <v>126776.34314999999</v>
      </c>
      <c r="AT287" s="125">
        <f t="shared" si="41"/>
        <v>-16540.179700000001</v>
      </c>
      <c r="AU287" s="125">
        <f>AH287*Valores!$C$73</f>
        <v>-4059.8622899999996</v>
      </c>
      <c r="AV287" s="125">
        <f>AH287*Valores!$C$74</f>
        <v>-451.09580999999997</v>
      </c>
      <c r="AW287" s="125">
        <f t="shared" si="45"/>
        <v>129641.7322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59266.78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11751.26</v>
      </c>
      <c r="N288" s="125">
        <f t="shared" si="42"/>
        <v>0</v>
      </c>
      <c r="O288" s="125">
        <f>Valores!$C$7*B288</f>
        <v>25442.010000000002</v>
      </c>
      <c r="P288" s="125">
        <f>ROUND(IF(B288&lt;15,(Valores!$E$5*B288),Valores!$D$5),2)</f>
        <v>12371.24</v>
      </c>
      <c r="Q288" s="125">
        <v>0</v>
      </c>
      <c r="R288" s="125">
        <f>IF($F$4="NO",IF(Valores!$C$48*B288&gt;Valores!$C$45,Valores!$C$45,Valores!$C$48*B288),IF(Valores!$C$48*B288&gt;Valores!$C$45,Valores!$C$45,Valores!$C$48*B288)/2)</f>
        <v>11072.91</v>
      </c>
      <c r="S288" s="125">
        <f>Valores!$C$18*B288</f>
        <v>8002.03</v>
      </c>
      <c r="T288" s="125">
        <f t="shared" si="48"/>
        <v>8002.03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IF(Valores!$C$96*B288&gt;Valores!$C$95,Valores!$C$95,Valores!$C$96*B288)</f>
        <v>8678.14</v>
      </c>
      <c r="AA288" s="125">
        <f>IF((Valores!$C$28)*B288&gt;Valores!$F$28,Valores!$F$28,(Valores!$C$28)*B288)</f>
        <v>628.37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505.99</v>
      </c>
      <c r="AE288" s="192">
        <v>94</v>
      </c>
      <c r="AF288" s="125">
        <f>ROUND(AE288*Valores!$C$2,2)</f>
        <v>2274.84</v>
      </c>
      <c r="AG288" s="125">
        <f>IF($F$4="NO",IF(Valores!$D$62*'Escala Docente'!B288&gt;Valores!$F$62,Valores!$F$62,Valores!$D$62*'Escala Docente'!B288),IF(Valores!$D$62*'Escala Docente'!B288&gt;Valores!$F$62,Valores!$F$62,Valores!$D$62*'Escala Docente'!B288)/2)</f>
        <v>12646.54</v>
      </c>
      <c r="AH288" s="125">
        <f t="shared" si="46"/>
        <v>152640.10999999999</v>
      </c>
      <c r="AI288" s="125">
        <f>IF(Valores!$C$32*B288&gt;Valores!$F$32,Valores!$F$32,Valores!$C$32*B288)</f>
        <v>0</v>
      </c>
      <c r="AJ288" s="125">
        <f>IF(Valores!$C$89*B288&gt;Valores!$C$88,Valores!$C$88,Valores!$C$89*B288)</f>
        <v>0</v>
      </c>
      <c r="AK288" s="125">
        <f>Valores!C$39*B288</f>
        <v>0</v>
      </c>
      <c r="AL288" s="125">
        <f>IF($F$3="NO",0,IF(Valores!$C$61*B288&gt;Valores!$F$61,Valores!$F$61,Valores!$C$61*B288))</f>
        <v>327.60000000000002</v>
      </c>
      <c r="AM288" s="125">
        <f t="shared" si="44"/>
        <v>327.60000000000002</v>
      </c>
      <c r="AN288" s="125">
        <f>AH288*Valores!$C$70</f>
        <v>-16790.412099999998</v>
      </c>
      <c r="AO288" s="125">
        <f>AH288*-Valores!$C$71</f>
        <v>0</v>
      </c>
      <c r="AP288" s="125">
        <f>AH288*Valores!$C$72</f>
        <v>-6868.8049499999988</v>
      </c>
      <c r="AQ288" s="125">
        <f>Valores!$C$99</f>
        <v>-280.91000000000003</v>
      </c>
      <c r="AR288" s="125">
        <f>IF($F$5=0,Valores!$C$100,(Valores!$C$100+$F$5*(Valores!$C$100)))</f>
        <v>-329</v>
      </c>
      <c r="AS288" s="125">
        <f t="shared" si="47"/>
        <v>128698.58294999998</v>
      </c>
      <c r="AT288" s="125">
        <f t="shared" si="41"/>
        <v>-16790.412099999998</v>
      </c>
      <c r="AU288" s="125">
        <f>AH288*Valores!$C$73</f>
        <v>-4121.2829699999993</v>
      </c>
      <c r="AV288" s="125">
        <f>AH288*Valores!$C$74</f>
        <v>-457.92032999999998</v>
      </c>
      <c r="AW288" s="125">
        <f t="shared" si="45"/>
        <v>131598.09459999998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61178.61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12076.75</v>
      </c>
      <c r="N289" s="125">
        <f t="shared" si="42"/>
        <v>0</v>
      </c>
      <c r="O289" s="125">
        <f>Valores!$C$7*B289</f>
        <v>26262.720000000001</v>
      </c>
      <c r="P289" s="125">
        <f>ROUND(IF(B289&lt;15,(Valores!$E$5*B289),Valores!$D$5),2)</f>
        <v>12371.24</v>
      </c>
      <c r="Q289" s="125">
        <v>0</v>
      </c>
      <c r="R289" s="125">
        <f>IF($F$4="NO",IF(Valores!$C$48*B289&gt;Valores!$C$45,Valores!$C$45,Valores!$C$48*B289),IF(Valores!$C$48*B289&gt;Valores!$C$45,Valores!$C$45,Valores!$C$48*B289)/2)</f>
        <v>11072.91</v>
      </c>
      <c r="S289" s="125">
        <f>Valores!$C$18*B289</f>
        <v>8260.16</v>
      </c>
      <c r="T289" s="125">
        <f t="shared" si="48"/>
        <v>8260.16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IF(Valores!$C$96*B289&gt;Valores!$C$95,Valores!$C$95,Valores!$C$96*B289)</f>
        <v>8958.08</v>
      </c>
      <c r="AA289" s="125">
        <f>IF((Valores!$C$28)*B289&gt;Valores!$F$28,Valores!$F$28,(Valores!$C$28)*B289)</f>
        <v>648.64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505.99</v>
      </c>
      <c r="AE289" s="192">
        <v>0</v>
      </c>
      <c r="AF289" s="125">
        <f>ROUND(AE289*Valores!$C$2,2)</f>
        <v>0</v>
      </c>
      <c r="AG289" s="125">
        <f>IF($F$4="NO",IF(Valores!$D$62*'Escala Docente'!B289&gt;Valores!$F$62,Valores!$F$62,Valores!$D$62*'Escala Docente'!B289),IF(Valores!$D$62*'Escala Docente'!B289&gt;Valores!$F$62,Valores!$F$62,Valores!$D$62*'Escala Docente'!B289)/2)</f>
        <v>12646.54</v>
      </c>
      <c r="AH289" s="125">
        <f t="shared" si="46"/>
        <v>153981.64000000001</v>
      </c>
      <c r="AI289" s="125">
        <f>IF(Valores!$C$32*B289&gt;Valores!$F$32,Valores!$F$32,Valores!$C$32*B289)</f>
        <v>0</v>
      </c>
      <c r="AJ289" s="125">
        <f>IF(Valores!$C$89*B289&gt;Valores!$C$88,Valores!$C$88,Valores!$C$89*B289)</f>
        <v>0</v>
      </c>
      <c r="AK289" s="125">
        <f>Valores!C$39*B289</f>
        <v>0</v>
      </c>
      <c r="AL289" s="125">
        <f>IF($F$3="NO",0,IF(Valores!$C$61*B289&gt;Valores!$F$61,Valores!$F$61,Valores!$C$61*B289))</f>
        <v>327.60000000000002</v>
      </c>
      <c r="AM289" s="125">
        <f t="shared" si="44"/>
        <v>327.60000000000002</v>
      </c>
      <c r="AN289" s="125">
        <f>AH289*Valores!$C$70</f>
        <v>-16937.9804</v>
      </c>
      <c r="AO289" s="125">
        <f>AH289*-Valores!$C$71</f>
        <v>0</v>
      </c>
      <c r="AP289" s="125">
        <f>AH289*Valores!$C$72</f>
        <v>-6929.1738000000005</v>
      </c>
      <c r="AQ289" s="125">
        <f>Valores!$C$99</f>
        <v>-280.91000000000003</v>
      </c>
      <c r="AR289" s="125">
        <f>IF($F$5=0,Valores!$C$100,(Valores!$C$100+$F$5*(Valores!$C$100)))</f>
        <v>-329</v>
      </c>
      <c r="AS289" s="125">
        <f t="shared" si="47"/>
        <v>129832.17580000001</v>
      </c>
      <c r="AT289" s="125">
        <f t="shared" si="41"/>
        <v>-16937.9804</v>
      </c>
      <c r="AU289" s="125">
        <f>AH289*Valores!$C$73</f>
        <v>-4157.5042800000001</v>
      </c>
      <c r="AV289" s="125">
        <f>AH289*Valores!$C$74</f>
        <v>-461.94492000000002</v>
      </c>
      <c r="AW289" s="125">
        <f t="shared" si="45"/>
        <v>132751.81040000002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61178.61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12076.75</v>
      </c>
      <c r="N290" s="125">
        <f t="shared" si="42"/>
        <v>0</v>
      </c>
      <c r="O290" s="125">
        <f>Valores!$C$7*B290</f>
        <v>26262.720000000001</v>
      </c>
      <c r="P290" s="125">
        <f>ROUND(IF(B290&lt;15,(Valores!$E$5*B290),Valores!$D$5),2)</f>
        <v>12371.24</v>
      </c>
      <c r="Q290" s="125">
        <v>0</v>
      </c>
      <c r="R290" s="125">
        <f>IF($F$4="NO",IF(Valores!$C$48*B290&gt;Valores!$C$45,Valores!$C$45,Valores!$C$48*B290),IF(Valores!$C$48*B290&gt;Valores!$C$45,Valores!$C$45,Valores!$C$48*B290)/2)</f>
        <v>11072.91</v>
      </c>
      <c r="S290" s="125">
        <f>Valores!$C$18*B290</f>
        <v>8260.16</v>
      </c>
      <c r="T290" s="125">
        <f t="shared" si="48"/>
        <v>8260.16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IF(Valores!$C$96*B290&gt;Valores!$C$95,Valores!$C$95,Valores!$C$96*B290)</f>
        <v>8958.08</v>
      </c>
      <c r="AA290" s="125">
        <f>IF((Valores!$C$28)*B290&gt;Valores!$F$28,Valores!$F$28,(Valores!$C$28)*B290)</f>
        <v>648.64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505.99</v>
      </c>
      <c r="AE290" s="192">
        <v>94</v>
      </c>
      <c r="AF290" s="125">
        <f>ROUND(AE290*Valores!$C$2,2)</f>
        <v>2274.84</v>
      </c>
      <c r="AG290" s="125">
        <f>IF($F$4="NO",IF(Valores!$D$62*'Escala Docente'!B290&gt;Valores!$F$62,Valores!$F$62,Valores!$D$62*'Escala Docente'!B290),IF(Valores!$D$62*'Escala Docente'!B290&gt;Valores!$F$62,Valores!$F$62,Valores!$D$62*'Escala Docente'!B290)/2)</f>
        <v>12646.54</v>
      </c>
      <c r="AH290" s="125">
        <f t="shared" si="46"/>
        <v>156256.48000000001</v>
      </c>
      <c r="AI290" s="125">
        <f>IF(Valores!$C$32*B290&gt;Valores!$F$32,Valores!$F$32,Valores!$C$32*B290)</f>
        <v>0</v>
      </c>
      <c r="AJ290" s="125">
        <f>IF(Valores!$C$89*B290&gt;Valores!$C$88,Valores!$C$88,Valores!$C$89*B290)</f>
        <v>0</v>
      </c>
      <c r="AK290" s="125">
        <f>Valores!C$39*B290</f>
        <v>0</v>
      </c>
      <c r="AL290" s="125">
        <f>IF($F$3="NO",0,IF(Valores!$C$61*B290&gt;Valores!$F$61,Valores!$F$61,Valores!$C$61*B290))</f>
        <v>327.60000000000002</v>
      </c>
      <c r="AM290" s="125">
        <f t="shared" si="44"/>
        <v>327.60000000000002</v>
      </c>
      <c r="AN290" s="125">
        <f>AH290*Valores!$C$70</f>
        <v>-17188.212800000001</v>
      </c>
      <c r="AO290" s="125">
        <f>AH290*-Valores!$C$71</f>
        <v>0</v>
      </c>
      <c r="AP290" s="125">
        <f>AH290*Valores!$C$72</f>
        <v>-7031.5416000000005</v>
      </c>
      <c r="AQ290" s="125">
        <f>Valores!$C$99</f>
        <v>-280.91000000000003</v>
      </c>
      <c r="AR290" s="125">
        <f>IF($F$5=0,Valores!$C$100,(Valores!$C$100+$F$5*(Valores!$C$100)))</f>
        <v>-329</v>
      </c>
      <c r="AS290" s="125">
        <f t="shared" si="47"/>
        <v>131754.41560000001</v>
      </c>
      <c r="AT290" s="125">
        <f t="shared" si="41"/>
        <v>-17188.212800000001</v>
      </c>
      <c r="AU290" s="125">
        <f>AH290*Valores!$C$73</f>
        <v>-4218.9249600000003</v>
      </c>
      <c r="AV290" s="125">
        <f>AH290*Valores!$C$74</f>
        <v>-468.76944000000003</v>
      </c>
      <c r="AW290" s="125">
        <f t="shared" si="45"/>
        <v>134708.1728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63090.44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12402.25</v>
      </c>
      <c r="N291" s="125">
        <f t="shared" si="42"/>
        <v>0</v>
      </c>
      <c r="O291" s="125">
        <f>Valores!$C$7*B291</f>
        <v>27083.43</v>
      </c>
      <c r="P291" s="125">
        <f>ROUND(IF(B291&lt;15,(Valores!$E$5*B291),Valores!$D$5),2)</f>
        <v>12371.24</v>
      </c>
      <c r="Q291" s="125">
        <v>0</v>
      </c>
      <c r="R291" s="125">
        <f>IF($F$4="NO",IF(Valores!$C$48*B291&gt;Valores!$C$45,Valores!$C$45,Valores!$C$48*B291),IF(Valores!$C$48*B291&gt;Valores!$C$45,Valores!$C$45,Valores!$C$48*B291)/2)</f>
        <v>11072.91</v>
      </c>
      <c r="S291" s="125">
        <f>Valores!$C$18*B291</f>
        <v>8518.2899999999991</v>
      </c>
      <c r="T291" s="125">
        <f t="shared" si="48"/>
        <v>8518.2900000000009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IF(Valores!$C$96*B291&gt;Valores!$C$95,Valores!$C$95,Valores!$C$96*B291)</f>
        <v>9238.02</v>
      </c>
      <c r="AA291" s="125">
        <f>IF((Valores!$C$28)*B291&gt;Valores!$F$28,Valores!$F$28,(Valores!$C$28)*B291)</f>
        <v>668.91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505.99</v>
      </c>
      <c r="AE291" s="192">
        <v>0</v>
      </c>
      <c r="AF291" s="125">
        <f>ROUND(AE291*Valores!$C$2,2)</f>
        <v>0</v>
      </c>
      <c r="AG291" s="125">
        <f>IF($F$4="NO",IF(Valores!$D$62*'Escala Docente'!B291&gt;Valores!$F$62,Valores!$F$62,Valores!$D$62*'Escala Docente'!B291),IF(Valores!$D$62*'Escala Docente'!B291&gt;Valores!$F$62,Valores!$F$62,Valores!$D$62*'Escala Docente'!B291)/2)</f>
        <v>12646.54</v>
      </c>
      <c r="AH291" s="125">
        <f t="shared" si="46"/>
        <v>157598.01999999999</v>
      </c>
      <c r="AI291" s="125">
        <f>IF(Valores!$C$32*B291&gt;Valores!$F$32,Valores!$F$32,Valores!$C$32*B291)</f>
        <v>0</v>
      </c>
      <c r="AJ291" s="125">
        <f>IF(Valores!$C$89*B291&gt;Valores!$C$88,Valores!$C$88,Valores!$C$89*B291)</f>
        <v>0</v>
      </c>
      <c r="AK291" s="125">
        <f>Valores!C$39*B291</f>
        <v>0</v>
      </c>
      <c r="AL291" s="125">
        <f>IF($F$3="NO",0,IF(Valores!$C$61*B291&gt;Valores!$F$61,Valores!$F$61,Valores!$C$61*B291))</f>
        <v>327.60000000000002</v>
      </c>
      <c r="AM291" s="125">
        <f t="shared" si="44"/>
        <v>327.60000000000002</v>
      </c>
      <c r="AN291" s="125">
        <f>AH291*Valores!$C$70</f>
        <v>-17335.782199999998</v>
      </c>
      <c r="AO291" s="125">
        <f>AH291*-Valores!$C$71</f>
        <v>0</v>
      </c>
      <c r="AP291" s="125">
        <f>AH291*Valores!$C$72</f>
        <v>-7091.9108999999989</v>
      </c>
      <c r="AQ291" s="125">
        <f>Valores!$C$99</f>
        <v>-280.91000000000003</v>
      </c>
      <c r="AR291" s="125">
        <f>IF($F$5=0,Valores!$C$100,(Valores!$C$100+$F$5*(Valores!$C$100)))</f>
        <v>-329</v>
      </c>
      <c r="AS291" s="125">
        <f t="shared" si="47"/>
        <v>132888.01689999999</v>
      </c>
      <c r="AT291" s="125">
        <f t="shared" si="41"/>
        <v>-17335.782199999998</v>
      </c>
      <c r="AU291" s="125">
        <f>AH291*Valores!$C$73</f>
        <v>-4255.1465399999997</v>
      </c>
      <c r="AV291" s="125">
        <f>AH291*Valores!$C$74</f>
        <v>-472.79406</v>
      </c>
      <c r="AW291" s="125">
        <f t="shared" si="45"/>
        <v>135861.89720000001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63090.44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12402.25</v>
      </c>
      <c r="N292" s="125">
        <f t="shared" si="42"/>
        <v>0</v>
      </c>
      <c r="O292" s="125">
        <f>Valores!$C$7*B292</f>
        <v>27083.43</v>
      </c>
      <c r="P292" s="125">
        <f>ROUND(IF(B292&lt;15,(Valores!$E$5*B292),Valores!$D$5),2)</f>
        <v>12371.24</v>
      </c>
      <c r="Q292" s="125">
        <v>0</v>
      </c>
      <c r="R292" s="125">
        <f>IF($F$4="NO",IF(Valores!$C$48*B292&gt;Valores!$C$45,Valores!$C$45,Valores!$C$48*B292),IF(Valores!$C$48*B292&gt;Valores!$C$45,Valores!$C$45,Valores!$C$48*B292)/2)</f>
        <v>11072.91</v>
      </c>
      <c r="S292" s="125">
        <f>Valores!$C$18*B292</f>
        <v>8518.2899999999991</v>
      </c>
      <c r="T292" s="125">
        <f t="shared" si="48"/>
        <v>8518.2900000000009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IF(Valores!$C$96*B292&gt;Valores!$C$95,Valores!$C$95,Valores!$C$96*B292)</f>
        <v>9238.02</v>
      </c>
      <c r="AA292" s="125">
        <f>IF((Valores!$C$28)*B292&gt;Valores!$F$28,Valores!$F$28,(Valores!$C$28)*B292)</f>
        <v>668.91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505.99</v>
      </c>
      <c r="AE292" s="192">
        <v>94</v>
      </c>
      <c r="AF292" s="125">
        <f>ROUND(AE292*Valores!$C$2,2)</f>
        <v>2274.84</v>
      </c>
      <c r="AG292" s="125">
        <f>IF($F$4="NO",IF(Valores!$D$62*'Escala Docente'!B292&gt;Valores!$F$62,Valores!$F$62,Valores!$D$62*'Escala Docente'!B292),IF(Valores!$D$62*'Escala Docente'!B292&gt;Valores!$F$62,Valores!$F$62,Valores!$D$62*'Escala Docente'!B292)/2)</f>
        <v>12646.54</v>
      </c>
      <c r="AH292" s="125">
        <f t="shared" si="46"/>
        <v>159872.85999999999</v>
      </c>
      <c r="AI292" s="125">
        <f>IF(Valores!$C$32*B292&gt;Valores!$F$32,Valores!$F$32,Valores!$C$32*B292)</f>
        <v>0</v>
      </c>
      <c r="AJ292" s="125">
        <f>IF(Valores!$C$89*B292&gt;Valores!$C$88,Valores!$C$88,Valores!$C$89*B292)</f>
        <v>0</v>
      </c>
      <c r="AK292" s="125">
        <f>Valores!C$39*B292</f>
        <v>0</v>
      </c>
      <c r="AL292" s="125">
        <f>IF($F$3="NO",0,IF(Valores!$C$61*B292&gt;Valores!$F$61,Valores!$F$61,Valores!$C$61*B292))</f>
        <v>327.60000000000002</v>
      </c>
      <c r="AM292" s="125">
        <f t="shared" si="44"/>
        <v>327.60000000000002</v>
      </c>
      <c r="AN292" s="125">
        <f>AH292*Valores!$C$70</f>
        <v>-17586.014599999999</v>
      </c>
      <c r="AO292" s="125">
        <f>AH292*-Valores!$C$71</f>
        <v>0</v>
      </c>
      <c r="AP292" s="125">
        <f>AH292*Valores!$C$72</f>
        <v>-7194.2786999999989</v>
      </c>
      <c r="AQ292" s="125">
        <f>Valores!$C$99</f>
        <v>-280.91000000000003</v>
      </c>
      <c r="AR292" s="125">
        <f>IF($F$5=0,Valores!$C$100,(Valores!$C$100+$F$5*(Valores!$C$100)))</f>
        <v>-329</v>
      </c>
      <c r="AS292" s="125">
        <f t="shared" si="47"/>
        <v>134810.2567</v>
      </c>
      <c r="AT292" s="125">
        <f t="shared" si="41"/>
        <v>-17586.014599999999</v>
      </c>
      <c r="AU292" s="125">
        <f>AH292*Valores!$C$73</f>
        <v>-4316.5672199999999</v>
      </c>
      <c r="AV292" s="125">
        <f>AH292*Valores!$C$74</f>
        <v>-479.61857999999995</v>
      </c>
      <c r="AW292" s="125">
        <f t="shared" si="45"/>
        <v>137818.25959999999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65002.27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12727.74</v>
      </c>
      <c r="N293" s="125">
        <f t="shared" si="42"/>
        <v>0</v>
      </c>
      <c r="O293" s="125">
        <f>Valores!$C$7*B293</f>
        <v>27904.14</v>
      </c>
      <c r="P293" s="125">
        <f>ROUND(IF(B293&lt;15,(Valores!$E$5*B293),Valores!$D$5),2)</f>
        <v>12371.24</v>
      </c>
      <c r="Q293" s="125">
        <v>0</v>
      </c>
      <c r="R293" s="125">
        <f>IF($F$4="NO",IF(Valores!$C$48*B293&gt;Valores!$C$45,Valores!$C$45,Valores!$C$48*B293),IF(Valores!$C$48*B293&gt;Valores!$C$45,Valores!$C$45,Valores!$C$48*B293)/2)</f>
        <v>11072.91</v>
      </c>
      <c r="S293" s="125">
        <f>Valores!$C$18*B293</f>
        <v>8776.42</v>
      </c>
      <c r="T293" s="125">
        <f t="shared" si="48"/>
        <v>8776.42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IF(Valores!$C$96*B293&gt;Valores!$C$95,Valores!$C$95,Valores!$C$96*B293)</f>
        <v>9517.9599999999991</v>
      </c>
      <c r="AA293" s="125">
        <f>IF((Valores!$C$28)*B293&gt;Valores!$F$28,Valores!$F$28,(Valores!$C$28)*B293)</f>
        <v>689.18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505.99</v>
      </c>
      <c r="AE293" s="192">
        <v>0</v>
      </c>
      <c r="AF293" s="125">
        <f>ROUND(AE293*Valores!$C$2,2)</f>
        <v>0</v>
      </c>
      <c r="AG293" s="125">
        <f>IF($F$4="NO",IF(Valores!$D$62*'Escala Docente'!B293&gt;Valores!$F$62,Valores!$F$62,Valores!$D$62*'Escala Docente'!B293),IF(Valores!$D$62*'Escala Docente'!B293&gt;Valores!$F$62,Valores!$F$62,Valores!$D$62*'Escala Docente'!B293)/2)</f>
        <v>12646.54</v>
      </c>
      <c r="AH293" s="125">
        <f t="shared" si="46"/>
        <v>161214.38999999998</v>
      </c>
      <c r="AI293" s="125">
        <f>IF(Valores!$C$32*B293&gt;Valores!$F$32,Valores!$F$32,Valores!$C$32*B293)</f>
        <v>0</v>
      </c>
      <c r="AJ293" s="125">
        <f>IF(Valores!$C$89*B293&gt;Valores!$C$88,Valores!$C$88,Valores!$C$89*B293)</f>
        <v>0</v>
      </c>
      <c r="AK293" s="125">
        <f>Valores!C$39*B293</f>
        <v>0</v>
      </c>
      <c r="AL293" s="125">
        <f>IF($F$3="NO",0,IF(Valores!$C$61*B293&gt;Valores!$F$61,Valores!$F$61,Valores!$C$61*B293))</f>
        <v>327.60000000000002</v>
      </c>
      <c r="AM293" s="125">
        <f t="shared" si="44"/>
        <v>327.60000000000002</v>
      </c>
      <c r="AN293" s="125">
        <f>AH293*Valores!$C$70</f>
        <v>-17733.582899999998</v>
      </c>
      <c r="AO293" s="125">
        <f>AH293*-Valores!$C$71</f>
        <v>0</v>
      </c>
      <c r="AP293" s="125">
        <f>AH293*Valores!$C$72</f>
        <v>-7254.6475499999988</v>
      </c>
      <c r="AQ293" s="125">
        <f>Valores!$C$99</f>
        <v>-280.91000000000003</v>
      </c>
      <c r="AR293" s="125">
        <f>IF($F$5=0,Valores!$C$100,(Valores!$C$100+$F$5*(Valores!$C$100)))</f>
        <v>-329</v>
      </c>
      <c r="AS293" s="125">
        <f t="shared" si="47"/>
        <v>135943.84954999998</v>
      </c>
      <c r="AT293" s="125">
        <f t="shared" si="41"/>
        <v>-17733.582899999998</v>
      </c>
      <c r="AU293" s="125">
        <f>AH293*Valores!$C$73</f>
        <v>-4352.7885299999998</v>
      </c>
      <c r="AV293" s="125">
        <f>AH293*Valores!$C$74</f>
        <v>-483.64316999999994</v>
      </c>
      <c r="AW293" s="125">
        <f t="shared" si="45"/>
        <v>138971.9754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65002.27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12727.74</v>
      </c>
      <c r="N294" s="125">
        <f t="shared" si="42"/>
        <v>0</v>
      </c>
      <c r="O294" s="125">
        <f>Valores!$C$7*B294</f>
        <v>27904.14</v>
      </c>
      <c r="P294" s="125">
        <f>ROUND(IF(B294&lt;15,(Valores!$E$5*B294),Valores!$D$5),2)</f>
        <v>12371.24</v>
      </c>
      <c r="Q294" s="125">
        <v>0</v>
      </c>
      <c r="R294" s="125">
        <f>IF($F$4="NO",IF(Valores!$C$48*B294&gt;Valores!$C$45,Valores!$C$45,Valores!$C$48*B294),IF(Valores!$C$48*B294&gt;Valores!$C$45,Valores!$C$45,Valores!$C$48*B294)/2)</f>
        <v>11072.91</v>
      </c>
      <c r="S294" s="125">
        <f>Valores!$C$18*B294</f>
        <v>8776.42</v>
      </c>
      <c r="T294" s="125">
        <f t="shared" si="48"/>
        <v>8776.42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IF(Valores!$C$96*B294&gt;Valores!$C$95,Valores!$C$95,Valores!$C$96*B294)</f>
        <v>9517.9599999999991</v>
      </c>
      <c r="AA294" s="125">
        <f>IF((Valores!$C$28)*B294&gt;Valores!$F$28,Valores!$F$28,(Valores!$C$28)*B294)</f>
        <v>689.18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505.99</v>
      </c>
      <c r="AE294" s="192">
        <v>94</v>
      </c>
      <c r="AF294" s="125">
        <f>ROUND(AE294*Valores!$C$2,2)</f>
        <v>2274.84</v>
      </c>
      <c r="AG294" s="125">
        <f>IF($F$4="NO",IF(Valores!$D$62*'Escala Docente'!B294&gt;Valores!$F$62,Valores!$F$62,Valores!$D$62*'Escala Docente'!B294),IF(Valores!$D$62*'Escala Docente'!B294&gt;Valores!$F$62,Valores!$F$62,Valores!$D$62*'Escala Docente'!B294)/2)</f>
        <v>12646.54</v>
      </c>
      <c r="AH294" s="125">
        <f t="shared" si="46"/>
        <v>163489.22999999998</v>
      </c>
      <c r="AI294" s="125">
        <f>IF(Valores!$C$32*B294&gt;Valores!$F$32,Valores!$F$32,Valores!$C$32*B294)</f>
        <v>0</v>
      </c>
      <c r="AJ294" s="125">
        <f>IF(Valores!$C$89*B294&gt;Valores!$C$88,Valores!$C$88,Valores!$C$89*B294)</f>
        <v>0</v>
      </c>
      <c r="AK294" s="125">
        <f>Valores!C$39*B294</f>
        <v>0</v>
      </c>
      <c r="AL294" s="125">
        <f>IF($F$3="NO",0,IF(Valores!$C$61*B294&gt;Valores!$F$61,Valores!$F$61,Valores!$C$61*B294))</f>
        <v>327.60000000000002</v>
      </c>
      <c r="AM294" s="125">
        <f t="shared" si="44"/>
        <v>327.60000000000002</v>
      </c>
      <c r="AN294" s="125">
        <f>AH294*Valores!$C$70</f>
        <v>-17983.815299999998</v>
      </c>
      <c r="AO294" s="125">
        <f>AH294*-Valores!$C$71</f>
        <v>0</v>
      </c>
      <c r="AP294" s="125">
        <f>AH294*Valores!$C$72</f>
        <v>-7357.0153499999988</v>
      </c>
      <c r="AQ294" s="125">
        <f>Valores!$C$99</f>
        <v>-280.91000000000003</v>
      </c>
      <c r="AR294" s="125">
        <f>IF($F$5=0,Valores!$C$100,(Valores!$C$100+$F$5*(Valores!$C$100)))</f>
        <v>-329</v>
      </c>
      <c r="AS294" s="125">
        <f t="shared" si="47"/>
        <v>137866.08934999999</v>
      </c>
      <c r="AT294" s="125">
        <f t="shared" si="41"/>
        <v>-17983.815299999998</v>
      </c>
      <c r="AU294" s="125">
        <f>AH294*Valores!$C$73</f>
        <v>-4414.2092099999991</v>
      </c>
      <c r="AV294" s="125">
        <f>AH294*Valores!$C$74</f>
        <v>-490.46768999999995</v>
      </c>
      <c r="AW294" s="125">
        <f t="shared" si="45"/>
        <v>140928.33779999998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66914.11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13053.24</v>
      </c>
      <c r="N295" s="125">
        <f t="shared" si="42"/>
        <v>0</v>
      </c>
      <c r="O295" s="125">
        <f>Valores!$C$7*B295</f>
        <v>28724.850000000002</v>
      </c>
      <c r="P295" s="125">
        <f>ROUND(IF(B295&lt;15,(Valores!$E$5*B295),Valores!$D$5),2)</f>
        <v>12371.24</v>
      </c>
      <c r="Q295" s="125">
        <v>0</v>
      </c>
      <c r="R295" s="125">
        <f>IF($F$4="NO",IF(Valores!$C$48*B295&gt;Valores!$C$45,Valores!$C$45,Valores!$C$48*B295),IF(Valores!$C$48*B295&gt;Valores!$C$45,Valores!$C$45,Valores!$C$48*B295)/2)</f>
        <v>11072.91</v>
      </c>
      <c r="S295" s="125">
        <f>Valores!$C$18*B295</f>
        <v>9034.5499999999993</v>
      </c>
      <c r="T295" s="125">
        <f t="shared" si="48"/>
        <v>9034.5499999999993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IF(Valores!$C$96*B295&gt;Valores!$C$95,Valores!$C$95,Valores!$C$96*B295)</f>
        <v>9797.9</v>
      </c>
      <c r="AA295" s="125">
        <f>IF((Valores!$C$28)*B295&gt;Valores!$F$28,Valores!$F$28,(Valores!$C$28)*B295)</f>
        <v>709.44999999999993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505.99</v>
      </c>
      <c r="AE295" s="192">
        <v>0</v>
      </c>
      <c r="AF295" s="125">
        <f>ROUND(AE295*Valores!$C$2,2)</f>
        <v>0</v>
      </c>
      <c r="AG295" s="125">
        <f>IF($F$4="NO",IF(Valores!$D$62*'Escala Docente'!B295&gt;Valores!$F$62,Valores!$F$62,Valores!$D$62*'Escala Docente'!B295),IF(Valores!$D$62*'Escala Docente'!B295&gt;Valores!$F$62,Valores!$F$62,Valores!$D$62*'Escala Docente'!B295)/2)</f>
        <v>12646.54</v>
      </c>
      <c r="AH295" s="125">
        <f t="shared" si="46"/>
        <v>164830.78</v>
      </c>
      <c r="AI295" s="125">
        <f>IF(Valores!$C$32*B295&gt;Valores!$F$32,Valores!$F$32,Valores!$C$32*B295)</f>
        <v>0</v>
      </c>
      <c r="AJ295" s="125">
        <f>IF(Valores!$C$89*B295&gt;Valores!$C$88,Valores!$C$88,Valores!$C$89*B295)</f>
        <v>0</v>
      </c>
      <c r="AK295" s="125">
        <f>Valores!C$39*B295</f>
        <v>0</v>
      </c>
      <c r="AL295" s="125">
        <f>IF($F$3="NO",0,IF(Valores!$C$61*B295&gt;Valores!$F$61,Valores!$F$61,Valores!$C$61*B295))</f>
        <v>327.60000000000002</v>
      </c>
      <c r="AM295" s="125">
        <f t="shared" si="44"/>
        <v>327.60000000000002</v>
      </c>
      <c r="AN295" s="125">
        <f>AH295*Valores!$C$70</f>
        <v>-18131.3858</v>
      </c>
      <c r="AO295" s="125">
        <f>AH295*-Valores!$C$71</f>
        <v>0</v>
      </c>
      <c r="AP295" s="125">
        <f>AH295*Valores!$C$72</f>
        <v>-7417.3850999999995</v>
      </c>
      <c r="AQ295" s="125">
        <f>Valores!$C$99</f>
        <v>-280.91000000000003</v>
      </c>
      <c r="AR295" s="125">
        <f>IF($F$5=0,Valores!$C$100,(Valores!$C$100+$F$5*(Valores!$C$100)))</f>
        <v>-329</v>
      </c>
      <c r="AS295" s="125">
        <f t="shared" si="47"/>
        <v>138999.6991</v>
      </c>
      <c r="AT295" s="125">
        <f t="shared" si="41"/>
        <v>-18131.3858</v>
      </c>
      <c r="AU295" s="125">
        <f>AH295*Valores!$C$73</f>
        <v>-4450.4310599999999</v>
      </c>
      <c r="AV295" s="125">
        <f>AH295*Valores!$C$74</f>
        <v>-494.49234000000001</v>
      </c>
      <c r="AW295" s="125">
        <f t="shared" si="45"/>
        <v>142082.07080000002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66914.11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13053.24</v>
      </c>
      <c r="N296" s="125">
        <f t="shared" si="42"/>
        <v>0</v>
      </c>
      <c r="O296" s="125">
        <f>Valores!$C$7*B296</f>
        <v>28724.850000000002</v>
      </c>
      <c r="P296" s="125">
        <f>ROUND(IF(B296&lt;15,(Valores!$E$5*B296),Valores!$D$5),2)</f>
        <v>12371.24</v>
      </c>
      <c r="Q296" s="125">
        <v>0</v>
      </c>
      <c r="R296" s="125">
        <f>IF($F$4="NO",IF(Valores!$C$48*B296&gt;Valores!$C$45,Valores!$C$45,Valores!$C$48*B296),IF(Valores!$C$48*B296&gt;Valores!$C$45,Valores!$C$45,Valores!$C$48*B296)/2)</f>
        <v>11072.91</v>
      </c>
      <c r="S296" s="125">
        <f>Valores!$C$18*B296</f>
        <v>9034.5499999999993</v>
      </c>
      <c r="T296" s="125">
        <f t="shared" si="48"/>
        <v>9034.5499999999993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IF(Valores!$C$96*B296&gt;Valores!$C$95,Valores!$C$95,Valores!$C$96*B296)</f>
        <v>9797.9</v>
      </c>
      <c r="AA296" s="125">
        <f>IF((Valores!$C$28)*B296&gt;Valores!$F$28,Valores!$F$28,(Valores!$C$28)*B296)</f>
        <v>709.44999999999993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505.99</v>
      </c>
      <c r="AE296" s="192">
        <v>94</v>
      </c>
      <c r="AF296" s="125">
        <f>ROUND(AE296*Valores!$C$2,2)</f>
        <v>2274.84</v>
      </c>
      <c r="AG296" s="125">
        <f>IF($F$4="NO",IF(Valores!$D$62*'Escala Docente'!B296&gt;Valores!$F$62,Valores!$F$62,Valores!$D$62*'Escala Docente'!B296),IF(Valores!$D$62*'Escala Docente'!B296&gt;Valores!$F$62,Valores!$F$62,Valores!$D$62*'Escala Docente'!B296)/2)</f>
        <v>12646.54</v>
      </c>
      <c r="AH296" s="125">
        <f t="shared" si="46"/>
        <v>167105.62</v>
      </c>
      <c r="AI296" s="125">
        <f>IF(Valores!$C$32*B296&gt;Valores!$F$32,Valores!$F$32,Valores!$C$32*B296)</f>
        <v>0</v>
      </c>
      <c r="AJ296" s="125">
        <f>IF(Valores!$C$89*B296&gt;Valores!$C$88,Valores!$C$88,Valores!$C$89*B296)</f>
        <v>0</v>
      </c>
      <c r="AK296" s="125">
        <f>Valores!C$39*B296</f>
        <v>0</v>
      </c>
      <c r="AL296" s="125">
        <f>IF($F$3="NO",0,IF(Valores!$C$61*B296&gt;Valores!$F$61,Valores!$F$61,Valores!$C$61*B296))</f>
        <v>327.60000000000002</v>
      </c>
      <c r="AM296" s="125">
        <f t="shared" si="44"/>
        <v>327.60000000000002</v>
      </c>
      <c r="AN296" s="125">
        <f>AH296*Valores!$C$70</f>
        <v>-18381.618200000001</v>
      </c>
      <c r="AO296" s="125">
        <f>AH296*-Valores!$C$71</f>
        <v>0</v>
      </c>
      <c r="AP296" s="125">
        <f>AH296*Valores!$C$72</f>
        <v>-7519.7528999999995</v>
      </c>
      <c r="AQ296" s="125">
        <f>Valores!$C$99</f>
        <v>-280.91000000000003</v>
      </c>
      <c r="AR296" s="125">
        <f>IF($F$5=0,Valores!$C$100,(Valores!$C$100+$F$5*(Valores!$C$100)))</f>
        <v>-329</v>
      </c>
      <c r="AS296" s="125">
        <f t="shared" si="47"/>
        <v>140921.93890000001</v>
      </c>
      <c r="AT296" s="125">
        <f t="shared" si="41"/>
        <v>-18381.618200000001</v>
      </c>
      <c r="AU296" s="125">
        <f>AH296*Valores!$C$73</f>
        <v>-4511.8517400000001</v>
      </c>
      <c r="AV296" s="125">
        <f>AH296*Valores!$C$74</f>
        <v>-501.31686000000002</v>
      </c>
      <c r="AW296" s="125">
        <f t="shared" si="45"/>
        <v>144038.4332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68825.94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13378.73</v>
      </c>
      <c r="N297" s="125">
        <f t="shared" si="42"/>
        <v>0</v>
      </c>
      <c r="O297" s="125">
        <f>Valores!$C$7*B297</f>
        <v>29545.56</v>
      </c>
      <c r="P297" s="125">
        <f>ROUND(IF(B297&lt;15,(Valores!$E$5*B297),Valores!$D$5),2)</f>
        <v>12371.24</v>
      </c>
      <c r="Q297" s="125">
        <v>0</v>
      </c>
      <c r="R297" s="125">
        <f>IF($F$4="NO",IF(Valores!$C$48*B297&gt;Valores!$C$45,Valores!$C$45,Valores!$C$48*B297),IF(Valores!$C$48*B297&gt;Valores!$C$45,Valores!$C$45,Valores!$C$48*B297)/2)</f>
        <v>11072.91</v>
      </c>
      <c r="S297" s="125">
        <f>Valores!$C$18*B297</f>
        <v>9292.68</v>
      </c>
      <c r="T297" s="125">
        <f t="shared" si="48"/>
        <v>9292.68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IF(Valores!$C$96*B297&gt;Valores!$C$95,Valores!$C$95,Valores!$C$96*B297)</f>
        <v>10077.84</v>
      </c>
      <c r="AA297" s="125">
        <f>IF((Valores!$C$28)*B297&gt;Valores!$F$28,Valores!$F$28,(Valores!$C$28)*B297)</f>
        <v>729.72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505.99</v>
      </c>
      <c r="AE297" s="192">
        <v>0</v>
      </c>
      <c r="AF297" s="125">
        <f>ROUND(AE297*Valores!$C$2,2)</f>
        <v>0</v>
      </c>
      <c r="AG297" s="125">
        <f>IF($F$4="NO",IF(Valores!$D$62*'Escala Docente'!B297&gt;Valores!$F$62,Valores!$F$62,Valores!$D$62*'Escala Docente'!B297),IF(Valores!$D$62*'Escala Docente'!B297&gt;Valores!$F$62,Valores!$F$62,Valores!$D$62*'Escala Docente'!B297)/2)</f>
        <v>12646.54</v>
      </c>
      <c r="AH297" s="125">
        <f t="shared" si="46"/>
        <v>168447.15</v>
      </c>
      <c r="AI297" s="125">
        <f>IF(Valores!$C$32*B297&gt;Valores!$F$32,Valores!$F$32,Valores!$C$32*B297)</f>
        <v>0</v>
      </c>
      <c r="AJ297" s="125">
        <f>IF(Valores!$C$89*B297&gt;Valores!$C$88,Valores!$C$88,Valores!$C$89*B297)</f>
        <v>0</v>
      </c>
      <c r="AK297" s="125">
        <f>Valores!C$39*B297</f>
        <v>0</v>
      </c>
      <c r="AL297" s="125">
        <f>IF($F$3="NO",0,IF(Valores!$C$61*B297&gt;Valores!$F$61,Valores!$F$61,Valores!$C$61*B297))</f>
        <v>327.60000000000002</v>
      </c>
      <c r="AM297" s="125">
        <f t="shared" si="44"/>
        <v>327.60000000000002</v>
      </c>
      <c r="AN297" s="125">
        <f>AH297*Valores!$C$70</f>
        <v>-18529.1865</v>
      </c>
      <c r="AO297" s="125">
        <f>AH297*-Valores!$C$71</f>
        <v>0</v>
      </c>
      <c r="AP297" s="125">
        <f>AH297*Valores!$C$72</f>
        <v>-7580.1217499999993</v>
      </c>
      <c r="AQ297" s="125">
        <f>Valores!$C$99</f>
        <v>-280.91000000000003</v>
      </c>
      <c r="AR297" s="125">
        <f>IF($F$5=0,Valores!$C$100,(Valores!$C$100+$F$5*(Valores!$C$100)))</f>
        <v>-329</v>
      </c>
      <c r="AS297" s="125">
        <f t="shared" si="47"/>
        <v>142055.53174999999</v>
      </c>
      <c r="AT297" s="125">
        <f t="shared" si="41"/>
        <v>-18529.1865</v>
      </c>
      <c r="AU297" s="125">
        <f>AH297*Valores!$C$73</f>
        <v>-4548.07305</v>
      </c>
      <c r="AV297" s="125">
        <f>AH297*Valores!$C$74</f>
        <v>-505.34145000000001</v>
      </c>
      <c r="AW297" s="125">
        <f t="shared" si="45"/>
        <v>145192.149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68825.94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13378.73</v>
      </c>
      <c r="N298" s="125">
        <f t="shared" si="42"/>
        <v>0</v>
      </c>
      <c r="O298" s="125">
        <f>Valores!$C$7*B298</f>
        <v>29545.56</v>
      </c>
      <c r="P298" s="125">
        <f>ROUND(IF(B298&lt;15,(Valores!$E$5*B298),Valores!$D$5),2)</f>
        <v>12371.24</v>
      </c>
      <c r="Q298" s="125">
        <v>0</v>
      </c>
      <c r="R298" s="125">
        <f>IF($F$4="NO",IF(Valores!$C$48*B298&gt;Valores!$C$45,Valores!$C$45,Valores!$C$48*B298),IF(Valores!$C$48*B298&gt;Valores!$C$45,Valores!$C$45,Valores!$C$48*B298)/2)</f>
        <v>11072.91</v>
      </c>
      <c r="S298" s="125">
        <f>Valores!$C$18*B298</f>
        <v>9292.68</v>
      </c>
      <c r="T298" s="125">
        <f t="shared" si="48"/>
        <v>9292.68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IF(Valores!$C$96*B298&gt;Valores!$C$95,Valores!$C$95,Valores!$C$96*B298)</f>
        <v>10077.84</v>
      </c>
      <c r="AA298" s="125">
        <f>IF((Valores!$C$28)*B298&gt;Valores!$F$28,Valores!$F$28,(Valores!$C$28)*B298)</f>
        <v>729.72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505.99</v>
      </c>
      <c r="AE298" s="192">
        <v>94</v>
      </c>
      <c r="AF298" s="125">
        <f>ROUND(AE298*Valores!$C$2,2)</f>
        <v>2274.84</v>
      </c>
      <c r="AG298" s="125">
        <f>IF($F$4="NO",IF(Valores!$D$62*'Escala Docente'!B298&gt;Valores!$F$62,Valores!$F$62,Valores!$D$62*'Escala Docente'!B298),IF(Valores!$D$62*'Escala Docente'!B298&gt;Valores!$F$62,Valores!$F$62,Valores!$D$62*'Escala Docente'!B298)/2)</f>
        <v>12646.54</v>
      </c>
      <c r="AH298" s="125">
        <f t="shared" si="46"/>
        <v>170721.99</v>
      </c>
      <c r="AI298" s="125">
        <f>IF(Valores!$C$32*B298&gt;Valores!$F$32,Valores!$F$32,Valores!$C$32*B298)</f>
        <v>0</v>
      </c>
      <c r="AJ298" s="125">
        <f>IF(Valores!$C$89*B298&gt;Valores!$C$88,Valores!$C$88,Valores!$C$89*B298)</f>
        <v>0</v>
      </c>
      <c r="AK298" s="125">
        <f>Valores!C$39*B298</f>
        <v>0</v>
      </c>
      <c r="AL298" s="125">
        <f>IF($F$3="NO",0,IF(Valores!$C$61*B298&gt;Valores!$F$61,Valores!$F$61,Valores!$C$61*B298))</f>
        <v>327.60000000000002</v>
      </c>
      <c r="AM298" s="125">
        <f t="shared" si="44"/>
        <v>327.60000000000002</v>
      </c>
      <c r="AN298" s="125">
        <f>AH298*Valores!$C$70</f>
        <v>-18779.418900000001</v>
      </c>
      <c r="AO298" s="125">
        <f>AH298*-Valores!$C$71</f>
        <v>0</v>
      </c>
      <c r="AP298" s="125">
        <f>AH298*Valores!$C$72</f>
        <v>-7682.4895499999993</v>
      </c>
      <c r="AQ298" s="125">
        <f>Valores!$C$99</f>
        <v>-280.91000000000003</v>
      </c>
      <c r="AR298" s="125">
        <f>IF($F$5=0,Valores!$C$100,(Valores!$C$100+$F$5*(Valores!$C$100)))</f>
        <v>-329</v>
      </c>
      <c r="AS298" s="125">
        <f t="shared" si="47"/>
        <v>143977.77155</v>
      </c>
      <c r="AT298" s="125">
        <f t="shared" si="41"/>
        <v>-18779.418900000001</v>
      </c>
      <c r="AU298" s="125">
        <f>AH298*Valores!$C$73</f>
        <v>-4609.4937300000001</v>
      </c>
      <c r="AV298" s="125">
        <f>AH298*Valores!$C$74</f>
        <v>-512.16597000000002</v>
      </c>
      <c r="AW298" s="125">
        <f t="shared" si="45"/>
        <v>147148.51139999999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1911.83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395.04</v>
      </c>
      <c r="N299" s="125">
        <f t="shared" si="42"/>
        <v>0</v>
      </c>
      <c r="O299" s="125">
        <f>Valores!$C$7*B299</f>
        <v>820.71</v>
      </c>
      <c r="P299" s="125">
        <f>ROUND(IF(B299&lt;15,(Valores!$E$5*B299),Valores!$D$5),2)</f>
        <v>824.75</v>
      </c>
      <c r="Q299" s="125">
        <v>0</v>
      </c>
      <c r="R299" s="125">
        <f>IF($F$4="NO",IF(Valores!$C$48*B299&gt;Valores!$C$45,Valores!$C$45,Valores!$C$48*B299),IF(Valores!$C$48*B299&gt;Valores!$C$45,Valores!$C$45,Valores!$C$48*B299)/2)</f>
        <v>463.62</v>
      </c>
      <c r="S299" s="125">
        <f>Valores!$C$18*B299</f>
        <v>258.13</v>
      </c>
      <c r="T299" s="125">
        <f t="shared" si="48"/>
        <v>258.13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IF(Valores!$C$96*B299&gt;Valores!$C$95,Valores!$C$95,Valores!$C$96*B299)</f>
        <v>279.94</v>
      </c>
      <c r="AA299" s="125">
        <f>IF((Valores!$C$28)*B299&gt;Valores!$F$28,Valores!$F$28,(Valores!$C$28)*B299)</f>
        <v>20.27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16.88</v>
      </c>
      <c r="AE299" s="192">
        <v>0</v>
      </c>
      <c r="AF299" s="125">
        <f>ROUND(AE299*Valores!$C$2,2)</f>
        <v>0</v>
      </c>
      <c r="AG299" s="125">
        <f>IF($F$4="NO",IF(Valores!$D$62*'Escala Docente'!B299&gt;Valores!$F$62,Valores!$F$62,Valores!$D$62*'Escala Docente'!B299),IF(Valores!$D$62*'Escala Docente'!B299&gt;Valores!$F$62,Valores!$F$62,Valores!$D$62*'Escala Docente'!B299)/2)</f>
        <v>421.55</v>
      </c>
      <c r="AH299" s="125">
        <f t="shared" si="46"/>
        <v>5412.72</v>
      </c>
      <c r="AI299" s="125">
        <f>IF(Valores!$C$32*B299&gt;Valores!$F$32,Valores!$F$32,Valores!$C$32*B299)</f>
        <v>0</v>
      </c>
      <c r="AJ299" s="125">
        <f>IF(Valores!$C$89*B299&gt;Valores!$C$88,Valores!$C$88,Valores!$C$89*B299)</f>
        <v>0</v>
      </c>
      <c r="AK299" s="125">
        <f>Valores!C$39*B299</f>
        <v>0</v>
      </c>
      <c r="AL299" s="125">
        <f>IF($F$3="NO",0,IF(Valores!$C$61*B299&gt;Valores!$F$61,Valores!$F$61,Valores!$C$61*B299))</f>
        <v>11.3559</v>
      </c>
      <c r="AM299" s="125">
        <f t="shared" si="44"/>
        <v>11.3559</v>
      </c>
      <c r="AN299" s="125">
        <f>AH299*Valores!$C$70</f>
        <v>-595.39920000000006</v>
      </c>
      <c r="AO299" s="125">
        <f>AH299*-Valores!$C$71</f>
        <v>0</v>
      </c>
      <c r="AP299" s="125">
        <f>AH299*Valores!$C$72</f>
        <v>-243.57240000000002</v>
      </c>
      <c r="AQ299" s="125">
        <f>Valores!$C$99</f>
        <v>-280.91000000000003</v>
      </c>
      <c r="AR299" s="125">
        <f>IF($F$5=0,Valores!$C$100,(Valores!$C$100+$F$5*(Valores!$C$100)))</f>
        <v>-329</v>
      </c>
      <c r="AS299" s="125">
        <f t="shared" si="47"/>
        <v>3975.1943000000001</v>
      </c>
      <c r="AT299" s="125">
        <f t="shared" si="41"/>
        <v>-595.39920000000006</v>
      </c>
      <c r="AU299" s="125">
        <f>AH299*Valores!$C$73</f>
        <v>-146.14344</v>
      </c>
      <c r="AV299" s="125">
        <f>AH299*Valores!$C$74</f>
        <v>-16.238160000000001</v>
      </c>
      <c r="AW299" s="125">
        <f t="shared" si="45"/>
        <v>4666.2950999999994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5880.7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1649.5</v>
      </c>
      <c r="Q300" s="125">
        <v>0</v>
      </c>
      <c r="R300" s="125">
        <f>IF($F$4="NO",Valores!C49,Valores!C49/2)</f>
        <v>671.73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Valores!$C$97</f>
        <v>545.52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IF($F$4="NO",Valores!$C$63,Valores!$C$63/2)</f>
        <v>631.44000000000005</v>
      </c>
      <c r="AH300" s="125">
        <f t="shared" si="46"/>
        <v>9378.8900000000012</v>
      </c>
      <c r="AI300" s="125">
        <f>Valores!$C$33</f>
        <v>0</v>
      </c>
      <c r="AJ300" s="125">
        <f>Valores!$C$90</f>
        <v>0</v>
      </c>
      <c r="AK300" s="125">
        <v>0</v>
      </c>
      <c r="AL300" s="125">
        <v>0</v>
      </c>
      <c r="AM300" s="125">
        <f t="shared" si="44"/>
        <v>0</v>
      </c>
      <c r="AN300" s="125">
        <f>AH300*Valores!$C$70</f>
        <v>-1031.6779000000001</v>
      </c>
      <c r="AO300" s="125">
        <f>AH300*-Valores!$C$71</f>
        <v>0</v>
      </c>
      <c r="AP300" s="125">
        <f>AH300*Valores!$C$72</f>
        <v>-422.05005000000006</v>
      </c>
      <c r="AQ300" s="125">
        <f>Valores!$C$99</f>
        <v>-280.91000000000003</v>
      </c>
      <c r="AR300" s="125">
        <f>IF($F$5=0,Valores!$C$100,(Valores!$C$100+$F$5*(Valores!$C$100)))</f>
        <v>-329</v>
      </c>
      <c r="AS300" s="125">
        <f t="shared" si="47"/>
        <v>7315.252050000001</v>
      </c>
      <c r="AT300" s="125">
        <f t="shared" si="41"/>
        <v>-1031.6779000000001</v>
      </c>
      <c r="AU300" s="125">
        <f>AH300*Valores!$C$73</f>
        <v>-253.23003000000003</v>
      </c>
      <c r="AV300" s="125">
        <f>AH300*Valores!$C$74</f>
        <v>-28.136670000000006</v>
      </c>
      <c r="AW300" s="125">
        <f t="shared" si="45"/>
        <v>8065.8454000000011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652</v>
      </c>
      <c r="B301" s="123">
        <v>1</v>
      </c>
      <c r="C301" s="126">
        <v>294</v>
      </c>
      <c r="D301" s="124" t="s">
        <v>653</v>
      </c>
      <c r="E301" s="194">
        <f>E300/2</f>
        <v>121.5</v>
      </c>
      <c r="F301" s="125">
        <f>ROUND(E301*Valores!$C$2,2)</f>
        <v>2940.35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824.75</v>
      </c>
      <c r="Q301" s="125">
        <v>0</v>
      </c>
      <c r="R301" s="125">
        <f>IF($F$4="NO",Valores!C50,Valores!C50/2)</f>
        <v>335.87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Valores!$C$98</f>
        <v>272.76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IF($F$4="NO",Valores!$C$64,Valores!$C$64/2)</f>
        <v>315.72000000000003</v>
      </c>
      <c r="AH301" s="125">
        <f t="shared" si="46"/>
        <v>4689.4500000000007</v>
      </c>
      <c r="AI301" s="125">
        <f>Valores!C34</f>
        <v>0</v>
      </c>
      <c r="AJ301" s="125">
        <f>Valores!$C$91</f>
        <v>0</v>
      </c>
      <c r="AK301" s="125">
        <v>0</v>
      </c>
      <c r="AL301" s="125">
        <v>0</v>
      </c>
      <c r="AM301" s="125">
        <f t="shared" si="44"/>
        <v>0</v>
      </c>
      <c r="AN301" s="125">
        <f>AH301*Valores!$C$70</f>
        <v>-515.83950000000004</v>
      </c>
      <c r="AO301" s="125">
        <v>0</v>
      </c>
      <c r="AP301" s="125">
        <f>AH301*Valores!$C$72</f>
        <v>-211.02525000000003</v>
      </c>
      <c r="AQ301" s="125">
        <f>Valores!$C$99</f>
        <v>-280.91000000000003</v>
      </c>
      <c r="AR301" s="125">
        <f>IF($F$5=0,Valores!$C$100,(Valores!$C$100+$F$5*(Valores!$C$100)))</f>
        <v>-329</v>
      </c>
      <c r="AS301" s="125">
        <f t="shared" si="47"/>
        <v>3352.6752500000007</v>
      </c>
      <c r="AT301" s="125">
        <f t="shared" ref="AT301" si="52">AN301</f>
        <v>-515.83950000000004</v>
      </c>
      <c r="AU301" s="125">
        <f>AH301*Valores!$C$73</f>
        <v>-126.61515000000001</v>
      </c>
      <c r="AV301" s="125">
        <f>AH301*Valores!$C$74</f>
        <v>-14.068350000000002</v>
      </c>
      <c r="AW301" s="125">
        <f t="shared" si="45"/>
        <v>4032.9270000000006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16940.28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3584.19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IF($F$4="NO",Valores!$C$48*15,Valores!$C$48*15/2)</f>
        <v>6954.3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27478.769999999997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AH302*Valores!$C$70</f>
        <v>-3022.6646999999998</v>
      </c>
      <c r="AO302" s="125">
        <f>AH302*-Valores!$C$71</f>
        <v>0</v>
      </c>
      <c r="AP302" s="125">
        <f>AH302*Valores!$C$72</f>
        <v>-1236.5446499999998</v>
      </c>
      <c r="AQ302" s="125">
        <v>0</v>
      </c>
      <c r="AR302" s="125">
        <v>0</v>
      </c>
      <c r="AS302" s="125">
        <f t="shared" si="47"/>
        <v>23219.560649999999</v>
      </c>
      <c r="AT302" s="125">
        <f t="shared" si="41"/>
        <v>-3022.6646999999998</v>
      </c>
      <c r="AU302" s="125">
        <f>AH302*Valores!$C$73</f>
        <v>-741.92678999999987</v>
      </c>
      <c r="AV302" s="125">
        <f>AH302*Valores!$C$74</f>
        <v>-82.436309999999992</v>
      </c>
      <c r="AW302" s="125">
        <f t="shared" si="45"/>
        <v>23631.742199999997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12100.2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2510.46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IF($F$4="NO",Valores!$C$48*10,Valores!$C$48*10/2)</f>
        <v>4636.2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19246.86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AH303*Valores!$C$70</f>
        <v>-2117.1546000000003</v>
      </c>
      <c r="AO303" s="125">
        <f>AH303*-Valores!$C$71</f>
        <v>0</v>
      </c>
      <c r="AP303" s="125">
        <f>AH303*Valores!$C$72</f>
        <v>-866.1087</v>
      </c>
      <c r="AQ303" s="125">
        <v>0</v>
      </c>
      <c r="AR303" s="125">
        <v>0</v>
      </c>
      <c r="AS303" s="125">
        <f t="shared" si="47"/>
        <v>16263.5967</v>
      </c>
      <c r="AT303" s="125">
        <f t="shared" si="41"/>
        <v>-2117.1546000000003</v>
      </c>
      <c r="AU303" s="125">
        <f>AH303*Valores!$C$73</f>
        <v>-519.66521999999998</v>
      </c>
      <c r="AV303" s="125">
        <f>AH303*Valores!$C$74</f>
        <v>-57.740580000000001</v>
      </c>
      <c r="AW303" s="125">
        <f t="shared" si="45"/>
        <v>16552.299599999998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7260.12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1436.73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IF($F$4="NO",Valores!$C$48*5,Valores!$C$48*5/2)</f>
        <v>2318.1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11014.95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AH304*Valores!$C$70</f>
        <v>-1211.6445000000001</v>
      </c>
      <c r="AO304" s="125">
        <f>AH304*-Valores!$C$71</f>
        <v>0</v>
      </c>
      <c r="AP304" s="125">
        <f>AH304*Valores!$C$72</f>
        <v>-495.67275000000001</v>
      </c>
      <c r="AQ304" s="125">
        <v>0</v>
      </c>
      <c r="AR304" s="125">
        <v>0</v>
      </c>
      <c r="AS304" s="125">
        <f t="shared" si="47"/>
        <v>9307.6327500000007</v>
      </c>
      <c r="AT304" s="125">
        <f t="shared" si="41"/>
        <v>-1211.6445000000001</v>
      </c>
      <c r="AU304" s="125">
        <f>AH304*Valores!$C$73</f>
        <v>-297.40365000000003</v>
      </c>
      <c r="AV304" s="125">
        <f>AH304*Valores!$C$74</f>
        <v>-33.044850000000004</v>
      </c>
      <c r="AW304" s="125">
        <f t="shared" si="45"/>
        <v>9472.857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3751.06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632.20000000000005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IF($F$4="NO",IF(Valores!$C$48*B305&gt;Valores!$C$45,Valores!$C$45,Valores!$C$48*B305),IF(Valores!$C$48*B305&gt;Valores!$C$45,Valores!$C$45,Valores!$C$48*B305)/2)</f>
        <v>463.62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4846.88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AH305*Valores!$C$70</f>
        <v>-533.15679999999998</v>
      </c>
      <c r="AO305" s="125">
        <f>AH305*-Valores!$C$71</f>
        <v>0</v>
      </c>
      <c r="AP305" s="125">
        <f>AH305*Valores!$C$72</f>
        <v>-218.1096</v>
      </c>
      <c r="AQ305" s="125">
        <v>0</v>
      </c>
      <c r="AR305" s="125">
        <v>0</v>
      </c>
      <c r="AS305" s="125">
        <f t="shared" si="47"/>
        <v>4095.6136000000001</v>
      </c>
      <c r="AT305" s="125">
        <f t="shared" si="41"/>
        <v>-533.15679999999998</v>
      </c>
      <c r="AU305" s="125">
        <f>AH305*Valores!$C$73</f>
        <v>-130.86575999999999</v>
      </c>
      <c r="AV305" s="125">
        <f>AH305*Valores!$C$74</f>
        <v>-14.54064</v>
      </c>
      <c r="AW305" s="125">
        <f t="shared" si="45"/>
        <v>4168.3168000000005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3">155+E305</f>
        <v>310</v>
      </c>
      <c r="F306" s="125">
        <f>ROUND(E306*Valores!$C$2,2)</f>
        <v>7502.12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1264.4000000000001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IF($F$4="NO",IF(Valores!$C$48*B306&gt;Valores!$C$45,Valores!$C$45,Valores!$C$48*B306),IF(Valores!$C$48*B306&gt;Valores!$C$45,Valores!$C$45,Valores!$C$48*B306)/2)</f>
        <v>927.24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9693.76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AH306*Valores!$C$70</f>
        <v>-1066.3136</v>
      </c>
      <c r="AO306" s="125">
        <f>AH306*-Valores!$C$71</f>
        <v>0</v>
      </c>
      <c r="AP306" s="125">
        <f>AH306*Valores!$C$72</f>
        <v>-436.2192</v>
      </c>
      <c r="AQ306" s="125">
        <v>0</v>
      </c>
      <c r="AR306" s="125">
        <v>0</v>
      </c>
      <c r="AS306" s="125">
        <f t="shared" si="47"/>
        <v>8191.2272000000003</v>
      </c>
      <c r="AT306" s="125">
        <f t="shared" si="41"/>
        <v>-1066.3136</v>
      </c>
      <c r="AU306" s="125">
        <f>AH306*Valores!$C$73</f>
        <v>-261.73151999999999</v>
      </c>
      <c r="AV306" s="125">
        <f>AH306*Valores!$C$74</f>
        <v>-29.08128</v>
      </c>
      <c r="AW306" s="125">
        <f t="shared" si="45"/>
        <v>8336.633600000001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3"/>
        <v>465</v>
      </c>
      <c r="F307" s="125">
        <f>ROUND(E307*Valores!$C$2,2)</f>
        <v>11253.19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1896.61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IF($F$4="NO",IF(Valores!$C$48*B307&gt;Valores!$C$45,Valores!$C$45,Valores!$C$48*B307),IF(Valores!$C$48*B307&gt;Valores!$C$45,Valores!$C$45,Valores!$C$48*B307)/2)</f>
        <v>1390.8600000000001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14540.660000000002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AH307*Valores!$C$70</f>
        <v>-1599.4726000000003</v>
      </c>
      <c r="AO307" s="125">
        <f>AH307*-Valores!$C$71</f>
        <v>0</v>
      </c>
      <c r="AP307" s="125">
        <f>AH307*Valores!$C$72</f>
        <v>-654.3297</v>
      </c>
      <c r="AQ307" s="125">
        <v>0</v>
      </c>
      <c r="AR307" s="125">
        <v>0</v>
      </c>
      <c r="AS307" s="125">
        <f t="shared" si="47"/>
        <v>12286.8577</v>
      </c>
      <c r="AT307" s="125">
        <f t="shared" si="41"/>
        <v>-1599.4726000000003</v>
      </c>
      <c r="AU307" s="125">
        <f>AH307*Valores!$C$73</f>
        <v>-392.59782000000001</v>
      </c>
      <c r="AV307" s="125">
        <f>AH307*Valores!$C$74</f>
        <v>-43.621980000000008</v>
      </c>
      <c r="AW307" s="125">
        <f t="shared" si="45"/>
        <v>12504.967600000002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3"/>
        <v>620</v>
      </c>
      <c r="F308" s="125">
        <f>ROUND(E308*Valores!$C$2,2)</f>
        <v>15004.25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2528.81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IF($F$4="NO",IF(Valores!$C$48*B308&gt;Valores!$C$45,Valores!$C$45,Valores!$C$48*B308),IF(Valores!$C$48*B308&gt;Valores!$C$45,Valores!$C$45,Valores!$C$48*B308)/2)</f>
        <v>1854.48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19387.54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AH308*Valores!$C$70</f>
        <v>-2132.6294000000003</v>
      </c>
      <c r="AO308" s="125">
        <f>AH308*-Valores!$C$71</f>
        <v>0</v>
      </c>
      <c r="AP308" s="125">
        <f>AH308*Valores!$C$72</f>
        <v>-872.4393</v>
      </c>
      <c r="AQ308" s="125">
        <v>0</v>
      </c>
      <c r="AR308" s="125">
        <v>0</v>
      </c>
      <c r="AS308" s="125">
        <f t="shared" si="47"/>
        <v>16382.471300000001</v>
      </c>
      <c r="AT308" s="125">
        <f t="shared" si="41"/>
        <v>-2132.6294000000003</v>
      </c>
      <c r="AU308" s="125">
        <f>AH308*Valores!$C$73</f>
        <v>-523.46357999999998</v>
      </c>
      <c r="AV308" s="125">
        <f>AH308*Valores!$C$74</f>
        <v>-58.162620000000004</v>
      </c>
      <c r="AW308" s="125">
        <f t="shared" si="45"/>
        <v>16673.2844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3"/>
        <v>775</v>
      </c>
      <c r="F309" s="125">
        <f>ROUND(E309*Valores!$C$2,2)</f>
        <v>18755.310000000001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3161.01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IF($F$4="NO",IF(Valores!$C$48*B309&gt;Valores!$C$45,Valores!$C$45,Valores!$C$48*B309),IF(Valores!$C$48*B309&gt;Valores!$C$45,Valores!$C$45,Valores!$C$48*B309)/2)</f>
        <v>2318.1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24234.42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AH309*Valores!$C$70</f>
        <v>-2665.7862</v>
      </c>
      <c r="AO309" s="125">
        <f>AH309*-Valores!$C$71</f>
        <v>0</v>
      </c>
      <c r="AP309" s="125">
        <f>AH309*Valores!$C$72</f>
        <v>-1090.5488999999998</v>
      </c>
      <c r="AQ309" s="125">
        <v>0</v>
      </c>
      <c r="AR309" s="125">
        <v>0</v>
      </c>
      <c r="AS309" s="125">
        <f t="shared" si="47"/>
        <v>20478.084899999998</v>
      </c>
      <c r="AT309" s="125">
        <f t="shared" si="41"/>
        <v>-2665.7862</v>
      </c>
      <c r="AU309" s="125">
        <f>AH309*Valores!$C$73</f>
        <v>-654.32934</v>
      </c>
      <c r="AV309" s="125">
        <f>AH309*Valores!$C$74</f>
        <v>-72.70326</v>
      </c>
      <c r="AW309" s="125">
        <f t="shared" si="45"/>
        <v>20841.601199999997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3"/>
        <v>930</v>
      </c>
      <c r="F310" s="125">
        <f>ROUND(E310*Valores!$C$2,2)</f>
        <v>22506.37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3793.21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IF($F$4="NO",IF(Valores!$C$48*B310&gt;Valores!$C$45,Valores!$C$45,Valores!$C$48*B310),IF(Valores!$C$48*B310&gt;Valores!$C$45,Valores!$C$45,Valores!$C$48*B310)/2)</f>
        <v>2781.7200000000003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29081.3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AH310*Valores!$C$70</f>
        <v>-3198.9429999999998</v>
      </c>
      <c r="AO310" s="125">
        <f>AH310*-Valores!$C$71</f>
        <v>0</v>
      </c>
      <c r="AP310" s="125">
        <f>AH310*Valores!$C$72</f>
        <v>-1308.6585</v>
      </c>
      <c r="AQ310" s="125">
        <v>0</v>
      </c>
      <c r="AR310" s="125">
        <v>0</v>
      </c>
      <c r="AS310" s="125">
        <f t="shared" si="47"/>
        <v>24573.698499999999</v>
      </c>
      <c r="AT310" s="125">
        <f t="shared" si="41"/>
        <v>-3198.9429999999998</v>
      </c>
      <c r="AU310" s="125">
        <f>AH310*Valores!$C$73</f>
        <v>-785.19510000000002</v>
      </c>
      <c r="AV310" s="125">
        <f>AH310*Valores!$C$74</f>
        <v>-87.243899999999996</v>
      </c>
      <c r="AW310" s="125">
        <f t="shared" si="45"/>
        <v>25009.917999999998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3"/>
        <v>1085</v>
      </c>
      <c r="F311" s="125">
        <f>ROUND(E311*Valores!$C$2,2)</f>
        <v>26257.43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4425.42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IF($F$4="NO",IF(Valores!$C$48*B311&gt;Valores!$C$45,Valores!$C$45,Valores!$C$48*B311),IF(Valores!$C$48*B311&gt;Valores!$C$45,Valores!$C$45,Valores!$C$48*B311)/2)</f>
        <v>3245.34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33928.19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AH311*Valores!$C$70</f>
        <v>-3732.1009000000004</v>
      </c>
      <c r="AO311" s="125">
        <f>AH311*-Valores!$C$71</f>
        <v>0</v>
      </c>
      <c r="AP311" s="125">
        <f>AH311*Valores!$C$72</f>
        <v>-1526.76855</v>
      </c>
      <c r="AQ311" s="125">
        <v>0</v>
      </c>
      <c r="AR311" s="125">
        <v>0</v>
      </c>
      <c r="AS311" s="125">
        <f t="shared" si="47"/>
        <v>28669.320550000004</v>
      </c>
      <c r="AT311" s="125">
        <f t="shared" si="41"/>
        <v>-3732.1009000000004</v>
      </c>
      <c r="AU311" s="125">
        <f>AH311*Valores!$C$73</f>
        <v>-916.06113000000005</v>
      </c>
      <c r="AV311" s="125">
        <f>AH311*Valores!$C$74</f>
        <v>-101.78457</v>
      </c>
      <c r="AW311" s="125">
        <f t="shared" si="45"/>
        <v>29178.243400000003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3"/>
        <v>1240</v>
      </c>
      <c r="F312" s="125">
        <f>ROUND(E312*Valores!$C$2,2)</f>
        <v>30008.5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5057.62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IF($F$4="NO",IF(Valores!$C$48*B312&gt;Valores!$C$45,Valores!$C$45,Valores!$C$48*B312),IF(Valores!$C$48*B312&gt;Valores!$C$45,Valores!$C$45,Valores!$C$48*B312)/2)</f>
        <v>3708.96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38775.08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AH312*Valores!$C$70</f>
        <v>-4265.2588000000005</v>
      </c>
      <c r="AO312" s="125">
        <f>AH312*-Valores!$C$71</f>
        <v>0</v>
      </c>
      <c r="AP312" s="125">
        <f>AH312*Valores!$C$72</f>
        <v>-1744.8786</v>
      </c>
      <c r="AQ312" s="125">
        <v>0</v>
      </c>
      <c r="AR312" s="125">
        <v>0</v>
      </c>
      <c r="AS312" s="125">
        <f t="shared" si="47"/>
        <v>32764.942600000002</v>
      </c>
      <c r="AT312" s="125">
        <f t="shared" si="41"/>
        <v>-4265.2588000000005</v>
      </c>
      <c r="AU312" s="125">
        <f>AH312*Valores!$C$73</f>
        <v>-1046.92716</v>
      </c>
      <c r="AV312" s="125">
        <f>AH312*Valores!$C$74</f>
        <v>-116.32524000000001</v>
      </c>
      <c r="AW312" s="125">
        <f t="shared" si="45"/>
        <v>33346.568800000001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3"/>
        <v>1395</v>
      </c>
      <c r="F313" s="125">
        <f>ROUND(E313*Valores!$C$2,2)</f>
        <v>33759.56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5689.82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IF($F$4="NO",IF(Valores!$C$48*B313&gt;Valores!$C$45,Valores!$C$45,Valores!$C$48*B313),IF(Valores!$C$48*B313&gt;Valores!$C$45,Valores!$C$45,Valores!$C$48*B313)/2)</f>
        <v>4172.58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43621.96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AH313*Valores!$C$70</f>
        <v>-4798.4156000000003</v>
      </c>
      <c r="AO313" s="125">
        <f>AH313*-Valores!$C$71</f>
        <v>0</v>
      </c>
      <c r="AP313" s="125">
        <f>AH313*Valores!$C$72</f>
        <v>-1962.9881999999998</v>
      </c>
      <c r="AQ313" s="125">
        <v>0</v>
      </c>
      <c r="AR313" s="125">
        <v>0</v>
      </c>
      <c r="AS313" s="125">
        <f t="shared" si="47"/>
        <v>36860.556199999999</v>
      </c>
      <c r="AT313" s="125">
        <f t="shared" si="41"/>
        <v>-4798.4156000000003</v>
      </c>
      <c r="AU313" s="125">
        <f>AH313*Valores!$C$73</f>
        <v>-1177.7929199999999</v>
      </c>
      <c r="AV313" s="125">
        <f>AH313*Valores!$C$74</f>
        <v>-130.86588</v>
      </c>
      <c r="AW313" s="125">
        <f t="shared" si="45"/>
        <v>37514.885600000001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3"/>
        <v>1550</v>
      </c>
      <c r="F314" s="125">
        <f>ROUND(E314*Valores!$C$2,2)</f>
        <v>37510.620000000003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6322.02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IF($F$4="NO",IF(Valores!$C$48*B314&gt;Valores!$C$45,Valores!$C$45,Valores!$C$48*B314),IF(Valores!$C$48*B314&gt;Valores!$C$45,Valores!$C$45,Valores!$C$48*B314)/2)</f>
        <v>4636.2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48468.84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AH314*Valores!$C$70</f>
        <v>-5331.5724</v>
      </c>
      <c r="AO314" s="125">
        <f>AH314*-Valores!$C$71</f>
        <v>0</v>
      </c>
      <c r="AP314" s="125">
        <f>AH314*Valores!$C$72</f>
        <v>-2181.0977999999996</v>
      </c>
      <c r="AQ314" s="125">
        <v>0</v>
      </c>
      <c r="AR314" s="125">
        <v>0</v>
      </c>
      <c r="AS314" s="125">
        <f t="shared" si="47"/>
        <v>40956.169799999996</v>
      </c>
      <c r="AT314" s="125">
        <f t="shared" si="41"/>
        <v>-5331.5724</v>
      </c>
      <c r="AU314" s="125">
        <f>AH314*Valores!$C$73</f>
        <v>-1308.65868</v>
      </c>
      <c r="AV314" s="125">
        <f>AH314*Valores!$C$74</f>
        <v>-145.40652</v>
      </c>
      <c r="AW314" s="125">
        <f t="shared" si="45"/>
        <v>41683.202399999995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3"/>
        <v>1705</v>
      </c>
      <c r="F315" s="125">
        <f>ROUND(E315*Valores!$C$2,2)</f>
        <v>41261.68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6954.23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IF($F$4="NO",IF(Valores!$C$48*B315&gt;Valores!$C$45,Valores!$C$45,Valores!$C$48*B315),IF(Valores!$C$48*B315&gt;Valores!$C$45,Valores!$C$45,Valores!$C$48*B315)/2)</f>
        <v>5099.82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53315.73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AH315*Valores!$C$70</f>
        <v>-5864.7303000000002</v>
      </c>
      <c r="AO315" s="125">
        <f>AH315*-Valores!$C$71</f>
        <v>0</v>
      </c>
      <c r="AP315" s="125">
        <f>AH315*Valores!$C$72</f>
        <v>-2399.2078500000002</v>
      </c>
      <c r="AQ315" s="125">
        <v>0</v>
      </c>
      <c r="AR315" s="125">
        <v>0</v>
      </c>
      <c r="AS315" s="125">
        <f t="shared" si="47"/>
        <v>45051.791850000001</v>
      </c>
      <c r="AT315" s="125">
        <f t="shared" si="41"/>
        <v>-5864.7303000000002</v>
      </c>
      <c r="AU315" s="125">
        <f>AH315*Valores!$C$73</f>
        <v>-1439.5247100000001</v>
      </c>
      <c r="AV315" s="125">
        <f>AH315*Valores!$C$74</f>
        <v>-159.94719000000001</v>
      </c>
      <c r="AW315" s="125">
        <f t="shared" si="45"/>
        <v>45851.527800000003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3"/>
        <v>1860</v>
      </c>
      <c r="F316" s="125">
        <f>ROUND(E316*Valores!$C$2,2)</f>
        <v>45012.74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7586.43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IF($F$4="NO",IF(Valores!$C$48*B316&gt;Valores!$C$45,Valores!$C$45,Valores!$C$48*B316),IF(Valores!$C$48*B316&gt;Valores!$C$45,Valores!$C$45,Valores!$C$48*B316)/2)</f>
        <v>5563.4400000000005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58162.61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AH316*Valores!$C$70</f>
        <v>-6397.8870999999999</v>
      </c>
      <c r="AO316" s="125">
        <f>AH316*-Valores!$C$71</f>
        <v>0</v>
      </c>
      <c r="AP316" s="125">
        <f>AH316*Valores!$C$72</f>
        <v>-2617.31745</v>
      </c>
      <c r="AQ316" s="125">
        <v>0</v>
      </c>
      <c r="AR316" s="125">
        <v>0</v>
      </c>
      <c r="AS316" s="125">
        <f t="shared" si="47"/>
        <v>49147.405449999998</v>
      </c>
      <c r="AT316" s="125">
        <f t="shared" si="41"/>
        <v>-6397.8870999999999</v>
      </c>
      <c r="AU316" s="125">
        <f>AH316*Valores!$C$73</f>
        <v>-1570.3904700000001</v>
      </c>
      <c r="AV316" s="125">
        <f>AH316*Valores!$C$74</f>
        <v>-174.48783</v>
      </c>
      <c r="AW316" s="125">
        <f t="shared" si="45"/>
        <v>50019.844599999997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3"/>
        <v>2015</v>
      </c>
      <c r="F317" s="125">
        <f>ROUND(E317*Valores!$C$2,2)</f>
        <v>48763.81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8218.6299999999992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IF($F$4="NO",IF(Valores!$C$48*B317&gt;Valores!$C$45,Valores!$C$45,Valores!$C$48*B317),IF(Valores!$C$48*B317&gt;Valores!$C$45,Valores!$C$45,Valores!$C$48*B317)/2)</f>
        <v>6027.06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63009.499999999993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AH317*Valores!$C$70</f>
        <v>-6931.0449999999992</v>
      </c>
      <c r="AO317" s="125">
        <f>AH317*-Valores!$C$71</f>
        <v>0</v>
      </c>
      <c r="AP317" s="125">
        <f>AH317*Valores!$C$72</f>
        <v>-2835.4274999999998</v>
      </c>
      <c r="AQ317" s="125">
        <v>0</v>
      </c>
      <c r="AR317" s="125">
        <v>0</v>
      </c>
      <c r="AS317" s="125">
        <f t="shared" si="47"/>
        <v>53243.027499999997</v>
      </c>
      <c r="AT317" s="125">
        <f t="shared" si="41"/>
        <v>-6931.0449999999992</v>
      </c>
      <c r="AU317" s="125">
        <f>AH317*Valores!$C$73</f>
        <v>-1701.2564999999997</v>
      </c>
      <c r="AV317" s="125">
        <f>AH317*Valores!$C$74</f>
        <v>-189.02849999999998</v>
      </c>
      <c r="AW317" s="125">
        <f t="shared" si="45"/>
        <v>54188.169999999991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3"/>
        <v>2170</v>
      </c>
      <c r="F318" s="125">
        <f>ROUND(E318*Valores!$C$2,2)</f>
        <v>52514.87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8850.83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IF($F$4="NO",IF(Valores!$C$48*B318&gt;Valores!$C$45,Valores!$C$45,Valores!$C$48*B318),IF(Valores!$C$48*B318&gt;Valores!$C$45,Valores!$C$45,Valores!$C$48*B318)/2)</f>
        <v>6490.68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67856.38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AH318*Valores!$C$70</f>
        <v>-7464.2018000000007</v>
      </c>
      <c r="AO318" s="125">
        <f>AH318*-Valores!$C$71</f>
        <v>0</v>
      </c>
      <c r="AP318" s="125">
        <f>AH318*Valores!$C$72</f>
        <v>-3053.5371</v>
      </c>
      <c r="AQ318" s="125">
        <v>0</v>
      </c>
      <c r="AR318" s="125">
        <v>0</v>
      </c>
      <c r="AS318" s="125">
        <f t="shared" si="47"/>
        <v>57338.641100000008</v>
      </c>
      <c r="AT318" s="125">
        <f t="shared" si="41"/>
        <v>-7464.2018000000007</v>
      </c>
      <c r="AU318" s="125">
        <f>AH318*Valores!$C$73</f>
        <v>-1832.1222600000001</v>
      </c>
      <c r="AV318" s="125">
        <f>AH318*Valores!$C$74</f>
        <v>-203.56914</v>
      </c>
      <c r="AW318" s="125">
        <f t="shared" si="45"/>
        <v>58356.486800000006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3"/>
        <v>2325</v>
      </c>
      <c r="F319" s="125">
        <f>ROUND(E319*Valores!$C$2,2)</f>
        <v>56265.93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9483.0300000000007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IF($F$4="NO",IF(Valores!$C$48*B319&gt;Valores!$C$45,Valores!$C$45,Valores!$C$48*B319),IF(Valores!$C$48*B319&gt;Valores!$C$45,Valores!$C$45,Valores!$C$48*B319)/2)</f>
        <v>6954.3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72703.260000000009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AH319*Valores!$C$70</f>
        <v>-7997.3586000000014</v>
      </c>
      <c r="AO319" s="125">
        <f>AH319*-Valores!$C$71</f>
        <v>0</v>
      </c>
      <c r="AP319" s="125">
        <f>AH319*Valores!$C$72</f>
        <v>-3271.6467000000002</v>
      </c>
      <c r="AQ319" s="125">
        <v>0</v>
      </c>
      <c r="AR319" s="125">
        <v>0</v>
      </c>
      <c r="AS319" s="125">
        <f t="shared" si="47"/>
        <v>61434.254700000005</v>
      </c>
      <c r="AT319" s="125">
        <f t="shared" si="41"/>
        <v>-7997.3586000000014</v>
      </c>
      <c r="AU319" s="125">
        <f>AH319*Valores!$C$73</f>
        <v>-1962.9880200000002</v>
      </c>
      <c r="AV319" s="125">
        <f>AH319*Valores!$C$74</f>
        <v>-218.10978000000003</v>
      </c>
      <c r="AW319" s="125">
        <f t="shared" si="45"/>
        <v>62524.803600000007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3"/>
        <v>2480</v>
      </c>
      <c r="F320" s="125">
        <f>ROUND(E320*Valores!$C$2,2)</f>
        <v>60016.99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10115.24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IF($F$4="NO",IF(Valores!$C$48*B320&gt;Valores!$C$45,Valores!$C$45,Valores!$C$48*B320),IF(Valores!$C$48*B320&gt;Valores!$C$45,Valores!$C$45,Valores!$C$48*B320)/2)</f>
        <v>7417.92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77550.149999999994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AH320*Valores!$C$70</f>
        <v>-8530.5164999999997</v>
      </c>
      <c r="AO320" s="125">
        <f>AH320*-Valores!$C$71</f>
        <v>0</v>
      </c>
      <c r="AP320" s="125">
        <f>AH320*Valores!$C$72</f>
        <v>-3489.7567499999996</v>
      </c>
      <c r="AQ320" s="125">
        <v>0</v>
      </c>
      <c r="AR320" s="125">
        <v>0</v>
      </c>
      <c r="AS320" s="125">
        <f t="shared" si="47"/>
        <v>65529.876749999996</v>
      </c>
      <c r="AT320" s="125">
        <f t="shared" si="41"/>
        <v>-8530.5164999999997</v>
      </c>
      <c r="AU320" s="125">
        <f>AH320*Valores!$C$73</f>
        <v>-2093.8540499999999</v>
      </c>
      <c r="AV320" s="125">
        <f>AH320*Valores!$C$74</f>
        <v>-232.65044999999998</v>
      </c>
      <c r="AW320" s="125">
        <f t="shared" si="45"/>
        <v>66693.129000000001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6655.11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IF($F$4="NO",Valores!$C$49,Valores!$C$49/2)</f>
        <v>671.73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Valores!$C$97</f>
        <v>545.52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Valores!$C$63</f>
        <v>631.44000000000005</v>
      </c>
      <c r="AH321" s="125">
        <f t="shared" si="46"/>
        <v>8503.8000000000011</v>
      </c>
      <c r="AI321" s="125">
        <f>Valores!$C$33</f>
        <v>0</v>
      </c>
      <c r="AJ321" s="125">
        <f>Valores!$C$90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AH321*Valores!$C$70</f>
        <v>-935.41800000000012</v>
      </c>
      <c r="AO321" s="125">
        <f>AH321*-Valores!$C$71</f>
        <v>0</v>
      </c>
      <c r="AP321" s="125">
        <f>AH321*Valores!$C$72</f>
        <v>-382.67100000000005</v>
      </c>
      <c r="AQ321" s="125">
        <v>0</v>
      </c>
      <c r="AR321" s="125">
        <v>0</v>
      </c>
      <c r="AS321" s="125">
        <f t="shared" si="47"/>
        <v>7185.7110000000011</v>
      </c>
      <c r="AT321" s="125">
        <f t="shared" si="41"/>
        <v>-935.41800000000012</v>
      </c>
      <c r="AU321" s="125">
        <f>AH321*Valores!$C$73</f>
        <v>-229.60260000000002</v>
      </c>
      <c r="AV321" s="125">
        <f>AH321*Valores!$C$74</f>
        <v>-25.511400000000005</v>
      </c>
      <c r="AW321" s="125">
        <f t="shared" si="45"/>
        <v>7313.2680000000009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5929.1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IF($F$4="NO",Valores!$C$49,Valores!$C$49/2)</f>
        <v>671.73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Valores!$C$97</f>
        <v>545.52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Valores!$C$63</f>
        <v>631.44000000000005</v>
      </c>
      <c r="AH322" s="125">
        <f t="shared" si="46"/>
        <v>7777.7900000000009</v>
      </c>
      <c r="AI322" s="125">
        <f>Valores!$C$33</f>
        <v>0</v>
      </c>
      <c r="AJ322" s="125">
        <f>Valores!$C$90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AH322*Valores!$C$70</f>
        <v>-855.55690000000016</v>
      </c>
      <c r="AO322" s="125">
        <f>AH322*-Valores!$C$71</f>
        <v>0</v>
      </c>
      <c r="AP322" s="125">
        <f>AH322*Valores!$C$72</f>
        <v>-350.00055000000003</v>
      </c>
      <c r="AQ322" s="125">
        <v>0</v>
      </c>
      <c r="AR322" s="125">
        <v>0</v>
      </c>
      <c r="AS322" s="125">
        <f t="shared" si="47"/>
        <v>6572.2325500000006</v>
      </c>
      <c r="AT322" s="125">
        <f t="shared" si="41"/>
        <v>-855.55690000000016</v>
      </c>
      <c r="AU322" s="125">
        <f>AH322*Valores!$C$73</f>
        <v>-210.00033000000002</v>
      </c>
      <c r="AV322" s="125">
        <f>AH322*Valores!$C$74</f>
        <v>-23.333370000000002</v>
      </c>
      <c r="AW322" s="125">
        <f t="shared" si="45"/>
        <v>6688.8994000000002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5759.7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IF($F$4="NO",Valores!$C$49,Valores!$C$49/2)</f>
        <v>671.73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Valores!$C$97</f>
        <v>545.52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Valores!$C$63</f>
        <v>631.44000000000005</v>
      </c>
      <c r="AH323" s="125">
        <f t="shared" si="46"/>
        <v>7608.3900000000012</v>
      </c>
      <c r="AI323" s="125">
        <f>Valores!$C$33</f>
        <v>0</v>
      </c>
      <c r="AJ323" s="125">
        <f>Valores!$C$90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AH323*Valores!$C$70</f>
        <v>-836.92290000000014</v>
      </c>
      <c r="AO323" s="125">
        <f>AH323*-Valores!$C$71</f>
        <v>0</v>
      </c>
      <c r="AP323" s="125">
        <f>AH323*Valores!$C$72</f>
        <v>-342.37755000000004</v>
      </c>
      <c r="AQ323" s="125">
        <v>0</v>
      </c>
      <c r="AR323" s="125">
        <v>0</v>
      </c>
      <c r="AS323" s="125">
        <f t="shared" si="47"/>
        <v>6429.0895500000006</v>
      </c>
      <c r="AT323" s="125">
        <f t="shared" si="41"/>
        <v>-836.92290000000014</v>
      </c>
      <c r="AU323" s="125">
        <f>AH323*Valores!$C$73</f>
        <v>-205.42653000000004</v>
      </c>
      <c r="AV323" s="125">
        <f>AH323*Valores!$C$74</f>
        <v>-22.825170000000004</v>
      </c>
      <c r="AW323" s="125">
        <f t="shared" si="45"/>
        <v>6543.215400000001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5929.1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IF($F$4="NO",Valores!$C$49,Valores!$C$49/2)</f>
        <v>671.73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Valores!$C$97</f>
        <v>545.52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Valores!$C$63</f>
        <v>631.44000000000005</v>
      </c>
      <c r="AH324" s="125">
        <f t="shared" si="46"/>
        <v>7777.7900000000009</v>
      </c>
      <c r="AI324" s="125">
        <v>0</v>
      </c>
      <c r="AJ324" s="125">
        <f>Valores!$C$90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AH324*Valores!$C$70</f>
        <v>-855.55690000000016</v>
      </c>
      <c r="AO324" s="125">
        <f>AH324*-Valores!$C$71</f>
        <v>0</v>
      </c>
      <c r="AP324" s="125">
        <f>AH324*Valores!$C$72</f>
        <v>-350.00055000000003</v>
      </c>
      <c r="AQ324" s="125">
        <v>0</v>
      </c>
      <c r="AR324" s="125">
        <v>0</v>
      </c>
      <c r="AS324" s="125">
        <f t="shared" si="47"/>
        <v>6572.2325500000006</v>
      </c>
      <c r="AT324" s="125">
        <f t="shared" si="41"/>
        <v>-855.55690000000016</v>
      </c>
      <c r="AU324" s="125">
        <f>AH324*Valores!$C$73</f>
        <v>-210.00033000000002</v>
      </c>
      <c r="AV324" s="125">
        <f>AH324*Valores!$C$74</f>
        <v>-23.333370000000002</v>
      </c>
      <c r="AW324" s="125">
        <f t="shared" si="45"/>
        <v>6688.8994000000002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5880.7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IF($F$4="NO",Valores!$C$49,Valores!$C$49/2)</f>
        <v>671.73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Valores!$C$97</f>
        <v>545.52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Valores!$C$63</f>
        <v>631.44000000000005</v>
      </c>
      <c r="AH325" s="125">
        <f t="shared" si="46"/>
        <v>7729.3900000000012</v>
      </c>
      <c r="AI325" s="125">
        <v>0</v>
      </c>
      <c r="AJ325" s="125">
        <f>Valores!$C$90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AH325*Valores!$C$70</f>
        <v>-850.23290000000009</v>
      </c>
      <c r="AO325" s="125">
        <f>AH325*-Valores!$C$71</f>
        <v>0</v>
      </c>
      <c r="AP325" s="125">
        <f>AH325*Valores!$C$72</f>
        <v>-347.82255000000004</v>
      </c>
      <c r="AQ325" s="125">
        <v>0</v>
      </c>
      <c r="AR325" s="125">
        <v>0</v>
      </c>
      <c r="AS325" s="125">
        <f t="shared" si="47"/>
        <v>6531.3345500000014</v>
      </c>
      <c r="AT325" s="125">
        <f t="shared" si="41"/>
        <v>-850.23290000000009</v>
      </c>
      <c r="AU325" s="125">
        <f>AH325*Valores!$C$73</f>
        <v>-208.69353000000004</v>
      </c>
      <c r="AV325" s="125">
        <f>AH325*Valores!$C$74</f>
        <v>-23.188170000000003</v>
      </c>
      <c r="AW325" s="125">
        <f t="shared" si="45"/>
        <v>6647.2754000000014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5687.09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IF($F$4="NO",Valores!$C$49,Valores!$C$49/2)</f>
        <v>671.73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Valores!$C$97</f>
        <v>545.52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Valores!$C$63</f>
        <v>631.44000000000005</v>
      </c>
      <c r="AH326" s="125">
        <f t="shared" si="46"/>
        <v>7535.7800000000007</v>
      </c>
      <c r="AI326" s="125">
        <v>0</v>
      </c>
      <c r="AJ326" s="125">
        <f>Valores!$C$90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AH326*Valores!$C$70</f>
        <v>-828.93580000000009</v>
      </c>
      <c r="AO326" s="125">
        <f>AH326*-Valores!$C$71</f>
        <v>0</v>
      </c>
      <c r="AP326" s="125">
        <f>AH326*Valores!$C$72</f>
        <v>-339.11009999999999</v>
      </c>
      <c r="AQ326" s="125">
        <v>0</v>
      </c>
      <c r="AR326" s="125">
        <v>0</v>
      </c>
      <c r="AS326" s="125">
        <f t="shared" si="47"/>
        <v>6367.7341000000006</v>
      </c>
      <c r="AT326" s="125">
        <f t="shared" ref="AT326" si="54">AN326</f>
        <v>-828.93580000000009</v>
      </c>
      <c r="AU326" s="125">
        <f>AH326*Valores!$C$73</f>
        <v>-203.46606000000003</v>
      </c>
      <c r="AV326" s="125">
        <f>AH326*Valores!$C$74</f>
        <v>-22.607340000000004</v>
      </c>
      <c r="AW326" s="125">
        <f t="shared" si="45"/>
        <v>6480.7708000000002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661</v>
      </c>
      <c r="B1" t="s">
        <v>662</v>
      </c>
      <c r="C1" t="s">
        <v>76</v>
      </c>
      <c r="D1" t="s">
        <v>692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694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702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698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699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700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701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703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704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705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706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707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708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710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709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711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712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713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714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715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716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717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718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719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720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721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722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723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724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725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726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727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728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729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730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731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732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733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734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735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736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737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738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739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740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741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742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743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744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745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746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747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748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749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750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751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752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753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754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755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756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757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758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759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760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761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762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763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764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765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766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767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768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769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770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771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772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773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774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775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776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777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778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779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780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781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782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783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784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788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786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785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789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787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790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791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792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793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794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795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796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797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798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799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800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801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802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803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804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805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653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664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693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688</v>
      </c>
      <c r="B3" s="204" t="s">
        <v>691</v>
      </c>
      <c r="E3" s="206" t="s">
        <v>806</v>
      </c>
      <c r="F3" s="207"/>
      <c r="G3" s="206" t="s">
        <v>807</v>
      </c>
      <c r="H3" s="207"/>
      <c r="I3" s="206" t="s">
        <v>808</v>
      </c>
      <c r="J3" s="207"/>
      <c r="K3" s="206" t="s">
        <v>695</v>
      </c>
    </row>
    <row r="4" spans="1:11" hidden="1" x14ac:dyDescent="0.2">
      <c r="B4" t="s">
        <v>690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688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665</v>
      </c>
      <c r="C6" s="8">
        <v>0</v>
      </c>
      <c r="D6" s="209">
        <f>_xlfn.IFNA(VLOOKUP(E$4,'Escala Docente'!$C$8:$AW$326,4,FALSE),0)</f>
        <v>5735.49</v>
      </c>
      <c r="E6" s="203">
        <f>ROUND(D6*E$1/30,2)</f>
        <v>5735.49</v>
      </c>
      <c r="F6" s="209">
        <f>_xlfn.IFNA(VLOOKUP(G$4,'Escala Docente'!$C$8:$AW$326,4,FALSE),0)</f>
        <v>23498.59</v>
      </c>
      <c r="G6" s="203">
        <f>ROUND(F6*G$1/30,2)</f>
        <v>23498.59</v>
      </c>
      <c r="H6" s="209">
        <f>_xlfn.IFNA(VLOOKUP(I$4,'Escala Docente'!$C$8:$AW$326,4,FALSE),0)</f>
        <v>60016.99</v>
      </c>
      <c r="I6" s="203">
        <f>ROUND(H6*I$1/30,2)</f>
        <v>60016.99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666</v>
      </c>
      <c r="C7" s="8">
        <f>Valores!F88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667</v>
      </c>
      <c r="C8" s="8">
        <f>Valores!F95</f>
        <v>10910.4</v>
      </c>
      <c r="D8" s="209">
        <f>_xlfn.IFNA(VLOOKUP(E$4,'Escala Docente'!$C$8:$AW$326,24,FALSE),0)</f>
        <v>839.81999999999994</v>
      </c>
      <c r="E8" s="203">
        <f>IF((ROUND(D8*E$1/30,2)+(ROUND(F8*$G$1/30,2))+ROUND(H8*$I$1/30,2)+ROUND(J8*$K$1/30,2))&gt;C8,C8,(ROUND(D8*E$1/30,2)+ROUND(F8*$G$1/30,2)+ROUND(H8*$I$1/30,2)+ROUND(J8*$K$1/30,2)))</f>
        <v>6295.0199999999995</v>
      </c>
      <c r="F8" s="209">
        <f>_xlfn.IFNA(VLOOKUP(G$4,'Escala Docente'!$C$8:$AW$326,24,FALSE),0)</f>
        <v>5455.2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668</v>
      </c>
      <c r="C9" s="8">
        <v>0</v>
      </c>
      <c r="D9" s="209">
        <f>_xlfn.IFNA(VLOOKUP(E$4,'Escala Docente'!$C$8:$AW$326,13,FALSE),0)</f>
        <v>2462.13</v>
      </c>
      <c r="E9" s="203">
        <f>ROUND(D9*E$1/30,2)</f>
        <v>2462.13</v>
      </c>
      <c r="F9" s="209">
        <f>_xlfn.IFNA(VLOOKUP(G$4,'Escala Docente'!$C$8:$AW$326,13,FALSE),0)</f>
        <v>20912.349999999999</v>
      </c>
      <c r="G9" s="203">
        <f>ROUND(F9*G$1/30,2)</f>
        <v>20912.349999999999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669</v>
      </c>
      <c r="C10" s="8">
        <f>IF('Escala Docente'!$F$4="NO",Valores!F45,Valores!F45/2)</f>
        <v>13765.22</v>
      </c>
      <c r="D10" s="209">
        <f>_xlfn.IFNA(VLOOKUP(E$4,'Escala Docente'!$C$8:$AW$326,16,FALSE),0)</f>
        <v>1390.8600000000001</v>
      </c>
      <c r="E10" s="203">
        <f>IF((ROUND(D10*E$1/30,2)+(ROUND(F10*$G$1/30,2))+ROUND(H10*$I$1/30,2)+ROUND(J10*$K$1/30,2))&gt;C10,C10,(ROUND(D10*E$1/30,2)+ROUND(F10*$G$1/30,2)+ROUND(H10*$I$1/30,2)+ROUND(J10*$K$1/30,2)))</f>
        <v>13765.22</v>
      </c>
      <c r="F10" s="209">
        <f>_xlfn.IFNA(VLOOKUP(G$4,'Escala Docente'!$C$8:$AW$326,16,FALSE),0)</f>
        <v>8652.27</v>
      </c>
      <c r="G10" s="203">
        <f>IF($E10&gt;0,0,ROUND($F10*G$1/30,2))</f>
        <v>0</v>
      </c>
      <c r="H10" s="209">
        <f>_xlfn.IFNA(VLOOKUP(I$4,'Escala Docente'!$C$8:$AW$326,16,FALSE),0)</f>
        <v>7417.92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670</v>
      </c>
      <c r="C11" s="8">
        <f>Valores!F26</f>
        <v>505.99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671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683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10272.65</v>
      </c>
      <c r="G13" s="203">
        <f>ROUND(F13*G$1/30,2)</f>
        <v>10272.65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672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673</v>
      </c>
      <c r="C15" s="8">
        <f>Valores!D5</f>
        <v>12371.24</v>
      </c>
      <c r="D15" s="209">
        <f>_xlfn.IFNA(VLOOKUP(E$4,'Escala Docente'!$C$8:$AW$326,14,FALSE),0)</f>
        <v>2474.25</v>
      </c>
      <c r="E15" s="203">
        <f>IF((ROUND(D15*E$1/30,2)+(ROUND(F15*$G$1/30,2))+ROUND(H15*$I$1/30,2)+ROUND(J15*$K$1/30,2))&gt;C15,C15,(ROUND(D15*E$1/30,2)+ROUND(F15*$G$1/30,2)+ROUND(H15*$I$1/30,2)+ROUND(J15*$K$1/30,2)))</f>
        <v>12371.24</v>
      </c>
      <c r="F15" s="209">
        <f>_xlfn.IFNA(VLOOKUP(G$4,'Escala Docente'!$C$8:$AW$326,14,FALSE),0)</f>
        <v>12371.24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674</v>
      </c>
      <c r="C16" s="8">
        <f>Valores!F25</f>
        <v>758.98500000000001</v>
      </c>
      <c r="D16" s="209">
        <f>_xlfn.IFNA(VLOOKUP(E$4,'Escala Docente'!$C$8:$AW$326,25,FALSE),0)</f>
        <v>60.81</v>
      </c>
      <c r="E16" s="203">
        <f>ROUND(D16*E$1/30,2)</f>
        <v>60.81</v>
      </c>
      <c r="F16" s="209">
        <f>_xlfn.IFNA(VLOOKUP(G$4,'Escala Docente'!$C$8:$AW$326,25,FALSE),0)</f>
        <v>505.99</v>
      </c>
      <c r="G16" s="203">
        <f>IF(E16&gt;=C16,0,IF((F16*G$1/30)&gt;(E16-C16),F16*G$1/30,E16-C16))</f>
        <v>505.99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687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686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675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682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676</v>
      </c>
      <c r="C21" s="8">
        <v>0</v>
      </c>
      <c r="D21" s="209">
        <f>_xlfn.IFNA(VLOOKUP(E$4,'Escala Docente'!$C$8:$AW$326,18,FALSE),0)</f>
        <v>774.39</v>
      </c>
      <c r="E21" s="203">
        <f>ROUND(D21*E$1/30,2)</f>
        <v>774.39</v>
      </c>
      <c r="F21" s="209">
        <f>_xlfn.IFNA(VLOOKUP(G$4,'Escala Docente'!$C$8:$AW$326,18,FALSE),0)</f>
        <v>11511.67</v>
      </c>
      <c r="G21" s="203">
        <f>ROUND(F21*G$1/30,2)</f>
        <v>11511.67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680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685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696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677</v>
      </c>
      <c r="C25" s="8">
        <f>IF('Escala Docente'!$F$4="NO",Valores!F62,Valores!F62/2)</f>
        <v>12646.54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678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679</v>
      </c>
      <c r="C27" s="8" t="e">
        <f>IF('Escala Docente'!$F$4="NO",Valores!#REF!,Valores!#REF!/2)</f>
        <v>#REF!</v>
      </c>
      <c r="D27" s="209">
        <f>_xlfn.IFNA(VLOOKUP(E$4,'Escala Docente'!$C$8:$AW$326,31,FALSE),0)</f>
        <v>1264.6500000000001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6323.27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681</v>
      </c>
      <c r="C28" s="8">
        <f>Valores!F61</f>
        <v>327.60000000000002</v>
      </c>
      <c r="D28" s="209">
        <f>_xlfn.IFNA(VLOOKUP(E$4,'Escala Docente'!$C$8:$AW$326,36,FALSE),0)</f>
        <v>34.067700000000002</v>
      </c>
      <c r="E28" s="203">
        <f>ROUND(D28*E$1/30,2)</f>
        <v>34.07</v>
      </c>
      <c r="F28" s="209">
        <f>_xlfn.IFNA(VLOOKUP(G$4,'Escala Docente'!$C$8:$AW$326,36,FALSE),0)</f>
        <v>155.18</v>
      </c>
      <c r="G28" s="203">
        <f>IF(E28&gt;=C28,0,IF((F28*G$1/30)&gt;(E28-C28),F28*G$1/30,E28-C28))</f>
        <v>155.18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684</v>
      </c>
      <c r="C29" s="8">
        <v>0</v>
      </c>
      <c r="D29" s="209">
        <f>_xlfn.IFNA(VLOOKUP(E$4,'Escala Docente'!$C$8:$AW$326,11,FALSE),0)</f>
        <v>1185.1099999999999</v>
      </c>
      <c r="E29" s="210">
        <f>ROUND(IF('Escala Docente'!$H$2=0,IF(AND(MID(E$3,1,5)&lt;&gt;"13930",MID(E$3,1,5)&lt;&gt;"13940"),(SUM(E6+E12+E14+E18+E10+E17+E21)*Valores!$C$4),0),0),2)</f>
        <v>3041.27</v>
      </c>
      <c r="F29" s="209">
        <f>_xlfn.IFNA(VLOOKUP(G$4,'Escala Docente'!$C$8:$AW$326,11,FALSE),0)</f>
        <v>6549.38</v>
      </c>
      <c r="G29" s="210">
        <f>ROUND(IF('Escala Docente'!$H$2=0,IF(AND(MID(G$3,1,5)&lt;&gt;"13930",MID(G$3,1,5)&lt;&gt;"13940"),(SUM(G6+G12+G14+G18+G10+G17+G21)*Valores!$C$4),0),0),2)</f>
        <v>5251.54</v>
      </c>
      <c r="H29" s="209">
        <f>_xlfn.IFNA(VLOOKUP(I$4,'Escala Docente'!$C$8:$AW$326,11,FALSE),0)</f>
        <v>10115.24</v>
      </c>
      <c r="I29" s="210">
        <f>ROUND(IF('Escala Docente'!$H$2=0,IF(AND(MID(I$3,1,5)&lt;&gt;"13930",MID(I$3,1,5)&lt;&gt;"13940"),(SUM(I6+I12+I14+I18+I10+I17+I21)*Valores!$C$4),0),0),2)</f>
        <v>9002.5499999999993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2022 11 Cba V 2 7.xlsx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2022-11-24T01:13:44Z</cp:lastPrinted>
  <dcterms:created xsi:type="dcterms:W3CDTF">2005-08-10T23:49:01Z</dcterms:created>
  <dcterms:modified xsi:type="dcterms:W3CDTF">2022-12-26T15:33:12Z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