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'Valores'!$A$1:$G$88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<sst xmlns="http://schemas.openxmlformats.org/spreadsheetml/2006/main" count="1563" uniqueCount="818">
  <si>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</si>
  <si>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</si>
  <si>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</si>
  <si>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</si>
  <si>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</si>
  <si>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</si>
  <si>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</si>
  <si>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</si>
  <si>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</si>
  <si>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</si>
  <si>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</si>
  <si>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</si>
  <si>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</si>
  <si>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</si>
  <si>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</si>
  <si>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</si>
  <si>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</si>
  <si>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</si>
  <si>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</si>
  <si>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</si>
  <si>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</si>
  <si>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</si>
  <si>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</si>
  <si>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</si>
  <si>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</si>
  <si>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</si>
  <si>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</si>
  <si>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</si>
  <si>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</si>
  <si>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</si>
  <si>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</si>
  <si>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</si>
  <si>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</si>
  <si>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</si>
  <si>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</si>
  <si>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</si>
  <si>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</si>
  <si>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</si>
  <si>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</si>
  <si>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</si>
  <si>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</si>
  <si>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</si>
  <si>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</si>
  <si>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</si>
  <si>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</si>
  <si>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</si>
  <si>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</si>
  <si>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</si>
  <si>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</si>
  <si>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</si>
  <si>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</si>
  <si>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</si>
  <si>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</si>
  <si>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</si>
  <si>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</si>
  <si>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</si>
  <si>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</si>
  <si>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</si>
  <si>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</si>
  <si>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</si>
  <si>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</si>
  <si>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</si>
  <si>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</si>
  <si>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</si>
  <si>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</si>
  <si>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</si>
  <si>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</si>
  <si>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</si>
  <si>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</si>
  <si>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</si>
  <si>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</si>
  <si>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</si>
  <si>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</si>
  <si>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</si>
  <si>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</si>
  <si>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</si>
  <si>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</si>
  <si>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</si>
  <si>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</si>
  <si>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</si>
  <si>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</si>
  <si>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</si>
  <si>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</si>
  <si>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</si>
  <si>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</si>
  <si>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</si>
  <si>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</si>
  <si>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</si>
  <si>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</si>
  <si>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</si>
  <si>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</si>
  <si>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</si>
  <si>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</si>
  <si>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</si>
  <si>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</si>
  <si>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</si>
  <si>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</si>
  <si>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</si>
  <si>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</si>
  <si>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</si>
  <si>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</si>
  <si>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</si>
  <si>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</si>
  <si>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</si>
  <si>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</si>
  <si>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</si>
  <si>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</si>
  <si>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</si>
  <si>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</si>
  <si>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</si>
  <si>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</si>
  <si>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</si>
  <si>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</si>
  <si>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</si>
  <si>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</si>
  <si>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</si>
  <si>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</si>
  <si>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</si>
  <si>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</si>
  <si>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</si>
  <si>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</si>
  <si>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</si>
  <si>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</si>
  <si>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</si>
  <si>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</si>
  <si>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</si>
  <si>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</si>
  <si>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</si>
  <si>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</si>
  <si>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</si>
  <si>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</si>
  <si>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</si>
  <si>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</si>
  <si>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</si>
  <si>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</si>
  <si>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</si>
  <si>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</si>
  <si>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</si>
  <si>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</si>
  <si>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</si>
  <si>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</si>
  <si>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</si>
  <si>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</si>
  <si>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</si>
  <si>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</si>
  <si>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</si>
  <si>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</si>
  <si>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</si>
  <si>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</si>
  <si>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</si>
  <si>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</si>
  <si>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</si>
  <si>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</si>
  <si>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</si>
  <si>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</si>
  <si>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</si>
  <si>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</si>
  <si>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</si>
  <si>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</si>
  <si>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</si>
  <si>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</si>
  <si>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</si>
  <si>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</si>
  <si>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</si>
  <si>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</si>
  <si>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</si>
  <si>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</si>
  <si>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</si>
  <si>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</si>
  <si>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</si>
  <si>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</si>
  <si>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</si>
  <si>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</si>
  <si>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</si>
  <si>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</si>
  <si>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</si>
  <si>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</si>
  <si>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</si>
  <si>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</si>
  <si>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</si>
  <si>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</si>
  <si>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</si>
  <si>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</si>
  <si>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</si>
  <si>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</si>
  <si>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</si>
  <si>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</si>
  <si>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</si>
  <si>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</si>
  <si>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</si>
  <si>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</si>
  <si>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</si>
  <si>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</si>
  <si>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</si>
  <si>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</si>
  <si>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</si>
  <si>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</si>
  <si>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</si>
  <si>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</si>
  <si>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</si>
  <si>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</si>
  <si>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</si>
  <si>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</si>
  <si>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</si>
  <si>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</si>
  <si>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</si>
  <si>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</si>
  <si>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</si>
  <si>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</si>
  <si>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</si>
  <si>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</si>
  <si>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</si>
  <si>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</si>
  <si>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</si>
  <si>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</si>
  <si>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</si>
  <si>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</si>
  <si>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</si>
  <si>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</si>
  <si>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</si>
  <si>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</si>
  <si>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</si>
  <si>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</si>
  <si>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</si>
  <si>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</si>
  <si>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</si>
  <si>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</si>
  <si>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</si>
  <si>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</si>
  <si>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</si>
  <si>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</si>
  <si>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</si>
  <si>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</si>
  <si>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</si>
  <si>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</si>
  <si>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</si>
  <si>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</si>
  <si>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</si>
  <si>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</si>
  <si>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</si>
  <si>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</si>
  <si>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</si>
  <si>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</si>
  <si>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</si>
  <si>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</si>
  <si>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</si>
  <si>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</si>
  <si>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</si>
  <si>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</si>
  <si>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</si>
  <si>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</si>
  <si>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</si>
  <si>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</si>
  <si>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</si>
  <si>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</si>
  <si>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</si>
  <si>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</si>
  <si>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</si>
  <si>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</si>
  <si>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</si>
  <si>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</si>
  <si>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</si>
  <si>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</si>
  <si>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</si>
  <si>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</si>
  <si>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</si>
  <si>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</si>
  <si>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</si>
  <si>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</si>
  <si>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</si>
  <si>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</si>
  <si>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</si>
  <si>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</si>
  <si>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</si>
  <si>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</si>
  <si>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</si>
  <si>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</si>
  <si>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</si>
  <si>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</si>
  <si>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</si>
  <si>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</si>
  <si>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</si>
  <si>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</si>
  <si>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</si>
  <si>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</si>
  <si>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</si>
  <si>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</si>
  <si>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</si>
  <si>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</si>
  <si>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</si>
  <si>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</si>
  <si>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</si>
  <si>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</si>
  <si>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</si>
  <si>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</si>
  <si>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</si>
  <si>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</si>
  <si>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</si>
  <si>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</si>
  <si>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</si>
  <si>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</si>
  <si>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</si>
  <si>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</si>
  <si>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</si>
  <si>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</si>
  <si>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</si>
  <si>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</si>
  <si>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</si>
  <si>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</si>
  <si>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</si>
  <si>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</si>
  <si>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</si>
  <si>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</si>
  <si>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</si>
  <si>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</si>
  <si>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</si>
  <si>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</si>
  <si>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</si>
  <si>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</si>
  <si>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</si>
  <si>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</si>
  <si>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</si>
  <si>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</si>
  <si>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</si>
  <si>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</si>
  <si>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</si>
  <si>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</si>
  <si>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</si>
  <si>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</si>
  <si>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</si>
  <si>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</si>
  <si>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</si>
  <si>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</si>
  <si>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</si>
  <si>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</si>
  <si>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</si>
  <si>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</si>
  <si>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</si>
  <si>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</si>
  <si>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</si>
  <si>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</si>
  <si>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</si>
  <si>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</si>
  <si>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</si>
  <si>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</si>
  <si>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</si>
  <si>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</si>
  <si>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</si>
  <si>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</si>
  <si>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</si>
  <si>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</si>
  <si>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</si>
  <si>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</si>
  <si>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</si>
  <si>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</si>
  <si>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</si>
  <si>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</si>
  <si>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</si>
  <si>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</si>
  <si>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</si>
  <si>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</si>
  <si>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</si>
  <si>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</si>
  <si>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</si>
  <si>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</si>
  <si>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</si>
  <si>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</si>
  <si>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</si>
  <si>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</si>
  <si>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</si>
  <si>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</si>
  <si>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</si>
  <si>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</si>
  <si>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</si>
  <si>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</si>
  <si>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</si>
  <si>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</si>
  <si>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</si>
  <si>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</si>
  <si>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</si>
  <si>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</si>
  <si>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</si>
  <si>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</si>
  <si>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</si>
  <si>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</si>
  <si>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</si>
  <si>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</si>
  <si>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</si>
  <si>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</si>
  <si>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</si>
  <si>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</si>
  <si>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</si>
  <si>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</si>
  <si>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</si>
  <si>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</si>
  <si>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</si>
  <si>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</si>
  <si>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</si>
  <si>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</si>
  <si>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</si>
  <si>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</si>
  <si>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</si>
  <si>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</si>
  <si>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</si>
  <si>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</si>
  <si>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</si>
  <si>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</si>
  <si>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</si>
  <si>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</si>
  <si>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</si>
  <si>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</si>
  <si>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</si>
  <si>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</si>
  <si>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</si>
  <si>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</si>
  <si>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</si>
  <si>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</si>
  <si>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</si>
  <si>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</si>
  <si>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</si>
  <si>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</si>
  <si>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</si>
  <si>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</si>
  <si>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</si>
  <si>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</si>
  <si>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</si>
  <si>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</si>
  <si>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</si>
  <si>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</si>
  <si>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</si>
  <si>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</si>
  <si>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</si>
  <si>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</si>
  <si>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</si>
  <si>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</si>
  <si>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</si>
  <si>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</si>
  <si>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</si>
  <si>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</si>
  <si>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</si>
  <si>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</si>
  <si>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</si>
  <si>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</si>
  <si>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</si>
  <si>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</si>
  <si>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</si>
  <si>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</si>
  <si>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</si>
  <si>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</si>
  <si>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</si>
  <si>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</si>
  <si>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</si>
  <si>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</si>
  <si>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</si>
  <si>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</si>
  <si>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</si>
  <si>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</si>
  <si>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</si>
  <si>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</si>
  <si>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</si>
  <si>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</si>
  <si>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</si>
  <si>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</si>
  <si>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</si>
  <si>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</si>
  <si>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</si>
  <si>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</si>
  <si>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</si>
  <si>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</si>
  <si>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</si>
  <si>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</si>
  <si>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</si>
  <si>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</si>
  <si>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</si>
  <si>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</si>
  <si>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</si>
  <si>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</si>
  <si>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</si>
  <si>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</si>
  <si>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</si>
  <si>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</si>
  <si>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</si>
  <si>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</si>
  <si>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</si>
  <si>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</si>
  <si>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</si>
  <si>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</si>
  <si>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</si>
  <si>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</si>
  <si>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</si>
  <si>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</si>
  <si>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</si>
  <si>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</si>
  <si>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</si>
  <si>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</si>
  <si>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</si>
  <si>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</si>
  <si>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</si>
  <si>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</si>
  <si>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</si>
  <si>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</si>
  <si>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</si>
  <si>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</si>
  <si>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</si>
  <si>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</si>
  <si>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</si>
  <si>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</si>
  <si>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</si>
  <si>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</si>
  <si>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</si>
  <si>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</si>
  <si>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</si>
  <si>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</si>
  <si>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</si>
  <si>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</si>
  <si>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</si>
  <si>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</si>
  <si>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</si>
  <si>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</si>
  <si>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</si>
  <si>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</si>
  <si>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</si>
  <si>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</si>
  <si>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</si>
  <si>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</si>
  <si>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</si>
  <si>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</si>
  <si>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</si>
  <si>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</si>
  <si>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</si>
  <si>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</si>
  <si>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</si>
  <si>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</si>
  <si>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</si>
  <si>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</si>
  <si>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</si>
  <si>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</si>
  <si>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</si>
  <si>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</si>
  <si>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</si>
  <si>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</si>
  <si>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</si>
  <si>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</si>
  <si>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</si>
  <si>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</si>
  <si>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</si>
  <si>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</si>
  <si>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</si>
  <si>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</si>
  <si>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</si>
  <si>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</si>
  <si>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</si>
  <si>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</si>
  <si>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</si>
  <si>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</si>
  <si>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</si>
  <si>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</si>
  <si>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</si>
  <si>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</si>
  <si>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</si>
  <si>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</si>
  <si>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</si>
  <si>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</si>
  <si>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</si>
  <si>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</si>
  <si>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</si>
  <si>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</si>
  <si>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</si>
  <si>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</si>
  <si>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</si>
  <si>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</si>
  <si>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</si>
  <si>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</si>
  <si>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</si>
  <si>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</si>
  <si>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</si>
  <si>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</si>
  <si>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</si>
  <si>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</si>
  <si>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</si>
  <si>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</si>
  <si>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</si>
  <si>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</si>
  <si>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</si>
  <si>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</si>
  <si>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</si>
  <si>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</si>
  <si>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</si>
  <si>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</si>
  <si>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</si>
  <si>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</si>
  <si>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</si>
  <si>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</si>
  <si>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</si>
  <si>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</si>
  <si>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</si>
  <si>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</si>
  <si>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</si>
  <si>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</si>
  <si>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</si>
  <si>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</si>
  <si>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</si>
  <si>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</si>
  <si>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</si>
  <si>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</si>
  <si>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</si>
  <si>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</si>
  <si>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</si>
  <si>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</si>
  <si>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</si>
  <si>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</si>
  <si>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</si>
  <si>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</si>
  <si>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</si>
  <si>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</si>
  <si>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</si>
  <si>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</si>
  <si>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</si>
  <si>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</si>
  <si>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</si>
  <si>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</si>
  <si>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</si>
  <si>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</si>
  <si>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</si>
  <si>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</si>
  <si>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</si>
  <si>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</si>
  <si>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</si>
  <si>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</si>
  <si>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</si>
  <si>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</si>
  <si>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</si>
  <si>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</si>
  <si>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</si>
  <si>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</si>
  <si>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</si>
  <si>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</si>
  <si>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</si>
  <si>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</si>
  <si>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</si>
  <si>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</si>
  <si>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</si>
  <si>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</si>
  <si>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</si>
  <si>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</si>
  <si>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</si>
  <si>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</si>
  <si>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</si>
  <si>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</si>
  <si>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</si>
  <si>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</si>
  <si>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"2022 - Las Malvinas son argentinas”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</si>
  <si>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</si>
  <si>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</si>
  <si>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</si>
  <si>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</si>
  <si>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</si>
  <si>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</si>
  <si>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</si>
  <si>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</si>
  <si>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</si>
  <si>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</si>
  <si>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</si>
  <si>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</si>
  <si>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</si>
  <si>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</si>
  <si>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</si>
  <si>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</si>
  <si>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</si>
  <si>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</si>
  <si>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</si>
  <si>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</si>
  <si>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</si>
  <si>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</si>
  <si>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</si>
  <si>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</si>
  <si>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</si>
  <si>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</si>
  <si>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</si>
  <si>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</si>
  <si>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</si>
  <si>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</si>
  <si>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</si>
  <si>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</si>
  <si>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</si>
  <si>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</si>
  <si>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</si>
  <si>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</si>
  <si>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</si>
  <si>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</si>
  <si>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</si>
  <si>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</si>
  <si>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</si>
  <si>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</si>
  <si>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</si>
  <si>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</si>
  <si>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</si>
  <si>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</si>
  <si>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</si>
  <si>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</si>
  <si>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</si>
  <si>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</si>
  <si>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</si>
  <si>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</si>
  <si>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</si>
  <si>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</si>
  <si>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</si>
  <si>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</si>
  <si>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</si>
  <si>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</si>
  <si>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</si>
  <si>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</si>
  <si>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</si>
  <si>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</si>
  <si>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</si>
  <si>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</si>
  <si>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</si>
  <si>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</si>
  <si>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</si>
  <si>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</si>
  <si>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</si>
  <si>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</si>
  <si>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</si>
  <si>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</si>
  <si>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</si>
  <si>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</si>
  <si>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</si>
  <si>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</si>
  <si>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</si>
  <si>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</si>
  <si>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</si>
  <si>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</si>
  <si>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</si>
  <si>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</si>
  <si>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</si>
  <si>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</si>
  <si>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</si>
  <si>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</si>
  <si>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</si>
  <si>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</si>
  <si>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</si>
  <si>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</si>
  <si>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</si>
  <si>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</si>
  <si>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</si>
  <si>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</si>
  <si>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</si>
  <si>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</si>
  <si>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</si>
  <si>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</si>
  <si>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</si>
  <si>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</si>
  <si>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</si>
  <si>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</si>
  <si>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</si>
  <si>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</si>
  <si>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</si>
  <si>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</si>
  <si>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</si>
  <si>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</si>
  <si>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</si>
  <si>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</si>
  <si>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</si>
  <si>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</si>
  <si>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</si>
  <si>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</si>
  <si>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</si>
  <si>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</si>
  <si>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</si>
  <si>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</si>
  <si>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</si>
  <si>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</si>
  <si>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</si>
  <si>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</si>
  <si>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</si>
  <si>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</si>
  <si>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</si>
  <si>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</si>
  <si>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</si>
  <si>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</si>
  <si>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</si>
  <si>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</si>
  <si>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</si>
  <si>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</si>
  <si>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</si>
  <si>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</si>
  <si>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</si>
  <si>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</si>
  <si>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</si>
  <si>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</si>
  <si>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</si>
  <si>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</si>
  <si>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</si>
  <si>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</si>
  <si>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</si>
  <si>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</si>
  <si>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</si>
  <si>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</si>
  <si>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</si>
  <si>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</si>
  <si>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</si>
  <si>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</si>
  <si>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</si>
  <si>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</si>
  <si>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</si>
  <si>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</si>
  <si>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</si>
  <si>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</si>
  <si>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</si>
  <si>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</si>
  <si>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</si>
  <si>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</si>
  <si>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</si>
  <si>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</si>
  <si>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</si>
  <si>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</si>
  <si>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</si>
  <si>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Gtos. Inh. Lab. Doc.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</si>
</sst>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</numFmts>
  <fonts count="37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37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4" fontId="10" fillId="0" borderId="0" xfId="21" applyNumberFormat="1" applyFont="1" applyBorder="1" applyAlignment="1" applyProtection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69" fontId="27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9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30" fillId="0" borderId="0" xfId="21" applyNumberFormat="1" applyFont="1">
      <alignment/>
    </xf>
    <xf numFmtId="176" fontId="0" fillId="0" borderId="0" xfId="0" applyNumberFormat="1"/>
    <xf numFmtId="4" fontId="0" fillId="0" borderId="0" xfId="0" applyNumberFormat="1" applyFill="1" applyBorder="1"/>
    <xf numFmtId="174" fontId="32" fillId="0" borderId="0" xfId="23" applyNumberFormat="1" applyFont="1" applyBorder="1" applyAlignment="1">
      <alignment horizontal="right"/>
      <protection/>
    </xf>
    <xf numFmtId="166" fontId="32" fillId="0" borderId="0" xfId="23" applyNumberFormat="1" applyFont="1" applyBorder="1">
      <alignment/>
      <protection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179" fontId="9" fillId="0" borderId="0" xfId="0" applyNumberFormat="1" applyFont="1" applyFill="1"/>
    <xf numFmtId="2" fontId="9" fillId="0" borderId="0" xfId="0" applyNumberFormat="1" applyFont="1" applyFill="1"/>
    <xf numFmtId="166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6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4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4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2" fontId="19" fillId="0" borderId="0" xfId="23" applyNumberFormat="1" applyFont="1" applyBorder="1" applyAlignment="1">
      <alignment horizontal="center" wrapText="1"/>
      <protection/>
    </xf>
    <xf numFmtId="172" fontId="10" fillId="0" borderId="0" xfId="23" applyNumberFormat="1" applyFont="1" applyBorder="1" applyAlignment="1">
      <alignment horizontal="center" wrapText="1"/>
      <protection/>
    </xf>
    <xf numFmtId="174" fontId="10" fillId="0" borderId="0" xfId="23" applyNumberFormat="1" applyFont="1" applyBorder="1" applyAlignment="1">
      <alignment horizontal="center"/>
      <protection/>
    </xf>
    <xf numFmtId="174" fontId="33" fillId="0" borderId="0" xfId="23" applyNumberFormat="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/>
    <xf numFmtId="169" fontId="0" fillId="0" borderId="0" xfId="22" applyAlignment="1">
      <alignment horizontal="center" vertical="center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69" fontId="0" fillId="0" borderId="0" xfId="22" applyBorder="1">
      <alignment/>
    </xf>
    <xf numFmtId="169" fontId="24" fillId="0" borderId="10" xfId="22" applyFont="1" applyBorder="1" applyProtection="1">
      <alignment/>
      <protection/>
    </xf>
    <xf numFmtId="0" fontId="0" fillId="0" borderId="0" xfId="0" applyNumberFormat="1" applyBorder="1"/>
    <xf numFmtId="181" fontId="0" fillId="0" borderId="0" xfId="0" applyNumberFormat="1" applyFont="1" applyBorder="1"/>
    <xf numFmtId="0" fontId="36" fillId="0" borderId="0" xfId="0" applyFont="1" applyAlignment="1">
      <alignment horizontal="left"/>
    </xf>
    <xf numFmtId="17" fontId="25" fillId="0" borderId="0" xfId="23" applyNumberFormat="1" applyFont="1" applyBorder="1" applyAlignment="1" quotePrefix="1">
      <alignment horizontal="left" vertical="center" wrapText="1"/>
      <protection/>
    </xf>
    <xf numFmtId="0" fontId="25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190500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workbookViewId="0" topLeftCell="A1">
      <pane ySplit="1" topLeftCell="A74" activePane="bottomLeft" state="frozen"/>
      <selection pane="bottomLeft" activeCell="E92" sqref="E92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1">
        <v>25.7304</v>
      </c>
      <c r="G2" s="82"/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3">
        <v>0.2</v>
      </c>
    </row>
    <row r="4" spans="1:14" s="81" customFormat="1" ht="12.75">
      <c r="A4" s="80" t="s">
        <v>4</v>
      </c>
      <c r="B4" s="80" t="s">
        <v>663</v>
      </c>
      <c r="C4" s="6">
        <v>0.15</v>
      </c>
      <c r="H4" s="84"/>
      <c r="I4" s="81">
        <v>2</v>
      </c>
      <c r="J4" s="83">
        <v>0.15</v>
      </c>
      <c r="L4" s="137">
        <v>3</v>
      </c>
      <c r="N4" s="213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ROUND(('Escala Docente'!F142*C5),2)</f>
        <v>13153.38</v>
      </c>
      <c r="E5" s="95">
        <f>ROUND(D5/15,2)</f>
        <v>876.89</v>
      </c>
      <c r="F5" s="84"/>
      <c r="G5" s="84"/>
      <c r="I5" s="81">
        <v>3</v>
      </c>
      <c r="J5" s="83">
        <v>0.15</v>
      </c>
      <c r="L5" s="137">
        <v>4</v>
      </c>
      <c r="N5" s="213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3">
        <v>0.8</v>
      </c>
    </row>
    <row r="7" spans="1:14" s="81" customFormat="1" ht="12.75">
      <c r="A7" s="162" t="s">
        <v>4</v>
      </c>
      <c r="B7" s="163" t="s">
        <v>9</v>
      </c>
      <c r="C7" s="175">
        <v>872.59</v>
      </c>
      <c r="D7" s="95"/>
      <c r="E7" s="83"/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>
      <c r="A8" s="162" t="s">
        <v>4</v>
      </c>
      <c r="B8" s="164" t="s">
        <v>10</v>
      </c>
      <c r="C8" s="175">
        <v>28397.34</v>
      </c>
      <c r="D8" s="95"/>
      <c r="E8" s="83"/>
      <c r="F8" s="89"/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>
      <c r="A9" s="162" t="s">
        <v>4</v>
      </c>
      <c r="B9" s="164" t="s">
        <v>11</v>
      </c>
      <c r="C9" s="101">
        <v>28480.68</v>
      </c>
      <c r="D9" s="95"/>
      <c r="E9" s="83"/>
      <c r="F9" s="89"/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4</v>
      </c>
      <c r="B10" s="164" t="s">
        <v>622</v>
      </c>
      <c r="C10" s="101">
        <v>24443.05</v>
      </c>
      <c r="D10" s="95"/>
      <c r="E10" s="83"/>
      <c r="F10" s="89"/>
      <c r="I10" s="81">
        <v>8</v>
      </c>
      <c r="J10" s="83">
        <v>0.4</v>
      </c>
      <c r="L10" s="137">
        <v>9</v>
      </c>
    </row>
    <row r="11" spans="1:10" s="81" customFormat="1" ht="12.75">
      <c r="A11" s="162"/>
      <c r="B11" s="164" t="s">
        <v>809</v>
      </c>
      <c r="C11" s="101">
        <v>22943.05</v>
      </c>
      <c r="D11" s="95"/>
      <c r="E11" s="83"/>
      <c r="F11" s="89"/>
      <c r="I11" s="81">
        <v>9</v>
      </c>
      <c r="J11" s="83">
        <v>0.4</v>
      </c>
    </row>
    <row r="12" spans="1:10" s="81" customFormat="1" ht="12.75">
      <c r="A12" s="162" t="s">
        <v>4</v>
      </c>
      <c r="B12" s="163" t="s">
        <v>12</v>
      </c>
      <c r="C12" s="101">
        <v>52997.07</v>
      </c>
      <c r="D12" s="95"/>
      <c r="E12" s="83"/>
      <c r="F12" s="89"/>
      <c r="G12" s="84"/>
      <c r="I12" s="81">
        <v>10</v>
      </c>
      <c r="J12" s="83">
        <v>0.5</v>
      </c>
    </row>
    <row r="13" spans="1:14" s="81" customFormat="1" ht="12.75">
      <c r="A13" s="162" t="s">
        <v>4</v>
      </c>
      <c r="B13" s="164" t="s">
        <v>13</v>
      </c>
      <c r="C13" s="101">
        <v>23568.37</v>
      </c>
      <c r="D13" s="95"/>
      <c r="E13" s="83"/>
      <c r="F13" s="90"/>
      <c r="G13" s="84"/>
      <c r="I13" s="81">
        <v>11</v>
      </c>
      <c r="J13" s="83">
        <v>0.5</v>
      </c>
      <c r="M13" s="217" t="str">
        <f ca="1">MID(CELL("FILENAME",N30),FIND("[",CELL("FILENAME",N30))+1,FIND("]",CELL("FILENAME",N30))-FIND("[",CELL("FILENAME",N30))-6)</f>
        <v>Esc Doc 2022 12 Cba V 1 2</v>
      </c>
      <c r="N13" s="217"/>
    </row>
    <row r="14" spans="1:13" s="81" customFormat="1" ht="12.75">
      <c r="A14" s="162" t="s">
        <v>4</v>
      </c>
      <c r="B14" s="164" t="s">
        <v>14</v>
      </c>
      <c r="C14" s="175">
        <v>23734.39</v>
      </c>
      <c r="D14" s="95"/>
      <c r="E14" s="83"/>
      <c r="F14" s="90"/>
      <c r="G14" s="84"/>
      <c r="I14" s="81">
        <v>12</v>
      </c>
      <c r="J14" s="83">
        <v>0.6</v>
      </c>
      <c r="M14" s="215" t="str">
        <f ca="1">MID($M$13,14,2)</f>
        <v>12</v>
      </c>
    </row>
    <row r="15" spans="1:13" s="81" customFormat="1" ht="12.75">
      <c r="A15" s="162" t="s">
        <v>4</v>
      </c>
      <c r="B15" s="164" t="s">
        <v>609</v>
      </c>
      <c r="C15" s="101">
        <v>33325.83</v>
      </c>
      <c r="D15" s="95"/>
      <c r="E15" s="83"/>
      <c r="F15" s="90"/>
      <c r="G15" s="84"/>
      <c r="I15" s="81">
        <v>13</v>
      </c>
      <c r="J15" s="83">
        <v>0.6</v>
      </c>
      <c r="M15" s="215" t="str">
        <f ca="1">MID($M$13,9,4)</f>
        <v>2022</v>
      </c>
    </row>
    <row r="16" spans="1:13" s="81" customFormat="1" ht="12.75">
      <c r="A16" s="162"/>
      <c r="B16" s="164" t="s">
        <v>815</v>
      </c>
      <c r="C16" s="101">
        <v>22234.39</v>
      </c>
      <c r="D16" s="95"/>
      <c r="E16" s="83"/>
      <c r="F16" s="90"/>
      <c r="G16" s="84"/>
      <c r="I16" s="81">
        <v>14</v>
      </c>
      <c r="J16" s="83">
        <v>0.6</v>
      </c>
      <c r="M16" s="81" t="str">
        <f ca="1">VLOOKUP(VALUE(M14),L17:M28,2,FALSE)</f>
        <v>DICIEMBRE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637</v>
      </c>
    </row>
    <row r="18" spans="1:13" s="81" customFormat="1" ht="12.75">
      <c r="A18" s="162" t="s">
        <v>4</v>
      </c>
      <c r="B18" s="163" t="s">
        <v>15</v>
      </c>
      <c r="C18" s="101">
        <v>274.45</v>
      </c>
      <c r="D18" s="95"/>
      <c r="E18" s="167"/>
      <c r="F18" s="84"/>
      <c r="G18" s="84"/>
      <c r="H18" s="84"/>
      <c r="I18" s="81">
        <v>16</v>
      </c>
      <c r="J18" s="83">
        <v>0.7</v>
      </c>
      <c r="L18" s="215">
        <v>2</v>
      </c>
      <c r="M18" s="81" t="s">
        <v>638</v>
      </c>
    </row>
    <row r="19" spans="1:13" s="81" customFormat="1" ht="12.75">
      <c r="A19" s="162" t="s">
        <v>4</v>
      </c>
      <c r="B19" s="163" t="s">
        <v>631</v>
      </c>
      <c r="C19" s="101">
        <v>12239.42</v>
      </c>
      <c r="D19" s="95"/>
      <c r="E19" s="216" t="s">
        <v>574</v>
      </c>
      <c r="F19" s="84"/>
      <c r="G19" s="84"/>
      <c r="I19" s="81">
        <v>17</v>
      </c>
      <c r="J19" s="83">
        <v>0.8</v>
      </c>
      <c r="L19" s="215">
        <v>3</v>
      </c>
      <c r="M19" s="81" t="s">
        <v>639</v>
      </c>
    </row>
    <row r="20" spans="1:13" s="81" customFormat="1" ht="12.75">
      <c r="A20" s="162" t="s">
        <v>4</v>
      </c>
      <c r="B20" s="163" t="s">
        <v>632</v>
      </c>
      <c r="C20" s="101">
        <v>12114.28</v>
      </c>
      <c r="D20" s="95"/>
      <c r="E20" s="167"/>
      <c r="F20" s="84"/>
      <c r="G20" s="84"/>
      <c r="H20" s="84"/>
      <c r="I20" s="81">
        <v>18</v>
      </c>
      <c r="J20" s="83">
        <v>0.8</v>
      </c>
      <c r="L20" s="215">
        <v>4</v>
      </c>
      <c r="M20" s="81" t="s">
        <v>640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641</v>
      </c>
    </row>
    <row r="22" spans="1:13" s="81" customFormat="1" ht="12.75">
      <c r="A22" s="80" t="s">
        <v>4</v>
      </c>
      <c r="B22" s="86" t="s">
        <v>633</v>
      </c>
      <c r="C22" s="101">
        <v>11734.9</v>
      </c>
      <c r="D22" s="166"/>
      <c r="H22" s="84"/>
      <c r="I22" s="81">
        <v>20</v>
      </c>
      <c r="J22" s="83">
        <v>1</v>
      </c>
      <c r="L22" s="215">
        <v>6</v>
      </c>
      <c r="M22" s="81" t="s">
        <v>642</v>
      </c>
    </row>
    <row r="23" spans="1:13" s="81" customFormat="1" ht="12.75">
      <c r="A23" s="80" t="s">
        <v>4</v>
      </c>
      <c r="B23" s="86" t="s">
        <v>630</v>
      </c>
      <c r="C23" s="101">
        <v>10922.07</v>
      </c>
      <c r="D23" s="166"/>
      <c r="H23" s="84"/>
      <c r="I23" s="81">
        <v>21</v>
      </c>
      <c r="J23" s="83">
        <v>1</v>
      </c>
      <c r="L23" s="215">
        <v>7</v>
      </c>
      <c r="M23" s="81" t="s">
        <v>643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644</v>
      </c>
    </row>
    <row r="25" spans="1:13" s="81" customFormat="1" ht="12.75">
      <c r="A25" s="80" t="s">
        <v>4</v>
      </c>
      <c r="B25" s="86" t="s">
        <v>16</v>
      </c>
      <c r="C25" s="101">
        <v>537.98</v>
      </c>
      <c r="D25" s="95"/>
      <c r="F25" s="87">
        <f>+C25*1.5</f>
        <v>806.97</v>
      </c>
      <c r="H25" s="84"/>
      <c r="I25" s="81">
        <v>23</v>
      </c>
      <c r="J25" s="83">
        <v>1.1</v>
      </c>
      <c r="L25" s="215">
        <v>9</v>
      </c>
      <c r="M25" s="81" t="s">
        <v>645</v>
      </c>
    </row>
    <row r="26" spans="1:13" s="81" customFormat="1" ht="12.75">
      <c r="A26" s="80" t="s">
        <v>4</v>
      </c>
      <c r="B26" s="86" t="s">
        <v>17</v>
      </c>
      <c r="C26" s="101">
        <f>C25</f>
        <v>537.98</v>
      </c>
      <c r="D26" s="95"/>
      <c r="F26" s="87">
        <f>C26</f>
        <v>537.98</v>
      </c>
      <c r="H26" s="84"/>
      <c r="I26" s="81">
        <v>24</v>
      </c>
      <c r="J26" s="83">
        <v>1.2</v>
      </c>
      <c r="L26" s="215">
        <v>10</v>
      </c>
      <c r="M26" s="81" t="s">
        <v>646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647</v>
      </c>
    </row>
    <row r="28" spans="1:13" s="81" customFormat="1" ht="12.75">
      <c r="A28" s="80" t="s">
        <v>4</v>
      </c>
      <c r="B28" s="81" t="s">
        <v>18</v>
      </c>
      <c r="C28" s="101">
        <v>21.55</v>
      </c>
      <c r="F28" s="87">
        <f>F25</f>
        <v>806.97</v>
      </c>
      <c r="I28" s="81">
        <v>26</v>
      </c>
      <c r="J28" s="83">
        <v>1.3</v>
      </c>
      <c r="L28" s="215">
        <v>12</v>
      </c>
      <c r="M28" s="81" t="s">
        <v>648</v>
      </c>
    </row>
    <row r="29" spans="1:10" s="81" customFormat="1" ht="13.5" thickBot="1">
      <c r="A29" s="91" t="s">
        <v>4</v>
      </c>
      <c r="B29" s="92" t="s">
        <v>19</v>
      </c>
      <c r="C29" s="101">
        <v>17.95</v>
      </c>
      <c r="D29" s="92"/>
      <c r="E29" s="92"/>
      <c r="F29" s="93">
        <f>F26</f>
        <v>537.98</v>
      </c>
      <c r="G29" s="92">
        <f>C29*30</f>
        <v>538.5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4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4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>
      <c r="A33" s="96"/>
      <c r="B33" s="96" t="s">
        <v>810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/>
      <c r="B34" s="96" t="s">
        <v>811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/>
      <c r="B35" s="96" t="s">
        <v>649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/>
      <c r="B36" s="96" t="s">
        <v>650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/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>
      <c r="A39" s="74"/>
      <c r="B39" s="74" t="s">
        <v>660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>
      <c r="A40" s="75" t="s">
        <v>607</v>
      </c>
      <c r="B40" s="75"/>
      <c r="C40" s="78"/>
      <c r="D40" s="75"/>
      <c r="E40" s="75"/>
      <c r="F40" s="75"/>
      <c r="G40" s="75"/>
      <c r="H40" s="5"/>
      <c r="I40">
        <v>40</v>
      </c>
      <c r="J40" s="3">
        <v>1.5</v>
      </c>
    </row>
    <row r="41" spans="1:10" ht="12.75">
      <c r="A41" s="74" t="s">
        <v>4</v>
      </c>
      <c r="B41" s="2" t="s">
        <v>636</v>
      </c>
      <c r="C41" s="100">
        <v>8366.19</v>
      </c>
      <c r="D41" s="6"/>
      <c r="E41" s="165"/>
      <c r="F41" s="5"/>
      <c r="G41" s="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635</v>
      </c>
      <c r="C42" s="101">
        <v>8880.92</v>
      </c>
      <c r="D42" s="6"/>
      <c r="E42" s="165"/>
      <c r="F42" s="5"/>
      <c r="G42" s="5"/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634</v>
      </c>
      <c r="C43" s="101">
        <v>9395.75</v>
      </c>
      <c r="D43" s="6"/>
      <c r="E43" s="165"/>
      <c r="H43" s="5"/>
      <c r="I43">
        <v>43</v>
      </c>
      <c r="J43" s="3">
        <v>1.5</v>
      </c>
    </row>
    <row r="44" spans="1:10" ht="12.75">
      <c r="A44" s="74"/>
      <c r="B44" s="2" t="s">
        <v>813</v>
      </c>
      <c r="C44" s="101">
        <v>9934.21</v>
      </c>
      <c r="D44" s="6"/>
      <c r="E44" s="165"/>
      <c r="I44">
        <v>44</v>
      </c>
      <c r="J44" s="3">
        <v>1.5</v>
      </c>
    </row>
    <row r="45" spans="1:10" ht="12.75">
      <c r="A45" s="74" t="s">
        <v>4</v>
      </c>
      <c r="B45" s="2" t="s">
        <v>812</v>
      </c>
      <c r="C45" s="101">
        <v>11454.58</v>
      </c>
      <c r="D45" s="6"/>
      <c r="E45" s="165"/>
      <c r="F45" s="8">
        <f>+C46</f>
        <v>14146.89</v>
      </c>
      <c r="G45" s="8"/>
      <c r="I45">
        <v>45</v>
      </c>
      <c r="J45" s="3">
        <v>1.5</v>
      </c>
    </row>
    <row r="46" spans="1:10" ht="12.75">
      <c r="A46" s="74"/>
      <c r="B46" s="2" t="s">
        <v>814</v>
      </c>
      <c r="C46" s="101">
        <v>14146.89</v>
      </c>
      <c r="D46" s="6"/>
      <c r="E46" s="165"/>
      <c r="F46" s="8"/>
      <c r="G46" s="8"/>
      <c r="H46" s="5"/>
      <c r="I46">
        <v>46</v>
      </c>
      <c r="J46" s="3">
        <v>1.5</v>
      </c>
    </row>
    <row r="47" spans="1:10" ht="12.75">
      <c r="A47" s="74"/>
      <c r="B47" s="2" t="s">
        <v>816</v>
      </c>
      <c r="C47" s="101">
        <v>11993.04</v>
      </c>
      <c r="D47" s="6"/>
      <c r="E47" s="165"/>
      <c r="F47" s="8"/>
      <c r="G47" s="8"/>
      <c r="I47">
        <v>47</v>
      </c>
      <c r="J47" s="3">
        <v>1.5</v>
      </c>
    </row>
    <row r="48" spans="1:10" ht="12.75">
      <c r="A48" s="74" t="s">
        <v>4</v>
      </c>
      <c r="B48" s="2" t="s">
        <v>23</v>
      </c>
      <c r="C48" s="101">
        <v>474.55</v>
      </c>
      <c r="D48" s="6"/>
      <c r="E48" s="165"/>
      <c r="I48">
        <v>48</v>
      </c>
      <c r="J48" s="3">
        <v>1.5</v>
      </c>
    </row>
    <row r="49" spans="1:10" ht="12.75">
      <c r="A49" s="74" t="s">
        <v>4</v>
      </c>
      <c r="B49" s="2" t="s">
        <v>24</v>
      </c>
      <c r="C49" s="101">
        <v>697.17</v>
      </c>
      <c r="D49" s="6"/>
      <c r="E49" s="165"/>
      <c r="I49">
        <v>49</v>
      </c>
      <c r="J49" s="3">
        <v>1.5</v>
      </c>
    </row>
    <row r="50" spans="1:12" ht="12.75">
      <c r="A50" s="74" t="s">
        <v>4</v>
      </c>
      <c r="B50" s="2" t="s">
        <v>654</v>
      </c>
      <c r="C50" s="101">
        <f>ROUND(C49/2,2)</f>
        <v>348.59</v>
      </c>
      <c r="D50" s="6"/>
      <c r="E50" s="165"/>
      <c r="I50">
        <v>50</v>
      </c>
      <c r="J50" s="3">
        <v>1.5</v>
      </c>
      <c r="L50">
        <f>267.87+5.37</f>
        <v>273.24</v>
      </c>
    </row>
    <row r="51" spans="1:10" ht="12.75">
      <c r="A51" s="75" t="s">
        <v>607</v>
      </c>
      <c r="B51" s="75"/>
      <c r="C51" s="78"/>
      <c r="D51" s="75"/>
      <c r="E51" s="75"/>
      <c r="F51" s="75"/>
      <c r="G51" s="75"/>
      <c r="I51">
        <v>51</v>
      </c>
      <c r="J51" s="3">
        <v>1.5</v>
      </c>
    </row>
    <row r="52" spans="1:10" ht="12" customHeight="1">
      <c r="A52" s="74"/>
      <c r="B52" s="74" t="s">
        <v>25</v>
      </c>
      <c r="C52" s="94">
        <f>INT((D52/15*100)+0.49)/100</f>
        <v>80.67</v>
      </c>
      <c r="D52" s="74">
        <f>D53</f>
        <v>1210</v>
      </c>
      <c r="E52" s="74"/>
      <c r="F52" s="74">
        <v>1210</v>
      </c>
      <c r="G52" s="74"/>
      <c r="I52">
        <v>52</v>
      </c>
      <c r="J52" s="3">
        <v>1.5</v>
      </c>
    </row>
    <row r="53" spans="1:10" ht="12.75">
      <c r="A53" s="74"/>
      <c r="B53" s="74" t="s">
        <v>26</v>
      </c>
      <c r="C53" s="94">
        <v>1210</v>
      </c>
      <c r="D53" s="74">
        <v>1210</v>
      </c>
      <c r="E53" s="74"/>
      <c r="F53" s="74"/>
      <c r="G53" s="74"/>
      <c r="I53">
        <v>53</v>
      </c>
      <c r="J53" s="3">
        <v>1.5</v>
      </c>
    </row>
    <row r="54" spans="1:3" ht="12.75">
      <c r="A54" s="74"/>
      <c r="B54" s="2" t="s">
        <v>27</v>
      </c>
      <c r="C54" s="100">
        <v>327.6</v>
      </c>
    </row>
    <row r="55" spans="1:3" ht="12.75">
      <c r="A55" s="74"/>
      <c r="B55" s="2" t="s">
        <v>28</v>
      </c>
      <c r="C55" s="100">
        <v>170.34</v>
      </c>
    </row>
    <row r="56" spans="1:3" ht="12.75">
      <c r="A56" s="74"/>
      <c r="B56" s="2" t="s">
        <v>29</v>
      </c>
      <c r="C56" s="101">
        <v>327.6</v>
      </c>
    </row>
    <row r="57" spans="1:3" ht="12.75">
      <c r="A57" s="74"/>
      <c r="B57" s="2" t="s">
        <v>30</v>
      </c>
      <c r="C57" s="101">
        <v>155.18</v>
      </c>
    </row>
    <row r="58" spans="1:9" ht="12.75">
      <c r="A58" s="74"/>
      <c r="B58" s="2" t="s">
        <v>31</v>
      </c>
      <c r="C58" s="101">
        <v>149.55200000000002</v>
      </c>
      <c r="I58" s="174">
        <f>+C62/15</f>
        <v>427.1286666666667</v>
      </c>
    </row>
    <row r="59" spans="1:9" ht="12.75">
      <c r="A59" s="74"/>
      <c r="B59" s="2" t="s">
        <v>32</v>
      </c>
      <c r="C59" s="101">
        <v>252.668</v>
      </c>
      <c r="I59" s="3"/>
    </row>
    <row r="60" spans="1:9" ht="12.75">
      <c r="A60" s="74"/>
      <c r="B60" s="2" t="s">
        <v>33</v>
      </c>
      <c r="C60" s="101">
        <v>14.195</v>
      </c>
      <c r="E60" s="73">
        <f>F60/C60</f>
        <v>23.078548784783376</v>
      </c>
      <c r="F60" s="5">
        <f>C54</f>
        <v>327.6</v>
      </c>
      <c r="I60" s="3"/>
    </row>
    <row r="61" spans="1:9" ht="12.75">
      <c r="A61" s="74"/>
      <c r="B61" s="2" t="s">
        <v>34</v>
      </c>
      <c r="C61" s="99">
        <v>11.3559</v>
      </c>
      <c r="E61" s="73">
        <f>F61/C61</f>
        <v>28.848440017964233</v>
      </c>
      <c r="F61" s="5">
        <f>C54</f>
        <v>327.6</v>
      </c>
      <c r="I61" s="3"/>
    </row>
    <row r="62" spans="1:6" ht="12.75">
      <c r="A62" s="74" t="s">
        <v>4</v>
      </c>
      <c r="B62" s="2" t="s">
        <v>623</v>
      </c>
      <c r="C62" s="100">
        <v>6406.93</v>
      </c>
      <c r="D62" s="3">
        <f>ROUND(C62/15,2)</f>
        <v>427.13</v>
      </c>
      <c r="E62" s="79">
        <v>38.47</v>
      </c>
      <c r="F62" s="3">
        <f>+C62*2</f>
        <v>12813.86</v>
      </c>
    </row>
    <row r="63" spans="1:6" ht="12.75">
      <c r="A63" s="74" t="s">
        <v>4</v>
      </c>
      <c r="B63" s="2" t="s">
        <v>35</v>
      </c>
      <c r="C63" s="100">
        <v>642.6</v>
      </c>
      <c r="D63" s="172"/>
      <c r="F63" s="3"/>
    </row>
    <row r="64" spans="1:6" ht="12.75">
      <c r="A64" s="74" t="s">
        <v>4</v>
      </c>
      <c r="B64" s="2" t="s">
        <v>655</v>
      </c>
      <c r="C64" s="100">
        <f>C63/2</f>
        <v>321.3</v>
      </c>
      <c r="D64" s="172"/>
      <c r="F64" s="3"/>
    </row>
    <row r="65" spans="1:7" ht="12.75">
      <c r="A65" s="75" t="s">
        <v>607</v>
      </c>
      <c r="B65" s="75"/>
      <c r="C65" s="76"/>
      <c r="D65" s="75"/>
      <c r="E65" s="75"/>
      <c r="F65" s="75"/>
      <c r="G65" s="75"/>
    </row>
    <row r="66" spans="1:7" ht="12.75">
      <c r="A66" s="104" t="s">
        <v>8</v>
      </c>
      <c r="B66" t="s">
        <v>610</v>
      </c>
      <c r="C66" s="103">
        <v>1210</v>
      </c>
      <c r="D66" s="102"/>
      <c r="E66" s="102"/>
      <c r="F66">
        <v>2420</v>
      </c>
      <c r="G66" s="212"/>
    </row>
    <row r="67" spans="1:7" ht="12.75">
      <c r="A67" s="75" t="s">
        <v>607</v>
      </c>
      <c r="B67" s="75"/>
      <c r="C67" s="76"/>
      <c r="D67" s="75"/>
      <c r="E67" s="75"/>
      <c r="F67" s="75"/>
      <c r="G67" s="75"/>
    </row>
    <row r="68" spans="1:7" ht="12.75">
      <c r="A68" s="74"/>
      <c r="B68" s="2" t="s">
        <v>36</v>
      </c>
      <c r="C68" s="9">
        <v>0</v>
      </c>
      <c r="D68" s="10"/>
      <c r="G68" s="212"/>
    </row>
    <row r="69" spans="1:7" ht="12.75">
      <c r="A69" s="75" t="s">
        <v>607</v>
      </c>
      <c r="B69" s="75"/>
      <c r="C69" s="76"/>
      <c r="D69" s="75"/>
      <c r="E69" s="75"/>
      <c r="F69" s="75"/>
      <c r="G69" s="75"/>
    </row>
    <row r="70" spans="1:3" ht="12.75">
      <c r="A70" s="74"/>
      <c r="B70" t="s">
        <v>37</v>
      </c>
      <c r="C70" s="11">
        <v>-0.11</v>
      </c>
    </row>
    <row r="71" spans="1:3" ht="12.75">
      <c r="A71" s="74"/>
      <c r="B71" t="s">
        <v>38</v>
      </c>
      <c r="C71" s="11">
        <v>0</v>
      </c>
    </row>
    <row r="72" spans="1:3" ht="12.75">
      <c r="A72" s="74"/>
      <c r="B72" t="s">
        <v>39</v>
      </c>
      <c r="C72" s="11">
        <v>-0.045</v>
      </c>
    </row>
    <row r="73" spans="1:3" ht="12.75">
      <c r="A73" s="74"/>
      <c r="B73" t="s">
        <v>40</v>
      </c>
      <c r="C73" s="11">
        <v>-0.027</v>
      </c>
    </row>
    <row r="74" spans="1:7" ht="12.75">
      <c r="A74" s="74"/>
      <c r="B74" t="s">
        <v>41</v>
      </c>
      <c r="C74" s="11">
        <v>-0.003</v>
      </c>
      <c r="G74" s="212"/>
    </row>
    <row r="75" spans="1:7" ht="12.75">
      <c r="A75" s="75" t="s">
        <v>607</v>
      </c>
      <c r="B75" s="75"/>
      <c r="C75" s="76"/>
      <c r="D75" s="75"/>
      <c r="E75" s="75"/>
      <c r="F75" s="75"/>
      <c r="G75" s="75"/>
    </row>
    <row r="76" spans="1:3" ht="12.75">
      <c r="A76" s="74"/>
      <c r="B76" t="s">
        <v>42</v>
      </c>
      <c r="C76" s="11">
        <v>0.16</v>
      </c>
    </row>
    <row r="77" spans="1:3" ht="12.75">
      <c r="A77" s="74"/>
      <c r="B77" t="s">
        <v>43</v>
      </c>
      <c r="C77" s="11">
        <v>0.07</v>
      </c>
    </row>
    <row r="78" spans="1:7" ht="12.75">
      <c r="A78" s="74"/>
      <c r="B78" t="s">
        <v>44</v>
      </c>
      <c r="C78" s="11">
        <v>0.01</v>
      </c>
      <c r="G78" s="212"/>
    </row>
    <row r="79" spans="1:7" ht="12.75">
      <c r="A79" s="75" t="s">
        <v>607</v>
      </c>
      <c r="B79" s="75"/>
      <c r="C79" s="76"/>
      <c r="D79" s="75"/>
      <c r="E79" s="75"/>
      <c r="F79" s="75"/>
      <c r="G79" s="75"/>
    </row>
    <row r="80" spans="1:3" ht="12.75">
      <c r="A80" s="74"/>
      <c r="B80" t="s">
        <v>45</v>
      </c>
      <c r="C80" s="11">
        <v>0.035</v>
      </c>
    </row>
    <row r="81" spans="1:3" ht="12.75">
      <c r="A81" s="74"/>
      <c r="B81" t="s">
        <v>46</v>
      </c>
      <c r="C81" s="11">
        <v>0.006</v>
      </c>
    </row>
    <row r="82" spans="1:7" ht="12.75">
      <c r="A82" s="74"/>
      <c r="B82" t="s">
        <v>47</v>
      </c>
      <c r="C82" s="11">
        <v>0.054</v>
      </c>
      <c r="G82" s="212"/>
    </row>
    <row r="83" spans="1:7" ht="12.75">
      <c r="A83" s="75" t="s">
        <v>607</v>
      </c>
      <c r="B83" s="75"/>
      <c r="C83" s="76"/>
      <c r="D83" s="75"/>
      <c r="E83" s="75"/>
      <c r="F83" s="75"/>
      <c r="G83" s="75"/>
    </row>
    <row r="84" spans="1:7" ht="12.75">
      <c r="A84" s="74"/>
      <c r="B84" t="s">
        <v>48</v>
      </c>
      <c r="C84" s="4">
        <v>0.5</v>
      </c>
      <c r="G84" s="212"/>
    </row>
    <row r="85" spans="1:7" ht="12.75">
      <c r="A85" s="75" t="s">
        <v>607</v>
      </c>
      <c r="B85" s="75"/>
      <c r="C85" s="76"/>
      <c r="D85" s="75"/>
      <c r="E85" s="75"/>
      <c r="F85" s="75"/>
      <c r="G85" s="75"/>
    </row>
    <row r="86" spans="1:5" ht="12.75">
      <c r="A86" s="74" t="s">
        <v>4</v>
      </c>
      <c r="B86" s="74" t="s">
        <v>624</v>
      </c>
      <c r="C86" s="8">
        <v>0</v>
      </c>
      <c r="E86" s="8"/>
    </row>
    <row r="87" spans="1:5" ht="12.75">
      <c r="A87" s="74" t="s">
        <v>4</v>
      </c>
      <c r="B87" s="74" t="s">
        <v>625</v>
      </c>
      <c r="C87" s="8">
        <v>0</v>
      </c>
      <c r="E87" s="8"/>
    </row>
    <row r="88" spans="1:6" ht="12.75">
      <c r="A88" s="74" t="s">
        <v>4</v>
      </c>
      <c r="B88" s="74" t="s">
        <v>626</v>
      </c>
      <c r="C88" s="100">
        <v>0</v>
      </c>
      <c r="E88" s="8"/>
      <c r="F88" s="8">
        <f>+C88</f>
        <v>0</v>
      </c>
    </row>
    <row r="89" spans="1:5" ht="12.75">
      <c r="A89" s="74" t="s">
        <v>4</v>
      </c>
      <c r="B89" s="74" t="s">
        <v>627</v>
      </c>
      <c r="C89" s="8">
        <v>0</v>
      </c>
      <c r="E89" s="8"/>
    </row>
    <row r="90" spans="1:5" ht="12.75">
      <c r="A90" s="74" t="s">
        <v>4</v>
      </c>
      <c r="B90" s="74" t="s">
        <v>656</v>
      </c>
      <c r="C90" s="8">
        <v>0</v>
      </c>
      <c r="E90" s="8"/>
    </row>
    <row r="91" spans="1:5" ht="12.75">
      <c r="A91" s="74" t="s">
        <v>4</v>
      </c>
      <c r="B91" s="74" t="s">
        <v>658</v>
      </c>
      <c r="C91" s="8">
        <f>C90/2</f>
        <v>0</v>
      </c>
      <c r="E91" s="8"/>
    </row>
    <row r="92" spans="1:5" ht="12.75">
      <c r="A92" s="74"/>
      <c r="B92" s="74"/>
      <c r="C92" s="8"/>
      <c r="E92" s="8"/>
    </row>
    <row r="93" spans="1:3" ht="12.75">
      <c r="A93" s="74" t="s">
        <v>4</v>
      </c>
      <c r="B93" s="74" t="s">
        <v>611</v>
      </c>
      <c r="C93" s="8">
        <v>5760.87</v>
      </c>
    </row>
    <row r="94" spans="1:7" ht="12.75">
      <c r="A94" s="74" t="s">
        <v>4</v>
      </c>
      <c r="B94" s="74" t="s">
        <v>612</v>
      </c>
      <c r="C94" s="8">
        <v>6913.05</v>
      </c>
      <c r="G94" s="3"/>
    </row>
    <row r="95" spans="1:6" ht="12.75">
      <c r="A95" s="74" t="s">
        <v>4</v>
      </c>
      <c r="B95" s="74" t="s">
        <v>613</v>
      </c>
      <c r="C95" s="8">
        <v>11521.74</v>
      </c>
      <c r="F95" s="3">
        <f>+C95</f>
        <v>11521.74</v>
      </c>
    </row>
    <row r="96" spans="1:3" ht="12.75">
      <c r="A96" s="74" t="s">
        <v>4</v>
      </c>
      <c r="B96" s="74" t="s">
        <v>614</v>
      </c>
      <c r="C96" s="8">
        <v>279.94</v>
      </c>
    </row>
    <row r="97" spans="1:3" ht="12.75">
      <c r="A97" s="74" t="s">
        <v>4</v>
      </c>
      <c r="B97" s="74" t="s">
        <v>657</v>
      </c>
      <c r="C97" s="8">
        <v>576.09</v>
      </c>
    </row>
    <row r="98" spans="1:3" ht="12.75">
      <c r="A98" s="74" t="s">
        <v>4</v>
      </c>
      <c r="B98" s="74" t="s">
        <v>659</v>
      </c>
      <c r="C98" s="8">
        <f>C97/2</f>
        <v>288.045</v>
      </c>
    </row>
    <row r="99" spans="2:3" ht="12.75">
      <c r="B99" s="74" t="s">
        <v>628</v>
      </c>
      <c r="C99" s="8">
        <v>-280.91</v>
      </c>
    </row>
    <row r="100" spans="2:3" ht="12.75">
      <c r="B100" t="s">
        <v>618</v>
      </c>
      <c r="C100" s="8">
        <v>-329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40" zoomScaleNormal="140" zoomScaleSheetLayoutView="100" workbookViewId="0" topLeftCell="A1">
      <pane xSplit="4" ySplit="7" topLeftCell="F295" activePane="bottomRight" state="frozen"/>
      <selection pane="topRight" activeCell="U1" sqref="U1"/>
      <selection pane="bottomLeft" activeCell="A69" sqref="A69"/>
      <selection pane="bottomRight" activeCell="R6" sqref="R6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8.42187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hidden="1" customWidth="1"/>
    <col min="14" max="14" width="8.421875" style="107" hidden="1" customWidth="1"/>
    <col min="15" max="15" width="6.8515625" style="107" customWidth="1"/>
    <col min="16" max="16" width="7.00390625" style="107" customWidth="1"/>
    <col min="17" max="17" width="7.140625" style="107" customWidth="1"/>
    <col min="18" max="18" width="6.71093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140625" style="109" customWidth="1"/>
    <col min="28" max="28" width="6.140625" style="109" hidden="1" customWidth="1"/>
    <col min="29" max="29" width="7.140625" style="107" hidden="1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6.710937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customWidth="1"/>
    <col min="51" max="51" width="3.7109375" style="105" customWidth="1"/>
    <col min="52" max="52" width="3.421875" style="110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8" t="str">
        <f ca="1">CONCATENATE(Valores!M16,"  ",Valores!M15)</f>
        <v>DICIEMBRE  2022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0"/>
      <c r="AZ2" s="116">
        <f>(((F139+S139)*1.15)+O139+P139+Q139+AA139+AD139)*0.05</f>
        <v>4410.555974999999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4</v>
      </c>
      <c r="G3" s="221" t="s">
        <v>50</v>
      </c>
      <c r="H3" s="221"/>
      <c r="I3" s="222">
        <f>Valores!C2</f>
        <v>25.7304</v>
      </c>
      <c r="J3" s="222"/>
      <c r="K3" s="199"/>
      <c r="L3" s="177" t="e">
        <f>VLOOKUP(K3,Valores!L17:M28,2,)</f>
        <v>#N/A</v>
      </c>
      <c r="M3" s="176"/>
      <c r="N3" s="177"/>
      <c r="O3" s="227" t="s">
        <v>651</v>
      </c>
      <c r="P3" s="227"/>
      <c r="Q3" s="227"/>
      <c r="R3" s="227"/>
      <c r="S3" s="227"/>
      <c r="T3" s="227"/>
      <c r="U3" s="227"/>
      <c r="V3" s="227"/>
      <c r="AJ3" s="117" t="s">
        <v>4</v>
      </c>
      <c r="AK3" s="118"/>
      <c r="AL3" s="220"/>
      <c r="AM3" s="117" t="s">
        <v>4</v>
      </c>
      <c r="AN3" s="118"/>
      <c r="AO3" s="119">
        <f>Valores!C2</f>
        <v>25.7304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4" t="s">
        <v>621</v>
      </c>
      <c r="B4" s="225"/>
      <c r="C4" s="225"/>
      <c r="D4" s="226"/>
      <c r="E4" s="191"/>
      <c r="F4" s="133" t="s">
        <v>4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4" t="s">
        <v>616</v>
      </c>
      <c r="B5" s="225"/>
      <c r="C5" s="225"/>
      <c r="D5" s="226"/>
      <c r="E5" s="191"/>
      <c r="F5" s="161">
        <v>0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8" t="s">
        <v>52</v>
      </c>
      <c r="F6" s="229"/>
      <c r="G6" s="230" t="s">
        <v>53</v>
      </c>
      <c r="H6" s="230"/>
      <c r="I6" s="231" t="s">
        <v>54</v>
      </c>
      <c r="J6" s="231"/>
      <c r="K6" s="223" t="s">
        <v>55</v>
      </c>
      <c r="L6" s="223"/>
      <c r="M6" s="150" t="s">
        <v>56</v>
      </c>
      <c r="N6" s="151" t="s">
        <v>57</v>
      </c>
      <c r="O6" s="150" t="s">
        <v>58</v>
      </c>
      <c r="P6" s="169" t="str">
        <f>CONCATENATE("Est. Doc (tope ",TEXT(Valores!D5,"$0,00"),")")</f>
        <v>Est. Doc (tope $13153,38)</v>
      </c>
      <c r="Q6" s="150" t="s">
        <v>59</v>
      </c>
      <c r="R6" s="150" t="s">
        <v>817</v>
      </c>
      <c r="S6" s="151" t="s">
        <v>60</v>
      </c>
      <c r="T6" s="150" t="s">
        <v>60</v>
      </c>
      <c r="U6" s="150" t="s">
        <v>61</v>
      </c>
      <c r="V6" s="150" t="s">
        <v>62</v>
      </c>
      <c r="W6" s="232" t="s">
        <v>63</v>
      </c>
      <c r="X6" s="232"/>
      <c r="Y6" s="150" t="s">
        <v>64</v>
      </c>
      <c r="Z6" s="159" t="str">
        <f>CONCATENATE("Bonif. Compensatoria Rem. (tope ",TEXT(Valores!F95,"$0,00"),")")</f>
        <v>Bonif. Compensatoria Rem. (tope $11521,74)</v>
      </c>
      <c r="AA6" s="159" t="str">
        <f>CONCATENATE("Ad R Doc (tope ",TEXT(Valores!F25,"$0,00"),")")</f>
        <v>Ad R Doc (tope $806,97)</v>
      </c>
      <c r="AB6" s="159" t="s">
        <v>697</v>
      </c>
      <c r="AC6" s="150" t="s">
        <v>65</v>
      </c>
      <c r="AD6" s="158" t="str">
        <f>CONCATENATE("Nuevo  A.R.D. (tope ",TEXT(Valores!F26,"$0,00"),")")</f>
        <v>Nuevo  A.R.D. (tope $537,98)</v>
      </c>
      <c r="AE6" s="223" t="s">
        <v>66</v>
      </c>
      <c r="AF6" s="223"/>
      <c r="AG6" s="158" t="str">
        <f>CONCATENATE("Ap Mat Did Rem. (tope ",TEXT(Valores!F62,"$0,00"),")")</f>
        <v>Ap Mat Did Rem. (tope $12813,86)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",TEXT(Valores!C88,"$0,00"),")")</f>
        <v>Bonif. Compensatoria No Rem. (tope $0,00)</v>
      </c>
      <c r="AK6" s="158" t="str">
        <f>CONCATENATE("Adic Extr. (tope ",TEXT(Valores!F38,"$0,00"),")")</f>
        <v>Adic Extr. (tope $0,00)</v>
      </c>
      <c r="AL6" s="159" t="str">
        <f>CONCATENATE("Adel Inc Docente (tope ",TEXT(Valores!C54,"$0,00"),")")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662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689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2753.15</v>
      </c>
      <c r="G8" s="192">
        <v>3779</v>
      </c>
      <c r="H8" s="125">
        <f>ROUND(G8*Valores!$C$2,2)</f>
        <v>97235.18</v>
      </c>
      <c r="I8" s="192">
        <v>219</v>
      </c>
      <c r="J8" s="125">
        <f>ROUND(I8*Valores!$C$2,2)</f>
        <v>5634.96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16702.59</v>
      </c>
      <c r="N8" s="125">
        <f aca="true" t="shared" si="1" ref="N8:N71">ROUND(SUM(F8,H8,J8,L8,X8,R8)*$H$2,2)</f>
        <v>0</v>
      </c>
      <c r="O8" s="125">
        <f>Valores!$C$11</f>
        <v>22943.05</v>
      </c>
      <c r="P8" s="125">
        <f>Valores!$D$5</f>
        <v>13153.38</v>
      </c>
      <c r="Q8" s="125">
        <v>0</v>
      </c>
      <c r="R8" s="125">
        <f>IF($F$4="NO",Valores!$C$45,Valores!$C$45/2)</f>
        <v>5727.29</v>
      </c>
      <c r="S8" s="125">
        <v>0</v>
      </c>
      <c r="T8" s="125">
        <f>ROUND(S8*(1+$H$2),2)</f>
        <v>0</v>
      </c>
      <c r="U8" s="125">
        <f>SUM(F8,H8,J8)</f>
        <v>105623.29</v>
      </c>
      <c r="V8" s="125">
        <f>INT((SUM(F8,H8,J8)*0.4*100)+0.49)/100</f>
        <v>42249.32</v>
      </c>
      <c r="W8" s="192">
        <v>0</v>
      </c>
      <c r="X8" s="125">
        <f>ROUND(W8*Valores!$C$2,2)</f>
        <v>0</v>
      </c>
      <c r="Y8" s="125">
        <v>0</v>
      </c>
      <c r="Z8" s="125">
        <f>Valores!$C$93</f>
        <v>5760.87</v>
      </c>
      <c r="AA8" s="125">
        <f>Valores!$C$25</f>
        <v>537.98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537.98</v>
      </c>
      <c r="AE8" s="192">
        <v>0</v>
      </c>
      <c r="AF8" s="125">
        <f>ROUND(AE8*Valores!$C$2,2)</f>
        <v>0</v>
      </c>
      <c r="AG8" s="125">
        <f>ROUND(IF($F$4="NO",Valores!$C$62,Valores!$C$62/2),2)</f>
        <v>3203.47</v>
      </c>
      <c r="AH8" s="125">
        <f>SUM(F8,H8,J8,L8,M8,N8,O8,P8,Q8,R8,T8,U8,V8,X8,Y8,Z8,AA8,AC8,AD8,AF8,AG8)</f>
        <v>322062.50999999995</v>
      </c>
      <c r="AI8" s="125">
        <f>Valores!$C$31</f>
        <v>0</v>
      </c>
      <c r="AJ8" s="125">
        <f>Valores!$C$86</f>
        <v>0</v>
      </c>
      <c r="AK8" s="125">
        <f>Valores!C$38*B8</f>
        <v>0</v>
      </c>
      <c r="AL8" s="125">
        <f>IF($F$3="NO",0,Valores!$C$54)</f>
        <v>327.6</v>
      </c>
      <c r="AM8" s="125">
        <f aca="true" t="shared" si="3" ref="AM8:AM71">SUM(AI8:AL8)</f>
        <v>327.6</v>
      </c>
      <c r="AN8" s="125">
        <f>AH8*Valores!$C$70</f>
        <v>-35426.876099999994</v>
      </c>
      <c r="AO8" s="125">
        <f>AH8*-Valores!$C$71</f>
        <v>0</v>
      </c>
      <c r="AP8" s="125">
        <f>AH8*Valores!$C$72</f>
        <v>-14492.812949999998</v>
      </c>
      <c r="AQ8" s="125">
        <f>Valores!$C$99</f>
        <v>-280.91</v>
      </c>
      <c r="AR8" s="125">
        <f>IF($F$5=0,Valores!$C$100,(Valores!$C$100+$F$5*(Valores!$C$100)))</f>
        <v>-329</v>
      </c>
      <c r="AS8" s="125">
        <f>AH8+AM8+SUM(AN8:AR8)</f>
        <v>271860.5109499999</v>
      </c>
      <c r="AT8" s="125">
        <f t="shared" si="0"/>
        <v>-35426.876099999994</v>
      </c>
      <c r="AU8" s="125">
        <f>AH8*Valores!$C$73</f>
        <v>-8695.687769999999</v>
      </c>
      <c r="AV8" s="125">
        <f>AH8*Valores!$C$74</f>
        <v>-966.1875299999999</v>
      </c>
      <c r="AW8" s="125">
        <f aca="true" t="shared" si="4" ref="AW8:AW71">AH8+AM8+SUM(AT8:AV8)</f>
        <v>277301.3585999999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2753.15</v>
      </c>
      <c r="G9" s="192">
        <v>3779</v>
      </c>
      <c r="H9" s="125">
        <f>ROUND(G9*Valores!$C$2,2)</f>
        <v>97235.18</v>
      </c>
      <c r="I9" s="192">
        <v>219</v>
      </c>
      <c r="J9" s="125">
        <f>ROUND(I9*Valores!$C$2,2)</f>
        <v>5634.96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16702.59</v>
      </c>
      <c r="N9" s="125">
        <f t="shared" si="1"/>
        <v>0</v>
      </c>
      <c r="O9" s="125">
        <f>Valores!$C$11</f>
        <v>22943.05</v>
      </c>
      <c r="P9" s="125">
        <f>Valores!$D$5</f>
        <v>13153.38</v>
      </c>
      <c r="Q9" s="125">
        <v>0</v>
      </c>
      <c r="R9" s="125">
        <f>IF($F$4="NO",Valores!$C$45,Valores!$C$45/2)</f>
        <v>5727.29</v>
      </c>
      <c r="S9" s="125">
        <v>0</v>
      </c>
      <c r="T9" s="125">
        <f>ROUND(S9*(1+$H$2),2)</f>
        <v>0</v>
      </c>
      <c r="U9" s="125">
        <f>SUM(F9,H9,J9)</f>
        <v>105623.29</v>
      </c>
      <c r="V9" s="125">
        <f>INT((SUM(F9,H9,J9)*0.4*100)+0.49)/100</f>
        <v>42249.32</v>
      </c>
      <c r="W9" s="192">
        <v>0</v>
      </c>
      <c r="X9" s="125">
        <f>ROUND(W9*Valores!$C$2,2)</f>
        <v>0</v>
      </c>
      <c r="Y9" s="125">
        <v>0</v>
      </c>
      <c r="Z9" s="125">
        <f>Valores!$C$93</f>
        <v>5760.87</v>
      </c>
      <c r="AA9" s="125">
        <f>Valores!$C$25</f>
        <v>537.98</v>
      </c>
      <c r="AB9" s="214">
        <v>0</v>
      </c>
      <c r="AC9" s="125">
        <f t="shared" si="2"/>
        <v>0</v>
      </c>
      <c r="AD9" s="125">
        <f>Valores!$C$26</f>
        <v>537.98</v>
      </c>
      <c r="AE9" s="192">
        <v>0</v>
      </c>
      <c r="AF9" s="125">
        <f>ROUND(AE9*Valores!$C$2,2)</f>
        <v>0</v>
      </c>
      <c r="AG9" s="125">
        <f>ROUND(IF($F$4="NO",Valores!$C$62,Valores!$C$62/2),2)</f>
        <v>3203.47</v>
      </c>
      <c r="AH9" s="125">
        <f aca="true" t="shared" si="5" ref="AH9:AH72">SUM(F9,H9,J9,L9,M9,N9,O9,P9,Q9,R9,T9,U9,V9,X9,Y9,Z9,AA9,AC9,AD9,AF9,AG9)</f>
        <v>322062.50999999995</v>
      </c>
      <c r="AI9" s="125">
        <f>Valores!$C$31</f>
        <v>0</v>
      </c>
      <c r="AJ9" s="125">
        <f>Valores!$C$86</f>
        <v>0</v>
      </c>
      <c r="AK9" s="125">
        <f>Valores!C$38*B9</f>
        <v>0</v>
      </c>
      <c r="AL9" s="125">
        <f>IF($F$3="NO",0,Valores!$C$54)</f>
        <v>327.6</v>
      </c>
      <c r="AM9" s="125">
        <f t="shared" si="3"/>
        <v>327.6</v>
      </c>
      <c r="AN9" s="125">
        <f>AH9*Valores!$C$70</f>
        <v>-35426.876099999994</v>
      </c>
      <c r="AO9" s="125">
        <f>AH9*-Valores!$C$71</f>
        <v>0</v>
      </c>
      <c r="AP9" s="125">
        <f>AH9*Valores!$C$72</f>
        <v>-14492.812949999998</v>
      </c>
      <c r="AQ9" s="125">
        <f>Valores!$C$99</f>
        <v>-280.91</v>
      </c>
      <c r="AR9" s="125">
        <f>IF($F$5=0,Valores!$C$100,(Valores!$C$100+$F$5*(Valores!$C$100)))</f>
        <v>-329</v>
      </c>
      <c r="AS9" s="125">
        <f aca="true" t="shared" si="6" ref="AS9:AS72">AH9+SUM(AM9:AR9)</f>
        <v>271860.51094999997</v>
      </c>
      <c r="AT9" s="125">
        <f t="shared" si="0"/>
        <v>-35426.876099999994</v>
      </c>
      <c r="AU9" s="125">
        <f>AH9*Valores!$C$73</f>
        <v>-8695.687769999999</v>
      </c>
      <c r="AV9" s="125">
        <f>AH9*Valores!$C$74</f>
        <v>-966.1875299999999</v>
      </c>
      <c r="AW9" s="125">
        <f t="shared" si="4"/>
        <v>277301.3585999999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2753.15</v>
      </c>
      <c r="G10" s="192">
        <v>3720</v>
      </c>
      <c r="H10" s="125">
        <f>ROUND(G10*Valores!$C$2,2)</f>
        <v>95717.09</v>
      </c>
      <c r="I10" s="192">
        <v>1226</v>
      </c>
      <c r="J10" s="125">
        <f>ROUND(I10*Valores!$C$2,2)</f>
        <v>31545.47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22197.36</v>
      </c>
      <c r="N10" s="125">
        <f t="shared" si="1"/>
        <v>0</v>
      </c>
      <c r="O10" s="125">
        <f>Valores!$C$13</f>
        <v>23568.37</v>
      </c>
      <c r="P10" s="125">
        <f>Valores!$D$5</f>
        <v>13153.38</v>
      </c>
      <c r="Q10" s="125">
        <v>0</v>
      </c>
      <c r="R10" s="125">
        <f>IF($F$4="NO",Valores!$C$45,Valores!$C$45/2)</f>
        <v>5727.29</v>
      </c>
      <c r="S10" s="125">
        <f>Valores!$C$19</f>
        <v>12239.42</v>
      </c>
      <c r="T10" s="125">
        <f>ROUND(S10*(1+$H$2),2)</f>
        <v>12239.42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Valores!$C$93</f>
        <v>5760.87</v>
      </c>
      <c r="AA10" s="125">
        <f>Valores!$C$25</f>
        <v>537.98</v>
      </c>
      <c r="AB10" s="214">
        <v>0</v>
      </c>
      <c r="AC10" s="125">
        <f t="shared" si="2"/>
        <v>0</v>
      </c>
      <c r="AD10" s="125">
        <f>Valores!$C$26</f>
        <v>537.98</v>
      </c>
      <c r="AE10" s="192">
        <v>0</v>
      </c>
      <c r="AF10" s="125">
        <f>ROUND(AE10*Valores!$C$2,2)</f>
        <v>0</v>
      </c>
      <c r="AG10" s="125">
        <f>ROUND(IF($F$4="NO",Valores!$C$62,Valores!$C$62/2),2)</f>
        <v>3203.47</v>
      </c>
      <c r="AH10" s="125">
        <f t="shared" si="5"/>
        <v>216941.83000000005</v>
      </c>
      <c r="AI10" s="125">
        <f>Valores!$C$31</f>
        <v>0</v>
      </c>
      <c r="AJ10" s="125">
        <f>Valores!$C$86</f>
        <v>0</v>
      </c>
      <c r="AK10" s="125">
        <f>Valores!C$38*B10</f>
        <v>0</v>
      </c>
      <c r="AL10" s="125">
        <f>IF($F$3="NO",0,Valores!$C$54)</f>
        <v>327.6</v>
      </c>
      <c r="AM10" s="125">
        <f t="shared" si="3"/>
        <v>327.6</v>
      </c>
      <c r="AN10" s="125">
        <f>AH10*Valores!$C$70</f>
        <v>-23863.601300000006</v>
      </c>
      <c r="AO10" s="125">
        <f>AH10*-Valores!$C$71</f>
        <v>0</v>
      </c>
      <c r="AP10" s="125">
        <f>AH10*Valores!$C$72</f>
        <v>-9762.382350000002</v>
      </c>
      <c r="AQ10" s="125">
        <f>Valores!$C$99</f>
        <v>-280.91</v>
      </c>
      <c r="AR10" s="125">
        <f>IF($F$5=0,Valores!$C$100,(Valores!$C$100+$F$5*(Valores!$C$100)))</f>
        <v>-329</v>
      </c>
      <c r="AS10" s="125">
        <f t="shared" si="6"/>
        <v>183033.53635000004</v>
      </c>
      <c r="AT10" s="125">
        <f t="shared" si="0"/>
        <v>-23863.601300000006</v>
      </c>
      <c r="AU10" s="125">
        <f>AH10*Valores!$C$73</f>
        <v>-5857.429410000002</v>
      </c>
      <c r="AV10" s="125">
        <f>AH10*Valores!$C$74</f>
        <v>-650.8254900000002</v>
      </c>
      <c r="AW10" s="125">
        <f t="shared" si="4"/>
        <v>186897.57380000004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2753.15</v>
      </c>
      <c r="G11" s="192">
        <v>3779</v>
      </c>
      <c r="H11" s="125">
        <f>ROUND(G11*Valores!$C$2,2)</f>
        <v>97235.18</v>
      </c>
      <c r="I11" s="192">
        <v>219</v>
      </c>
      <c r="J11" s="125">
        <f>ROUND(I11*Valores!$C$2,2)</f>
        <v>5634.96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16702.59</v>
      </c>
      <c r="N11" s="125">
        <f t="shared" si="1"/>
        <v>0</v>
      </c>
      <c r="O11" s="125">
        <f>Valores!$C$11</f>
        <v>22943.05</v>
      </c>
      <c r="P11" s="125">
        <f>Valores!$D$5</f>
        <v>13153.38</v>
      </c>
      <c r="Q11" s="125">
        <v>0</v>
      </c>
      <c r="R11" s="125">
        <f>IF($F$4="NO",Valores!$C$45,Valores!$C$45/2)</f>
        <v>5727.29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105623.29</v>
      </c>
      <c r="V11" s="125">
        <f aca="true" t="shared" si="9" ref="V11:V20">INT((SUM(F11,H11,J11)*0.4*100)+0.49)/100</f>
        <v>42249.32</v>
      </c>
      <c r="W11" s="192">
        <v>0</v>
      </c>
      <c r="X11" s="125">
        <f>ROUND(W11*Valores!$C$2,2)</f>
        <v>0</v>
      </c>
      <c r="Y11" s="125">
        <v>0</v>
      </c>
      <c r="Z11" s="125">
        <f>Valores!$C$93</f>
        <v>5760.87</v>
      </c>
      <c r="AA11" s="125">
        <f>Valores!$C$25</f>
        <v>537.98</v>
      </c>
      <c r="AB11" s="214">
        <v>0</v>
      </c>
      <c r="AC11" s="125">
        <f t="shared" si="2"/>
        <v>0</v>
      </c>
      <c r="AD11" s="125">
        <f>Valores!$C$26</f>
        <v>537.98</v>
      </c>
      <c r="AE11" s="192">
        <v>0</v>
      </c>
      <c r="AF11" s="125">
        <f>ROUND(AE11*Valores!$C$2,2)</f>
        <v>0</v>
      </c>
      <c r="AG11" s="125">
        <f>ROUND(IF($F$4="NO",Valores!$C$62,Valores!$C$62/2),2)</f>
        <v>3203.47</v>
      </c>
      <c r="AH11" s="125">
        <f t="shared" si="5"/>
        <v>322062.50999999995</v>
      </c>
      <c r="AI11" s="125">
        <f>Valores!$C$31</f>
        <v>0</v>
      </c>
      <c r="AJ11" s="125">
        <f>Valores!$C$86</f>
        <v>0</v>
      </c>
      <c r="AK11" s="125">
        <f>Valores!C$38*B11</f>
        <v>0</v>
      </c>
      <c r="AL11" s="125">
        <f>IF($F$3="NO",0,Valores!$C$54)</f>
        <v>327.6</v>
      </c>
      <c r="AM11" s="125">
        <f t="shared" si="3"/>
        <v>327.6</v>
      </c>
      <c r="AN11" s="125">
        <f>AH11*Valores!$C$70</f>
        <v>-35426.876099999994</v>
      </c>
      <c r="AO11" s="125">
        <f>AH11*-Valores!$C$71</f>
        <v>0</v>
      </c>
      <c r="AP11" s="125">
        <f>AH11*Valores!$C$72</f>
        <v>-14492.812949999998</v>
      </c>
      <c r="AQ11" s="125">
        <f>Valores!$C$99</f>
        <v>-280.91</v>
      </c>
      <c r="AR11" s="125">
        <f>IF($F$5=0,Valores!$C$100,(Valores!$C$100+$F$5*(Valores!$C$100)))</f>
        <v>-329</v>
      </c>
      <c r="AS11" s="125">
        <f t="shared" si="6"/>
        <v>271860.51094999997</v>
      </c>
      <c r="AT11" s="125">
        <f t="shared" si="0"/>
        <v>-35426.876099999994</v>
      </c>
      <c r="AU11" s="125">
        <f>AH11*Valores!$C$73</f>
        <v>-8695.687769999999</v>
      </c>
      <c r="AV11" s="125">
        <f>AH11*Valores!$C$74</f>
        <v>-966.1875299999999</v>
      </c>
      <c r="AW11" s="125">
        <f t="shared" si="4"/>
        <v>277301.3585999999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2753.15</v>
      </c>
      <c r="G12" s="192">
        <v>3779</v>
      </c>
      <c r="H12" s="125">
        <f>ROUND(G12*Valores!$C$2,2)</f>
        <v>97235.18</v>
      </c>
      <c r="I12" s="192">
        <v>219</v>
      </c>
      <c r="J12" s="125">
        <f>ROUND(I12*Valores!$C$2,2)</f>
        <v>5634.96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16702.59</v>
      </c>
      <c r="N12" s="125">
        <f t="shared" si="1"/>
        <v>0</v>
      </c>
      <c r="O12" s="125">
        <f>Valores!$C$11</f>
        <v>22943.05</v>
      </c>
      <c r="P12" s="125">
        <f>Valores!$D$5</f>
        <v>13153.38</v>
      </c>
      <c r="Q12" s="125">
        <v>0</v>
      </c>
      <c r="R12" s="125">
        <f>IF($F$4="NO",Valores!$C$45,Valores!$C$45/2)</f>
        <v>5727.29</v>
      </c>
      <c r="S12" s="125">
        <v>0</v>
      </c>
      <c r="T12" s="125">
        <f t="shared" si="7"/>
        <v>0</v>
      </c>
      <c r="U12" s="125">
        <f t="shared" si="8"/>
        <v>105623.29</v>
      </c>
      <c r="V12" s="125">
        <f t="shared" si="9"/>
        <v>42249.32</v>
      </c>
      <c r="W12" s="192">
        <v>0</v>
      </c>
      <c r="X12" s="125">
        <f>ROUND(W12*Valores!$C$2,2)</f>
        <v>0</v>
      </c>
      <c r="Y12" s="125">
        <v>0</v>
      </c>
      <c r="Z12" s="125">
        <f>Valores!$C$93</f>
        <v>5760.87</v>
      </c>
      <c r="AA12" s="125">
        <f>Valores!$C$25</f>
        <v>537.98</v>
      </c>
      <c r="AB12" s="214">
        <v>0</v>
      </c>
      <c r="AC12" s="125">
        <f t="shared" si="2"/>
        <v>0</v>
      </c>
      <c r="AD12" s="125">
        <f>Valores!$C$26</f>
        <v>537.98</v>
      </c>
      <c r="AE12" s="192">
        <v>0</v>
      </c>
      <c r="AF12" s="125">
        <f>ROUND(AE12*Valores!$C$2,2)</f>
        <v>0</v>
      </c>
      <c r="AG12" s="125">
        <f>ROUND(IF($F$4="NO",Valores!$C$62,Valores!$C$62/2),2)</f>
        <v>3203.47</v>
      </c>
      <c r="AH12" s="125">
        <f t="shared" si="5"/>
        <v>322062.50999999995</v>
      </c>
      <c r="AI12" s="125">
        <f>Valores!$C$31</f>
        <v>0</v>
      </c>
      <c r="AJ12" s="125">
        <f>Valores!$C$86</f>
        <v>0</v>
      </c>
      <c r="AK12" s="125">
        <f>Valores!C$38*B12</f>
        <v>0</v>
      </c>
      <c r="AL12" s="125">
        <f>IF($F$3="NO",0,Valores!$C$54)</f>
        <v>327.6</v>
      </c>
      <c r="AM12" s="125">
        <f t="shared" si="3"/>
        <v>327.6</v>
      </c>
      <c r="AN12" s="125">
        <f>AH12*Valores!$C$70</f>
        <v>-35426.876099999994</v>
      </c>
      <c r="AO12" s="125">
        <f>AH12*-Valores!$C$71</f>
        <v>0</v>
      </c>
      <c r="AP12" s="125">
        <f>AH12*Valores!$C$72</f>
        <v>-14492.812949999998</v>
      </c>
      <c r="AQ12" s="125">
        <f>Valores!$C$99</f>
        <v>-280.91</v>
      </c>
      <c r="AR12" s="125">
        <f>IF($F$5=0,Valores!$C$100,(Valores!$C$100+$F$5*(Valores!$C$100)))</f>
        <v>-329</v>
      </c>
      <c r="AS12" s="125">
        <f t="shared" si="6"/>
        <v>271860.51094999997</v>
      </c>
      <c r="AT12" s="125">
        <f t="shared" si="0"/>
        <v>-35426.876099999994</v>
      </c>
      <c r="AU12" s="125">
        <f>AH12*Valores!$C$73</f>
        <v>-8695.687769999999</v>
      </c>
      <c r="AV12" s="125">
        <f>AH12*Valores!$C$74</f>
        <v>-966.1875299999999</v>
      </c>
      <c r="AW12" s="125">
        <f t="shared" si="4"/>
        <v>277301.3585999999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2753.15</v>
      </c>
      <c r="G13" s="192">
        <v>3779</v>
      </c>
      <c r="H13" s="125">
        <f>ROUND(G13*Valores!$C$2,2)</f>
        <v>97235.18</v>
      </c>
      <c r="I13" s="192">
        <v>219</v>
      </c>
      <c r="J13" s="125">
        <f>ROUND(I13*Valores!$C$2,2)</f>
        <v>5634.96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16702.59</v>
      </c>
      <c r="N13" s="125">
        <f t="shared" si="1"/>
        <v>0</v>
      </c>
      <c r="O13" s="125">
        <f>Valores!$C$11</f>
        <v>22943.05</v>
      </c>
      <c r="P13" s="125">
        <f>Valores!$D$5</f>
        <v>13153.38</v>
      </c>
      <c r="Q13" s="125">
        <v>0</v>
      </c>
      <c r="R13" s="125">
        <f>IF($F$4="NO",Valores!$C$45,Valores!$C$45/2)</f>
        <v>5727.29</v>
      </c>
      <c r="S13" s="125">
        <v>0</v>
      </c>
      <c r="T13" s="125">
        <f t="shared" si="7"/>
        <v>0</v>
      </c>
      <c r="U13" s="125">
        <f t="shared" si="8"/>
        <v>105623.29</v>
      </c>
      <c r="V13" s="125">
        <f t="shared" si="9"/>
        <v>42249.32</v>
      </c>
      <c r="W13" s="192">
        <v>0</v>
      </c>
      <c r="X13" s="125">
        <f>ROUND(W13*Valores!$C$2,2)</f>
        <v>0</v>
      </c>
      <c r="Y13" s="125">
        <v>0</v>
      </c>
      <c r="Z13" s="125">
        <f>Valores!$C$93</f>
        <v>5760.87</v>
      </c>
      <c r="AA13" s="125">
        <f>Valores!$C$25</f>
        <v>537.98</v>
      </c>
      <c r="AB13" s="214">
        <v>0</v>
      </c>
      <c r="AC13" s="125">
        <f t="shared" si="2"/>
        <v>0</v>
      </c>
      <c r="AD13" s="125">
        <f>Valores!$C$26</f>
        <v>537.98</v>
      </c>
      <c r="AE13" s="192">
        <v>0</v>
      </c>
      <c r="AF13" s="125">
        <f>ROUND(AE13*Valores!$C$2,2)</f>
        <v>0</v>
      </c>
      <c r="AG13" s="125">
        <f>ROUND(IF($F$4="NO",Valores!$C$62,Valores!$C$62/2),2)</f>
        <v>3203.47</v>
      </c>
      <c r="AH13" s="125">
        <f t="shared" si="5"/>
        <v>322062.50999999995</v>
      </c>
      <c r="AI13" s="125">
        <f>Valores!$C$31</f>
        <v>0</v>
      </c>
      <c r="AJ13" s="125">
        <f>Valores!$C$86</f>
        <v>0</v>
      </c>
      <c r="AK13" s="125">
        <f>Valores!C$38*B13</f>
        <v>0</v>
      </c>
      <c r="AL13" s="125">
        <f>IF($F$3="NO",0,Valores!$C$54)</f>
        <v>327.6</v>
      </c>
      <c r="AM13" s="125">
        <f t="shared" si="3"/>
        <v>327.6</v>
      </c>
      <c r="AN13" s="125">
        <f>AH13*Valores!$C$70</f>
        <v>-35426.876099999994</v>
      </c>
      <c r="AO13" s="125">
        <f>AH13*-Valores!$C$71</f>
        <v>0</v>
      </c>
      <c r="AP13" s="125">
        <f>AH13*Valores!$C$72</f>
        <v>-14492.812949999998</v>
      </c>
      <c r="AQ13" s="125">
        <f>Valores!$C$99</f>
        <v>-280.91</v>
      </c>
      <c r="AR13" s="125">
        <f>IF($F$5=0,Valores!$C$100,(Valores!$C$100+$F$5*(Valores!$C$100)))</f>
        <v>-329</v>
      </c>
      <c r="AS13" s="125">
        <f t="shared" si="6"/>
        <v>271860.51094999997</v>
      </c>
      <c r="AT13" s="125">
        <f t="shared" si="0"/>
        <v>-35426.876099999994</v>
      </c>
      <c r="AU13" s="125">
        <f>AH13*Valores!$C$73</f>
        <v>-8695.687769999999</v>
      </c>
      <c r="AV13" s="125">
        <f>AH13*Valores!$C$74</f>
        <v>-966.1875299999999</v>
      </c>
      <c r="AW13" s="125">
        <f t="shared" si="4"/>
        <v>277301.3585999999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2753.15</v>
      </c>
      <c r="G14" s="192">
        <v>3779</v>
      </c>
      <c r="H14" s="125">
        <f>ROUND(G14*Valores!$C$2,2)</f>
        <v>97235.18</v>
      </c>
      <c r="I14" s="192">
        <v>219</v>
      </c>
      <c r="J14" s="125">
        <f>ROUND(I14*Valores!$C$2,2)</f>
        <v>5634.96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16702.59</v>
      </c>
      <c r="N14" s="125">
        <f t="shared" si="1"/>
        <v>0</v>
      </c>
      <c r="O14" s="125">
        <f>Valores!$C$11</f>
        <v>22943.05</v>
      </c>
      <c r="P14" s="125">
        <f>Valores!$D$5</f>
        <v>13153.38</v>
      </c>
      <c r="Q14" s="125">
        <v>0</v>
      </c>
      <c r="R14" s="125">
        <f>IF($F$4="NO",Valores!$C$45,Valores!$C$45/2)</f>
        <v>5727.29</v>
      </c>
      <c r="S14" s="125">
        <v>0</v>
      </c>
      <c r="T14" s="125">
        <f t="shared" si="7"/>
        <v>0</v>
      </c>
      <c r="U14" s="125">
        <f t="shared" si="8"/>
        <v>105623.29</v>
      </c>
      <c r="V14" s="125">
        <f t="shared" si="9"/>
        <v>42249.32</v>
      </c>
      <c r="W14" s="192">
        <v>0</v>
      </c>
      <c r="X14" s="125">
        <f>ROUND(W14*Valores!$C$2,2)</f>
        <v>0</v>
      </c>
      <c r="Y14" s="125">
        <v>0</v>
      </c>
      <c r="Z14" s="125">
        <f>Valores!$C$93</f>
        <v>5760.87</v>
      </c>
      <c r="AA14" s="125">
        <f>Valores!$C$25</f>
        <v>537.98</v>
      </c>
      <c r="AB14" s="214">
        <v>0</v>
      </c>
      <c r="AC14" s="125">
        <f t="shared" si="2"/>
        <v>0</v>
      </c>
      <c r="AD14" s="125">
        <f>Valores!$C$26</f>
        <v>537.98</v>
      </c>
      <c r="AE14" s="192">
        <v>0</v>
      </c>
      <c r="AF14" s="125">
        <f>ROUND(AE14*Valores!$C$2,2)</f>
        <v>0</v>
      </c>
      <c r="AG14" s="125">
        <f>ROUND(IF($F$4="NO",Valores!$C$62,Valores!$C$62/2),2)</f>
        <v>3203.47</v>
      </c>
      <c r="AH14" s="125">
        <f t="shared" si="5"/>
        <v>322062.50999999995</v>
      </c>
      <c r="AI14" s="125">
        <f>Valores!$C$31</f>
        <v>0</v>
      </c>
      <c r="AJ14" s="125">
        <f>Valores!$C$86</f>
        <v>0</v>
      </c>
      <c r="AK14" s="125">
        <f>Valores!C$38*B14</f>
        <v>0</v>
      </c>
      <c r="AL14" s="125">
        <f>IF($F$3="NO",0,Valores!$C$54)</f>
        <v>327.6</v>
      </c>
      <c r="AM14" s="125">
        <f t="shared" si="3"/>
        <v>327.6</v>
      </c>
      <c r="AN14" s="125">
        <f>AH14*Valores!$C$70</f>
        <v>-35426.876099999994</v>
      </c>
      <c r="AO14" s="125">
        <f>AH14*-Valores!$C$71</f>
        <v>0</v>
      </c>
      <c r="AP14" s="125">
        <f>AH14*Valores!$C$72</f>
        <v>-14492.812949999998</v>
      </c>
      <c r="AQ14" s="125">
        <f>Valores!$C$99</f>
        <v>-280.91</v>
      </c>
      <c r="AR14" s="125">
        <f>IF($F$5=0,Valores!$C$100,(Valores!$C$100+$F$5*(Valores!$C$100)))</f>
        <v>-329</v>
      </c>
      <c r="AS14" s="125">
        <f t="shared" si="6"/>
        <v>271860.51094999997</v>
      </c>
      <c r="AT14" s="125">
        <f t="shared" si="0"/>
        <v>-35426.876099999994</v>
      </c>
      <c r="AU14" s="125">
        <f>AH14*Valores!$C$73</f>
        <v>-8695.687769999999</v>
      </c>
      <c r="AV14" s="125">
        <f>AH14*Valores!$C$74</f>
        <v>-966.1875299999999</v>
      </c>
      <c r="AW14" s="125">
        <f t="shared" si="4"/>
        <v>277301.3585999999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2753.15</v>
      </c>
      <c r="G15" s="192">
        <v>3779</v>
      </c>
      <c r="H15" s="125">
        <f>ROUND(G15*Valores!$C$2,2)</f>
        <v>97235.18</v>
      </c>
      <c r="I15" s="192">
        <v>219</v>
      </c>
      <c r="J15" s="125">
        <f>ROUND(I15*Valores!$C$2,2)</f>
        <v>5634.96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16702.59</v>
      </c>
      <c r="N15" s="125">
        <f t="shared" si="1"/>
        <v>0</v>
      </c>
      <c r="O15" s="125">
        <f>Valores!$C$11</f>
        <v>22943.05</v>
      </c>
      <c r="P15" s="125">
        <f>Valores!$D$5</f>
        <v>13153.38</v>
      </c>
      <c r="Q15" s="125">
        <v>0</v>
      </c>
      <c r="R15" s="125">
        <f>IF($F$4="NO",Valores!$C$45,Valores!$C$45/2)</f>
        <v>5727.29</v>
      </c>
      <c r="S15" s="125">
        <v>0</v>
      </c>
      <c r="T15" s="125">
        <f t="shared" si="7"/>
        <v>0</v>
      </c>
      <c r="U15" s="125">
        <f t="shared" si="8"/>
        <v>105623.29</v>
      </c>
      <c r="V15" s="125">
        <f t="shared" si="9"/>
        <v>42249.32</v>
      </c>
      <c r="W15" s="192">
        <v>0</v>
      </c>
      <c r="X15" s="125">
        <f>ROUND(W15*Valores!$C$2,2)</f>
        <v>0</v>
      </c>
      <c r="Y15" s="125">
        <v>0</v>
      </c>
      <c r="Z15" s="125">
        <f>Valores!$C$93</f>
        <v>5760.87</v>
      </c>
      <c r="AA15" s="125">
        <f>Valores!$C$25</f>
        <v>537.98</v>
      </c>
      <c r="AB15" s="214">
        <v>0</v>
      </c>
      <c r="AC15" s="125">
        <f t="shared" si="2"/>
        <v>0</v>
      </c>
      <c r="AD15" s="125">
        <f>Valores!$C$26</f>
        <v>537.98</v>
      </c>
      <c r="AE15" s="192">
        <v>0</v>
      </c>
      <c r="AF15" s="125">
        <f>ROUND(AE15*Valores!$C$2,2)</f>
        <v>0</v>
      </c>
      <c r="AG15" s="125">
        <f>ROUND(IF($F$4="NO",Valores!$C$62,Valores!$C$62/2),2)</f>
        <v>3203.47</v>
      </c>
      <c r="AH15" s="125">
        <f t="shared" si="5"/>
        <v>322062.50999999995</v>
      </c>
      <c r="AI15" s="125">
        <f>Valores!$C$31</f>
        <v>0</v>
      </c>
      <c r="AJ15" s="125">
        <f>Valores!$C$86</f>
        <v>0</v>
      </c>
      <c r="AK15" s="125">
        <f>Valores!C$38*B15</f>
        <v>0</v>
      </c>
      <c r="AL15" s="125">
        <f>IF($F$3="NO",0,Valores!$C$54)</f>
        <v>327.6</v>
      </c>
      <c r="AM15" s="125">
        <f t="shared" si="3"/>
        <v>327.6</v>
      </c>
      <c r="AN15" s="125">
        <f>AH15*Valores!$C$70</f>
        <v>-35426.876099999994</v>
      </c>
      <c r="AO15" s="125">
        <f>AH15*-Valores!$C$71</f>
        <v>0</v>
      </c>
      <c r="AP15" s="125">
        <f>AH15*Valores!$C$72</f>
        <v>-14492.812949999998</v>
      </c>
      <c r="AQ15" s="125">
        <f>Valores!$C$99</f>
        <v>-280.91</v>
      </c>
      <c r="AR15" s="125">
        <f>IF($F$5=0,Valores!$C$100,(Valores!$C$100+$F$5*(Valores!$C$100)))</f>
        <v>-329</v>
      </c>
      <c r="AS15" s="125">
        <f t="shared" si="6"/>
        <v>271860.51094999997</v>
      </c>
      <c r="AT15" s="125">
        <f t="shared" si="0"/>
        <v>-35426.876099999994</v>
      </c>
      <c r="AU15" s="125">
        <f>AH15*Valores!$C$73</f>
        <v>-8695.687769999999</v>
      </c>
      <c r="AV15" s="125">
        <f>AH15*Valores!$C$74</f>
        <v>-966.1875299999999</v>
      </c>
      <c r="AW15" s="125">
        <f t="shared" si="4"/>
        <v>277301.3585999999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2573.04</v>
      </c>
      <c r="G16" s="192">
        <v>3727</v>
      </c>
      <c r="H16" s="125">
        <f>ROUND(G16*Valores!$C$2,2)</f>
        <v>95897.2</v>
      </c>
      <c r="I16" s="192">
        <v>219</v>
      </c>
      <c r="J16" s="125">
        <f>ROUND(I16*Valores!$C$2,2)</f>
        <v>5634.96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16474.87</v>
      </c>
      <c r="N16" s="125">
        <f t="shared" si="1"/>
        <v>0</v>
      </c>
      <c r="O16" s="125">
        <f>Valores!$C$11</f>
        <v>22943.05</v>
      </c>
      <c r="P16" s="125">
        <f>Valores!$D$5</f>
        <v>13153.38</v>
      </c>
      <c r="Q16" s="125">
        <v>0</v>
      </c>
      <c r="R16" s="125">
        <f>IF($F$4="NO",Valores!$C$45,Valores!$C$45/2)</f>
        <v>5727.29</v>
      </c>
      <c r="S16" s="125">
        <v>0</v>
      </c>
      <c r="T16" s="125">
        <f t="shared" si="7"/>
        <v>0</v>
      </c>
      <c r="U16" s="125">
        <f t="shared" si="8"/>
        <v>104105.2</v>
      </c>
      <c r="V16" s="125">
        <f t="shared" si="9"/>
        <v>41642.08</v>
      </c>
      <c r="W16" s="192">
        <v>0</v>
      </c>
      <c r="X16" s="125">
        <f>ROUND(W16*Valores!$C$2,2)</f>
        <v>0</v>
      </c>
      <c r="Y16" s="125">
        <v>0</v>
      </c>
      <c r="Z16" s="125">
        <f>Valores!$C$93</f>
        <v>5760.87</v>
      </c>
      <c r="AA16" s="125">
        <f>Valores!$C$25</f>
        <v>537.98</v>
      </c>
      <c r="AB16" s="214">
        <v>0</v>
      </c>
      <c r="AC16" s="125">
        <f t="shared" si="2"/>
        <v>0</v>
      </c>
      <c r="AD16" s="125">
        <f>Valores!$C$26</f>
        <v>537.98</v>
      </c>
      <c r="AE16" s="192">
        <v>0</v>
      </c>
      <c r="AF16" s="125">
        <f>ROUND(AE16*Valores!$C$2,2)</f>
        <v>0</v>
      </c>
      <c r="AG16" s="125">
        <f>ROUND(IF($F$4="NO",Valores!$C$62,Valores!$C$62/2),2)</f>
        <v>3203.47</v>
      </c>
      <c r="AH16" s="125">
        <f t="shared" si="5"/>
        <v>318191.36999999994</v>
      </c>
      <c r="AI16" s="125">
        <f>Valores!$C$31</f>
        <v>0</v>
      </c>
      <c r="AJ16" s="125">
        <f>Valores!$C$86</f>
        <v>0</v>
      </c>
      <c r="AK16" s="125">
        <f>Valores!C$38*B16</f>
        <v>0</v>
      </c>
      <c r="AL16" s="125">
        <f>IF($F$3="NO",0,Valores!$C$54)</f>
        <v>327.6</v>
      </c>
      <c r="AM16" s="125">
        <f t="shared" si="3"/>
        <v>327.6</v>
      </c>
      <c r="AN16" s="125">
        <f>AH16*Valores!$C$70</f>
        <v>-35001.05069999999</v>
      </c>
      <c r="AO16" s="125">
        <f>AH16*-Valores!$C$71</f>
        <v>0</v>
      </c>
      <c r="AP16" s="125">
        <f>AH16*Valores!$C$72</f>
        <v>-14318.611649999997</v>
      </c>
      <c r="AQ16" s="125">
        <f>Valores!$C$99</f>
        <v>-280.91</v>
      </c>
      <c r="AR16" s="125">
        <f>IF($F$5=0,Valores!$C$100,(Valores!$C$100+$F$5*(Valores!$C$100)))</f>
        <v>-329</v>
      </c>
      <c r="AS16" s="125">
        <f t="shared" si="6"/>
        <v>268589.39764999994</v>
      </c>
      <c r="AT16" s="125">
        <f t="shared" si="0"/>
        <v>-35001.05069999999</v>
      </c>
      <c r="AU16" s="125">
        <f>AH16*Valores!$C$73</f>
        <v>-8591.166989999998</v>
      </c>
      <c r="AV16" s="125">
        <f>AH16*Valores!$C$74</f>
        <v>-954.5741099999998</v>
      </c>
      <c r="AW16" s="125">
        <f t="shared" si="4"/>
        <v>273972.1781999999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2573.04</v>
      </c>
      <c r="G17" s="192">
        <v>3727</v>
      </c>
      <c r="H17" s="125">
        <f>ROUND(G17*Valores!$C$2,2)</f>
        <v>95897.2</v>
      </c>
      <c r="I17" s="192">
        <v>219</v>
      </c>
      <c r="J17" s="125">
        <f>ROUND(I17*Valores!$C$2,2)</f>
        <v>5634.96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16474.87</v>
      </c>
      <c r="N17" s="125">
        <f t="shared" si="1"/>
        <v>0</v>
      </c>
      <c r="O17" s="125">
        <f>Valores!$C$11</f>
        <v>22943.05</v>
      </c>
      <c r="P17" s="125">
        <f>Valores!$D$5</f>
        <v>13153.38</v>
      </c>
      <c r="Q17" s="125">
        <v>0</v>
      </c>
      <c r="R17" s="125">
        <f>IF($F$4="NO",Valores!$C$45,Valores!$C$45/2)</f>
        <v>5727.29</v>
      </c>
      <c r="S17" s="125">
        <v>0</v>
      </c>
      <c r="T17" s="125">
        <f t="shared" si="7"/>
        <v>0</v>
      </c>
      <c r="U17" s="125">
        <f t="shared" si="8"/>
        <v>104105.2</v>
      </c>
      <c r="V17" s="125">
        <f t="shared" si="9"/>
        <v>41642.08</v>
      </c>
      <c r="W17" s="192">
        <v>0</v>
      </c>
      <c r="X17" s="125">
        <f>ROUND(W17*Valores!$C$2,2)</f>
        <v>0</v>
      </c>
      <c r="Y17" s="125">
        <v>0</v>
      </c>
      <c r="Z17" s="125">
        <f>Valores!$C$93</f>
        <v>5760.87</v>
      </c>
      <c r="AA17" s="125">
        <f>Valores!$C$25</f>
        <v>537.98</v>
      </c>
      <c r="AB17" s="214">
        <v>0</v>
      </c>
      <c r="AC17" s="125">
        <f t="shared" si="2"/>
        <v>0</v>
      </c>
      <c r="AD17" s="125">
        <f>Valores!$C$26</f>
        <v>537.98</v>
      </c>
      <c r="AE17" s="192">
        <v>0</v>
      </c>
      <c r="AF17" s="125">
        <f>ROUND(AE17*Valores!$C$2,2)</f>
        <v>0</v>
      </c>
      <c r="AG17" s="125">
        <f>ROUND(IF($F$4="NO",Valores!$C$62,Valores!$C$62/2),2)</f>
        <v>3203.47</v>
      </c>
      <c r="AH17" s="125">
        <f t="shared" si="5"/>
        <v>318191.36999999994</v>
      </c>
      <c r="AI17" s="125">
        <f>Valores!$C$31</f>
        <v>0</v>
      </c>
      <c r="AJ17" s="125">
        <f>Valores!$C$86</f>
        <v>0</v>
      </c>
      <c r="AK17" s="125">
        <f>Valores!C$38*B17</f>
        <v>0</v>
      </c>
      <c r="AL17" s="125">
        <f>IF($F$3="NO",0,Valores!$C$54)</f>
        <v>327.6</v>
      </c>
      <c r="AM17" s="125">
        <f t="shared" si="3"/>
        <v>327.6</v>
      </c>
      <c r="AN17" s="125">
        <f>AH17*Valores!$C$70</f>
        <v>-35001.05069999999</v>
      </c>
      <c r="AO17" s="125">
        <f>AH17*-Valores!$C$71</f>
        <v>0</v>
      </c>
      <c r="AP17" s="125">
        <f>AH17*Valores!$C$72</f>
        <v>-14318.611649999997</v>
      </c>
      <c r="AQ17" s="125">
        <f>Valores!$C$99</f>
        <v>-280.91</v>
      </c>
      <c r="AR17" s="125">
        <f>IF($F$5=0,Valores!$C$100,(Valores!$C$100+$F$5*(Valores!$C$100)))</f>
        <v>-329</v>
      </c>
      <c r="AS17" s="125">
        <f t="shared" si="6"/>
        <v>268589.39764999994</v>
      </c>
      <c r="AT17" s="125">
        <f t="shared" si="0"/>
        <v>-35001.05069999999</v>
      </c>
      <c r="AU17" s="125">
        <f>AH17*Valores!$C$73</f>
        <v>-8591.166989999998</v>
      </c>
      <c r="AV17" s="125">
        <f>AH17*Valores!$C$74</f>
        <v>-954.5741099999998</v>
      </c>
      <c r="AW17" s="125">
        <f t="shared" si="4"/>
        <v>273972.1781999999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2573.04</v>
      </c>
      <c r="G18" s="192">
        <v>3727</v>
      </c>
      <c r="H18" s="125">
        <f>ROUND(G18*Valores!$C$2,2)</f>
        <v>95897.2</v>
      </c>
      <c r="I18" s="192">
        <v>219</v>
      </c>
      <c r="J18" s="125">
        <f>ROUND(I18*Valores!$C$2,2)</f>
        <v>5634.96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16474.87</v>
      </c>
      <c r="N18" s="125">
        <f t="shared" si="1"/>
        <v>0</v>
      </c>
      <c r="O18" s="125">
        <f>Valores!$C$11</f>
        <v>22943.05</v>
      </c>
      <c r="P18" s="125">
        <f>Valores!$D$5</f>
        <v>13153.38</v>
      </c>
      <c r="Q18" s="125">
        <v>0</v>
      </c>
      <c r="R18" s="125">
        <f>IF($F$4="NO",Valores!$C$45,Valores!$C$45/2)</f>
        <v>5727.29</v>
      </c>
      <c r="S18" s="125">
        <v>0</v>
      </c>
      <c r="T18" s="125">
        <f t="shared" si="7"/>
        <v>0</v>
      </c>
      <c r="U18" s="125">
        <f t="shared" si="8"/>
        <v>104105.2</v>
      </c>
      <c r="V18" s="125">
        <f t="shared" si="9"/>
        <v>41642.08</v>
      </c>
      <c r="W18" s="192">
        <v>0</v>
      </c>
      <c r="X18" s="125">
        <f>ROUND(W18*Valores!$C$2,2)</f>
        <v>0</v>
      </c>
      <c r="Y18" s="125">
        <v>0</v>
      </c>
      <c r="Z18" s="125">
        <f>Valores!$C$93</f>
        <v>5760.87</v>
      </c>
      <c r="AA18" s="125">
        <f>Valores!$C$25</f>
        <v>537.98</v>
      </c>
      <c r="AB18" s="214">
        <v>0</v>
      </c>
      <c r="AC18" s="125">
        <f t="shared" si="2"/>
        <v>0</v>
      </c>
      <c r="AD18" s="125">
        <f>Valores!$C$26</f>
        <v>537.98</v>
      </c>
      <c r="AE18" s="192">
        <v>0</v>
      </c>
      <c r="AF18" s="125">
        <f>ROUND(AE18*Valores!$C$2,2)</f>
        <v>0</v>
      </c>
      <c r="AG18" s="125">
        <f>ROUND(IF($F$4="NO",Valores!$C$62,Valores!$C$62/2),2)</f>
        <v>3203.47</v>
      </c>
      <c r="AH18" s="125">
        <f t="shared" si="5"/>
        <v>318191.36999999994</v>
      </c>
      <c r="AI18" s="125">
        <f>Valores!$C$31</f>
        <v>0</v>
      </c>
      <c r="AJ18" s="125">
        <f>Valores!$C$86</f>
        <v>0</v>
      </c>
      <c r="AK18" s="125">
        <f>Valores!C$38*B18</f>
        <v>0</v>
      </c>
      <c r="AL18" s="125">
        <f>IF($F$3="NO",0,Valores!$C$54)</f>
        <v>327.6</v>
      </c>
      <c r="AM18" s="125">
        <f t="shared" si="3"/>
        <v>327.6</v>
      </c>
      <c r="AN18" s="125">
        <f>AH18*Valores!$C$70</f>
        <v>-35001.05069999999</v>
      </c>
      <c r="AO18" s="125">
        <f>AH18*-Valores!$C$71</f>
        <v>0</v>
      </c>
      <c r="AP18" s="125">
        <f>AH18*Valores!$C$72</f>
        <v>-14318.611649999997</v>
      </c>
      <c r="AQ18" s="125">
        <f>Valores!$C$99</f>
        <v>-280.91</v>
      </c>
      <c r="AR18" s="125">
        <f>IF($F$5=0,Valores!$C$100,(Valores!$C$100+$F$5*(Valores!$C$100)))</f>
        <v>-329</v>
      </c>
      <c r="AS18" s="125">
        <f t="shared" si="6"/>
        <v>268589.39764999994</v>
      </c>
      <c r="AT18" s="125">
        <f t="shared" si="0"/>
        <v>-35001.05069999999</v>
      </c>
      <c r="AU18" s="125">
        <f>AH18*Valores!$C$73</f>
        <v>-8591.166989999998</v>
      </c>
      <c r="AV18" s="125">
        <f>AH18*Valores!$C$74</f>
        <v>-954.5741099999998</v>
      </c>
      <c r="AW18" s="125">
        <f t="shared" si="4"/>
        <v>273972.1781999999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2573.04</v>
      </c>
      <c r="G19" s="192">
        <v>3727</v>
      </c>
      <c r="H19" s="125">
        <f>ROUND(G19*Valores!$C$2,2)</f>
        <v>95897.2</v>
      </c>
      <c r="I19" s="192">
        <v>219</v>
      </c>
      <c r="J19" s="125">
        <f>ROUND(I19*Valores!$C$2,2)</f>
        <v>5634.96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16474.87</v>
      </c>
      <c r="N19" s="125">
        <f t="shared" si="1"/>
        <v>0</v>
      </c>
      <c r="O19" s="125">
        <f>Valores!$C$11</f>
        <v>22943.05</v>
      </c>
      <c r="P19" s="125">
        <f>Valores!$D$5</f>
        <v>13153.38</v>
      </c>
      <c r="Q19" s="125">
        <v>0</v>
      </c>
      <c r="R19" s="125">
        <f>IF($F$4="NO",Valores!$C$45,Valores!$C$45/2)</f>
        <v>5727.29</v>
      </c>
      <c r="S19" s="125">
        <v>0</v>
      </c>
      <c r="T19" s="125">
        <f t="shared" si="7"/>
        <v>0</v>
      </c>
      <c r="U19" s="125">
        <f t="shared" si="8"/>
        <v>104105.2</v>
      </c>
      <c r="V19" s="125">
        <f t="shared" si="9"/>
        <v>41642.08</v>
      </c>
      <c r="W19" s="192">
        <v>0</v>
      </c>
      <c r="X19" s="125">
        <f>ROUND(W19*Valores!$C$2,2)</f>
        <v>0</v>
      </c>
      <c r="Y19" s="125">
        <v>0</v>
      </c>
      <c r="Z19" s="125">
        <f>Valores!$C$93</f>
        <v>5760.87</v>
      </c>
      <c r="AA19" s="125">
        <f>Valores!$C$25</f>
        <v>537.98</v>
      </c>
      <c r="AB19" s="214">
        <v>0</v>
      </c>
      <c r="AC19" s="125">
        <f t="shared" si="2"/>
        <v>0</v>
      </c>
      <c r="AD19" s="125">
        <f>Valores!$C$26</f>
        <v>537.98</v>
      </c>
      <c r="AE19" s="192">
        <v>0</v>
      </c>
      <c r="AF19" s="125">
        <f>ROUND(AE19*Valores!$C$2,2)</f>
        <v>0</v>
      </c>
      <c r="AG19" s="125">
        <f>ROUND(IF($F$4="NO",Valores!$C$62,Valores!$C$62/2),2)</f>
        <v>3203.47</v>
      </c>
      <c r="AH19" s="125">
        <f t="shared" si="5"/>
        <v>318191.36999999994</v>
      </c>
      <c r="AI19" s="125">
        <f>Valores!$C$31</f>
        <v>0</v>
      </c>
      <c r="AJ19" s="125">
        <f>Valores!$C$86</f>
        <v>0</v>
      </c>
      <c r="AK19" s="125">
        <f>Valores!C$38*B19</f>
        <v>0</v>
      </c>
      <c r="AL19" s="125">
        <f>IF($F$3="NO",0,Valores!$C$54)</f>
        <v>327.6</v>
      </c>
      <c r="AM19" s="125">
        <f t="shared" si="3"/>
        <v>327.6</v>
      </c>
      <c r="AN19" s="125">
        <f>AH19*Valores!$C$70</f>
        <v>-35001.05069999999</v>
      </c>
      <c r="AO19" s="125">
        <f>AH19*-Valores!$C$71</f>
        <v>0</v>
      </c>
      <c r="AP19" s="125">
        <f>AH19*Valores!$C$72</f>
        <v>-14318.611649999997</v>
      </c>
      <c r="AQ19" s="125">
        <f>Valores!$C$99</f>
        <v>-280.91</v>
      </c>
      <c r="AR19" s="125">
        <f>IF($F$5=0,Valores!$C$100,(Valores!$C$100+$F$5*(Valores!$C$100)))</f>
        <v>-329</v>
      </c>
      <c r="AS19" s="125">
        <f t="shared" si="6"/>
        <v>268589.39764999994</v>
      </c>
      <c r="AT19" s="125">
        <f t="shared" si="0"/>
        <v>-35001.05069999999</v>
      </c>
      <c r="AU19" s="125">
        <f>AH19*Valores!$C$73</f>
        <v>-8591.166989999998</v>
      </c>
      <c r="AV19" s="125">
        <f>AH19*Valores!$C$74</f>
        <v>-954.5741099999998</v>
      </c>
      <c r="AW19" s="125">
        <f t="shared" si="4"/>
        <v>273972.1781999999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2573.04</v>
      </c>
      <c r="G20" s="192">
        <v>3727</v>
      </c>
      <c r="H20" s="125">
        <f>ROUND(G20*Valores!$C$2,2)</f>
        <v>95897.2</v>
      </c>
      <c r="I20" s="192">
        <v>219</v>
      </c>
      <c r="J20" s="125">
        <f>ROUND(I20*Valores!$C$2,2)</f>
        <v>5634.96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16474.87</v>
      </c>
      <c r="N20" s="125">
        <f t="shared" si="1"/>
        <v>0</v>
      </c>
      <c r="O20" s="125">
        <f>Valores!$C$11</f>
        <v>22943.05</v>
      </c>
      <c r="P20" s="125">
        <f>Valores!$D$5</f>
        <v>13153.38</v>
      </c>
      <c r="Q20" s="125">
        <v>0</v>
      </c>
      <c r="R20" s="125">
        <f>IF($F$4="NO",Valores!$C$45,Valores!$C$45/2)</f>
        <v>5727.29</v>
      </c>
      <c r="S20" s="125">
        <v>0</v>
      </c>
      <c r="T20" s="125">
        <f t="shared" si="7"/>
        <v>0</v>
      </c>
      <c r="U20" s="125">
        <f t="shared" si="8"/>
        <v>104105.2</v>
      </c>
      <c r="V20" s="125">
        <f t="shared" si="9"/>
        <v>41642.08</v>
      </c>
      <c r="W20" s="192">
        <v>0</v>
      </c>
      <c r="X20" s="125">
        <f>ROUND(W20*Valores!$C$2,2)</f>
        <v>0</v>
      </c>
      <c r="Y20" s="125">
        <v>0</v>
      </c>
      <c r="Z20" s="125">
        <f>Valores!$C$93</f>
        <v>5760.87</v>
      </c>
      <c r="AA20" s="125">
        <f>Valores!$C$25</f>
        <v>537.98</v>
      </c>
      <c r="AB20" s="214">
        <v>0</v>
      </c>
      <c r="AC20" s="125">
        <f t="shared" si="2"/>
        <v>0</v>
      </c>
      <c r="AD20" s="125">
        <f>Valores!$C$26</f>
        <v>537.98</v>
      </c>
      <c r="AE20" s="192">
        <v>0</v>
      </c>
      <c r="AF20" s="125">
        <f>ROUND(AE20*Valores!$C$2,2)</f>
        <v>0</v>
      </c>
      <c r="AG20" s="125">
        <f>ROUND(IF($F$4="NO",Valores!$C$62,Valores!$C$62/2),2)</f>
        <v>3203.47</v>
      </c>
      <c r="AH20" s="125">
        <f t="shared" si="5"/>
        <v>318191.36999999994</v>
      </c>
      <c r="AI20" s="125">
        <f>Valores!$C$31</f>
        <v>0</v>
      </c>
      <c r="AJ20" s="125">
        <f>Valores!$C$86</f>
        <v>0</v>
      </c>
      <c r="AK20" s="125">
        <f>Valores!C$38*B20</f>
        <v>0</v>
      </c>
      <c r="AL20" s="125">
        <f>IF($F$3="NO",0,Valores!$C$54)</f>
        <v>327.6</v>
      </c>
      <c r="AM20" s="125">
        <f t="shared" si="3"/>
        <v>327.6</v>
      </c>
      <c r="AN20" s="125">
        <f>AH20*Valores!$C$70</f>
        <v>-35001.05069999999</v>
      </c>
      <c r="AO20" s="125">
        <f>AH20*-Valores!$C$71</f>
        <v>0</v>
      </c>
      <c r="AP20" s="125">
        <f>AH20*Valores!$C$72</f>
        <v>-14318.611649999997</v>
      </c>
      <c r="AQ20" s="125">
        <f>Valores!$C$99</f>
        <v>-280.91</v>
      </c>
      <c r="AR20" s="125">
        <f>IF($F$5=0,Valores!$C$100,(Valores!$C$100+$F$5*(Valores!$C$100)))</f>
        <v>-329</v>
      </c>
      <c r="AS20" s="125">
        <f t="shared" si="6"/>
        <v>268589.39764999994</v>
      </c>
      <c r="AT20" s="125">
        <f t="shared" si="0"/>
        <v>-35001.05069999999</v>
      </c>
      <c r="AU20" s="125">
        <f>AH20*Valores!$C$73</f>
        <v>-8591.166989999998</v>
      </c>
      <c r="AV20" s="125">
        <f>AH20*Valores!$C$74</f>
        <v>-954.5741099999998</v>
      </c>
      <c r="AW20" s="125">
        <f t="shared" si="4"/>
        <v>273972.1781999999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2753.15</v>
      </c>
      <c r="G21" s="192">
        <v>3720</v>
      </c>
      <c r="H21" s="125">
        <f>ROUND(G21*Valores!$C$2,2)</f>
        <v>95717.09</v>
      </c>
      <c r="I21" s="192">
        <v>1226</v>
      </c>
      <c r="J21" s="125">
        <f>ROUND(I21*Valores!$C$2,2)</f>
        <v>31545.47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22399.29</v>
      </c>
      <c r="N21" s="125">
        <f t="shared" si="1"/>
        <v>0</v>
      </c>
      <c r="O21" s="125">
        <f>Valores!$C$12</f>
        <v>52997.07</v>
      </c>
      <c r="P21" s="125">
        <f>Valores!$D$5</f>
        <v>13153.38</v>
      </c>
      <c r="Q21" s="125">
        <v>0</v>
      </c>
      <c r="R21" s="125">
        <f>IF($F$4="NO",Valores!$C$46,Valores!$C$46/2)</f>
        <v>7073.445</v>
      </c>
      <c r="S21" s="125">
        <f>Valores!$C$19</f>
        <v>12239.42</v>
      </c>
      <c r="T21" s="125">
        <f t="shared" si="7"/>
        <v>12239.42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Valores!$C$95</f>
        <v>11521.74</v>
      </c>
      <c r="AA21" s="125">
        <f>Valores!$C$25</f>
        <v>537.98</v>
      </c>
      <c r="AB21" s="214">
        <v>0</v>
      </c>
      <c r="AC21" s="125">
        <f t="shared" si="2"/>
        <v>0</v>
      </c>
      <c r="AD21" s="125">
        <f>Valores!$C$26</f>
        <v>537.98</v>
      </c>
      <c r="AE21" s="192">
        <v>0</v>
      </c>
      <c r="AF21" s="125">
        <f>ROUND(AE21*Valores!$C$2,2)</f>
        <v>0</v>
      </c>
      <c r="AG21" s="125">
        <f>ROUND(IF($F$4="NO",Valores!$C$62,Valores!$C$62/2),2)</f>
        <v>3203.47</v>
      </c>
      <c r="AH21" s="125">
        <f t="shared" si="5"/>
        <v>253679.48500000004</v>
      </c>
      <c r="AI21" s="125">
        <f>Valores!$C$31</f>
        <v>0</v>
      </c>
      <c r="AJ21" s="125">
        <f>Valores!$C$88</f>
        <v>0</v>
      </c>
      <c r="AK21" s="125">
        <f>Valores!C$38*B21</f>
        <v>0</v>
      </c>
      <c r="AL21" s="125">
        <f>IF($F$3="NO",0,Valores!$C$54)</f>
        <v>327.6</v>
      </c>
      <c r="AM21" s="125">
        <f t="shared" si="3"/>
        <v>327.6</v>
      </c>
      <c r="AN21" s="125">
        <f>AH21*Valores!$C$70</f>
        <v>-27904.743350000004</v>
      </c>
      <c r="AO21" s="125">
        <f>AH21*-Valores!$C$71</f>
        <v>0</v>
      </c>
      <c r="AP21" s="125">
        <f>AH21*Valores!$C$72</f>
        <v>-11415.576825000002</v>
      </c>
      <c r="AQ21" s="125">
        <f>Valores!$C$99</f>
        <v>-280.91</v>
      </c>
      <c r="AR21" s="125">
        <f>IF($F$5=0,Valores!$C$100,(Valores!$C$100+$F$5*(Valores!$C$100)))</f>
        <v>-329</v>
      </c>
      <c r="AS21" s="125">
        <f t="shared" si="6"/>
        <v>214076.85482500005</v>
      </c>
      <c r="AT21" s="125">
        <f t="shared" si="0"/>
        <v>-27904.743350000004</v>
      </c>
      <c r="AU21" s="125">
        <f>AH21*Valores!$C$73</f>
        <v>-6849.346095000001</v>
      </c>
      <c r="AV21" s="125">
        <f>AH21*Valores!$C$74</f>
        <v>-761.0384550000001</v>
      </c>
      <c r="AW21" s="125">
        <f t="shared" si="4"/>
        <v>218491.95710000006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2573.04</v>
      </c>
      <c r="G22" s="192">
        <v>3727</v>
      </c>
      <c r="H22" s="125">
        <f>ROUND(G22*Valores!$C$2,2)</f>
        <v>95897.2</v>
      </c>
      <c r="I22" s="192">
        <v>219</v>
      </c>
      <c r="J22" s="125">
        <f>ROUND(I22*Valores!$C$2,2)</f>
        <v>5634.96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16474.87</v>
      </c>
      <c r="N22" s="125">
        <f t="shared" si="1"/>
        <v>0</v>
      </c>
      <c r="O22" s="125">
        <f>Valores!$C$11</f>
        <v>22943.05</v>
      </c>
      <c r="P22" s="125">
        <f>Valores!$D$5</f>
        <v>13153.38</v>
      </c>
      <c r="Q22" s="125">
        <v>0</v>
      </c>
      <c r="R22" s="125">
        <f>IF($F$4="NO",Valores!$C$45,Valores!$C$45/2)</f>
        <v>5727.29</v>
      </c>
      <c r="S22" s="125">
        <v>0</v>
      </c>
      <c r="T22" s="125">
        <f t="shared" si="7"/>
        <v>0</v>
      </c>
      <c r="U22" s="125">
        <f>SUM(F22,H22,J22)</f>
        <v>104105.2</v>
      </c>
      <c r="V22" s="125">
        <f>INT((SUM(F22,H22,J22)*0.4*100)+0.49)/100</f>
        <v>41642.08</v>
      </c>
      <c r="W22" s="192">
        <v>0</v>
      </c>
      <c r="X22" s="125">
        <f>ROUND(W22*Valores!$C$2,2)</f>
        <v>0</v>
      </c>
      <c r="Y22" s="125">
        <v>0</v>
      </c>
      <c r="Z22" s="125">
        <f>Valores!$C$93</f>
        <v>5760.87</v>
      </c>
      <c r="AA22" s="125">
        <f>Valores!$C$25</f>
        <v>537.98</v>
      </c>
      <c r="AB22" s="214">
        <v>0</v>
      </c>
      <c r="AC22" s="125">
        <f t="shared" si="2"/>
        <v>0</v>
      </c>
      <c r="AD22" s="125">
        <f>Valores!$C$26</f>
        <v>537.98</v>
      </c>
      <c r="AE22" s="192">
        <v>0</v>
      </c>
      <c r="AF22" s="125">
        <f>ROUND(AE22*Valores!$C$2,2)</f>
        <v>0</v>
      </c>
      <c r="AG22" s="125">
        <f>ROUND(IF($F$4="NO",Valores!$C$62,Valores!$C$62/2),2)</f>
        <v>3203.47</v>
      </c>
      <c r="AH22" s="125">
        <f t="shared" si="5"/>
        <v>318191.36999999994</v>
      </c>
      <c r="AI22" s="125">
        <f>Valores!$C$31</f>
        <v>0</v>
      </c>
      <c r="AJ22" s="125">
        <f>Valores!$C$86</f>
        <v>0</v>
      </c>
      <c r="AK22" s="125">
        <f>Valores!C$38*B22</f>
        <v>0</v>
      </c>
      <c r="AL22" s="125">
        <f>IF($F$3="NO",0,Valores!$C$54)</f>
        <v>327.6</v>
      </c>
      <c r="AM22" s="125">
        <f t="shared" si="3"/>
        <v>327.6</v>
      </c>
      <c r="AN22" s="125">
        <f>AH22*Valores!$C$70</f>
        <v>-35001.05069999999</v>
      </c>
      <c r="AO22" s="125">
        <f>AH22*-Valores!$C$71</f>
        <v>0</v>
      </c>
      <c r="AP22" s="125">
        <f>AH22*Valores!$C$72</f>
        <v>-14318.611649999997</v>
      </c>
      <c r="AQ22" s="125">
        <f>Valores!$C$99</f>
        <v>-280.91</v>
      </c>
      <c r="AR22" s="125">
        <f>IF($F$5=0,Valores!$C$100,(Valores!$C$100+$F$5*(Valores!$C$100)))</f>
        <v>-329</v>
      </c>
      <c r="AS22" s="125">
        <f t="shared" si="6"/>
        <v>268589.39764999994</v>
      </c>
      <c r="AT22" s="125">
        <f t="shared" si="0"/>
        <v>-35001.05069999999</v>
      </c>
      <c r="AU22" s="125">
        <f>AH22*Valores!$C$73</f>
        <v>-8591.166989999998</v>
      </c>
      <c r="AV22" s="125">
        <f>AH22*Valores!$C$74</f>
        <v>-954.5741099999998</v>
      </c>
      <c r="AW22" s="125">
        <f t="shared" si="4"/>
        <v>273972.1781999999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2573.04</v>
      </c>
      <c r="G23" s="192">
        <v>3727</v>
      </c>
      <c r="H23" s="125">
        <f>ROUND(G23*Valores!$C$2,2)</f>
        <v>95897.2</v>
      </c>
      <c r="I23" s="192">
        <v>219</v>
      </c>
      <c r="J23" s="125">
        <f>ROUND(I23*Valores!$C$2,2)</f>
        <v>5634.96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16474.87</v>
      </c>
      <c r="N23" s="125">
        <f t="shared" si="1"/>
        <v>0</v>
      </c>
      <c r="O23" s="125">
        <f>Valores!$C$11</f>
        <v>22943.05</v>
      </c>
      <c r="P23" s="125">
        <f>Valores!$D$5</f>
        <v>13153.38</v>
      </c>
      <c r="Q23" s="125">
        <v>0</v>
      </c>
      <c r="R23" s="125">
        <f>IF($F$4="NO",Valores!$C$45,Valores!$C$45/2)</f>
        <v>5727.29</v>
      </c>
      <c r="S23" s="125">
        <v>0</v>
      </c>
      <c r="T23" s="125">
        <f t="shared" si="7"/>
        <v>0</v>
      </c>
      <c r="U23" s="125">
        <f>SUM(F23,H23,J23)</f>
        <v>104105.2</v>
      </c>
      <c r="V23" s="125">
        <f>INT((SUM(F23,H23,J23)*0.4*100)+0.49)/100</f>
        <v>41642.08</v>
      </c>
      <c r="W23" s="192">
        <v>0</v>
      </c>
      <c r="X23" s="125">
        <f>ROUND(W23*Valores!$C$2,2)</f>
        <v>0</v>
      </c>
      <c r="Y23" s="125">
        <v>0</v>
      </c>
      <c r="Z23" s="125">
        <f>Valores!$C$93</f>
        <v>5760.87</v>
      </c>
      <c r="AA23" s="125">
        <f>Valores!$C$25</f>
        <v>537.98</v>
      </c>
      <c r="AB23" s="214">
        <v>0</v>
      </c>
      <c r="AC23" s="125">
        <f t="shared" si="2"/>
        <v>0</v>
      </c>
      <c r="AD23" s="125">
        <f>Valores!$C$26</f>
        <v>537.98</v>
      </c>
      <c r="AE23" s="192">
        <v>0</v>
      </c>
      <c r="AF23" s="125">
        <f>ROUND(AE23*Valores!$C$2,2)</f>
        <v>0</v>
      </c>
      <c r="AG23" s="125">
        <f>ROUND(IF($F$4="NO",Valores!$C$62,Valores!$C$62/2),2)</f>
        <v>3203.47</v>
      </c>
      <c r="AH23" s="125">
        <f t="shared" si="5"/>
        <v>318191.36999999994</v>
      </c>
      <c r="AI23" s="125">
        <f>Valores!$C$31</f>
        <v>0</v>
      </c>
      <c r="AJ23" s="125">
        <f>Valores!$C$86</f>
        <v>0</v>
      </c>
      <c r="AK23" s="125">
        <f>Valores!C$38*B23</f>
        <v>0</v>
      </c>
      <c r="AL23" s="125">
        <f>IF($F$3="NO",0,Valores!$C$54)</f>
        <v>327.6</v>
      </c>
      <c r="AM23" s="125">
        <f t="shared" si="3"/>
        <v>327.6</v>
      </c>
      <c r="AN23" s="125">
        <f>AH23*Valores!$C$70</f>
        <v>-35001.05069999999</v>
      </c>
      <c r="AO23" s="125">
        <f>AH23*-Valores!$C$71</f>
        <v>0</v>
      </c>
      <c r="AP23" s="125">
        <f>AH23*Valores!$C$72</f>
        <v>-14318.611649999997</v>
      </c>
      <c r="AQ23" s="125">
        <f>Valores!$C$99</f>
        <v>-280.91</v>
      </c>
      <c r="AR23" s="125">
        <f>IF($F$5=0,Valores!$C$100,(Valores!$C$100+$F$5*(Valores!$C$100)))</f>
        <v>-329</v>
      </c>
      <c r="AS23" s="125">
        <f t="shared" si="6"/>
        <v>268589.39764999994</v>
      </c>
      <c r="AT23" s="125">
        <f t="shared" si="0"/>
        <v>-35001.05069999999</v>
      </c>
      <c r="AU23" s="125">
        <f>AH23*Valores!$C$73</f>
        <v>-8591.166989999998</v>
      </c>
      <c r="AV23" s="125">
        <f>AH23*Valores!$C$74</f>
        <v>-954.5741099999998</v>
      </c>
      <c r="AW23" s="125">
        <f t="shared" si="4"/>
        <v>273972.1781999999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2573.04</v>
      </c>
      <c r="G24" s="192">
        <v>3727</v>
      </c>
      <c r="H24" s="125">
        <f>ROUND(G24*Valores!$C$2,2)</f>
        <v>95897.2</v>
      </c>
      <c r="I24" s="192">
        <v>219</v>
      </c>
      <c r="J24" s="125">
        <f>ROUND(I24*Valores!$C$2,2)</f>
        <v>5634.96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16474.87</v>
      </c>
      <c r="N24" s="125">
        <f t="shared" si="1"/>
        <v>0</v>
      </c>
      <c r="O24" s="125">
        <f>Valores!$C$11</f>
        <v>22943.05</v>
      </c>
      <c r="P24" s="125">
        <f>Valores!$D$5</f>
        <v>13153.38</v>
      </c>
      <c r="Q24" s="125">
        <v>0</v>
      </c>
      <c r="R24" s="125">
        <f>IF($F$4="NO",Valores!$C$45,Valores!$C$45/2)</f>
        <v>5727.29</v>
      </c>
      <c r="S24" s="125">
        <v>0</v>
      </c>
      <c r="T24" s="125">
        <f t="shared" si="7"/>
        <v>0</v>
      </c>
      <c r="U24" s="125">
        <f>SUM(F24,H24,J24)</f>
        <v>104105.2</v>
      </c>
      <c r="V24" s="125">
        <f>INT((SUM(F24,H24,J24)*0.4*100)+0.49)/100</f>
        <v>41642.08</v>
      </c>
      <c r="W24" s="192">
        <v>0</v>
      </c>
      <c r="X24" s="125">
        <f>ROUND(W24*Valores!$C$2,2)</f>
        <v>0</v>
      </c>
      <c r="Y24" s="125">
        <v>0</v>
      </c>
      <c r="Z24" s="125">
        <f>Valores!$C$93</f>
        <v>5760.87</v>
      </c>
      <c r="AA24" s="125">
        <f>Valores!$C$25</f>
        <v>537.98</v>
      </c>
      <c r="AB24" s="214">
        <v>0</v>
      </c>
      <c r="AC24" s="125">
        <f t="shared" si="2"/>
        <v>0</v>
      </c>
      <c r="AD24" s="125">
        <f>Valores!$C$26</f>
        <v>537.98</v>
      </c>
      <c r="AE24" s="192">
        <v>0</v>
      </c>
      <c r="AF24" s="125">
        <f>ROUND(AE24*Valores!$C$2,2)</f>
        <v>0</v>
      </c>
      <c r="AG24" s="125">
        <f>ROUND(IF($F$4="NO",Valores!$C$62,Valores!$C$62/2),2)</f>
        <v>3203.47</v>
      </c>
      <c r="AH24" s="125">
        <f t="shared" si="5"/>
        <v>318191.36999999994</v>
      </c>
      <c r="AI24" s="125">
        <f>Valores!$C$31</f>
        <v>0</v>
      </c>
      <c r="AJ24" s="125">
        <f>Valores!$C$86</f>
        <v>0</v>
      </c>
      <c r="AK24" s="125">
        <f>Valores!C$38*B24</f>
        <v>0</v>
      </c>
      <c r="AL24" s="125">
        <f>IF($F$3="NO",0,Valores!$C$54)</f>
        <v>327.6</v>
      </c>
      <c r="AM24" s="125">
        <f t="shared" si="3"/>
        <v>327.6</v>
      </c>
      <c r="AN24" s="125">
        <f>AH24*Valores!$C$70</f>
        <v>-35001.05069999999</v>
      </c>
      <c r="AO24" s="125">
        <f>AH24*-Valores!$C$71</f>
        <v>0</v>
      </c>
      <c r="AP24" s="125">
        <f>AH24*Valores!$C$72</f>
        <v>-14318.611649999997</v>
      </c>
      <c r="AQ24" s="125">
        <f>Valores!$C$99</f>
        <v>-280.91</v>
      </c>
      <c r="AR24" s="125">
        <f>IF($F$5=0,Valores!$C$100,(Valores!$C$100+$F$5*(Valores!$C$100)))</f>
        <v>-329</v>
      </c>
      <c r="AS24" s="125">
        <f t="shared" si="6"/>
        <v>268589.39764999994</v>
      </c>
      <c r="AT24" s="125">
        <f t="shared" si="0"/>
        <v>-35001.05069999999</v>
      </c>
      <c r="AU24" s="125">
        <f>AH24*Valores!$C$73</f>
        <v>-8591.166989999998</v>
      </c>
      <c r="AV24" s="125">
        <f>AH24*Valores!$C$74</f>
        <v>-954.5741099999998</v>
      </c>
      <c r="AW24" s="125">
        <f t="shared" si="4"/>
        <v>273972.1781999999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2470.12</v>
      </c>
      <c r="G25" s="192">
        <v>3737</v>
      </c>
      <c r="H25" s="125">
        <f>ROUND(G25*Valores!$C$2,2)</f>
        <v>96154.5</v>
      </c>
      <c r="I25" s="192">
        <v>1220</v>
      </c>
      <c r="J25" s="125">
        <f>ROUND(I25*Valores!$C$2,2)</f>
        <v>31391.09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22399.29</v>
      </c>
      <c r="N25" s="125">
        <f t="shared" si="1"/>
        <v>0</v>
      </c>
      <c r="O25" s="125">
        <f>Valores!$C$12</f>
        <v>52997.07</v>
      </c>
      <c r="P25" s="125">
        <f>Valores!$D$5</f>
        <v>13153.38</v>
      </c>
      <c r="Q25" s="125">
        <v>0</v>
      </c>
      <c r="R25" s="125">
        <f>IF($F$4="NO",Valores!$C$46,Valores!$C$46/2)</f>
        <v>7073.445</v>
      </c>
      <c r="S25" s="125">
        <f>Valores!$C$19</f>
        <v>12239.42</v>
      </c>
      <c r="T25" s="125">
        <f t="shared" si="7"/>
        <v>12239.42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Valores!$C$95</f>
        <v>11521.74</v>
      </c>
      <c r="AA25" s="125">
        <f>Valores!$C$25</f>
        <v>537.98</v>
      </c>
      <c r="AB25" s="214">
        <v>0</v>
      </c>
      <c r="AC25" s="125">
        <f t="shared" si="2"/>
        <v>0</v>
      </c>
      <c r="AD25" s="125">
        <f>Valores!$C$26</f>
        <v>537.98</v>
      </c>
      <c r="AE25" s="192">
        <v>0</v>
      </c>
      <c r="AF25" s="125">
        <f>ROUND(AE25*Valores!$C$2,2)</f>
        <v>0</v>
      </c>
      <c r="AG25" s="125">
        <f>ROUND(IF($F$4="NO",Valores!$C$62,Valores!$C$62/2),2)</f>
        <v>3203.47</v>
      </c>
      <c r="AH25" s="125">
        <f t="shared" si="5"/>
        <v>253679.48500000004</v>
      </c>
      <c r="AI25" s="125">
        <f>Valores!$C$31</f>
        <v>0</v>
      </c>
      <c r="AJ25" s="125">
        <f>Valores!$C$88</f>
        <v>0</v>
      </c>
      <c r="AK25" s="125">
        <f>Valores!C$38*B25</f>
        <v>0</v>
      </c>
      <c r="AL25" s="125">
        <f>IF($F$3="NO",0,Valores!$C$54)</f>
        <v>327.6</v>
      </c>
      <c r="AM25" s="125">
        <f t="shared" si="3"/>
        <v>327.6</v>
      </c>
      <c r="AN25" s="125">
        <f>AH25*Valores!$C$70</f>
        <v>-27904.743350000004</v>
      </c>
      <c r="AO25" s="125">
        <f>AH25*-Valores!$C$71</f>
        <v>0</v>
      </c>
      <c r="AP25" s="125">
        <f>AH25*Valores!$C$72</f>
        <v>-11415.576825000002</v>
      </c>
      <c r="AQ25" s="125">
        <f>Valores!$C$99</f>
        <v>-280.91</v>
      </c>
      <c r="AR25" s="125">
        <f>IF($F$5=0,Valores!$C$100,(Valores!$C$100+$F$5*(Valores!$C$100)))</f>
        <v>-329</v>
      </c>
      <c r="AS25" s="125">
        <f t="shared" si="6"/>
        <v>214076.85482500005</v>
      </c>
      <c r="AT25" s="125">
        <f t="shared" si="0"/>
        <v>-27904.743350000004</v>
      </c>
      <c r="AU25" s="125">
        <f>AH25*Valores!$C$73</f>
        <v>-6849.346095000001</v>
      </c>
      <c r="AV25" s="125">
        <f>AH25*Valores!$C$74</f>
        <v>-761.0384550000001</v>
      </c>
      <c r="AW25" s="125">
        <f t="shared" si="4"/>
        <v>218491.95710000006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2470.12</v>
      </c>
      <c r="G26" s="192">
        <v>3737</v>
      </c>
      <c r="H26" s="125">
        <f>ROUND(G26*Valores!$C$2,2)</f>
        <v>96154.5</v>
      </c>
      <c r="I26" s="192">
        <v>1220</v>
      </c>
      <c r="J26" s="125">
        <f>ROUND(I26*Valores!$C$2,2)</f>
        <v>31391.09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22399.29</v>
      </c>
      <c r="N26" s="125">
        <f t="shared" si="1"/>
        <v>0</v>
      </c>
      <c r="O26" s="125">
        <f>Valores!$C$12</f>
        <v>52997.07</v>
      </c>
      <c r="P26" s="125">
        <f>Valores!$D$5</f>
        <v>13153.38</v>
      </c>
      <c r="Q26" s="125">
        <v>0</v>
      </c>
      <c r="R26" s="125">
        <f>IF($F$4="NO",Valores!$C$46,Valores!$C$46/2)</f>
        <v>7073.445</v>
      </c>
      <c r="S26" s="125">
        <f>Valores!$C$19</f>
        <v>12239.42</v>
      </c>
      <c r="T26" s="125">
        <f t="shared" si="7"/>
        <v>12239.42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Valores!$C$95</f>
        <v>11521.74</v>
      </c>
      <c r="AA26" s="125">
        <f>Valores!$C$25</f>
        <v>537.98</v>
      </c>
      <c r="AB26" s="214">
        <v>0</v>
      </c>
      <c r="AC26" s="125">
        <f t="shared" si="2"/>
        <v>0</v>
      </c>
      <c r="AD26" s="125">
        <f>Valores!$C$26</f>
        <v>537.98</v>
      </c>
      <c r="AE26" s="192">
        <v>0</v>
      </c>
      <c r="AF26" s="125">
        <f>ROUND(AE26*Valores!$C$2,2)</f>
        <v>0</v>
      </c>
      <c r="AG26" s="125">
        <f>ROUND(IF($F$4="NO",Valores!$C$62,Valores!$C$62/2),2)</f>
        <v>3203.47</v>
      </c>
      <c r="AH26" s="125">
        <f t="shared" si="5"/>
        <v>253679.48500000004</v>
      </c>
      <c r="AI26" s="125">
        <f>Valores!$C$31</f>
        <v>0</v>
      </c>
      <c r="AJ26" s="125">
        <f>Valores!$C$88</f>
        <v>0</v>
      </c>
      <c r="AK26" s="125">
        <f>Valores!C$38*B26</f>
        <v>0</v>
      </c>
      <c r="AL26" s="125">
        <f>IF($F$3="NO",0,Valores!$C$54)</f>
        <v>327.6</v>
      </c>
      <c r="AM26" s="125">
        <f t="shared" si="3"/>
        <v>327.6</v>
      </c>
      <c r="AN26" s="125">
        <f>AH26*Valores!$C$70</f>
        <v>-27904.743350000004</v>
      </c>
      <c r="AO26" s="125">
        <f>AH26*-Valores!$C$71</f>
        <v>0</v>
      </c>
      <c r="AP26" s="125">
        <f>AH26*Valores!$C$72</f>
        <v>-11415.576825000002</v>
      </c>
      <c r="AQ26" s="125">
        <f>Valores!$C$99</f>
        <v>-280.91</v>
      </c>
      <c r="AR26" s="125">
        <f>IF($F$5=0,Valores!$C$100,(Valores!$C$100+$F$5*(Valores!$C$100)))</f>
        <v>-329</v>
      </c>
      <c r="AS26" s="125">
        <f t="shared" si="6"/>
        <v>214076.85482500005</v>
      </c>
      <c r="AT26" s="125">
        <f t="shared" si="0"/>
        <v>-27904.743350000004</v>
      </c>
      <c r="AU26" s="125">
        <f>AH26*Valores!$C$73</f>
        <v>-6849.346095000001</v>
      </c>
      <c r="AV26" s="125">
        <f>AH26*Valores!$C$74</f>
        <v>-761.0384550000001</v>
      </c>
      <c r="AW26" s="125">
        <f t="shared" si="4"/>
        <v>218491.95710000006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2470.12</v>
      </c>
      <c r="G27" s="192">
        <v>3737</v>
      </c>
      <c r="H27" s="125">
        <f>ROUND(G27*Valores!$C$2,2)</f>
        <v>96154.5</v>
      </c>
      <c r="I27" s="192">
        <v>1220</v>
      </c>
      <c r="J27" s="125">
        <f>ROUND(I27*Valores!$C$2,2)</f>
        <v>31391.09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22399.29</v>
      </c>
      <c r="N27" s="125">
        <f t="shared" si="1"/>
        <v>0</v>
      </c>
      <c r="O27" s="125">
        <f>Valores!$C$12</f>
        <v>52997.07</v>
      </c>
      <c r="P27" s="125">
        <f>Valores!$D$5</f>
        <v>13153.38</v>
      </c>
      <c r="Q27" s="125">
        <v>0</v>
      </c>
      <c r="R27" s="125">
        <f>IF($F$4="NO",Valores!$C$46,Valores!$C$46/2)</f>
        <v>7073.445</v>
      </c>
      <c r="S27" s="125">
        <f>Valores!$C$19</f>
        <v>12239.42</v>
      </c>
      <c r="T27" s="125">
        <f t="shared" si="7"/>
        <v>12239.42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Valores!$C$95</f>
        <v>11521.74</v>
      </c>
      <c r="AA27" s="125">
        <f>Valores!$C$25</f>
        <v>537.98</v>
      </c>
      <c r="AB27" s="214">
        <v>0</v>
      </c>
      <c r="AC27" s="125">
        <f t="shared" si="2"/>
        <v>0</v>
      </c>
      <c r="AD27" s="125">
        <f>Valores!$C$26</f>
        <v>537.98</v>
      </c>
      <c r="AE27" s="192">
        <v>0</v>
      </c>
      <c r="AF27" s="125">
        <f>ROUND(AE27*Valores!$C$2,2)</f>
        <v>0</v>
      </c>
      <c r="AG27" s="125">
        <f>ROUND(IF($F$4="NO",Valores!$C$62,Valores!$C$62/2),2)</f>
        <v>3203.47</v>
      </c>
      <c r="AH27" s="125">
        <f t="shared" si="5"/>
        <v>253679.48500000004</v>
      </c>
      <c r="AI27" s="125">
        <f>Valores!$C$31</f>
        <v>0</v>
      </c>
      <c r="AJ27" s="125">
        <f>Valores!$C$88</f>
        <v>0</v>
      </c>
      <c r="AK27" s="125">
        <f>Valores!C$38*B27</f>
        <v>0</v>
      </c>
      <c r="AL27" s="125">
        <f>IF($F$3="NO",0,Valores!$C$54)</f>
        <v>327.6</v>
      </c>
      <c r="AM27" s="125">
        <f t="shared" si="3"/>
        <v>327.6</v>
      </c>
      <c r="AN27" s="125">
        <f>AH27*Valores!$C$70</f>
        <v>-27904.743350000004</v>
      </c>
      <c r="AO27" s="125">
        <f>AH27*-Valores!$C$71</f>
        <v>0</v>
      </c>
      <c r="AP27" s="125">
        <f>AH27*Valores!$C$72</f>
        <v>-11415.576825000002</v>
      </c>
      <c r="AQ27" s="125">
        <f>Valores!$C$99</f>
        <v>-280.91</v>
      </c>
      <c r="AR27" s="125">
        <f>IF($F$5=0,Valores!$C$100,(Valores!$C$100+$F$5*(Valores!$C$100)))</f>
        <v>-329</v>
      </c>
      <c r="AS27" s="125">
        <f t="shared" si="6"/>
        <v>214076.85482500005</v>
      </c>
      <c r="AT27" s="125">
        <f t="shared" si="0"/>
        <v>-27904.743350000004</v>
      </c>
      <c r="AU27" s="125">
        <f>AH27*Valores!$C$73</f>
        <v>-6849.346095000001</v>
      </c>
      <c r="AV27" s="125">
        <f>AH27*Valores!$C$74</f>
        <v>-761.0384550000001</v>
      </c>
      <c r="AW27" s="125">
        <f t="shared" si="4"/>
        <v>218491.95710000006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2753.15</v>
      </c>
      <c r="G28" s="192">
        <v>3728</v>
      </c>
      <c r="H28" s="125">
        <f>ROUND(G28*Valores!$C$2,2)</f>
        <v>95922.93</v>
      </c>
      <c r="I28" s="192">
        <v>1218</v>
      </c>
      <c r="J28" s="125">
        <f>ROUND(I28*Valores!$C$2,2)</f>
        <v>31339.63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22399.29</v>
      </c>
      <c r="N28" s="125">
        <f t="shared" si="1"/>
        <v>0</v>
      </c>
      <c r="O28" s="125">
        <f>Valores!$C$12</f>
        <v>52997.07</v>
      </c>
      <c r="P28" s="125">
        <f>Valores!$D$5</f>
        <v>13153.38</v>
      </c>
      <c r="Q28" s="125">
        <v>0</v>
      </c>
      <c r="R28" s="125">
        <f>IF($F$4="NO",Valores!$C$46,Valores!$C$46/2)</f>
        <v>7073.445</v>
      </c>
      <c r="S28" s="125">
        <f>Valores!$C$19</f>
        <v>12239.42</v>
      </c>
      <c r="T28" s="125">
        <f t="shared" si="7"/>
        <v>12239.42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Valores!$C$95</f>
        <v>11521.74</v>
      </c>
      <c r="AA28" s="125">
        <f>Valores!$C$25</f>
        <v>537.98</v>
      </c>
      <c r="AB28" s="214">
        <v>0</v>
      </c>
      <c r="AC28" s="125">
        <f t="shared" si="2"/>
        <v>0</v>
      </c>
      <c r="AD28" s="125">
        <f>Valores!$C$26</f>
        <v>537.98</v>
      </c>
      <c r="AE28" s="192">
        <v>0</v>
      </c>
      <c r="AF28" s="125">
        <f>ROUND(AE28*Valores!$C$2,2)</f>
        <v>0</v>
      </c>
      <c r="AG28" s="125">
        <f>ROUND(IF($F$4="NO",Valores!$C$62,Valores!$C$62/2),2)</f>
        <v>3203.47</v>
      </c>
      <c r="AH28" s="125">
        <f t="shared" si="5"/>
        <v>253679.48500000004</v>
      </c>
      <c r="AI28" s="125">
        <f>Valores!$C$31</f>
        <v>0</v>
      </c>
      <c r="AJ28" s="125">
        <f>Valores!$C$88</f>
        <v>0</v>
      </c>
      <c r="AK28" s="125">
        <f>Valores!C$38*B28</f>
        <v>0</v>
      </c>
      <c r="AL28" s="125">
        <f>IF($F$3="NO",0,Valores!$C$54)</f>
        <v>327.6</v>
      </c>
      <c r="AM28" s="125">
        <f t="shared" si="3"/>
        <v>327.6</v>
      </c>
      <c r="AN28" s="125">
        <f>AH28*Valores!$C$70</f>
        <v>-27904.743350000004</v>
      </c>
      <c r="AO28" s="125">
        <f>AH28*-Valores!$C$71</f>
        <v>0</v>
      </c>
      <c r="AP28" s="125">
        <f>AH28*Valores!$C$72</f>
        <v>-11415.576825000002</v>
      </c>
      <c r="AQ28" s="125">
        <f>Valores!$C$99</f>
        <v>-280.91</v>
      </c>
      <c r="AR28" s="125">
        <f>IF($F$5=0,Valores!$C$100,(Valores!$C$100+$F$5*(Valores!$C$100)))</f>
        <v>-329</v>
      </c>
      <c r="AS28" s="125">
        <f t="shared" si="6"/>
        <v>214076.85482500005</v>
      </c>
      <c r="AT28" s="125">
        <f t="shared" si="0"/>
        <v>-27904.743350000004</v>
      </c>
      <c r="AU28" s="125">
        <f>AH28*Valores!$C$73</f>
        <v>-6849.346095000001</v>
      </c>
      <c r="AV28" s="125">
        <f>AH28*Valores!$C$74</f>
        <v>-761.0384550000001</v>
      </c>
      <c r="AW28" s="125">
        <f t="shared" si="4"/>
        <v>218491.95710000006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2418.66</v>
      </c>
      <c r="G29" s="192">
        <v>3624</v>
      </c>
      <c r="H29" s="125">
        <f>ROUND(G29*Valores!$C$2,2)</f>
        <v>93246.97</v>
      </c>
      <c r="I29" s="192">
        <v>1219</v>
      </c>
      <c r="J29" s="125">
        <f>ROUND(I29*Valores!$C$2,2)</f>
        <v>31365.36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21951.58</v>
      </c>
      <c r="N29" s="125">
        <f t="shared" si="1"/>
        <v>0</v>
      </c>
      <c r="O29" s="125">
        <f>Valores!$C$12</f>
        <v>52997.07</v>
      </c>
      <c r="P29" s="125">
        <f>Valores!$D$5</f>
        <v>13153.38</v>
      </c>
      <c r="Q29" s="125">
        <v>0</v>
      </c>
      <c r="R29" s="125">
        <f>IF($F$4="NO",Valores!$C$46,Valores!$C$46/2)</f>
        <v>7073.445</v>
      </c>
      <c r="S29" s="125">
        <f>Valores!$C$19</f>
        <v>12239.42</v>
      </c>
      <c r="T29" s="125">
        <f t="shared" si="7"/>
        <v>12239.42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Valores!$C$95</f>
        <v>11521.74</v>
      </c>
      <c r="AA29" s="125">
        <f>Valores!$C$25</f>
        <v>537.98</v>
      </c>
      <c r="AB29" s="214">
        <v>0</v>
      </c>
      <c r="AC29" s="125">
        <f t="shared" si="2"/>
        <v>0</v>
      </c>
      <c r="AD29" s="125">
        <f>Valores!$C$26</f>
        <v>537.98</v>
      </c>
      <c r="AE29" s="192">
        <v>0</v>
      </c>
      <c r="AF29" s="125">
        <f>ROUND(AE29*Valores!$C$2,2)</f>
        <v>0</v>
      </c>
      <c r="AG29" s="125">
        <f>ROUND(IF($F$4="NO",Valores!$C$62,Valores!$C$62/2),2)</f>
        <v>3203.47</v>
      </c>
      <c r="AH29" s="125">
        <f t="shared" si="5"/>
        <v>250247.05500000005</v>
      </c>
      <c r="AI29" s="125">
        <f>Valores!$C$31</f>
        <v>0</v>
      </c>
      <c r="AJ29" s="125">
        <f>Valores!$C$88</f>
        <v>0</v>
      </c>
      <c r="AK29" s="125">
        <f>Valores!C$38*B29</f>
        <v>0</v>
      </c>
      <c r="AL29" s="125">
        <f>IF($F$3="NO",0,Valores!$C$54)</f>
        <v>327.6</v>
      </c>
      <c r="AM29" s="125">
        <f t="shared" si="3"/>
        <v>327.6</v>
      </c>
      <c r="AN29" s="125">
        <f>AH29*Valores!$C$70</f>
        <v>-27527.176050000005</v>
      </c>
      <c r="AO29" s="125">
        <f>AH29*-Valores!$C$71</f>
        <v>0</v>
      </c>
      <c r="AP29" s="125">
        <f>AH29*Valores!$C$72</f>
        <v>-11261.117475000003</v>
      </c>
      <c r="AQ29" s="125">
        <f>Valores!$C$99</f>
        <v>-280.91</v>
      </c>
      <c r="AR29" s="125">
        <f>IF($F$5=0,Valores!$C$100,(Valores!$C$100+$F$5*(Valores!$C$100)))</f>
        <v>-329</v>
      </c>
      <c r="AS29" s="125">
        <f t="shared" si="6"/>
        <v>211176.45147500004</v>
      </c>
      <c r="AT29" s="125">
        <f t="shared" si="0"/>
        <v>-27527.176050000005</v>
      </c>
      <c r="AU29" s="125">
        <f>AH29*Valores!$C$73</f>
        <v>-6756.6704850000015</v>
      </c>
      <c r="AV29" s="125">
        <f>AH29*Valores!$C$74</f>
        <v>-750.7411650000001</v>
      </c>
      <c r="AW29" s="125">
        <f t="shared" si="4"/>
        <v>215540.06730000005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2392.93</v>
      </c>
      <c r="G30" s="192">
        <v>3627</v>
      </c>
      <c r="H30" s="125">
        <f>ROUND(G30*Valores!$C$2,2)</f>
        <v>93324.16</v>
      </c>
      <c r="I30" s="192">
        <v>210</v>
      </c>
      <c r="J30" s="125">
        <f>ROUND(I30*Valores!$C$2,2)</f>
        <v>5403.38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18065</v>
      </c>
      <c r="N30" s="125">
        <f t="shared" si="1"/>
        <v>0</v>
      </c>
      <c r="O30" s="125">
        <f>Valores!$C$12</f>
        <v>52997.07</v>
      </c>
      <c r="P30" s="125">
        <f>Valores!$D$5</f>
        <v>13153.38</v>
      </c>
      <c r="Q30" s="125">
        <v>0</v>
      </c>
      <c r="R30" s="125">
        <f>IF($F$4="NO",Valores!$C$46,Valores!$C$46/2)</f>
        <v>7073.445</v>
      </c>
      <c r="S30" s="125">
        <f>Valores!$C$19</f>
        <v>12239.42</v>
      </c>
      <c r="T30" s="125">
        <f t="shared" si="7"/>
        <v>12239.42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Valores!$C$95</f>
        <v>11521.74</v>
      </c>
      <c r="AA30" s="125">
        <f>Valores!$C$25</f>
        <v>537.98</v>
      </c>
      <c r="AB30" s="214">
        <v>0</v>
      </c>
      <c r="AC30" s="125">
        <f t="shared" si="2"/>
        <v>0</v>
      </c>
      <c r="AD30" s="125">
        <f>Valores!$C$26</f>
        <v>537.98</v>
      </c>
      <c r="AE30" s="192">
        <v>0</v>
      </c>
      <c r="AF30" s="125">
        <f>ROUND(AE30*Valores!$C$2,2)</f>
        <v>0</v>
      </c>
      <c r="AG30" s="125">
        <f>ROUND(IF($F$4="NO",Valores!$C$62,Valores!$C$62/2),2)</f>
        <v>3203.47</v>
      </c>
      <c r="AH30" s="125">
        <f t="shared" si="5"/>
        <v>220449.95500000005</v>
      </c>
      <c r="AI30" s="125">
        <f>Valores!$C$31</f>
        <v>0</v>
      </c>
      <c r="AJ30" s="125">
        <f>Valores!$C$88</f>
        <v>0</v>
      </c>
      <c r="AK30" s="125">
        <f>Valores!C$38*B30</f>
        <v>0</v>
      </c>
      <c r="AL30" s="125">
        <f>IF($F$3="NO",0,Valores!$C$54)</f>
        <v>327.6</v>
      </c>
      <c r="AM30" s="125">
        <f t="shared" si="3"/>
        <v>327.6</v>
      </c>
      <c r="AN30" s="125">
        <f>AH30*Valores!$C$70</f>
        <v>-24249.495050000005</v>
      </c>
      <c r="AO30" s="125">
        <f>AH30*-Valores!$C$71</f>
        <v>0</v>
      </c>
      <c r="AP30" s="125">
        <f>AH30*Valores!$C$72</f>
        <v>-9920.247975000002</v>
      </c>
      <c r="AQ30" s="125">
        <f>Valores!$C$99</f>
        <v>-280.91</v>
      </c>
      <c r="AR30" s="125">
        <f>IF($F$5=0,Valores!$C$100,(Valores!$C$100+$F$5*(Valores!$C$100)))</f>
        <v>-329</v>
      </c>
      <c r="AS30" s="125">
        <f t="shared" si="6"/>
        <v>185997.90197500004</v>
      </c>
      <c r="AT30" s="125">
        <f t="shared" si="0"/>
        <v>-24249.495050000005</v>
      </c>
      <c r="AU30" s="125">
        <f>AH30*Valores!$C$73</f>
        <v>-5952.148785000001</v>
      </c>
      <c r="AV30" s="125">
        <f>AH30*Valores!$C$74</f>
        <v>-661.3498650000001</v>
      </c>
      <c r="AW30" s="125">
        <f t="shared" si="4"/>
        <v>189914.56130000006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2392.93</v>
      </c>
      <c r="G31" s="192">
        <v>3630</v>
      </c>
      <c r="H31" s="125">
        <f>ROUND(G31*Valores!$C$2,2)</f>
        <v>93401.35</v>
      </c>
      <c r="I31" s="192">
        <v>1214</v>
      </c>
      <c r="J31" s="125">
        <f>ROUND(I31*Valores!$C$2,2)</f>
        <v>31236.71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21951.58</v>
      </c>
      <c r="N31" s="125">
        <f t="shared" si="1"/>
        <v>0</v>
      </c>
      <c r="O31" s="125">
        <f>Valores!$C$12</f>
        <v>52997.07</v>
      </c>
      <c r="P31" s="125">
        <f>Valores!$D$5</f>
        <v>13153.38</v>
      </c>
      <c r="Q31" s="125">
        <v>0</v>
      </c>
      <c r="R31" s="125">
        <f>IF($F$4="NO",Valores!$C$46,Valores!$C$46/2)</f>
        <v>7073.445</v>
      </c>
      <c r="S31" s="125">
        <f>Valores!$C$19</f>
        <v>12239.42</v>
      </c>
      <c r="T31" s="125">
        <f t="shared" si="7"/>
        <v>12239.42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Valores!$C$95</f>
        <v>11521.74</v>
      </c>
      <c r="AA31" s="125">
        <f>Valores!$C$25</f>
        <v>537.98</v>
      </c>
      <c r="AB31" s="214">
        <v>0</v>
      </c>
      <c r="AC31" s="125">
        <f t="shared" si="2"/>
        <v>0</v>
      </c>
      <c r="AD31" s="125">
        <f>Valores!$C$26</f>
        <v>537.98</v>
      </c>
      <c r="AE31" s="192">
        <v>0</v>
      </c>
      <c r="AF31" s="125">
        <f>ROUND(AE31*Valores!$C$2,2)</f>
        <v>0</v>
      </c>
      <c r="AG31" s="125">
        <f>ROUND(IF($F$4="NO",Valores!$C$62,Valores!$C$62/2),2)</f>
        <v>3203.47</v>
      </c>
      <c r="AH31" s="125">
        <f t="shared" si="5"/>
        <v>250247.05500000005</v>
      </c>
      <c r="AI31" s="125">
        <f>Valores!$C$31</f>
        <v>0</v>
      </c>
      <c r="AJ31" s="125">
        <f>Valores!$C$88</f>
        <v>0</v>
      </c>
      <c r="AK31" s="125">
        <f>Valores!C$38*B31</f>
        <v>0</v>
      </c>
      <c r="AL31" s="125">
        <f>IF($F$3="NO",0,Valores!$C$54)</f>
        <v>327.6</v>
      </c>
      <c r="AM31" s="125">
        <f t="shared" si="3"/>
        <v>327.6</v>
      </c>
      <c r="AN31" s="125">
        <f>AH31*Valores!$C$70</f>
        <v>-27527.176050000005</v>
      </c>
      <c r="AO31" s="125">
        <f>AH31*-Valores!$C$71</f>
        <v>0</v>
      </c>
      <c r="AP31" s="125">
        <f>AH31*Valores!$C$72</f>
        <v>-11261.117475000003</v>
      </c>
      <c r="AQ31" s="125">
        <f>Valores!$C$99</f>
        <v>-280.91</v>
      </c>
      <c r="AR31" s="125">
        <f>IF($F$5=0,Valores!$C$100,(Valores!$C$100+$F$5*(Valores!$C$100)))</f>
        <v>-329</v>
      </c>
      <c r="AS31" s="125">
        <f t="shared" si="6"/>
        <v>211176.45147500004</v>
      </c>
      <c r="AT31" s="125">
        <f t="shared" si="0"/>
        <v>-27527.176050000005</v>
      </c>
      <c r="AU31" s="125">
        <f>AH31*Valores!$C$73</f>
        <v>-6756.6704850000015</v>
      </c>
      <c r="AV31" s="125">
        <f>AH31*Valores!$C$74</f>
        <v>-750.7411650000001</v>
      </c>
      <c r="AW31" s="125">
        <f t="shared" si="4"/>
        <v>215540.06730000005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2470.12</v>
      </c>
      <c r="G32" s="192">
        <v>3737</v>
      </c>
      <c r="H32" s="125">
        <f>ROUND(G32*Valores!$C$2,2)</f>
        <v>96154.5</v>
      </c>
      <c r="I32" s="192">
        <v>1220</v>
      </c>
      <c r="J32" s="125">
        <f>ROUND(I32*Valores!$C$2,2)</f>
        <v>31391.09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22399.29</v>
      </c>
      <c r="N32" s="125">
        <f t="shared" si="1"/>
        <v>0</v>
      </c>
      <c r="O32" s="125">
        <f>Valores!$C$12</f>
        <v>52997.07</v>
      </c>
      <c r="P32" s="125">
        <f>Valores!$D$5</f>
        <v>13153.38</v>
      </c>
      <c r="Q32" s="125">
        <v>0</v>
      </c>
      <c r="R32" s="125">
        <f>IF($F$4="NO",Valores!$C$46,Valores!$C$46/2)</f>
        <v>7073.445</v>
      </c>
      <c r="S32" s="125">
        <f>Valores!$C$19</f>
        <v>12239.42</v>
      </c>
      <c r="T32" s="125">
        <f t="shared" si="7"/>
        <v>12239.42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20563.37</v>
      </c>
      <c r="Z32" s="125">
        <f>Valores!$C$95</f>
        <v>11521.74</v>
      </c>
      <c r="AA32" s="125">
        <f>Valores!$C$25</f>
        <v>537.98</v>
      </c>
      <c r="AB32" s="214">
        <v>0</v>
      </c>
      <c r="AC32" s="125">
        <f t="shared" si="2"/>
        <v>0</v>
      </c>
      <c r="AD32" s="125">
        <f>Valores!$C$26</f>
        <v>537.98</v>
      </c>
      <c r="AE32" s="192">
        <v>0</v>
      </c>
      <c r="AF32" s="125">
        <f>ROUND(AE32*Valores!$C$2,2)</f>
        <v>0</v>
      </c>
      <c r="AG32" s="125">
        <f>ROUND(IF($F$4="NO",Valores!$C$62,Valores!$C$62/2),2)</f>
        <v>3203.47</v>
      </c>
      <c r="AH32" s="125">
        <f t="shared" si="5"/>
        <v>274242.855</v>
      </c>
      <c r="AI32" s="125">
        <f>Valores!$C$31</f>
        <v>0</v>
      </c>
      <c r="AJ32" s="125">
        <f>Valores!$C$88</f>
        <v>0</v>
      </c>
      <c r="AK32" s="125">
        <f>Valores!C$38*B32</f>
        <v>0</v>
      </c>
      <c r="AL32" s="125">
        <f>IF($F$3="NO",0,Valores!$C$54)</f>
        <v>327.6</v>
      </c>
      <c r="AM32" s="125">
        <f t="shared" si="3"/>
        <v>327.6</v>
      </c>
      <c r="AN32" s="125">
        <f>AH32*Valores!$C$70</f>
        <v>-30166.71405</v>
      </c>
      <c r="AO32" s="125">
        <f>AH32*-Valores!$C$71</f>
        <v>0</v>
      </c>
      <c r="AP32" s="125">
        <f>AH32*Valores!$C$72</f>
        <v>-12340.928474999999</v>
      </c>
      <c r="AQ32" s="125">
        <f>Valores!$C$99</f>
        <v>-280.91</v>
      </c>
      <c r="AR32" s="125">
        <f>IF($F$5=0,Valores!$C$100,(Valores!$C$100+$F$5*(Valores!$C$100)))</f>
        <v>-329</v>
      </c>
      <c r="AS32" s="125">
        <f t="shared" si="6"/>
        <v>231452.90247499998</v>
      </c>
      <c r="AT32" s="125">
        <f t="shared" si="0"/>
        <v>-30166.71405</v>
      </c>
      <c r="AU32" s="125">
        <f>AH32*Valores!$C$73</f>
        <v>-7404.5570849999995</v>
      </c>
      <c r="AV32" s="125">
        <f>AH32*Valores!$C$74</f>
        <v>-822.728565</v>
      </c>
      <c r="AW32" s="125">
        <f t="shared" si="4"/>
        <v>236176.45529999997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2367.2</v>
      </c>
      <c r="G33" s="192">
        <v>3483</v>
      </c>
      <c r="H33" s="125">
        <f>ROUND(G33*Valores!$C$2,2)</f>
        <v>89618.98</v>
      </c>
      <c r="I33" s="192">
        <v>1217</v>
      </c>
      <c r="J33" s="125">
        <f>ROUND(I33*Valores!$C$2,2)</f>
        <v>31313.9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21391.94</v>
      </c>
      <c r="N33" s="125">
        <f t="shared" si="1"/>
        <v>0</v>
      </c>
      <c r="O33" s="125">
        <f>Valores!$C$12</f>
        <v>52997.07</v>
      </c>
      <c r="P33" s="125">
        <f>Valores!$D$5</f>
        <v>13153.38</v>
      </c>
      <c r="Q33" s="125">
        <v>0</v>
      </c>
      <c r="R33" s="125">
        <f>IF($F$4="NO",Valores!$C$46,Valores!$C$46/2)</f>
        <v>7073.445</v>
      </c>
      <c r="S33" s="125">
        <f>Valores!$C$19</f>
        <v>12239.42</v>
      </c>
      <c r="T33" s="125">
        <f t="shared" si="7"/>
        <v>12239.42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Valores!$C$95</f>
        <v>11521.74</v>
      </c>
      <c r="AA33" s="125">
        <f>Valores!$C$25</f>
        <v>537.98</v>
      </c>
      <c r="AB33" s="214">
        <v>0</v>
      </c>
      <c r="AC33" s="125">
        <f t="shared" si="2"/>
        <v>0</v>
      </c>
      <c r="AD33" s="125">
        <f>Valores!$C$26</f>
        <v>537.98</v>
      </c>
      <c r="AE33" s="192">
        <v>0</v>
      </c>
      <c r="AF33" s="125">
        <f>ROUND(AE33*Valores!$C$2,2)</f>
        <v>0</v>
      </c>
      <c r="AG33" s="125">
        <f>ROUND(IF($F$4="NO",Valores!$C$62,Valores!$C$62/2),2)</f>
        <v>3203.47</v>
      </c>
      <c r="AH33" s="125">
        <f t="shared" si="5"/>
        <v>245956.50500000003</v>
      </c>
      <c r="AI33" s="125">
        <f>Valores!$C$31</f>
        <v>0</v>
      </c>
      <c r="AJ33" s="125">
        <f>Valores!$C$88</f>
        <v>0</v>
      </c>
      <c r="AK33" s="125">
        <f>Valores!C$38*B33</f>
        <v>0</v>
      </c>
      <c r="AL33" s="125">
        <f>IF($F$3="NO",0,Valores!$C$54)</f>
        <v>327.6</v>
      </c>
      <c r="AM33" s="125">
        <f t="shared" si="3"/>
        <v>327.6</v>
      </c>
      <c r="AN33" s="125">
        <f>AH33*Valores!$C$70</f>
        <v>-27055.215550000004</v>
      </c>
      <c r="AO33" s="125">
        <f>AH33*-Valores!$C$71</f>
        <v>0</v>
      </c>
      <c r="AP33" s="125">
        <f>AH33*Valores!$C$72</f>
        <v>-11068.042725000001</v>
      </c>
      <c r="AQ33" s="125">
        <f>Valores!$C$99</f>
        <v>-280.91</v>
      </c>
      <c r="AR33" s="125">
        <f>IF($F$5=0,Valores!$C$100,(Valores!$C$100+$F$5*(Valores!$C$100)))</f>
        <v>-329</v>
      </c>
      <c r="AS33" s="125">
        <f t="shared" si="6"/>
        <v>207550.93672500004</v>
      </c>
      <c r="AT33" s="125">
        <f t="shared" si="0"/>
        <v>-27055.215550000004</v>
      </c>
      <c r="AU33" s="125">
        <f>AH33*Valores!$C$73</f>
        <v>-6640.825635000001</v>
      </c>
      <c r="AV33" s="125">
        <f>AH33*Valores!$C$74</f>
        <v>-737.8695150000001</v>
      </c>
      <c r="AW33" s="125">
        <f t="shared" si="4"/>
        <v>211850.19430000003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2187.08</v>
      </c>
      <c r="G34" s="192">
        <v>3498</v>
      </c>
      <c r="H34" s="125">
        <f>ROUND(G34*Valores!$C$2,2)</f>
        <v>90004.94</v>
      </c>
      <c r="I34" s="192">
        <v>1209</v>
      </c>
      <c r="J34" s="125">
        <f>ROUND(I34*Valores!$C$2,2)</f>
        <v>31108.05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21391.94</v>
      </c>
      <c r="N34" s="125">
        <f t="shared" si="1"/>
        <v>0</v>
      </c>
      <c r="O34" s="125">
        <f>Valores!$C$12</f>
        <v>52997.07</v>
      </c>
      <c r="P34" s="125">
        <f>Valores!$D$5</f>
        <v>13153.38</v>
      </c>
      <c r="Q34" s="125">
        <v>0</v>
      </c>
      <c r="R34" s="125">
        <f>IF($F$4="NO",Valores!$C$46,Valores!$C$46/2)</f>
        <v>7073.445</v>
      </c>
      <c r="S34" s="125">
        <f>Valores!$C$19</f>
        <v>12239.42</v>
      </c>
      <c r="T34" s="125">
        <f t="shared" si="7"/>
        <v>12239.42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Valores!$C$95</f>
        <v>11521.74</v>
      </c>
      <c r="AA34" s="125">
        <f>Valores!$C$25</f>
        <v>537.98</v>
      </c>
      <c r="AB34" s="214">
        <v>0</v>
      </c>
      <c r="AC34" s="125">
        <f t="shared" si="2"/>
        <v>0</v>
      </c>
      <c r="AD34" s="125">
        <f>Valores!$C$26</f>
        <v>537.98</v>
      </c>
      <c r="AE34" s="192">
        <v>0</v>
      </c>
      <c r="AF34" s="125">
        <f>ROUND(AE34*Valores!$C$2,2)</f>
        <v>0</v>
      </c>
      <c r="AG34" s="125">
        <f>ROUND(IF($F$4="NO",Valores!$C$62,Valores!$C$62/2),2)</f>
        <v>3203.47</v>
      </c>
      <c r="AH34" s="125">
        <f t="shared" si="5"/>
        <v>245956.49500000005</v>
      </c>
      <c r="AI34" s="125">
        <f>Valores!$C$31</f>
        <v>0</v>
      </c>
      <c r="AJ34" s="125">
        <f>Valores!$C$88</f>
        <v>0</v>
      </c>
      <c r="AK34" s="125">
        <f>Valores!C$38*B34</f>
        <v>0</v>
      </c>
      <c r="AL34" s="125">
        <f>IF($F$3="NO",0,Valores!$C$54)</f>
        <v>327.6</v>
      </c>
      <c r="AM34" s="125">
        <f t="shared" si="3"/>
        <v>327.6</v>
      </c>
      <c r="AN34" s="125">
        <f>AH34*Valores!$C$70</f>
        <v>-27055.214450000007</v>
      </c>
      <c r="AO34" s="125">
        <f>AH34*-Valores!$C$71</f>
        <v>0</v>
      </c>
      <c r="AP34" s="125">
        <f>AH34*Valores!$C$72</f>
        <v>-11068.042275000002</v>
      </c>
      <c r="AQ34" s="125">
        <f>Valores!$C$99</f>
        <v>-280.91</v>
      </c>
      <c r="AR34" s="125">
        <f>IF($F$5=0,Valores!$C$100,(Valores!$C$100+$F$5*(Valores!$C$100)))</f>
        <v>-329</v>
      </c>
      <c r="AS34" s="125">
        <f t="shared" si="6"/>
        <v>207550.92827500004</v>
      </c>
      <c r="AT34" s="125">
        <f t="shared" si="0"/>
        <v>-27055.214450000007</v>
      </c>
      <c r="AU34" s="125">
        <f>AH34*Valores!$C$73</f>
        <v>-6640.8253650000015</v>
      </c>
      <c r="AV34" s="125">
        <f>AH34*Valores!$C$74</f>
        <v>-737.8694850000002</v>
      </c>
      <c r="AW34" s="125">
        <f t="shared" si="4"/>
        <v>211850.18570000003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2367.2</v>
      </c>
      <c r="G35" s="192">
        <v>3483</v>
      </c>
      <c r="H35" s="125">
        <f>ROUND(G35*Valores!$C$2,2)</f>
        <v>89618.98</v>
      </c>
      <c r="I35" s="192">
        <v>1217</v>
      </c>
      <c r="J35" s="125">
        <f>ROUND(I35*Valores!$C$2,2)</f>
        <v>31313.9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21391.94</v>
      </c>
      <c r="N35" s="125">
        <f t="shared" si="1"/>
        <v>0</v>
      </c>
      <c r="O35" s="125">
        <f>Valores!$C$12</f>
        <v>52997.07</v>
      </c>
      <c r="P35" s="125">
        <f>Valores!$D$5</f>
        <v>13153.38</v>
      </c>
      <c r="Q35" s="125">
        <v>0</v>
      </c>
      <c r="R35" s="125">
        <f>IF($F$4="NO",Valores!$C$46,Valores!$C$46/2)</f>
        <v>7073.445</v>
      </c>
      <c r="S35" s="125">
        <f>Valores!$C$19</f>
        <v>12239.42</v>
      </c>
      <c r="T35" s="125">
        <f t="shared" si="7"/>
        <v>12239.42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Valores!$C$95</f>
        <v>11521.74</v>
      </c>
      <c r="AA35" s="125">
        <f>Valores!$C$25</f>
        <v>537.98</v>
      </c>
      <c r="AB35" s="214">
        <v>0</v>
      </c>
      <c r="AC35" s="125">
        <f t="shared" si="2"/>
        <v>0</v>
      </c>
      <c r="AD35" s="125">
        <f>Valores!$C$26</f>
        <v>537.98</v>
      </c>
      <c r="AE35" s="192">
        <v>0</v>
      </c>
      <c r="AF35" s="125">
        <f>ROUND(AE35*Valores!$C$2,2)</f>
        <v>0</v>
      </c>
      <c r="AG35" s="125">
        <f>ROUND(IF($F$4="NO",Valores!$C$62,Valores!$C$62/2),2)</f>
        <v>3203.47</v>
      </c>
      <c r="AH35" s="125">
        <f t="shared" si="5"/>
        <v>245956.50500000003</v>
      </c>
      <c r="AI35" s="125">
        <f>Valores!$C$31</f>
        <v>0</v>
      </c>
      <c r="AJ35" s="125">
        <f>Valores!$C$88</f>
        <v>0</v>
      </c>
      <c r="AK35" s="125">
        <f>Valores!C$38*B35</f>
        <v>0</v>
      </c>
      <c r="AL35" s="125">
        <f>IF($F$3="NO",0,Valores!$C$54)</f>
        <v>327.6</v>
      </c>
      <c r="AM35" s="125">
        <f t="shared" si="3"/>
        <v>327.6</v>
      </c>
      <c r="AN35" s="125">
        <f>AH35*Valores!$C$70</f>
        <v>-27055.215550000004</v>
      </c>
      <c r="AO35" s="125">
        <f>AH35*-Valores!$C$71</f>
        <v>0</v>
      </c>
      <c r="AP35" s="125">
        <f>AH35*Valores!$C$72</f>
        <v>-11068.042725000001</v>
      </c>
      <c r="AQ35" s="125">
        <f>Valores!$C$99</f>
        <v>-280.91</v>
      </c>
      <c r="AR35" s="125">
        <f>IF($F$5=0,Valores!$C$100,(Valores!$C$100+$F$5*(Valores!$C$100)))</f>
        <v>-329</v>
      </c>
      <c r="AS35" s="125">
        <f t="shared" si="6"/>
        <v>207550.93672500004</v>
      </c>
      <c r="AT35" s="125">
        <f t="shared" si="0"/>
        <v>-27055.215550000004</v>
      </c>
      <c r="AU35" s="125">
        <f>AH35*Valores!$C$73</f>
        <v>-6640.825635000001</v>
      </c>
      <c r="AV35" s="125">
        <f>AH35*Valores!$C$74</f>
        <v>-737.8695150000001</v>
      </c>
      <c r="AW35" s="125">
        <f t="shared" si="4"/>
        <v>211850.19430000003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2187.08</v>
      </c>
      <c r="G36" s="192">
        <v>3498</v>
      </c>
      <c r="H36" s="125">
        <f>ROUND(G36*Valores!$C$2,2)</f>
        <v>90004.94</v>
      </c>
      <c r="I36" s="192">
        <v>1209</v>
      </c>
      <c r="J36" s="125">
        <f>ROUND(I36*Valores!$C$2,2)</f>
        <v>31108.05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21391.94</v>
      </c>
      <c r="N36" s="125">
        <f t="shared" si="1"/>
        <v>0</v>
      </c>
      <c r="O36" s="125">
        <f>Valores!$C$12</f>
        <v>52997.07</v>
      </c>
      <c r="P36" s="125">
        <f>Valores!$D$5</f>
        <v>13153.38</v>
      </c>
      <c r="Q36" s="125">
        <v>0</v>
      </c>
      <c r="R36" s="125">
        <f>IF($F$4="NO",Valores!$C$46,Valores!$C$46/2)</f>
        <v>7073.445</v>
      </c>
      <c r="S36" s="125">
        <f>Valores!$C$19</f>
        <v>12239.42</v>
      </c>
      <c r="T36" s="125">
        <f t="shared" si="7"/>
        <v>12239.42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Valores!$C$95</f>
        <v>11521.74</v>
      </c>
      <c r="AA36" s="125">
        <f>Valores!$C$25</f>
        <v>537.98</v>
      </c>
      <c r="AB36" s="214">
        <v>0</v>
      </c>
      <c r="AC36" s="125">
        <f t="shared" si="2"/>
        <v>0</v>
      </c>
      <c r="AD36" s="125">
        <f>Valores!$C$26</f>
        <v>537.98</v>
      </c>
      <c r="AE36" s="192">
        <v>0</v>
      </c>
      <c r="AF36" s="125">
        <f>ROUND(AE36*Valores!$C$2,2)</f>
        <v>0</v>
      </c>
      <c r="AG36" s="125">
        <f>ROUND(IF($F$4="NO",Valores!$C$62,Valores!$C$62/2),2)</f>
        <v>3203.47</v>
      </c>
      <c r="AH36" s="125">
        <f t="shared" si="5"/>
        <v>245956.49500000005</v>
      </c>
      <c r="AI36" s="125">
        <f>Valores!$C$31</f>
        <v>0</v>
      </c>
      <c r="AJ36" s="125">
        <f>Valores!$C$88</f>
        <v>0</v>
      </c>
      <c r="AK36" s="125">
        <f>Valores!C$38*B36</f>
        <v>0</v>
      </c>
      <c r="AL36" s="125">
        <f>IF($F$3="NO",0,Valores!$C$54)</f>
        <v>327.6</v>
      </c>
      <c r="AM36" s="125">
        <f t="shared" si="3"/>
        <v>327.6</v>
      </c>
      <c r="AN36" s="125">
        <f>AH36*Valores!$C$70</f>
        <v>-27055.214450000007</v>
      </c>
      <c r="AO36" s="125">
        <f>AH36*-Valores!$C$71</f>
        <v>0</v>
      </c>
      <c r="AP36" s="125">
        <f>AH36*Valores!$C$72</f>
        <v>-11068.042275000002</v>
      </c>
      <c r="AQ36" s="125">
        <f>Valores!$C$99</f>
        <v>-280.91</v>
      </c>
      <c r="AR36" s="125">
        <f>IF($F$5=0,Valores!$C$100,(Valores!$C$100+$F$5*(Valores!$C$100)))</f>
        <v>-329</v>
      </c>
      <c r="AS36" s="125">
        <f t="shared" si="6"/>
        <v>207550.92827500004</v>
      </c>
      <c r="AT36" s="125">
        <f t="shared" si="0"/>
        <v>-27055.214450000007</v>
      </c>
      <c r="AU36" s="125">
        <f>AH36*Valores!$C$73</f>
        <v>-6640.8253650000015</v>
      </c>
      <c r="AV36" s="125">
        <f>AH36*Valores!$C$74</f>
        <v>-737.8694850000002</v>
      </c>
      <c r="AW36" s="125">
        <f t="shared" si="4"/>
        <v>211850.18570000003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2367.2</v>
      </c>
      <c r="G37" s="192">
        <v>3483</v>
      </c>
      <c r="H37" s="125">
        <f>ROUND(G37*Valores!$C$2,2)</f>
        <v>89618.98</v>
      </c>
      <c r="I37" s="192">
        <v>1217</v>
      </c>
      <c r="J37" s="125">
        <f>ROUND(I37*Valores!$C$2,2)</f>
        <v>31313.9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21391.94</v>
      </c>
      <c r="N37" s="125">
        <f t="shared" si="1"/>
        <v>0</v>
      </c>
      <c r="O37" s="125">
        <f>Valores!$C$12</f>
        <v>52997.07</v>
      </c>
      <c r="P37" s="125">
        <f>Valores!$D$5</f>
        <v>13153.38</v>
      </c>
      <c r="Q37" s="125">
        <v>0</v>
      </c>
      <c r="R37" s="125">
        <f>IF($F$4="NO",Valores!$C$46,Valores!$C$46/2)</f>
        <v>7073.445</v>
      </c>
      <c r="S37" s="125">
        <f>Valores!$C$19</f>
        <v>12239.42</v>
      </c>
      <c r="T37" s="125">
        <f t="shared" si="7"/>
        <v>12239.42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19556.03</v>
      </c>
      <c r="Z37" s="125">
        <f>Valores!$C$95</f>
        <v>11521.74</v>
      </c>
      <c r="AA37" s="125">
        <f>Valores!$C$25</f>
        <v>537.98</v>
      </c>
      <c r="AB37" s="214">
        <v>0</v>
      </c>
      <c r="AC37" s="125">
        <f t="shared" si="2"/>
        <v>0</v>
      </c>
      <c r="AD37" s="125">
        <f>Valores!$C$26</f>
        <v>537.98</v>
      </c>
      <c r="AE37" s="192">
        <v>0</v>
      </c>
      <c r="AF37" s="125">
        <f>ROUND(AE37*Valores!$C$2,2)</f>
        <v>0</v>
      </c>
      <c r="AG37" s="125">
        <f>ROUND(IF($F$4="NO",Valores!$C$62,Valores!$C$62/2),2)</f>
        <v>3203.47</v>
      </c>
      <c r="AH37" s="125">
        <f t="shared" si="5"/>
        <v>265512.535</v>
      </c>
      <c r="AI37" s="125">
        <f>Valores!$C$31</f>
        <v>0</v>
      </c>
      <c r="AJ37" s="125">
        <f>Valores!$C$88</f>
        <v>0</v>
      </c>
      <c r="AK37" s="125">
        <f>Valores!C$38*B37</f>
        <v>0</v>
      </c>
      <c r="AL37" s="125">
        <f>IF($F$3="NO",0,Valores!$C$54)</f>
        <v>327.6</v>
      </c>
      <c r="AM37" s="125">
        <f t="shared" si="3"/>
        <v>327.6</v>
      </c>
      <c r="AN37" s="125">
        <f>AH37*Valores!$C$70</f>
        <v>-29206.378849999997</v>
      </c>
      <c r="AO37" s="125">
        <f>AH37*-Valores!$C$71</f>
        <v>0</v>
      </c>
      <c r="AP37" s="125">
        <f>AH37*Valores!$C$72</f>
        <v>-11948.064074999998</v>
      </c>
      <c r="AQ37" s="125">
        <f>Valores!$C$99</f>
        <v>-280.91</v>
      </c>
      <c r="AR37" s="125">
        <f>IF($F$5=0,Valores!$C$100,(Valores!$C$100+$F$5*(Valores!$C$100)))</f>
        <v>-329</v>
      </c>
      <c r="AS37" s="125">
        <f t="shared" si="6"/>
        <v>224075.78207499997</v>
      </c>
      <c r="AT37" s="125">
        <f t="shared" si="0"/>
        <v>-29206.378849999997</v>
      </c>
      <c r="AU37" s="125">
        <f>AH37*Valores!$C$73</f>
        <v>-7168.838444999999</v>
      </c>
      <c r="AV37" s="125">
        <f>AH37*Valores!$C$74</f>
        <v>-796.537605</v>
      </c>
      <c r="AW37" s="125">
        <f t="shared" si="4"/>
        <v>228668.38009999995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2187.08</v>
      </c>
      <c r="G38" s="192">
        <v>3498</v>
      </c>
      <c r="H38" s="125">
        <f>ROUND(G38*Valores!$C$2,2)</f>
        <v>90004.94</v>
      </c>
      <c r="I38" s="192">
        <v>202</v>
      </c>
      <c r="J38" s="125">
        <f>ROUND(I38*Valores!$C$2,2)</f>
        <v>5197.54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17505.36</v>
      </c>
      <c r="N38" s="125">
        <f t="shared" si="1"/>
        <v>0</v>
      </c>
      <c r="O38" s="125">
        <f>Valores!$C$12</f>
        <v>52997.07</v>
      </c>
      <c r="P38" s="125">
        <f>Valores!$D$5</f>
        <v>13153.38</v>
      </c>
      <c r="Q38" s="125">
        <v>0</v>
      </c>
      <c r="R38" s="125">
        <f>IF($F$4="NO",Valores!$C$46,Valores!$C$46/2)</f>
        <v>7073.445</v>
      </c>
      <c r="S38" s="125">
        <f>Valores!$C$19</f>
        <v>12239.42</v>
      </c>
      <c r="T38" s="125">
        <f t="shared" si="7"/>
        <v>12239.42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Valores!$C$95</f>
        <v>11521.74</v>
      </c>
      <c r="AA38" s="125">
        <f>Valores!$C$25</f>
        <v>537.98</v>
      </c>
      <c r="AB38" s="214">
        <v>0</v>
      </c>
      <c r="AC38" s="125">
        <f t="shared" si="2"/>
        <v>0</v>
      </c>
      <c r="AD38" s="125">
        <f>Valores!$C$26</f>
        <v>537.98</v>
      </c>
      <c r="AE38" s="192">
        <v>0</v>
      </c>
      <c r="AF38" s="125">
        <f>ROUND(AE38*Valores!$C$2,2)</f>
        <v>0</v>
      </c>
      <c r="AG38" s="125">
        <f>ROUND(IF($F$4="NO",Valores!$C$62,Valores!$C$62/2),2)</f>
        <v>3203.47</v>
      </c>
      <c r="AH38" s="125">
        <f t="shared" si="5"/>
        <v>216159.40500000003</v>
      </c>
      <c r="AI38" s="125">
        <f>Valores!$C$31</f>
        <v>0</v>
      </c>
      <c r="AJ38" s="125">
        <f>Valores!$C$88</f>
        <v>0</v>
      </c>
      <c r="AK38" s="125">
        <f>Valores!C$38*B38</f>
        <v>0</v>
      </c>
      <c r="AL38" s="125">
        <f>IF($F$3="NO",0,Valores!$C$54)</f>
        <v>327.6</v>
      </c>
      <c r="AM38" s="125">
        <f t="shared" si="3"/>
        <v>327.6</v>
      </c>
      <c r="AN38" s="125">
        <f>AH38*Valores!$C$70</f>
        <v>-23777.534550000004</v>
      </c>
      <c r="AO38" s="125">
        <f>AH38*-Valores!$C$71</f>
        <v>0</v>
      </c>
      <c r="AP38" s="125">
        <f>AH38*Valores!$C$72</f>
        <v>-9727.173225</v>
      </c>
      <c r="AQ38" s="125">
        <f>Valores!$C$99</f>
        <v>-280.91</v>
      </c>
      <c r="AR38" s="125">
        <f>IF($F$5=0,Valores!$C$100,(Valores!$C$100+$F$5*(Valores!$C$100)))</f>
        <v>-329</v>
      </c>
      <c r="AS38" s="125">
        <f t="shared" si="6"/>
        <v>182372.387225</v>
      </c>
      <c r="AT38" s="125">
        <f t="shared" si="0"/>
        <v>-23777.534550000004</v>
      </c>
      <c r="AU38" s="125">
        <f>AH38*Valores!$C$73</f>
        <v>-5836.303935000001</v>
      </c>
      <c r="AV38" s="125">
        <f>AH38*Valores!$C$74</f>
        <v>-648.4782150000001</v>
      </c>
      <c r="AW38" s="125">
        <f t="shared" si="4"/>
        <v>186224.68830000004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2187.08</v>
      </c>
      <c r="G39" s="192">
        <v>3498</v>
      </c>
      <c r="H39" s="125">
        <f>ROUND(G39*Valores!$C$2,2)</f>
        <v>90004.94</v>
      </c>
      <c r="I39" s="192">
        <v>1209</v>
      </c>
      <c r="J39" s="125">
        <f>ROUND(I39*Valores!$C$2,2)</f>
        <v>31108.05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21391.94</v>
      </c>
      <c r="N39" s="125">
        <f t="shared" si="1"/>
        <v>0</v>
      </c>
      <c r="O39" s="125">
        <f>Valores!$C$12</f>
        <v>52997.07</v>
      </c>
      <c r="P39" s="125">
        <f>Valores!$D$5</f>
        <v>13153.38</v>
      </c>
      <c r="Q39" s="125">
        <v>0</v>
      </c>
      <c r="R39" s="125">
        <f>IF($F$4="NO",Valores!$C$46,Valores!$C$46/2)</f>
        <v>7073.445</v>
      </c>
      <c r="S39" s="125">
        <f>Valores!$C$19</f>
        <v>12239.42</v>
      </c>
      <c r="T39" s="125">
        <f t="shared" si="7"/>
        <v>12239.42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Valores!$C$95</f>
        <v>11521.74</v>
      </c>
      <c r="AA39" s="125">
        <f>Valores!$C$25</f>
        <v>537.98</v>
      </c>
      <c r="AB39" s="214">
        <v>0</v>
      </c>
      <c r="AC39" s="125">
        <f t="shared" si="2"/>
        <v>0</v>
      </c>
      <c r="AD39" s="125">
        <f>Valores!$C$26</f>
        <v>537.98</v>
      </c>
      <c r="AE39" s="192">
        <v>0</v>
      </c>
      <c r="AF39" s="125">
        <f>ROUND(AE39*Valores!$C$2,2)</f>
        <v>0</v>
      </c>
      <c r="AG39" s="125">
        <f>ROUND(IF($F$4="NO",Valores!$C$62,Valores!$C$62/2),2)</f>
        <v>3203.47</v>
      </c>
      <c r="AH39" s="125">
        <f t="shared" si="5"/>
        <v>245956.49500000005</v>
      </c>
      <c r="AI39" s="125">
        <f>Valores!$C$31</f>
        <v>0</v>
      </c>
      <c r="AJ39" s="125">
        <f>Valores!$C$88</f>
        <v>0</v>
      </c>
      <c r="AK39" s="125">
        <f>Valores!C$38*B39</f>
        <v>0</v>
      </c>
      <c r="AL39" s="125">
        <f>IF($F$3="NO",0,Valores!$C$54)</f>
        <v>327.6</v>
      </c>
      <c r="AM39" s="125">
        <f t="shared" si="3"/>
        <v>327.6</v>
      </c>
      <c r="AN39" s="125">
        <f>AH39*Valores!$C$70</f>
        <v>-27055.214450000007</v>
      </c>
      <c r="AO39" s="125">
        <f>AH39*-Valores!$C$71</f>
        <v>0</v>
      </c>
      <c r="AP39" s="125">
        <f>AH39*Valores!$C$72</f>
        <v>-11068.042275000002</v>
      </c>
      <c r="AQ39" s="125">
        <f>Valores!$C$99</f>
        <v>-280.91</v>
      </c>
      <c r="AR39" s="125">
        <f>IF($F$5=0,Valores!$C$100,(Valores!$C$100+$F$5*(Valores!$C$100)))</f>
        <v>-329</v>
      </c>
      <c r="AS39" s="125">
        <f t="shared" si="6"/>
        <v>207550.92827500004</v>
      </c>
      <c r="AT39" s="125">
        <f t="shared" si="0"/>
        <v>-27055.214450000007</v>
      </c>
      <c r="AU39" s="125">
        <f>AH39*Valores!$C$73</f>
        <v>-6640.8253650000015</v>
      </c>
      <c r="AV39" s="125">
        <f>AH39*Valores!$C$74</f>
        <v>-737.8694850000002</v>
      </c>
      <c r="AW39" s="125">
        <f t="shared" si="4"/>
        <v>211850.18570000003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2187.08</v>
      </c>
      <c r="G40" s="192">
        <v>3498</v>
      </c>
      <c r="H40" s="125">
        <f>ROUND(G40*Valores!$C$2,2)</f>
        <v>90004.94</v>
      </c>
      <c r="I40" s="192">
        <v>1209</v>
      </c>
      <c r="J40" s="125">
        <f>ROUND(I40*Valores!$C$2,2)</f>
        <v>31108.05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21391.94</v>
      </c>
      <c r="N40" s="125">
        <f t="shared" si="1"/>
        <v>0</v>
      </c>
      <c r="O40" s="125">
        <f>Valores!$C$12</f>
        <v>52997.07</v>
      </c>
      <c r="P40" s="125">
        <f>Valores!$D$5</f>
        <v>13153.38</v>
      </c>
      <c r="Q40" s="125">
        <v>0</v>
      </c>
      <c r="R40" s="125">
        <f>IF($F$4="NO",Valores!$C$46,Valores!$C$46/2)</f>
        <v>7073.445</v>
      </c>
      <c r="S40" s="125">
        <f>Valores!$C$19</f>
        <v>12239.42</v>
      </c>
      <c r="T40" s="125">
        <f t="shared" si="7"/>
        <v>12239.42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Valores!$C$95</f>
        <v>11521.74</v>
      </c>
      <c r="AA40" s="125">
        <f>Valores!$C$25</f>
        <v>537.98</v>
      </c>
      <c r="AB40" s="214">
        <v>0</v>
      </c>
      <c r="AC40" s="125">
        <f t="shared" si="2"/>
        <v>0</v>
      </c>
      <c r="AD40" s="125">
        <f>Valores!$C$26</f>
        <v>537.98</v>
      </c>
      <c r="AE40" s="192">
        <v>0</v>
      </c>
      <c r="AF40" s="125">
        <f>ROUND(AE40*Valores!$C$2,2)</f>
        <v>0</v>
      </c>
      <c r="AG40" s="125">
        <f>ROUND(IF($F$4="NO",Valores!$C$62,Valores!$C$62/2),2)</f>
        <v>3203.47</v>
      </c>
      <c r="AH40" s="125">
        <f t="shared" si="5"/>
        <v>245956.49500000005</v>
      </c>
      <c r="AI40" s="125">
        <f>Valores!$C$31</f>
        <v>0</v>
      </c>
      <c r="AJ40" s="125">
        <f>Valores!$C$88</f>
        <v>0</v>
      </c>
      <c r="AK40" s="125">
        <f>Valores!C$38*B40</f>
        <v>0</v>
      </c>
      <c r="AL40" s="125">
        <f>IF($F$3="NO",0,Valores!$C$54)</f>
        <v>327.6</v>
      </c>
      <c r="AM40" s="125">
        <f t="shared" si="3"/>
        <v>327.6</v>
      </c>
      <c r="AN40" s="125">
        <f>AH40*Valores!$C$70</f>
        <v>-27055.214450000007</v>
      </c>
      <c r="AO40" s="125">
        <f>AH40*-Valores!$C$71</f>
        <v>0</v>
      </c>
      <c r="AP40" s="125">
        <f>AH40*Valores!$C$72</f>
        <v>-11068.042275000002</v>
      </c>
      <c r="AQ40" s="125">
        <f>Valores!$C$99</f>
        <v>-280.91</v>
      </c>
      <c r="AR40" s="125">
        <f>IF($F$5=0,Valores!$C$100,(Valores!$C$100+$F$5*(Valores!$C$100)))</f>
        <v>-329</v>
      </c>
      <c r="AS40" s="125">
        <f t="shared" si="6"/>
        <v>207550.92827500004</v>
      </c>
      <c r="AT40" s="125">
        <f t="shared" si="0"/>
        <v>-27055.214450000007</v>
      </c>
      <c r="AU40" s="125">
        <f>AH40*Valores!$C$73</f>
        <v>-6640.8253650000015</v>
      </c>
      <c r="AV40" s="125">
        <f>AH40*Valores!$C$74</f>
        <v>-737.8694850000002</v>
      </c>
      <c r="AW40" s="125">
        <f t="shared" si="4"/>
        <v>211850.18570000003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2598.77</v>
      </c>
      <c r="G41" s="192">
        <v>2548</v>
      </c>
      <c r="H41" s="125">
        <f>ROUND(G41*Valores!$C$2,2)</f>
        <v>65561.06</v>
      </c>
      <c r="I41" s="192">
        <v>216</v>
      </c>
      <c r="J41" s="125">
        <f>ROUND(I41*Valores!$C$2,2)</f>
        <v>5557.77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13752.65</v>
      </c>
      <c r="N41" s="125">
        <f t="shared" si="1"/>
        <v>0</v>
      </c>
      <c r="O41" s="125">
        <f>Valores!$C$9</f>
        <v>28480.68</v>
      </c>
      <c r="P41" s="125">
        <f>Valores!$D$5</f>
        <v>13153.38</v>
      </c>
      <c r="Q41" s="125">
        <v>0</v>
      </c>
      <c r="R41" s="125">
        <f>IF($F$4="NO",Valores!$C$45,Valores!$C$45/2)</f>
        <v>5727.29</v>
      </c>
      <c r="S41" s="125">
        <f>Valores!$C$19</f>
        <v>12239.42</v>
      </c>
      <c r="T41" s="125">
        <f t="shared" si="7"/>
        <v>12239.42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Valores!$C$93</f>
        <v>5760.87</v>
      </c>
      <c r="AA41" s="125">
        <f>Valores!$C$25</f>
        <v>537.98</v>
      </c>
      <c r="AB41" s="214">
        <v>0</v>
      </c>
      <c r="AC41" s="125">
        <f t="shared" si="2"/>
        <v>0</v>
      </c>
      <c r="AD41" s="125">
        <f>Valores!$C$26</f>
        <v>537.98</v>
      </c>
      <c r="AE41" s="192">
        <v>0</v>
      </c>
      <c r="AF41" s="125">
        <f>ROUND(AE41*Valores!$C$2,2)</f>
        <v>0</v>
      </c>
      <c r="AG41" s="125">
        <f>ROUND(IF($F$4="NO",Valores!$C$62,Valores!$C$62/2),2)</f>
        <v>3203.47</v>
      </c>
      <c r="AH41" s="125">
        <f t="shared" si="5"/>
        <v>157111.32000000004</v>
      </c>
      <c r="AI41" s="125">
        <f>Valores!$C$31</f>
        <v>0</v>
      </c>
      <c r="AJ41" s="125">
        <f>Valores!$C$86</f>
        <v>0</v>
      </c>
      <c r="AK41" s="125">
        <f>Valores!C$38*B41</f>
        <v>0</v>
      </c>
      <c r="AL41" s="125">
        <f>IF($F$3="NO",0,Valores!$C$54)</f>
        <v>327.6</v>
      </c>
      <c r="AM41" s="125">
        <f t="shared" si="3"/>
        <v>327.6</v>
      </c>
      <c r="AN41" s="125">
        <f>AH41*Valores!$C$70</f>
        <v>-17282.245200000005</v>
      </c>
      <c r="AO41" s="125">
        <f>AH41*-Valores!$C$71</f>
        <v>0</v>
      </c>
      <c r="AP41" s="125">
        <f>AH41*Valores!$C$72</f>
        <v>-7070.009400000002</v>
      </c>
      <c r="AQ41" s="125">
        <f>Valores!$C$99</f>
        <v>-280.91</v>
      </c>
      <c r="AR41" s="125">
        <f>IF($F$5=0,Valores!$C$100,(Valores!$C$100+$F$5*(Valores!$C$100)))</f>
        <v>-329</v>
      </c>
      <c r="AS41" s="125">
        <f t="shared" si="6"/>
        <v>132476.75540000002</v>
      </c>
      <c r="AT41" s="125">
        <f t="shared" si="0"/>
        <v>-17282.245200000005</v>
      </c>
      <c r="AU41" s="125">
        <f>AH41*Valores!$C$73</f>
        <v>-4242.005640000001</v>
      </c>
      <c r="AV41" s="125">
        <f>AH41*Valores!$C$74</f>
        <v>-471.3339600000001</v>
      </c>
      <c r="AW41" s="125">
        <f t="shared" si="4"/>
        <v>135443.33520000003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2598.77</v>
      </c>
      <c r="G42" s="192">
        <v>2548</v>
      </c>
      <c r="H42" s="125">
        <f>ROUND(G42*Valores!$C$2,2)</f>
        <v>65561.06</v>
      </c>
      <c r="I42" s="192">
        <v>216</v>
      </c>
      <c r="J42" s="125">
        <f>ROUND(I42*Valores!$C$2,2)</f>
        <v>5557.77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13752.65</v>
      </c>
      <c r="N42" s="125">
        <f t="shared" si="1"/>
        <v>0</v>
      </c>
      <c r="O42" s="125">
        <f>Valores!$C$9</f>
        <v>28480.68</v>
      </c>
      <c r="P42" s="125">
        <f>Valores!$D$5</f>
        <v>13153.38</v>
      </c>
      <c r="Q42" s="125">
        <v>0</v>
      </c>
      <c r="R42" s="125">
        <f>IF($F$4="NO",Valores!$C$45,Valores!$C$45/2)</f>
        <v>5727.29</v>
      </c>
      <c r="S42" s="125">
        <f>Valores!$C$19</f>
        <v>12239.42</v>
      </c>
      <c r="T42" s="125">
        <f t="shared" si="7"/>
        <v>12239.42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Valores!$C$93</f>
        <v>5760.87</v>
      </c>
      <c r="AA42" s="125">
        <f>Valores!$C$25</f>
        <v>537.98</v>
      </c>
      <c r="AB42" s="214">
        <v>0</v>
      </c>
      <c r="AC42" s="125">
        <f t="shared" si="2"/>
        <v>0</v>
      </c>
      <c r="AD42" s="125">
        <f>Valores!$C$26</f>
        <v>537.98</v>
      </c>
      <c r="AE42" s="192">
        <v>0</v>
      </c>
      <c r="AF42" s="125">
        <f>ROUND(AE42*Valores!$C$2,2)</f>
        <v>0</v>
      </c>
      <c r="AG42" s="125">
        <f>ROUND(IF($F$4="NO",Valores!$C$62,Valores!$C$62/2),2)</f>
        <v>3203.47</v>
      </c>
      <c r="AH42" s="125">
        <f t="shared" si="5"/>
        <v>157111.32000000004</v>
      </c>
      <c r="AI42" s="125">
        <f>Valores!$C$31</f>
        <v>0</v>
      </c>
      <c r="AJ42" s="125">
        <f>Valores!$C$86</f>
        <v>0</v>
      </c>
      <c r="AK42" s="125">
        <f>Valores!C$38*B42</f>
        <v>0</v>
      </c>
      <c r="AL42" s="125">
        <f>IF($F$3="NO",0,Valores!$C$54)</f>
        <v>327.6</v>
      </c>
      <c r="AM42" s="125">
        <f t="shared" si="3"/>
        <v>327.6</v>
      </c>
      <c r="AN42" s="125">
        <f>AH42*Valores!$C$70</f>
        <v>-17282.245200000005</v>
      </c>
      <c r="AO42" s="125">
        <f>AH42*-Valores!$C$71</f>
        <v>0</v>
      </c>
      <c r="AP42" s="125">
        <f>AH42*Valores!$C$72</f>
        <v>-7070.009400000002</v>
      </c>
      <c r="AQ42" s="125">
        <f>Valores!$C$99</f>
        <v>-280.91</v>
      </c>
      <c r="AR42" s="125">
        <f>IF($F$5=0,Valores!$C$100,(Valores!$C$100+$F$5*(Valores!$C$100)))</f>
        <v>-329</v>
      </c>
      <c r="AS42" s="125">
        <f t="shared" si="6"/>
        <v>132476.75540000002</v>
      </c>
      <c r="AT42" s="125">
        <f t="shared" si="0"/>
        <v>-17282.245200000005</v>
      </c>
      <c r="AU42" s="125">
        <f>AH42*Valores!$C$73</f>
        <v>-4242.005640000001</v>
      </c>
      <c r="AV42" s="125">
        <f>AH42*Valores!$C$74</f>
        <v>-471.3339600000001</v>
      </c>
      <c r="AW42" s="125">
        <f t="shared" si="4"/>
        <v>135443.33520000003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2470.12</v>
      </c>
      <c r="G43" s="192">
        <v>2475</v>
      </c>
      <c r="H43" s="125">
        <f>ROUND(G43*Valores!$C$2,2)</f>
        <v>63682.74</v>
      </c>
      <c r="I43" s="192">
        <v>213</v>
      </c>
      <c r="J43" s="125">
        <f>ROUND(I43*Valores!$C$2,2)</f>
        <v>5480.58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13285.61</v>
      </c>
      <c r="N43" s="125">
        <f t="shared" si="1"/>
        <v>0</v>
      </c>
      <c r="O43" s="125">
        <f>Valores!$C$9</f>
        <v>28480.68</v>
      </c>
      <c r="P43" s="125">
        <f>Valores!$D$5</f>
        <v>13153.38</v>
      </c>
      <c r="Q43" s="125">
        <v>0</v>
      </c>
      <c r="R43" s="125">
        <f>IF($F$4="NO",Valores!$C$43,Valores!$C$43/2)</f>
        <v>4697.875</v>
      </c>
      <c r="S43" s="125">
        <f>Valores!$C$19</f>
        <v>12239.42</v>
      </c>
      <c r="T43" s="125">
        <f t="shared" si="7"/>
        <v>12239.42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Valores!$C$93</f>
        <v>5760.87</v>
      </c>
      <c r="AA43" s="125">
        <f>Valores!$C$25</f>
        <v>537.98</v>
      </c>
      <c r="AB43" s="214">
        <v>0</v>
      </c>
      <c r="AC43" s="125">
        <f t="shared" si="2"/>
        <v>0</v>
      </c>
      <c r="AD43" s="125">
        <f>Valores!$C$26</f>
        <v>537.98</v>
      </c>
      <c r="AE43" s="192">
        <v>0</v>
      </c>
      <c r="AF43" s="125">
        <f>ROUND(AE43*Valores!$C$2,2)</f>
        <v>0</v>
      </c>
      <c r="AG43" s="125">
        <f>ROUND(IF($F$4="NO",Valores!$C$62,Valores!$C$62/2),2)</f>
        <v>3203.47</v>
      </c>
      <c r="AH43" s="125">
        <f t="shared" si="5"/>
        <v>153530.70500000005</v>
      </c>
      <c r="AI43" s="125">
        <f>Valores!$C$31</f>
        <v>0</v>
      </c>
      <c r="AJ43" s="125">
        <f>Valores!$C$86</f>
        <v>0</v>
      </c>
      <c r="AK43" s="125">
        <f>Valores!C$38*B43</f>
        <v>0</v>
      </c>
      <c r="AL43" s="125">
        <f>IF($F$3="NO",0,Valores!$C$55)</f>
        <v>170.34</v>
      </c>
      <c r="AM43" s="125">
        <f t="shared" si="3"/>
        <v>170.34</v>
      </c>
      <c r="AN43" s="125">
        <f>AH43*Valores!$C$70</f>
        <v>-16888.377550000005</v>
      </c>
      <c r="AO43" s="125">
        <f>AH43*-Valores!$C$71</f>
        <v>0</v>
      </c>
      <c r="AP43" s="125">
        <f>AH43*Valores!$C$72</f>
        <v>-6908.881725000002</v>
      </c>
      <c r="AQ43" s="125">
        <f>Valores!$C$99</f>
        <v>-280.91</v>
      </c>
      <c r="AR43" s="125">
        <f>IF($F$5=0,Valores!$C$100,(Valores!$C$100+$F$5*(Valores!$C$100)))</f>
        <v>-329</v>
      </c>
      <c r="AS43" s="125">
        <f t="shared" si="6"/>
        <v>129293.87572500003</v>
      </c>
      <c r="AT43" s="125">
        <f t="shared" si="0"/>
        <v>-16888.377550000005</v>
      </c>
      <c r="AU43" s="125">
        <f>AH43*Valores!$C$73</f>
        <v>-4145.329035000002</v>
      </c>
      <c r="AV43" s="125">
        <f>AH43*Valores!$C$74</f>
        <v>-460.59211500000015</v>
      </c>
      <c r="AW43" s="125">
        <f t="shared" si="4"/>
        <v>132206.74630000003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1852.59</v>
      </c>
      <c r="G44" s="192">
        <v>2471</v>
      </c>
      <c r="H44" s="125">
        <f>ROUND(G44*Valores!$C$2,2)</f>
        <v>63579.82</v>
      </c>
      <c r="I44" s="192">
        <v>199</v>
      </c>
      <c r="J44" s="125">
        <f>ROUND(I44*Valores!$C$2,2)</f>
        <v>5120.35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13123.51</v>
      </c>
      <c r="N44" s="125">
        <f t="shared" si="1"/>
        <v>0</v>
      </c>
      <c r="O44" s="125">
        <f>Valores!$C$9</f>
        <v>28480.68</v>
      </c>
      <c r="P44" s="125">
        <f>Valores!$D$5</f>
        <v>13153.38</v>
      </c>
      <c r="Q44" s="125">
        <v>0</v>
      </c>
      <c r="R44" s="125">
        <f>IF($F$4="NO",Valores!$C$43,Valores!$C$43/2)</f>
        <v>4697.875</v>
      </c>
      <c r="S44" s="125">
        <f>Valores!$C$19</f>
        <v>12239.42</v>
      </c>
      <c r="T44" s="125">
        <f t="shared" si="7"/>
        <v>12239.42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Valores!$C$93</f>
        <v>5760.87</v>
      </c>
      <c r="AA44" s="125">
        <f>Valores!$C$25</f>
        <v>537.98</v>
      </c>
      <c r="AB44" s="214">
        <v>0</v>
      </c>
      <c r="AC44" s="125">
        <f t="shared" si="2"/>
        <v>0</v>
      </c>
      <c r="AD44" s="125">
        <f>Valores!$C$26</f>
        <v>537.98</v>
      </c>
      <c r="AE44" s="192">
        <v>0</v>
      </c>
      <c r="AF44" s="125">
        <f>ROUND(AE44*Valores!$C$2,2)</f>
        <v>0</v>
      </c>
      <c r="AG44" s="125">
        <f>ROUND(IF($F$4="NO",Valores!$C$62,Valores!$C$62/2),2)</f>
        <v>3203.47</v>
      </c>
      <c r="AH44" s="125">
        <f t="shared" si="5"/>
        <v>152287.92500000002</v>
      </c>
      <c r="AI44" s="125">
        <f>Valores!$C$31</f>
        <v>0</v>
      </c>
      <c r="AJ44" s="125">
        <f>Valores!$C$86</f>
        <v>0</v>
      </c>
      <c r="AK44" s="125">
        <f>Valores!C$38*B44</f>
        <v>0</v>
      </c>
      <c r="AL44" s="125">
        <f>IF($F$3="NO",0,Valores!$C$55)</f>
        <v>170.34</v>
      </c>
      <c r="AM44" s="125">
        <f t="shared" si="3"/>
        <v>170.34</v>
      </c>
      <c r="AN44" s="125">
        <f>AH44*Valores!$C$70</f>
        <v>-16751.67175</v>
      </c>
      <c r="AO44" s="125">
        <f>AH44*-Valores!$C$71</f>
        <v>0</v>
      </c>
      <c r="AP44" s="125">
        <f>AH44*Valores!$C$72</f>
        <v>-6852.956625000001</v>
      </c>
      <c r="AQ44" s="125">
        <f>Valores!$C$99</f>
        <v>-280.91</v>
      </c>
      <c r="AR44" s="125">
        <f>IF($F$5=0,Valores!$C$100,(Valores!$C$100+$F$5*(Valores!$C$100)))</f>
        <v>-329</v>
      </c>
      <c r="AS44" s="125">
        <f t="shared" si="6"/>
        <v>128243.72662500001</v>
      </c>
      <c r="AT44" s="125">
        <f t="shared" si="0"/>
        <v>-16751.67175</v>
      </c>
      <c r="AU44" s="125">
        <f>AH44*Valores!$C$73</f>
        <v>-4111.773975</v>
      </c>
      <c r="AV44" s="125">
        <f>AH44*Valores!$C$74</f>
        <v>-456.8637750000001</v>
      </c>
      <c r="AW44" s="125">
        <f t="shared" si="4"/>
        <v>131137.9555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2187.08</v>
      </c>
      <c r="G45" s="192">
        <f>G39</f>
        <v>3498</v>
      </c>
      <c r="H45" s="125">
        <f>ROUND(G45*Valores!$C$2,2)</f>
        <v>90004.94</v>
      </c>
      <c r="I45" s="192">
        <f>I39</f>
        <v>1209</v>
      </c>
      <c r="J45" s="125">
        <f>ROUND(I45*Valores!$C$2,2)</f>
        <v>31108.05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21190.02</v>
      </c>
      <c r="N45" s="125">
        <f t="shared" si="1"/>
        <v>0</v>
      </c>
      <c r="O45" s="125">
        <f>O39</f>
        <v>52997.07</v>
      </c>
      <c r="P45" s="125">
        <f>Valores!$D$5</f>
        <v>13153.38</v>
      </c>
      <c r="Q45" s="125">
        <v>0</v>
      </c>
      <c r="R45" s="125">
        <f>IF($F$4="NO",Valores!$C$45,Valores!$C$45/2)</f>
        <v>5727.29</v>
      </c>
      <c r="S45" s="125">
        <f>S39</f>
        <v>12239.42</v>
      </c>
      <c r="T45" s="125">
        <f t="shared" si="7"/>
        <v>12239.42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11521.74</v>
      </c>
      <c r="AA45" s="125">
        <f>Valores!$C$25</f>
        <v>537.98</v>
      </c>
      <c r="AB45" s="214">
        <v>0</v>
      </c>
      <c r="AC45" s="125">
        <f t="shared" si="2"/>
        <v>0</v>
      </c>
      <c r="AD45" s="125">
        <f>Valores!$C$26</f>
        <v>537.98</v>
      </c>
      <c r="AE45" s="192">
        <v>0</v>
      </c>
      <c r="AF45" s="125">
        <f>ROUND(AE45*Valores!$C$2,2)</f>
        <v>0</v>
      </c>
      <c r="AG45" s="125">
        <f>ROUND(IF($F$4="NO",Valores!$C$62,Valores!$C$62/2),2)</f>
        <v>3203.47</v>
      </c>
      <c r="AH45" s="125">
        <f t="shared" si="5"/>
        <v>244408.42000000004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IF($F$3="NO",0,Valores!$C$54)</f>
        <v>327.6</v>
      </c>
      <c r="AM45" s="125">
        <f t="shared" si="3"/>
        <v>327.6</v>
      </c>
      <c r="AN45" s="125">
        <f>AH45*Valores!$C$70</f>
        <v>-26884.926200000005</v>
      </c>
      <c r="AO45" s="125">
        <f>AH45*-Valores!$C$71</f>
        <v>0</v>
      </c>
      <c r="AP45" s="125">
        <f>AH45*Valores!$C$72</f>
        <v>-10998.378900000002</v>
      </c>
      <c r="AQ45" s="125">
        <f>Valores!$C$99</f>
        <v>-280.91</v>
      </c>
      <c r="AR45" s="125">
        <f>IF($F$5=0,Valores!$C$100,(Valores!$C$100+$F$5*(Valores!$C$100)))</f>
        <v>-329</v>
      </c>
      <c r="AS45" s="125">
        <f t="shared" si="6"/>
        <v>206242.80490000005</v>
      </c>
      <c r="AT45" s="125">
        <f t="shared" si="0"/>
        <v>-26884.926200000005</v>
      </c>
      <c r="AU45" s="125">
        <f>AH45*Valores!$C$73</f>
        <v>-6599.0273400000015</v>
      </c>
      <c r="AV45" s="125">
        <f>AH45*Valores!$C$74</f>
        <v>-733.2252600000002</v>
      </c>
      <c r="AW45" s="125">
        <f t="shared" si="4"/>
        <v>210518.84120000002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13328.35</v>
      </c>
      <c r="G46" s="192">
        <f>G88+G304</f>
        <v>1997</v>
      </c>
      <c r="H46" s="125">
        <f>ROUND(G46*Valores!$C$2,2)</f>
        <v>51383.61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12425.34</v>
      </c>
      <c r="N46" s="125">
        <f t="shared" si="1"/>
        <v>0</v>
      </c>
      <c r="O46" s="125">
        <f>O88+O304</f>
        <v>33325.83</v>
      </c>
      <c r="P46" s="125">
        <f>Valores!$D$5</f>
        <v>13153.38</v>
      </c>
      <c r="Q46" s="125">
        <f>Q88+Q304</f>
        <v>11734.9</v>
      </c>
      <c r="R46" s="125">
        <f>R88+R304</f>
        <v>5884.25</v>
      </c>
      <c r="S46" s="125">
        <f>S88+S304</f>
        <v>12239.42</v>
      </c>
      <c r="T46" s="125">
        <f t="shared" si="7"/>
        <v>12239.42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5760.87</v>
      </c>
      <c r="AA46" s="125">
        <f>Valores!$C$25</f>
        <v>537.98</v>
      </c>
      <c r="AB46" s="214">
        <v>0</v>
      </c>
      <c r="AC46" s="125">
        <f t="shared" si="2"/>
        <v>0</v>
      </c>
      <c r="AD46" s="125">
        <f>Valores!$C$26</f>
        <v>537.98</v>
      </c>
      <c r="AE46" s="192">
        <v>0</v>
      </c>
      <c r="AF46" s="125">
        <f>ROUND(AE46*Valores!$C$2,2)</f>
        <v>0</v>
      </c>
      <c r="AG46" s="125">
        <f>ROUND(IF($F$4="NO",Valores!$C$62,Valores!$C$62/2),2)</f>
        <v>3203.47</v>
      </c>
      <c r="AH46" s="125">
        <f t="shared" si="5"/>
        <v>163515.38000000003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IF($F$3="NO",0,Valores!$C$55)</f>
        <v>170.34</v>
      </c>
      <c r="AM46" s="125">
        <f t="shared" si="3"/>
        <v>170.34</v>
      </c>
      <c r="AN46" s="125">
        <f>AH46*Valores!$C$70</f>
        <v>-17986.691800000004</v>
      </c>
      <c r="AO46" s="125">
        <f>AH46*-Valores!$C$71</f>
        <v>0</v>
      </c>
      <c r="AP46" s="125">
        <f>AH46*Valores!$C$72</f>
        <v>-7358.192100000001</v>
      </c>
      <c r="AQ46" s="125">
        <f>Valores!$C$99</f>
        <v>-280.91</v>
      </c>
      <c r="AR46" s="125">
        <f>IF($F$5=0,Valores!$C$100,(Valores!$C$100+$F$5*(Valores!$C$100)))</f>
        <v>-329</v>
      </c>
      <c r="AS46" s="125">
        <f t="shared" si="6"/>
        <v>137730.92610000004</v>
      </c>
      <c r="AT46" s="125">
        <f t="shared" si="0"/>
        <v>-17986.691800000004</v>
      </c>
      <c r="AU46" s="125">
        <f>AH46*Valores!$C$73</f>
        <v>-4414.915260000001</v>
      </c>
      <c r="AV46" s="125">
        <f>AH46*Valores!$C$74</f>
        <v>-490.5461400000001</v>
      </c>
      <c r="AW46" s="125">
        <f t="shared" si="4"/>
        <v>140793.56680000003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14717.79</v>
      </c>
      <c r="G47" s="192">
        <f>G55+G237</f>
        <v>2686</v>
      </c>
      <c r="H47" s="125">
        <f>ROUND(G47*Valores!$C$2,2)</f>
        <v>69111.85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15615.98</v>
      </c>
      <c r="N47" s="125">
        <f t="shared" si="1"/>
        <v>0</v>
      </c>
      <c r="O47" s="125">
        <f>O55+O237</f>
        <v>33716.22</v>
      </c>
      <c r="P47" s="125">
        <f>Valores!$D$5</f>
        <v>13153.38</v>
      </c>
      <c r="Q47" s="125">
        <f>Q55+Q237</f>
        <v>11734.9</v>
      </c>
      <c r="R47" s="125">
        <f>R55+R237</f>
        <v>6390.754999999999</v>
      </c>
      <c r="S47" s="125">
        <f>S55+S237</f>
        <v>13886.119999999999</v>
      </c>
      <c r="T47" s="125">
        <f t="shared" si="7"/>
        <v>13886.12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8592.69</v>
      </c>
      <c r="AA47" s="125">
        <f>AA55+AA237</f>
        <v>667.28</v>
      </c>
      <c r="AB47" s="214">
        <v>0</v>
      </c>
      <c r="AC47" s="125">
        <f t="shared" si="2"/>
        <v>0</v>
      </c>
      <c r="AD47" s="125">
        <f>Valores!$C$26</f>
        <v>537.98</v>
      </c>
      <c r="AE47" s="192">
        <v>0</v>
      </c>
      <c r="AF47" s="125">
        <f>ROUND(AE47*Valores!$C$2,2)</f>
        <v>0</v>
      </c>
      <c r="AG47" s="125">
        <f>AG55+AG237</f>
        <v>4484.86</v>
      </c>
      <c r="AH47" s="125">
        <f t="shared" si="5"/>
        <v>192609.80500000002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IF($F$3="NO",0,Valores!$C$55)</f>
        <v>170.34</v>
      </c>
      <c r="AM47" s="125">
        <f t="shared" si="3"/>
        <v>170.34</v>
      </c>
      <c r="AN47" s="125">
        <f>AH47*Valores!$C$70</f>
        <v>-21187.078550000002</v>
      </c>
      <c r="AO47" s="125">
        <f>AH47*-Valores!$C$71</f>
        <v>0</v>
      </c>
      <c r="AP47" s="125">
        <f>AH47*Valores!$C$72</f>
        <v>-8667.441225</v>
      </c>
      <c r="AQ47" s="125">
        <f>Valores!$C$99</f>
        <v>-280.91</v>
      </c>
      <c r="AR47" s="125">
        <f>IF($F$5=0,Valores!$C$100,(Valores!$C$100+$F$5*(Valores!$C$100)))</f>
        <v>-329</v>
      </c>
      <c r="AS47" s="125">
        <f t="shared" si="6"/>
        <v>162315.71522500002</v>
      </c>
      <c r="AT47" s="125">
        <f t="shared" si="0"/>
        <v>-21187.078550000002</v>
      </c>
      <c r="AU47" s="125">
        <f>AH47*Valores!$C$73</f>
        <v>-5200.4647350000005</v>
      </c>
      <c r="AV47" s="125">
        <f>AH47*Valores!$C$74</f>
        <v>-577.829415</v>
      </c>
      <c r="AW47" s="125">
        <f t="shared" si="4"/>
        <v>165814.7723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2778.88</v>
      </c>
      <c r="G48" s="192">
        <v>2907</v>
      </c>
      <c r="H48" s="125">
        <f>ROUND(G48*Valores!$C$2,2)</f>
        <v>74798.27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14217.55</v>
      </c>
      <c r="N48" s="125">
        <f t="shared" si="1"/>
        <v>0</v>
      </c>
      <c r="O48" s="125">
        <f>Valores!$C$9</f>
        <v>28480.68</v>
      </c>
      <c r="P48" s="125">
        <f>Valores!$D$5</f>
        <v>13153.38</v>
      </c>
      <c r="Q48" s="125">
        <f>Valores!$C$22</f>
        <v>11734.9</v>
      </c>
      <c r="R48" s="125">
        <f>IF($F$4="NO",Valores!$C$44,Valores!$C$44/2)</f>
        <v>4967.105</v>
      </c>
      <c r="S48" s="125">
        <f>Valores!$C$19</f>
        <v>12239.42</v>
      </c>
      <c r="T48" s="125">
        <f t="shared" si="7"/>
        <v>12239.42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Valores!$C$94</f>
        <v>6913.05</v>
      </c>
      <c r="AA48" s="125">
        <f>Valores!$C$25</f>
        <v>537.98</v>
      </c>
      <c r="AB48" s="214">
        <v>0</v>
      </c>
      <c r="AC48" s="125">
        <f t="shared" si="2"/>
        <v>0</v>
      </c>
      <c r="AD48" s="125">
        <f>Valores!$C$26</f>
        <v>537.98</v>
      </c>
      <c r="AE48" s="192">
        <v>0</v>
      </c>
      <c r="AF48" s="125">
        <f>ROUND(AE48*Valores!$C$2,2)</f>
        <v>0</v>
      </c>
      <c r="AG48" s="125">
        <f>ROUND(IF($F$4="NO",Valores!$C$62,Valores!$C$62/2),2)</f>
        <v>3203.47</v>
      </c>
      <c r="AH48" s="125">
        <f t="shared" si="5"/>
        <v>173562.66500000004</v>
      </c>
      <c r="AI48" s="125">
        <f>Valores!$C$31</f>
        <v>0</v>
      </c>
      <c r="AJ48" s="125">
        <f>Valores!$C$87</f>
        <v>0</v>
      </c>
      <c r="AK48" s="125">
        <f>Valores!C$38*B48</f>
        <v>0</v>
      </c>
      <c r="AL48" s="125">
        <f>IF($F$3="NO",0,Valores!$C$55)</f>
        <v>170.34</v>
      </c>
      <c r="AM48" s="125">
        <f t="shared" si="3"/>
        <v>170.34</v>
      </c>
      <c r="AN48" s="125">
        <f>AH48*Valores!$C$70</f>
        <v>-19091.893150000004</v>
      </c>
      <c r="AO48" s="125">
        <f>AH48*-Valores!$C$71</f>
        <v>0</v>
      </c>
      <c r="AP48" s="125">
        <f>AH48*Valores!$C$72</f>
        <v>-7810.319925000002</v>
      </c>
      <c r="AQ48" s="125">
        <f>Valores!$C$99</f>
        <v>-280.91</v>
      </c>
      <c r="AR48" s="125">
        <f>IF($F$5=0,Valores!$C$100,(Valores!$C$100+$F$5*(Valores!$C$100)))</f>
        <v>-329</v>
      </c>
      <c r="AS48" s="125">
        <f t="shared" si="6"/>
        <v>146220.88192500002</v>
      </c>
      <c r="AT48" s="125">
        <f t="shared" si="0"/>
        <v>-19091.893150000004</v>
      </c>
      <c r="AU48" s="125">
        <f>AH48*Valores!$C$73</f>
        <v>-4686.191955000001</v>
      </c>
      <c r="AV48" s="125">
        <f>AH48*Valores!$C$74</f>
        <v>-520.6879950000001</v>
      </c>
      <c r="AW48" s="125">
        <f t="shared" si="4"/>
        <v>149434.2319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2264.28</v>
      </c>
      <c r="G49" s="192">
        <v>2622</v>
      </c>
      <c r="H49" s="125">
        <f>ROUND(G49*Valores!$C$2,2)</f>
        <v>67465.11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13040.39</v>
      </c>
      <c r="N49" s="125">
        <f t="shared" si="1"/>
        <v>0</v>
      </c>
      <c r="O49" s="125">
        <f>Valores!$C$9</f>
        <v>28480.68</v>
      </c>
      <c r="P49" s="125">
        <f>Valores!$D$5</f>
        <v>13153.38</v>
      </c>
      <c r="Q49" s="125">
        <f>Valores!$C$22</f>
        <v>11734.9</v>
      </c>
      <c r="R49" s="125">
        <f>IF($F$4="NO",Valores!$C$44,Valores!$C$44/2)</f>
        <v>4967.105</v>
      </c>
      <c r="S49" s="125">
        <f>Valores!$C$19</f>
        <v>12239.42</v>
      </c>
      <c r="T49" s="125">
        <f t="shared" si="7"/>
        <v>12239.42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Valores!$C$94</f>
        <v>6913.05</v>
      </c>
      <c r="AA49" s="125">
        <f>Valores!$C$25</f>
        <v>537.98</v>
      </c>
      <c r="AB49" s="214">
        <v>0</v>
      </c>
      <c r="AC49" s="125">
        <f t="shared" si="2"/>
        <v>0</v>
      </c>
      <c r="AD49" s="125">
        <f>Valores!$C$26</f>
        <v>537.98</v>
      </c>
      <c r="AE49" s="192">
        <v>0</v>
      </c>
      <c r="AF49" s="125">
        <f>ROUND(AE49*Valores!$C$2,2)</f>
        <v>0</v>
      </c>
      <c r="AG49" s="125">
        <f>ROUND(IF($F$4="NO",Valores!$C$62,Valores!$C$62/2),2)</f>
        <v>3203.47</v>
      </c>
      <c r="AH49" s="125">
        <f t="shared" si="5"/>
        <v>164537.74500000002</v>
      </c>
      <c r="AI49" s="125">
        <f>Valores!$C$31</f>
        <v>0</v>
      </c>
      <c r="AJ49" s="125">
        <f>Valores!$C$87</f>
        <v>0</v>
      </c>
      <c r="AK49" s="125">
        <f>Valores!C$38*B49</f>
        <v>0</v>
      </c>
      <c r="AL49" s="125">
        <f>IF($F$3="NO",0,Valores!$C$55)</f>
        <v>170.34</v>
      </c>
      <c r="AM49" s="125">
        <f t="shared" si="3"/>
        <v>170.34</v>
      </c>
      <c r="AN49" s="125">
        <f>AH49*Valores!$C$70</f>
        <v>-18099.151950000003</v>
      </c>
      <c r="AO49" s="125">
        <f>AH49*-Valores!$C$71</f>
        <v>0</v>
      </c>
      <c r="AP49" s="125">
        <f>AH49*Valores!$C$72</f>
        <v>-7404.198525000001</v>
      </c>
      <c r="AQ49" s="125">
        <f>Valores!$C$99</f>
        <v>-280.91</v>
      </c>
      <c r="AR49" s="125">
        <f>IF($F$5=0,Valores!$C$100,(Valores!$C$100+$F$5*(Valores!$C$100)))</f>
        <v>-329</v>
      </c>
      <c r="AS49" s="125">
        <f t="shared" si="6"/>
        <v>138594.82452500003</v>
      </c>
      <c r="AT49" s="125">
        <f t="shared" si="0"/>
        <v>-18099.151950000003</v>
      </c>
      <c r="AU49" s="125">
        <f>AH49*Valores!$C$73</f>
        <v>-4442.519115000001</v>
      </c>
      <c r="AV49" s="125">
        <f>AH49*Valores!$C$74</f>
        <v>-493.6132350000001</v>
      </c>
      <c r="AW49" s="125">
        <f t="shared" si="4"/>
        <v>141672.80070000002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2264.28</v>
      </c>
      <c r="G50" s="192">
        <v>2622</v>
      </c>
      <c r="H50" s="125">
        <f>ROUND(G50*Valores!$C$2,2)</f>
        <v>67465.11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13040.39</v>
      </c>
      <c r="N50" s="125">
        <f t="shared" si="1"/>
        <v>0</v>
      </c>
      <c r="O50" s="125">
        <f>Valores!$C$9</f>
        <v>28480.68</v>
      </c>
      <c r="P50" s="125">
        <f>Valores!$D$5</f>
        <v>13153.38</v>
      </c>
      <c r="Q50" s="125">
        <f>Valores!$C$22</f>
        <v>11734.9</v>
      </c>
      <c r="R50" s="125">
        <f>IF($F$4="NO",Valores!$C$44,Valores!$C$44/2)</f>
        <v>4967.105</v>
      </c>
      <c r="S50" s="125">
        <f>Valores!$C$19</f>
        <v>12239.42</v>
      </c>
      <c r="T50" s="125">
        <f t="shared" si="7"/>
        <v>12239.42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Valores!$C$94</f>
        <v>6913.05</v>
      </c>
      <c r="AA50" s="125">
        <f>Valores!$C$25</f>
        <v>537.98</v>
      </c>
      <c r="AB50" s="214">
        <v>0</v>
      </c>
      <c r="AC50" s="125">
        <f t="shared" si="2"/>
        <v>0</v>
      </c>
      <c r="AD50" s="125">
        <f>Valores!$C$26</f>
        <v>537.98</v>
      </c>
      <c r="AE50" s="192">
        <v>0</v>
      </c>
      <c r="AF50" s="125">
        <f>ROUND(AE50*Valores!$C$2,2)</f>
        <v>0</v>
      </c>
      <c r="AG50" s="125">
        <f>ROUND(IF($F$4="NO",Valores!$C$62,Valores!$C$62/2),2)</f>
        <v>3203.47</v>
      </c>
      <c r="AH50" s="125">
        <f t="shared" si="5"/>
        <v>164537.74500000002</v>
      </c>
      <c r="AI50" s="125">
        <f>Valores!$C$31</f>
        <v>0</v>
      </c>
      <c r="AJ50" s="125">
        <f>Valores!$C$87</f>
        <v>0</v>
      </c>
      <c r="AK50" s="125">
        <f>Valores!C$38*B50</f>
        <v>0</v>
      </c>
      <c r="AL50" s="125">
        <f>IF($F$3="NO",0,Valores!$C$55)</f>
        <v>170.34</v>
      </c>
      <c r="AM50" s="125">
        <f t="shared" si="3"/>
        <v>170.34</v>
      </c>
      <c r="AN50" s="125">
        <f>AH50*Valores!$C$70</f>
        <v>-18099.151950000003</v>
      </c>
      <c r="AO50" s="125">
        <f>AH50*-Valores!$C$71</f>
        <v>0</v>
      </c>
      <c r="AP50" s="125">
        <f>AH50*Valores!$C$72</f>
        <v>-7404.198525000001</v>
      </c>
      <c r="AQ50" s="125">
        <f>Valores!$C$99</f>
        <v>-280.91</v>
      </c>
      <c r="AR50" s="125">
        <f>IF($F$5=0,Valores!$C$100,(Valores!$C$100+$F$5*(Valores!$C$100)))</f>
        <v>-329</v>
      </c>
      <c r="AS50" s="125">
        <f t="shared" si="6"/>
        <v>138594.82452500003</v>
      </c>
      <c r="AT50" s="125">
        <f t="shared" si="0"/>
        <v>-18099.151950000003</v>
      </c>
      <c r="AU50" s="125">
        <f>AH50*Valores!$C$73</f>
        <v>-4442.519115000001</v>
      </c>
      <c r="AV50" s="125">
        <f>AH50*Valores!$C$74</f>
        <v>-493.6132350000001</v>
      </c>
      <c r="AW50" s="125">
        <f t="shared" si="4"/>
        <v>141672.80070000002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2058.43</v>
      </c>
      <c r="G51" s="192">
        <v>2278</v>
      </c>
      <c r="H51" s="125">
        <f>ROUND(G51*Valores!$C$2,2)</f>
        <v>58613.85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11681.82</v>
      </c>
      <c r="N51" s="125">
        <f t="shared" si="1"/>
        <v>0</v>
      </c>
      <c r="O51" s="125">
        <f>Valores!$C$9</f>
        <v>28480.68</v>
      </c>
      <c r="P51" s="125">
        <f>Valores!$D$5</f>
        <v>13153.38</v>
      </c>
      <c r="Q51" s="125">
        <f>Valores!$C$22</f>
        <v>11734.9</v>
      </c>
      <c r="R51" s="125">
        <f>IF($F$4="NO",Valores!$C$44,Valores!$C$44/2)</f>
        <v>4967.105</v>
      </c>
      <c r="S51" s="125">
        <f>Valores!$C$19</f>
        <v>12239.42</v>
      </c>
      <c r="T51" s="125">
        <f t="shared" si="7"/>
        <v>12239.42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Valores!$C$94</f>
        <v>6913.05</v>
      </c>
      <c r="AA51" s="125">
        <f>Valores!$C$25</f>
        <v>537.98</v>
      </c>
      <c r="AB51" s="214">
        <v>0</v>
      </c>
      <c r="AC51" s="125">
        <f t="shared" si="2"/>
        <v>0</v>
      </c>
      <c r="AD51" s="125">
        <f>Valores!$C$26</f>
        <v>537.98</v>
      </c>
      <c r="AE51" s="192">
        <v>0</v>
      </c>
      <c r="AF51" s="125">
        <f>ROUND(AE51*Valores!$C$2,2)</f>
        <v>0</v>
      </c>
      <c r="AG51" s="125">
        <f>ROUND(IF($F$4="NO",Valores!$C$62,Valores!$C$62/2),2)</f>
        <v>3203.47</v>
      </c>
      <c r="AH51" s="125">
        <f t="shared" si="5"/>
        <v>154122.065</v>
      </c>
      <c r="AI51" s="125">
        <f>Valores!$C$31</f>
        <v>0</v>
      </c>
      <c r="AJ51" s="125">
        <f>Valores!$C$87</f>
        <v>0</v>
      </c>
      <c r="AK51" s="125">
        <f>Valores!C$38*B51</f>
        <v>0</v>
      </c>
      <c r="AL51" s="125">
        <f>IF($F$3="NO",0,Valores!$C$55)</f>
        <v>170.34</v>
      </c>
      <c r="AM51" s="125">
        <f t="shared" si="3"/>
        <v>170.34</v>
      </c>
      <c r="AN51" s="125">
        <f>AH51*Valores!$C$70</f>
        <v>-16953.42715</v>
      </c>
      <c r="AO51" s="125">
        <f>AH51*-Valores!$C$71</f>
        <v>0</v>
      </c>
      <c r="AP51" s="125">
        <f>AH51*Valores!$C$72</f>
        <v>-6935.492925</v>
      </c>
      <c r="AQ51" s="125">
        <f>Valores!$C$99</f>
        <v>-280.91</v>
      </c>
      <c r="AR51" s="125">
        <f>IF($F$5=0,Valores!$C$100,(Valores!$C$100+$F$5*(Valores!$C$100)))</f>
        <v>-329</v>
      </c>
      <c r="AS51" s="125">
        <f t="shared" si="6"/>
        <v>129793.57492500001</v>
      </c>
      <c r="AT51" s="125">
        <f t="shared" si="0"/>
        <v>-16953.42715</v>
      </c>
      <c r="AU51" s="125">
        <f>AH51*Valores!$C$73</f>
        <v>-4161.295755</v>
      </c>
      <c r="AV51" s="125">
        <f>AH51*Valores!$C$74</f>
        <v>-462.366195</v>
      </c>
      <c r="AW51" s="125">
        <f t="shared" si="4"/>
        <v>132715.3159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2573.04</v>
      </c>
      <c r="G52" s="192">
        <v>3620</v>
      </c>
      <c r="H52" s="125">
        <f>ROUND(G52*Valores!$C$2,2)</f>
        <v>93144.05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17254.49</v>
      </c>
      <c r="N52" s="125">
        <f t="shared" si="1"/>
        <v>0</v>
      </c>
      <c r="O52" s="125">
        <f>Valores!$C$9</f>
        <v>28480.68</v>
      </c>
      <c r="P52" s="125">
        <f>Valores!$D$5</f>
        <v>13153.38</v>
      </c>
      <c r="Q52" s="125">
        <f>Valores!$C$22</f>
        <v>11734.9</v>
      </c>
      <c r="R52" s="125">
        <f>IF($F$4="NO",Valores!$C$46,Valores!$C$46/2)</f>
        <v>7073.445</v>
      </c>
      <c r="S52" s="125">
        <f>Valores!$C$19</f>
        <v>12239.42</v>
      </c>
      <c r="T52" s="125">
        <f t="shared" si="7"/>
        <v>12239.42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Valores!$C$95</f>
        <v>11521.74</v>
      </c>
      <c r="AA52" s="125">
        <f>Valores!$C$25</f>
        <v>537.98</v>
      </c>
      <c r="AB52" s="214">
        <v>0</v>
      </c>
      <c r="AC52" s="125">
        <f t="shared" si="2"/>
        <v>0</v>
      </c>
      <c r="AD52" s="125">
        <f>Valores!$C$26</f>
        <v>537.98</v>
      </c>
      <c r="AE52" s="192">
        <v>0</v>
      </c>
      <c r="AF52" s="125">
        <f>ROUND(AE52*Valores!$C$2,2)</f>
        <v>0</v>
      </c>
      <c r="AG52" s="125">
        <f>ROUND(IF($F$4="NO",Valores!$C$62,Valores!$C$62/2),2)</f>
        <v>3203.47</v>
      </c>
      <c r="AH52" s="125">
        <f t="shared" si="5"/>
        <v>201454.57500000004</v>
      </c>
      <c r="AI52" s="125">
        <f>Valores!$C$31</f>
        <v>0</v>
      </c>
      <c r="AJ52" s="125">
        <f>Valores!$C$88</f>
        <v>0</v>
      </c>
      <c r="AK52" s="125">
        <f>Valores!C$38*B52</f>
        <v>0</v>
      </c>
      <c r="AL52" s="125">
        <f>IF($F$3="NO",0,Valores!$C$55)</f>
        <v>170.34</v>
      </c>
      <c r="AM52" s="125">
        <f t="shared" si="3"/>
        <v>170.34</v>
      </c>
      <c r="AN52" s="125">
        <f>AH52*Valores!$C$70</f>
        <v>-22160.003250000005</v>
      </c>
      <c r="AO52" s="125">
        <f>AH52*-Valores!$C$71</f>
        <v>0</v>
      </c>
      <c r="AP52" s="125">
        <f>AH52*Valores!$C$72</f>
        <v>-9065.455875000001</v>
      </c>
      <c r="AQ52" s="125">
        <f>Valores!$C$99</f>
        <v>-280.91</v>
      </c>
      <c r="AR52" s="125">
        <f>IF($F$5=0,Valores!$C$100,(Valores!$C$100+$F$5*(Valores!$C$100)))</f>
        <v>-329</v>
      </c>
      <c r="AS52" s="125">
        <f t="shared" si="6"/>
        <v>169789.54587500004</v>
      </c>
      <c r="AT52" s="125">
        <f t="shared" si="0"/>
        <v>-22160.003250000005</v>
      </c>
      <c r="AU52" s="125">
        <f>AH52*Valores!$C$73</f>
        <v>-5439.273525000001</v>
      </c>
      <c r="AV52" s="125">
        <f>AH52*Valores!$C$74</f>
        <v>-604.3637250000002</v>
      </c>
      <c r="AW52" s="125">
        <f t="shared" si="4"/>
        <v>173421.27450000003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2573.04</v>
      </c>
      <c r="G53" s="192">
        <v>3560</v>
      </c>
      <c r="H53" s="125">
        <f>ROUND(G53*Valores!$C$2,2)</f>
        <v>91600.22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17022.92</v>
      </c>
      <c r="N53" s="125">
        <f t="shared" si="1"/>
        <v>0</v>
      </c>
      <c r="O53" s="125">
        <f>Valores!$C$9</f>
        <v>28480.68</v>
      </c>
      <c r="P53" s="125">
        <f>Valores!$D$5</f>
        <v>13153.38</v>
      </c>
      <c r="Q53" s="125">
        <v>0</v>
      </c>
      <c r="R53" s="125">
        <f>IF($F$4="NO",Valores!$C$46,Valores!$C$46/2)</f>
        <v>7073.445</v>
      </c>
      <c r="S53" s="125">
        <f>Valores!$C$19</f>
        <v>12239.42</v>
      </c>
      <c r="T53" s="125">
        <f t="shared" si="7"/>
        <v>12239.42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Valores!$C$95</f>
        <v>11521.74</v>
      </c>
      <c r="AA53" s="125">
        <f>Valores!$C$25</f>
        <v>537.98</v>
      </c>
      <c r="AB53" s="214">
        <v>0</v>
      </c>
      <c r="AC53" s="125">
        <f t="shared" si="2"/>
        <v>0</v>
      </c>
      <c r="AD53" s="125">
        <f>Valores!$C$26</f>
        <v>537.98</v>
      </c>
      <c r="AE53" s="192">
        <v>0</v>
      </c>
      <c r="AF53" s="125">
        <f>ROUND(AE53*Valores!$C$2,2)</f>
        <v>0</v>
      </c>
      <c r="AG53" s="125">
        <f>ROUND(IF($F$4="NO",Valores!$C$62,Valores!$C$62/2),2)</f>
        <v>3203.47</v>
      </c>
      <c r="AH53" s="125">
        <f t="shared" si="5"/>
        <v>187944.27500000002</v>
      </c>
      <c r="AI53" s="125">
        <f>Valores!$C$31</f>
        <v>0</v>
      </c>
      <c r="AJ53" s="125">
        <f>Valores!$C$88</f>
        <v>0</v>
      </c>
      <c r="AK53" s="125">
        <f>Valores!C$38*B53</f>
        <v>0</v>
      </c>
      <c r="AL53" s="125">
        <f>IF($F$3="NO",0,Valores!$C$55)</f>
        <v>170.34</v>
      </c>
      <c r="AM53" s="125">
        <f t="shared" si="3"/>
        <v>170.34</v>
      </c>
      <c r="AN53" s="125">
        <f>AH53*Valores!$C$70</f>
        <v>-20673.870250000004</v>
      </c>
      <c r="AO53" s="125">
        <f>AH53*-Valores!$C$71</f>
        <v>0</v>
      </c>
      <c r="AP53" s="125">
        <f>AH53*Valores!$C$72</f>
        <v>-8457.492375000002</v>
      </c>
      <c r="AQ53" s="125">
        <f>Valores!$C$99</f>
        <v>-280.91</v>
      </c>
      <c r="AR53" s="125">
        <f>IF($F$5=0,Valores!$C$100,(Valores!$C$100+$F$5*(Valores!$C$100)))</f>
        <v>-329</v>
      </c>
      <c r="AS53" s="125">
        <f t="shared" si="6"/>
        <v>158373.342375</v>
      </c>
      <c r="AT53" s="125">
        <f t="shared" si="0"/>
        <v>-20673.870250000004</v>
      </c>
      <c r="AU53" s="125">
        <f>AH53*Valores!$C$73</f>
        <v>-5074.495425000001</v>
      </c>
      <c r="AV53" s="125">
        <f>AH53*Valores!$C$74</f>
        <v>-563.8328250000001</v>
      </c>
      <c r="AW53" s="125">
        <f t="shared" si="4"/>
        <v>161802.41650000002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2573.04</v>
      </c>
      <c r="G54" s="192">
        <v>3360</v>
      </c>
      <c r="H54" s="125">
        <f>ROUND(G54*Valores!$C$2,2)</f>
        <v>86454.14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16251.01</v>
      </c>
      <c r="N54" s="125">
        <f t="shared" si="1"/>
        <v>0</v>
      </c>
      <c r="O54" s="125">
        <f>Valores!$C$9</f>
        <v>28480.68</v>
      </c>
      <c r="P54" s="125">
        <f>Valores!$D$5</f>
        <v>13153.38</v>
      </c>
      <c r="Q54" s="125">
        <f>Valores!$C$22</f>
        <v>11734.9</v>
      </c>
      <c r="R54" s="125">
        <f>IF($F$4="NO",Valores!$C$46,Valores!$C$46/2)</f>
        <v>7073.445</v>
      </c>
      <c r="S54" s="125">
        <f>Valores!$C$19</f>
        <v>12239.42</v>
      </c>
      <c r="T54" s="125">
        <f t="shared" si="7"/>
        <v>12239.42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Valores!$C$95</f>
        <v>11521.74</v>
      </c>
      <c r="AA54" s="125">
        <f>Valores!$C$25</f>
        <v>537.98</v>
      </c>
      <c r="AB54" s="214">
        <v>0</v>
      </c>
      <c r="AC54" s="125">
        <f t="shared" si="2"/>
        <v>0</v>
      </c>
      <c r="AD54" s="125">
        <f>Valores!$C$26</f>
        <v>537.98</v>
      </c>
      <c r="AE54" s="192">
        <v>0</v>
      </c>
      <c r="AF54" s="125">
        <f>ROUND(AE54*Valores!$C$2,2)</f>
        <v>0</v>
      </c>
      <c r="AG54" s="125">
        <f>ROUND(IF($F$4="NO",Valores!$C$62,Valores!$C$62/2),2)</f>
        <v>3203.47</v>
      </c>
      <c r="AH54" s="125">
        <f t="shared" si="5"/>
        <v>193761.18500000003</v>
      </c>
      <c r="AI54" s="125">
        <f>Valores!$C$31</f>
        <v>0</v>
      </c>
      <c r="AJ54" s="125">
        <f>Valores!$C$88</f>
        <v>0</v>
      </c>
      <c r="AK54" s="125">
        <f>Valores!C$38*B54</f>
        <v>0</v>
      </c>
      <c r="AL54" s="125">
        <f>IF($F$3="NO",0,Valores!$C$55)</f>
        <v>170.34</v>
      </c>
      <c r="AM54" s="125">
        <f t="shared" si="3"/>
        <v>170.34</v>
      </c>
      <c r="AN54" s="125">
        <f>AH54*Valores!$C$70</f>
        <v>-21313.73035</v>
      </c>
      <c r="AO54" s="125">
        <f>AH54*-Valores!$C$71</f>
        <v>0</v>
      </c>
      <c r="AP54" s="125">
        <f>AH54*Valores!$C$72</f>
        <v>-8719.253325000001</v>
      </c>
      <c r="AQ54" s="125">
        <f>Valores!$C$99</f>
        <v>-280.91</v>
      </c>
      <c r="AR54" s="125">
        <f>IF($F$5=0,Valores!$C$100,(Valores!$C$100+$F$5*(Valores!$C$100)))</f>
        <v>-329</v>
      </c>
      <c r="AS54" s="125">
        <f t="shared" si="6"/>
        <v>163288.63132500002</v>
      </c>
      <c r="AT54" s="125">
        <f t="shared" si="0"/>
        <v>-21313.73035</v>
      </c>
      <c r="AU54" s="125">
        <f>AH54*Valores!$C$73</f>
        <v>-5231.551995000001</v>
      </c>
      <c r="AV54" s="125">
        <f>AH54*Valores!$C$74</f>
        <v>-581.2835550000001</v>
      </c>
      <c r="AW54" s="125">
        <f t="shared" si="4"/>
        <v>166804.9591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2521.58</v>
      </c>
      <c r="G55" s="192">
        <v>2686</v>
      </c>
      <c r="H55" s="125">
        <f>ROUND(G55*Valores!$C$2,2)</f>
        <v>69111.85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13325.99</v>
      </c>
      <c r="N55" s="125">
        <f t="shared" si="1"/>
        <v>0</v>
      </c>
      <c r="O55" s="125">
        <f>Valores!$C$9</f>
        <v>28480.68</v>
      </c>
      <c r="P55" s="125">
        <f>Valores!$D$5</f>
        <v>13153.38</v>
      </c>
      <c r="Q55" s="125">
        <f>Valores!$C$22</f>
        <v>11734.9</v>
      </c>
      <c r="R55" s="125">
        <f>IF($F$4="NO",Valores!$C$44,Valores!$C$44/2)</f>
        <v>4967.105</v>
      </c>
      <c r="S55" s="125">
        <f>Valores!$C$19</f>
        <v>12239.42</v>
      </c>
      <c r="T55" s="125">
        <f t="shared" si="7"/>
        <v>12239.42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Valores!$C$94</f>
        <v>6913.05</v>
      </c>
      <c r="AA55" s="125">
        <f>Valores!$C$25</f>
        <v>537.98</v>
      </c>
      <c r="AB55" s="214">
        <v>0</v>
      </c>
      <c r="AC55" s="125">
        <f t="shared" si="2"/>
        <v>0</v>
      </c>
      <c r="AD55" s="125">
        <f>Valores!$C$26</f>
        <v>537.98</v>
      </c>
      <c r="AE55" s="192">
        <v>0</v>
      </c>
      <c r="AF55" s="125">
        <f>ROUND(AE55*Valores!$C$2,2)</f>
        <v>0</v>
      </c>
      <c r="AG55" s="125">
        <f>ROUND(IF($F$4="NO",Valores!$C$62,Valores!$C$62/2),2)</f>
        <v>3203.47</v>
      </c>
      <c r="AH55" s="125">
        <f t="shared" si="5"/>
        <v>166727.38500000004</v>
      </c>
      <c r="AI55" s="125">
        <f>Valores!$C$31</f>
        <v>0</v>
      </c>
      <c r="AJ55" s="125">
        <f>Valores!$C$87</f>
        <v>0</v>
      </c>
      <c r="AK55" s="125">
        <f>Valores!C$38*B55</f>
        <v>0</v>
      </c>
      <c r="AL55" s="125">
        <f>IF($F$3="NO",0,Valores!$C$55)</f>
        <v>170.34</v>
      </c>
      <c r="AM55" s="125">
        <f t="shared" si="3"/>
        <v>170.34</v>
      </c>
      <c r="AN55" s="125">
        <f>AH55*Valores!$C$70</f>
        <v>-18340.012350000005</v>
      </c>
      <c r="AO55" s="125">
        <f>AH55*-Valores!$C$71</f>
        <v>0</v>
      </c>
      <c r="AP55" s="125">
        <f>AH55*Valores!$C$72</f>
        <v>-7502.732325000002</v>
      </c>
      <c r="AQ55" s="125">
        <f>Valores!$C$99</f>
        <v>-280.91</v>
      </c>
      <c r="AR55" s="125">
        <f>IF($F$5=0,Valores!$C$100,(Valores!$C$100+$F$5*(Valores!$C$100)))</f>
        <v>-329</v>
      </c>
      <c r="AS55" s="125">
        <f t="shared" si="6"/>
        <v>140445.07032500004</v>
      </c>
      <c r="AT55" s="125">
        <f t="shared" si="0"/>
        <v>-18340.012350000005</v>
      </c>
      <c r="AU55" s="125">
        <f>AH55*Valores!$C$73</f>
        <v>-4501.639395000001</v>
      </c>
      <c r="AV55" s="125">
        <f>AH55*Valores!$C$74</f>
        <v>-500.18215500000014</v>
      </c>
      <c r="AW55" s="125">
        <f t="shared" si="4"/>
        <v>143555.89110000004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2418.66</v>
      </c>
      <c r="G56" s="192">
        <v>2690</v>
      </c>
      <c r="H56" s="125">
        <f>ROUND(G56*Valores!$C$2,2)</f>
        <v>69214.78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13325.99</v>
      </c>
      <c r="N56" s="125">
        <f t="shared" si="1"/>
        <v>0</v>
      </c>
      <c r="O56" s="125">
        <f>Valores!$C$9</f>
        <v>28480.68</v>
      </c>
      <c r="P56" s="125">
        <f>Valores!$D$5</f>
        <v>13153.38</v>
      </c>
      <c r="Q56" s="125">
        <f>Valores!$C$22</f>
        <v>11734.9</v>
      </c>
      <c r="R56" s="125">
        <f>IF($F$4="NO",Valores!$C$44,Valores!$C$44/2)</f>
        <v>4967.105</v>
      </c>
      <c r="S56" s="125">
        <f>Valores!$C$19</f>
        <v>12239.42</v>
      </c>
      <c r="T56" s="125">
        <f t="shared" si="7"/>
        <v>12239.42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Valores!$C$94</f>
        <v>6913.05</v>
      </c>
      <c r="AA56" s="125">
        <f>Valores!$C$25</f>
        <v>537.98</v>
      </c>
      <c r="AB56" s="214">
        <v>0</v>
      </c>
      <c r="AC56" s="125">
        <f t="shared" si="2"/>
        <v>0</v>
      </c>
      <c r="AD56" s="125">
        <f>Valores!$C$26</f>
        <v>537.98</v>
      </c>
      <c r="AE56" s="192">
        <v>94</v>
      </c>
      <c r="AF56" s="125">
        <f>ROUND(AE56*Valores!$C$2,2)</f>
        <v>2418.66</v>
      </c>
      <c r="AG56" s="125">
        <f>ROUND(IF($F$4="NO",Valores!$C$62,Valores!$C$62/2),2)</f>
        <v>3203.47</v>
      </c>
      <c r="AH56" s="125">
        <f t="shared" si="5"/>
        <v>169146.05500000005</v>
      </c>
      <c r="AI56" s="125">
        <f>Valores!$C$31</f>
        <v>0</v>
      </c>
      <c r="AJ56" s="125">
        <f>Valores!$C$87</f>
        <v>0</v>
      </c>
      <c r="AK56" s="125">
        <f>Valores!C$38*B56</f>
        <v>0</v>
      </c>
      <c r="AL56" s="125">
        <f>IF($F$3="NO",0,Valores!$C$55)</f>
        <v>170.34</v>
      </c>
      <c r="AM56" s="125">
        <f t="shared" si="3"/>
        <v>170.34</v>
      </c>
      <c r="AN56" s="125">
        <f>AH56*Valores!$C$70</f>
        <v>-18606.066050000005</v>
      </c>
      <c r="AO56" s="125">
        <f>AH56*-Valores!$C$71</f>
        <v>0</v>
      </c>
      <c r="AP56" s="125">
        <f>AH56*Valores!$C$72</f>
        <v>-7611.572475000002</v>
      </c>
      <c r="AQ56" s="125">
        <f>Valores!$C$99</f>
        <v>-280.91</v>
      </c>
      <c r="AR56" s="125">
        <f>IF($F$5=0,Valores!$C$100,(Valores!$C$100+$F$5*(Valores!$C$100)))</f>
        <v>-329</v>
      </c>
      <c r="AS56" s="125">
        <f t="shared" si="6"/>
        <v>142488.84647500006</v>
      </c>
      <c r="AT56" s="125">
        <f t="shared" si="0"/>
        <v>-18606.066050000005</v>
      </c>
      <c r="AU56" s="125">
        <f>AH56*Valores!$C$73</f>
        <v>-4566.943485000002</v>
      </c>
      <c r="AV56" s="125">
        <f>AH56*Valores!$C$74</f>
        <v>-507.43816500000014</v>
      </c>
      <c r="AW56" s="125">
        <f t="shared" si="4"/>
        <v>145635.94730000006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2392.93</v>
      </c>
      <c r="G57" s="192">
        <v>2547</v>
      </c>
      <c r="H57" s="125">
        <f>ROUND(G57*Valores!$C$2,2)</f>
        <v>65535.33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12770.22</v>
      </c>
      <c r="N57" s="125">
        <f t="shared" si="1"/>
        <v>0</v>
      </c>
      <c r="O57" s="125">
        <f>Valores!$C$9</f>
        <v>28480.68</v>
      </c>
      <c r="P57" s="125">
        <f>Valores!$D$5</f>
        <v>13153.38</v>
      </c>
      <c r="Q57" s="125">
        <f>Valores!$C$22</f>
        <v>11734.9</v>
      </c>
      <c r="R57" s="125">
        <f>IF($F$4="NO",Valores!$C$44,Valores!$C$44/2)</f>
        <v>4967.105</v>
      </c>
      <c r="S57" s="125">
        <f>Valores!$C$19</f>
        <v>12239.42</v>
      </c>
      <c r="T57" s="125">
        <f t="shared" si="7"/>
        <v>12239.42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Valores!$C$94</f>
        <v>6913.05</v>
      </c>
      <c r="AA57" s="125">
        <f>Valores!$C$25</f>
        <v>537.98</v>
      </c>
      <c r="AB57" s="214">
        <v>0</v>
      </c>
      <c r="AC57" s="125">
        <f t="shared" si="2"/>
        <v>0</v>
      </c>
      <c r="AD57" s="125">
        <f>Valores!$C$26</f>
        <v>537.98</v>
      </c>
      <c r="AE57" s="192">
        <v>0</v>
      </c>
      <c r="AF57" s="125">
        <f>ROUND(AE57*Valores!$C$2,2)</f>
        <v>0</v>
      </c>
      <c r="AG57" s="125">
        <f>ROUND(IF($F$4="NO",Valores!$C$62,Valores!$C$62/2),2)</f>
        <v>3203.47</v>
      </c>
      <c r="AH57" s="125">
        <f t="shared" si="5"/>
        <v>162466.44500000004</v>
      </c>
      <c r="AI57" s="125">
        <f>Valores!$C$31</f>
        <v>0</v>
      </c>
      <c r="AJ57" s="125">
        <f>Valores!$C$87</f>
        <v>0</v>
      </c>
      <c r="AK57" s="125">
        <f>Valores!C$38*B57</f>
        <v>0</v>
      </c>
      <c r="AL57" s="125">
        <f>IF($F$3="NO",0,Valores!$C$55)</f>
        <v>170.34</v>
      </c>
      <c r="AM57" s="125">
        <f t="shared" si="3"/>
        <v>170.34</v>
      </c>
      <c r="AN57" s="125">
        <f>AH57*Valores!$C$70</f>
        <v>-17871.308950000002</v>
      </c>
      <c r="AO57" s="125">
        <f>AH57*-Valores!$C$71</f>
        <v>0</v>
      </c>
      <c r="AP57" s="125">
        <f>AH57*Valores!$C$72</f>
        <v>-7310.990025000001</v>
      </c>
      <c r="AQ57" s="125">
        <f>Valores!$C$99</f>
        <v>-280.91</v>
      </c>
      <c r="AR57" s="125">
        <f>IF($F$5=0,Valores!$C$100,(Valores!$C$100+$F$5*(Valores!$C$100)))</f>
        <v>-329</v>
      </c>
      <c r="AS57" s="125">
        <f t="shared" si="6"/>
        <v>136844.57602500005</v>
      </c>
      <c r="AT57" s="125">
        <f t="shared" si="0"/>
        <v>-17871.308950000002</v>
      </c>
      <c r="AU57" s="125">
        <f>AH57*Valores!$C$73</f>
        <v>-4386.594015000001</v>
      </c>
      <c r="AV57" s="125">
        <f>AH57*Valores!$C$74</f>
        <v>-487.3993350000001</v>
      </c>
      <c r="AW57" s="125">
        <f t="shared" si="4"/>
        <v>139891.48270000002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2290.01</v>
      </c>
      <c r="G58" s="192">
        <v>2551</v>
      </c>
      <c r="H58" s="125">
        <f>ROUND(G58*Valores!$C$2,2)</f>
        <v>65638.25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12770.22</v>
      </c>
      <c r="N58" s="125">
        <f t="shared" si="1"/>
        <v>0</v>
      </c>
      <c r="O58" s="125">
        <f>Valores!$C$9</f>
        <v>28480.68</v>
      </c>
      <c r="P58" s="125">
        <f>Valores!$D$5</f>
        <v>13153.38</v>
      </c>
      <c r="Q58" s="125">
        <f>Valores!$C$22</f>
        <v>11734.9</v>
      </c>
      <c r="R58" s="125">
        <f>IF($F$4="NO",Valores!$C$44,Valores!$C$44/2)</f>
        <v>4967.105</v>
      </c>
      <c r="S58" s="125">
        <f>Valores!$C$19</f>
        <v>12239.42</v>
      </c>
      <c r="T58" s="125">
        <f t="shared" si="7"/>
        <v>12239.42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Valores!$C$94</f>
        <v>6913.05</v>
      </c>
      <c r="AA58" s="125">
        <f>Valores!$C$25</f>
        <v>537.98</v>
      </c>
      <c r="AB58" s="214">
        <v>0</v>
      </c>
      <c r="AC58" s="125">
        <f t="shared" si="2"/>
        <v>0</v>
      </c>
      <c r="AD58" s="125">
        <f>Valores!$C$26</f>
        <v>537.98</v>
      </c>
      <c r="AE58" s="192">
        <v>94</v>
      </c>
      <c r="AF58" s="125">
        <f>ROUND(AE58*Valores!$C$2,2)</f>
        <v>2418.66</v>
      </c>
      <c r="AG58" s="125">
        <f>ROUND(IF($F$4="NO",Valores!$C$62,Valores!$C$62/2),2)</f>
        <v>3203.47</v>
      </c>
      <c r="AH58" s="125">
        <f t="shared" si="5"/>
        <v>164885.10500000004</v>
      </c>
      <c r="AI58" s="125">
        <f>Valores!$C$31</f>
        <v>0</v>
      </c>
      <c r="AJ58" s="125">
        <f>Valores!$C$87</f>
        <v>0</v>
      </c>
      <c r="AK58" s="125">
        <f>Valores!C$38*B58</f>
        <v>0</v>
      </c>
      <c r="AL58" s="125">
        <f>IF($F$3="NO",0,Valores!$C$55)</f>
        <v>170.34</v>
      </c>
      <c r="AM58" s="125">
        <f t="shared" si="3"/>
        <v>170.34</v>
      </c>
      <c r="AN58" s="125">
        <f>AH58*Valores!$C$70</f>
        <v>-18137.361550000005</v>
      </c>
      <c r="AO58" s="125">
        <f>AH58*-Valores!$C$71</f>
        <v>0</v>
      </c>
      <c r="AP58" s="125">
        <f>AH58*Valores!$C$72</f>
        <v>-7419.829725000001</v>
      </c>
      <c r="AQ58" s="125">
        <f>Valores!$C$99</f>
        <v>-280.91</v>
      </c>
      <c r="AR58" s="125">
        <f>IF($F$5=0,Valores!$C$100,(Valores!$C$100+$F$5*(Valores!$C$100)))</f>
        <v>-329</v>
      </c>
      <c r="AS58" s="125">
        <f t="shared" si="6"/>
        <v>138888.34372500004</v>
      </c>
      <c r="AT58" s="125">
        <f t="shared" si="0"/>
        <v>-18137.361550000005</v>
      </c>
      <c r="AU58" s="125">
        <f>AH58*Valores!$C$73</f>
        <v>-4451.897835000001</v>
      </c>
      <c r="AV58" s="125">
        <f>AH58*Valores!$C$74</f>
        <v>-494.65531500000014</v>
      </c>
      <c r="AW58" s="125">
        <f t="shared" si="4"/>
        <v>141971.53030000004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2290.01</v>
      </c>
      <c r="G59" s="192">
        <v>2251</v>
      </c>
      <c r="H59" s="125">
        <f>ROUND(G59*Valores!$C$2,2)</f>
        <v>57919.13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11612.35</v>
      </c>
      <c r="N59" s="125">
        <f t="shared" si="1"/>
        <v>0</v>
      </c>
      <c r="O59" s="125">
        <f>Valores!$C$9</f>
        <v>28480.68</v>
      </c>
      <c r="P59" s="125">
        <f>Valores!$D$5</f>
        <v>13153.38</v>
      </c>
      <c r="Q59" s="125">
        <f>Valores!$C$22</f>
        <v>11734.9</v>
      </c>
      <c r="R59" s="125">
        <f>IF($F$4="NO",Valores!$C$44,Valores!$C$44/2)</f>
        <v>4967.105</v>
      </c>
      <c r="S59" s="125">
        <f>Valores!$C$19</f>
        <v>12239.42</v>
      </c>
      <c r="T59" s="125">
        <f t="shared" si="7"/>
        <v>12239.42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Valores!$C$94</f>
        <v>6913.05</v>
      </c>
      <c r="AA59" s="125">
        <f>Valores!$C$25</f>
        <v>537.98</v>
      </c>
      <c r="AB59" s="214">
        <v>0</v>
      </c>
      <c r="AC59" s="125">
        <f t="shared" si="2"/>
        <v>0</v>
      </c>
      <c r="AD59" s="125">
        <f>Valores!$C$26</f>
        <v>537.98</v>
      </c>
      <c r="AE59" s="192">
        <v>0</v>
      </c>
      <c r="AF59" s="125">
        <f>ROUND(AE59*Valores!$C$2,2)</f>
        <v>0</v>
      </c>
      <c r="AG59" s="125">
        <f>ROUND(IF($F$4="NO",Valores!$C$62,Valores!$C$62/2),2)</f>
        <v>3203.47</v>
      </c>
      <c r="AH59" s="125">
        <f t="shared" si="5"/>
        <v>153589.45500000002</v>
      </c>
      <c r="AI59" s="125">
        <f>Valores!$C$31</f>
        <v>0</v>
      </c>
      <c r="AJ59" s="125">
        <f>Valores!$C$87</f>
        <v>0</v>
      </c>
      <c r="AK59" s="125">
        <f>Valores!C$38*B59</f>
        <v>0</v>
      </c>
      <c r="AL59" s="125">
        <f>IF($F$3="NO",0,Valores!$C$55)</f>
        <v>170.34</v>
      </c>
      <c r="AM59" s="125">
        <f t="shared" si="3"/>
        <v>170.34</v>
      </c>
      <c r="AN59" s="125">
        <f>AH59*Valores!$C$70</f>
        <v>-16894.840050000003</v>
      </c>
      <c r="AO59" s="125">
        <f>AH59*-Valores!$C$71</f>
        <v>0</v>
      </c>
      <c r="AP59" s="125">
        <f>AH59*Valores!$C$72</f>
        <v>-6911.525475</v>
      </c>
      <c r="AQ59" s="125">
        <f>Valores!$C$99</f>
        <v>-280.91</v>
      </c>
      <c r="AR59" s="125">
        <f>IF($F$5=0,Valores!$C$100,(Valores!$C$100+$F$5*(Valores!$C$100)))</f>
        <v>-329</v>
      </c>
      <c r="AS59" s="125">
        <f t="shared" si="6"/>
        <v>129343.51947500001</v>
      </c>
      <c r="AT59" s="125">
        <f t="shared" si="0"/>
        <v>-16894.840050000003</v>
      </c>
      <c r="AU59" s="125">
        <f>AH59*Valores!$C$73</f>
        <v>-4146.915285</v>
      </c>
      <c r="AV59" s="125">
        <f>AH59*Valores!$C$74</f>
        <v>-460.7683650000001</v>
      </c>
      <c r="AW59" s="125">
        <f t="shared" si="4"/>
        <v>132257.27130000002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2187.08</v>
      </c>
      <c r="G60" s="192">
        <v>2255</v>
      </c>
      <c r="H60" s="125">
        <f>ROUND(G60*Valores!$C$2,2)</f>
        <v>58022.05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11612.35</v>
      </c>
      <c r="N60" s="125">
        <f t="shared" si="1"/>
        <v>0</v>
      </c>
      <c r="O60" s="125">
        <f>Valores!$C$9</f>
        <v>28480.68</v>
      </c>
      <c r="P60" s="125">
        <f>Valores!$D$5</f>
        <v>13153.38</v>
      </c>
      <c r="Q60" s="125">
        <f>Valores!$C$22</f>
        <v>11734.9</v>
      </c>
      <c r="R60" s="125">
        <f>IF($F$4="NO",Valores!$C$44,Valores!$C$44/2)</f>
        <v>4967.105</v>
      </c>
      <c r="S60" s="125">
        <f>Valores!$C$19</f>
        <v>12239.42</v>
      </c>
      <c r="T60" s="125">
        <f t="shared" si="7"/>
        <v>12239.42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Valores!$C$94</f>
        <v>6913.05</v>
      </c>
      <c r="AA60" s="125">
        <f>Valores!$C$25</f>
        <v>537.98</v>
      </c>
      <c r="AB60" s="214">
        <v>0</v>
      </c>
      <c r="AC60" s="125">
        <f t="shared" si="2"/>
        <v>0</v>
      </c>
      <c r="AD60" s="125">
        <f>Valores!$C$26</f>
        <v>537.98</v>
      </c>
      <c r="AE60" s="192">
        <v>94</v>
      </c>
      <c r="AF60" s="125">
        <f>ROUND(AE60*Valores!$C$2,2)</f>
        <v>2418.66</v>
      </c>
      <c r="AG60" s="125">
        <f>ROUND(IF($F$4="NO",Valores!$C$62,Valores!$C$62/2),2)</f>
        <v>3203.47</v>
      </c>
      <c r="AH60" s="125">
        <f t="shared" si="5"/>
        <v>156008.105</v>
      </c>
      <c r="AI60" s="125">
        <f>Valores!$C$31</f>
        <v>0</v>
      </c>
      <c r="AJ60" s="125">
        <f>Valores!$C$87</f>
        <v>0</v>
      </c>
      <c r="AK60" s="125">
        <f>Valores!C$38*B60</f>
        <v>0</v>
      </c>
      <c r="AL60" s="125">
        <f>IF($F$3="NO",0,Valores!$C$55)</f>
        <v>170.34</v>
      </c>
      <c r="AM60" s="125">
        <f t="shared" si="3"/>
        <v>170.34</v>
      </c>
      <c r="AN60" s="125">
        <f>AH60*Valores!$C$70</f>
        <v>-17160.89155</v>
      </c>
      <c r="AO60" s="125">
        <f>AH60*-Valores!$C$71</f>
        <v>0</v>
      </c>
      <c r="AP60" s="125">
        <f>AH60*Valores!$C$72</f>
        <v>-7020.364725</v>
      </c>
      <c r="AQ60" s="125">
        <f>Valores!$C$99</f>
        <v>-280.91</v>
      </c>
      <c r="AR60" s="125">
        <f>IF($F$5=0,Valores!$C$100,(Valores!$C$100+$F$5*(Valores!$C$100)))</f>
        <v>-329</v>
      </c>
      <c r="AS60" s="125">
        <f t="shared" si="6"/>
        <v>131387.278725</v>
      </c>
      <c r="AT60" s="125">
        <f t="shared" si="0"/>
        <v>-17160.89155</v>
      </c>
      <c r="AU60" s="125">
        <f>AH60*Valores!$C$73</f>
        <v>-4212.218835000001</v>
      </c>
      <c r="AV60" s="125">
        <f>AH60*Valores!$C$74</f>
        <v>-468.02431500000006</v>
      </c>
      <c r="AW60" s="125">
        <f t="shared" si="4"/>
        <v>134337.3103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2573.04</v>
      </c>
      <c r="G61" s="192">
        <v>3180</v>
      </c>
      <c r="H61" s="125">
        <f>ROUND(G61*Valores!$C$2,2)</f>
        <v>81822.67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15394.75</v>
      </c>
      <c r="N61" s="125">
        <f t="shared" si="1"/>
        <v>0</v>
      </c>
      <c r="O61" s="125">
        <f>Valores!$C$9</f>
        <v>28480.68</v>
      </c>
      <c r="P61" s="125">
        <f>Valores!$D$5</f>
        <v>13153.38</v>
      </c>
      <c r="Q61" s="125">
        <f>Valores!$C$22</f>
        <v>11734.9</v>
      </c>
      <c r="R61" s="125">
        <f>IF($F$4="NO",Valores!$C$47,Valores!$C$47/2)</f>
        <v>5996.52</v>
      </c>
      <c r="S61" s="125">
        <f>Valores!$C$19</f>
        <v>12239.42</v>
      </c>
      <c r="T61" s="125">
        <f t="shared" si="7"/>
        <v>12239.42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Valores!$C$94</f>
        <v>6913.05</v>
      </c>
      <c r="AA61" s="125">
        <f>Valores!$C$25</f>
        <v>537.98</v>
      </c>
      <c r="AB61" s="214">
        <v>0</v>
      </c>
      <c r="AC61" s="125">
        <f t="shared" si="2"/>
        <v>0</v>
      </c>
      <c r="AD61" s="125">
        <f>Valores!$C$26</f>
        <v>537.98</v>
      </c>
      <c r="AE61" s="192">
        <v>0</v>
      </c>
      <c r="AF61" s="125">
        <f>ROUND(AE61*Valores!$C$2,2)</f>
        <v>0</v>
      </c>
      <c r="AG61" s="125">
        <f>ROUND(IF($F$4="NO",Valores!$C$62,Valores!$C$62/2),2)</f>
        <v>3203.47</v>
      </c>
      <c r="AH61" s="125">
        <f t="shared" si="5"/>
        <v>182587.84</v>
      </c>
      <c r="AI61" s="125">
        <f>Valores!$C$31</f>
        <v>0</v>
      </c>
      <c r="AJ61" s="125">
        <f>Valores!$C$87</f>
        <v>0</v>
      </c>
      <c r="AK61" s="125">
        <f>Valores!C$38*B61</f>
        <v>0</v>
      </c>
      <c r="AL61" s="125">
        <f>IF($F$3="NO",0,Valores!$C$55)</f>
        <v>170.34</v>
      </c>
      <c r="AM61" s="125">
        <f t="shared" si="3"/>
        <v>170.34</v>
      </c>
      <c r="AN61" s="125">
        <f>AH61*Valores!$C$70</f>
        <v>-20084.6624</v>
      </c>
      <c r="AO61" s="125">
        <f>AH61*-Valores!$C$71</f>
        <v>0</v>
      </c>
      <c r="AP61" s="125">
        <f>AH61*Valores!$C$72</f>
        <v>-8216.4528</v>
      </c>
      <c r="AQ61" s="125">
        <f>Valores!$C$99</f>
        <v>-280.91</v>
      </c>
      <c r="AR61" s="125">
        <f>IF($F$5=0,Valores!$C$100,(Valores!$C$100+$F$5*(Valores!$C$100)))</f>
        <v>-329</v>
      </c>
      <c r="AS61" s="125">
        <f t="shared" si="6"/>
        <v>153847.1548</v>
      </c>
      <c r="AT61" s="125">
        <f t="shared" si="0"/>
        <v>-20084.6624</v>
      </c>
      <c r="AU61" s="125">
        <f>AH61*Valores!$C$73</f>
        <v>-4929.87168</v>
      </c>
      <c r="AV61" s="125">
        <f>AH61*Valores!$C$74</f>
        <v>-547.76352</v>
      </c>
      <c r="AW61" s="125">
        <f t="shared" si="4"/>
        <v>157195.8824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2135.62</v>
      </c>
      <c r="G62" s="192">
        <v>2352</v>
      </c>
      <c r="H62" s="125">
        <f>ROUND(G62*Valores!$C$2,2)</f>
        <v>60517.9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11979.01</v>
      </c>
      <c r="N62" s="125">
        <f t="shared" si="1"/>
        <v>0</v>
      </c>
      <c r="O62" s="125">
        <f>Valores!$C$9</f>
        <v>28480.68</v>
      </c>
      <c r="P62" s="125">
        <f>Valores!$D$5</f>
        <v>13153.38</v>
      </c>
      <c r="Q62" s="125">
        <f>Valores!$C$22</f>
        <v>11734.9</v>
      </c>
      <c r="R62" s="125">
        <f>IF($F$4="NO",Valores!$C$44,Valores!$C$44/2)</f>
        <v>4967.105</v>
      </c>
      <c r="S62" s="125">
        <f>Valores!$C$19</f>
        <v>12239.42</v>
      </c>
      <c r="T62" s="125">
        <f t="shared" si="7"/>
        <v>12239.42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Valores!$C$94</f>
        <v>6913.05</v>
      </c>
      <c r="AA62" s="125">
        <f>Valores!$C$25</f>
        <v>537.98</v>
      </c>
      <c r="AB62" s="214">
        <v>0</v>
      </c>
      <c r="AC62" s="125">
        <f t="shared" si="2"/>
        <v>0</v>
      </c>
      <c r="AD62" s="125">
        <f>Valores!$C$26</f>
        <v>537.98</v>
      </c>
      <c r="AE62" s="192">
        <v>0</v>
      </c>
      <c r="AF62" s="125">
        <f>ROUND(AE62*Valores!$C$2,2)</f>
        <v>0</v>
      </c>
      <c r="AG62" s="125">
        <f>ROUND(IF($F$4="NO",Valores!$C$62,Valores!$C$62/2),2)</f>
        <v>3203.47</v>
      </c>
      <c r="AH62" s="125">
        <f t="shared" si="5"/>
        <v>156400.49500000002</v>
      </c>
      <c r="AI62" s="125">
        <f>Valores!$C$31</f>
        <v>0</v>
      </c>
      <c r="AJ62" s="125">
        <f>Valores!$C$87</f>
        <v>0</v>
      </c>
      <c r="AK62" s="125">
        <f>Valores!C$38*B62</f>
        <v>0</v>
      </c>
      <c r="AL62" s="125">
        <f>IF($F$3="NO",0,Valores!$C$55)</f>
        <v>170.34</v>
      </c>
      <c r="AM62" s="125">
        <f t="shared" si="3"/>
        <v>170.34</v>
      </c>
      <c r="AN62" s="125">
        <f>AH62*Valores!$C$70</f>
        <v>-17204.054450000003</v>
      </c>
      <c r="AO62" s="125">
        <f>AH62*-Valores!$C$71</f>
        <v>0</v>
      </c>
      <c r="AP62" s="125">
        <f>AH62*Valores!$C$72</f>
        <v>-7038.022275000001</v>
      </c>
      <c r="AQ62" s="125">
        <f>Valores!$C$99</f>
        <v>-280.91</v>
      </c>
      <c r="AR62" s="125">
        <f>IF($F$5=0,Valores!$C$100,(Valores!$C$100+$F$5*(Valores!$C$100)))</f>
        <v>-329</v>
      </c>
      <c r="AS62" s="125">
        <f t="shared" si="6"/>
        <v>131718.84827500003</v>
      </c>
      <c r="AT62" s="125">
        <f t="shared" si="0"/>
        <v>-17204.054450000003</v>
      </c>
      <c r="AU62" s="125">
        <f>AH62*Valores!$C$73</f>
        <v>-4222.813365000001</v>
      </c>
      <c r="AV62" s="125">
        <f>AH62*Valores!$C$74</f>
        <v>-469.2014850000001</v>
      </c>
      <c r="AW62" s="125">
        <f t="shared" si="4"/>
        <v>134674.76570000002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2084.16</v>
      </c>
      <c r="G63" s="192">
        <v>2354</v>
      </c>
      <c r="H63" s="125">
        <f>ROUND(G63*Valores!$C$2,2)</f>
        <v>60569.36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11979.01</v>
      </c>
      <c r="N63" s="125">
        <f t="shared" si="1"/>
        <v>0</v>
      </c>
      <c r="O63" s="125">
        <f>Valores!$C$9</f>
        <v>28480.68</v>
      </c>
      <c r="P63" s="125">
        <f>Valores!$D$5</f>
        <v>13153.38</v>
      </c>
      <c r="Q63" s="125">
        <f>Valores!$C$22</f>
        <v>11734.9</v>
      </c>
      <c r="R63" s="125">
        <f>IF($F$4="NO",Valores!$C$44,Valores!$C$44/2)</f>
        <v>4967.105</v>
      </c>
      <c r="S63" s="125">
        <f>Valores!$C$19</f>
        <v>12239.42</v>
      </c>
      <c r="T63" s="125">
        <f t="shared" si="7"/>
        <v>12239.42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Valores!$C$94</f>
        <v>6913.05</v>
      </c>
      <c r="AA63" s="125">
        <f>Valores!$C$25</f>
        <v>537.98</v>
      </c>
      <c r="AB63" s="214">
        <v>0</v>
      </c>
      <c r="AC63" s="125">
        <f t="shared" si="2"/>
        <v>0</v>
      </c>
      <c r="AD63" s="125">
        <f>Valores!$C$26</f>
        <v>537.98</v>
      </c>
      <c r="AE63" s="192">
        <v>94</v>
      </c>
      <c r="AF63" s="125">
        <f>ROUND(AE63*Valores!$C$2,2)</f>
        <v>2418.66</v>
      </c>
      <c r="AG63" s="125">
        <f>ROUND(IF($F$4="NO",Valores!$C$62,Valores!$C$62/2),2)</f>
        <v>3203.47</v>
      </c>
      <c r="AH63" s="125">
        <f t="shared" si="5"/>
        <v>158819.15500000003</v>
      </c>
      <c r="AI63" s="125">
        <f>Valores!$C$31</f>
        <v>0</v>
      </c>
      <c r="AJ63" s="125">
        <f>Valores!$C$87</f>
        <v>0</v>
      </c>
      <c r="AK63" s="125">
        <f>Valores!C$38*B63</f>
        <v>0</v>
      </c>
      <c r="AL63" s="125">
        <f>IF($F$3="NO",0,Valores!$C$55)</f>
        <v>170.34</v>
      </c>
      <c r="AM63" s="125">
        <f t="shared" si="3"/>
        <v>170.34</v>
      </c>
      <c r="AN63" s="125">
        <f>AH63*Valores!$C$70</f>
        <v>-17470.107050000002</v>
      </c>
      <c r="AO63" s="125">
        <f>AH63*-Valores!$C$71</f>
        <v>0</v>
      </c>
      <c r="AP63" s="125">
        <f>AH63*Valores!$C$72</f>
        <v>-7146.861975000001</v>
      </c>
      <c r="AQ63" s="125">
        <f>Valores!$C$99</f>
        <v>-280.91</v>
      </c>
      <c r="AR63" s="125">
        <f>IF($F$5=0,Valores!$C$100,(Valores!$C$100+$F$5*(Valores!$C$100)))</f>
        <v>-329</v>
      </c>
      <c r="AS63" s="125">
        <f t="shared" si="6"/>
        <v>133762.61597500002</v>
      </c>
      <c r="AT63" s="125">
        <f t="shared" si="0"/>
        <v>-17470.107050000002</v>
      </c>
      <c r="AU63" s="125">
        <f>AH63*Valores!$C$73</f>
        <v>-4288.117185000001</v>
      </c>
      <c r="AV63" s="125">
        <f>AH63*Valores!$C$74</f>
        <v>-476.45746500000007</v>
      </c>
      <c r="AW63" s="125">
        <f t="shared" si="4"/>
        <v>136754.81330000004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2084.16</v>
      </c>
      <c r="G64" s="192">
        <v>2094</v>
      </c>
      <c r="H64" s="125">
        <f>ROUND(G64*Valores!$C$2,2)</f>
        <v>53879.46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10975.52</v>
      </c>
      <c r="N64" s="125">
        <f t="shared" si="1"/>
        <v>0</v>
      </c>
      <c r="O64" s="125">
        <f>Valores!$C$9</f>
        <v>28480.68</v>
      </c>
      <c r="P64" s="125">
        <f>Valores!$D$5</f>
        <v>13153.38</v>
      </c>
      <c r="Q64" s="125">
        <f>Valores!$C$22</f>
        <v>11734.9</v>
      </c>
      <c r="R64" s="125">
        <f>IF($F$4="NO",Valores!$C$44,Valores!$C$44/2)</f>
        <v>4967.105</v>
      </c>
      <c r="S64" s="125">
        <f>Valores!$C$19</f>
        <v>12239.42</v>
      </c>
      <c r="T64" s="125">
        <f t="shared" si="7"/>
        <v>12239.42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Valores!$C$94</f>
        <v>6913.05</v>
      </c>
      <c r="AA64" s="125">
        <f>Valores!$C$25</f>
        <v>537.98</v>
      </c>
      <c r="AB64" s="214">
        <v>0</v>
      </c>
      <c r="AC64" s="125">
        <f t="shared" si="2"/>
        <v>0</v>
      </c>
      <c r="AD64" s="125">
        <f>Valores!$C$26</f>
        <v>537.98</v>
      </c>
      <c r="AE64" s="192">
        <v>0</v>
      </c>
      <c r="AF64" s="125">
        <f>ROUND(AE64*Valores!$C$2,2)</f>
        <v>0</v>
      </c>
      <c r="AG64" s="125">
        <f>ROUND(IF($F$4="NO",Valores!$C$62,Valores!$C$62/2),2)</f>
        <v>3203.47</v>
      </c>
      <c r="AH64" s="125">
        <f t="shared" si="5"/>
        <v>148707.105</v>
      </c>
      <c r="AI64" s="125">
        <f>Valores!$C$31</f>
        <v>0</v>
      </c>
      <c r="AJ64" s="125">
        <f>Valores!$C$87</f>
        <v>0</v>
      </c>
      <c r="AK64" s="125">
        <f>Valores!C$38*B64</f>
        <v>0</v>
      </c>
      <c r="AL64" s="125">
        <f>IF($F$3="NO",0,Valores!$C$55)</f>
        <v>170.34</v>
      </c>
      <c r="AM64" s="125">
        <f t="shared" si="3"/>
        <v>170.34</v>
      </c>
      <c r="AN64" s="125">
        <f>AH64*Valores!$C$70</f>
        <v>-16357.781550000002</v>
      </c>
      <c r="AO64" s="125">
        <f>AH64*-Valores!$C$71</f>
        <v>0</v>
      </c>
      <c r="AP64" s="125">
        <f>AH64*Valores!$C$72</f>
        <v>-6691.819725</v>
      </c>
      <c r="AQ64" s="125">
        <f>Valores!$C$99</f>
        <v>-280.91</v>
      </c>
      <c r="AR64" s="125">
        <f>IF($F$5=0,Valores!$C$100,(Valores!$C$100+$F$5*(Valores!$C$100)))</f>
        <v>-329</v>
      </c>
      <c r="AS64" s="125">
        <f t="shared" si="6"/>
        <v>125217.93372500001</v>
      </c>
      <c r="AT64" s="125">
        <f t="shared" si="0"/>
        <v>-16357.781550000002</v>
      </c>
      <c r="AU64" s="125">
        <f>AH64*Valores!$C$73</f>
        <v>-4015.091835</v>
      </c>
      <c r="AV64" s="125">
        <f>AH64*Valores!$C$74</f>
        <v>-446.12131500000004</v>
      </c>
      <c r="AW64" s="125">
        <f t="shared" si="4"/>
        <v>128058.4503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2058.43</v>
      </c>
      <c r="G65" s="192">
        <v>2095</v>
      </c>
      <c r="H65" s="125">
        <f>ROUND(G65*Valores!$C$2,2)</f>
        <v>53905.19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10975.52</v>
      </c>
      <c r="N65" s="125">
        <f t="shared" si="1"/>
        <v>0</v>
      </c>
      <c r="O65" s="125">
        <f>Valores!$C$9</f>
        <v>28480.68</v>
      </c>
      <c r="P65" s="125">
        <f>Valores!$D$5</f>
        <v>13153.38</v>
      </c>
      <c r="Q65" s="125">
        <f>Valores!$C$22</f>
        <v>11734.9</v>
      </c>
      <c r="R65" s="125">
        <f>IF($F$4="NO",Valores!$C$44,Valores!$C$44/2)</f>
        <v>4967.105</v>
      </c>
      <c r="S65" s="125">
        <f>Valores!$C$19</f>
        <v>12239.42</v>
      </c>
      <c r="T65" s="125">
        <f t="shared" si="7"/>
        <v>12239.42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Valores!$C$94</f>
        <v>6913.05</v>
      </c>
      <c r="AA65" s="125">
        <f>Valores!$C$25</f>
        <v>537.98</v>
      </c>
      <c r="AB65" s="214">
        <v>0</v>
      </c>
      <c r="AC65" s="125">
        <f t="shared" si="2"/>
        <v>0</v>
      </c>
      <c r="AD65" s="125">
        <f>Valores!$C$26</f>
        <v>537.98</v>
      </c>
      <c r="AE65" s="192">
        <v>94</v>
      </c>
      <c r="AF65" s="125">
        <f>ROUND(AE65*Valores!$C$2,2)</f>
        <v>2418.66</v>
      </c>
      <c r="AG65" s="125">
        <f>ROUND(IF($F$4="NO",Valores!$C$62,Valores!$C$62/2),2)</f>
        <v>3203.47</v>
      </c>
      <c r="AH65" s="125">
        <f t="shared" si="5"/>
        <v>151125.765</v>
      </c>
      <c r="AI65" s="125">
        <f>Valores!$C$31</f>
        <v>0</v>
      </c>
      <c r="AJ65" s="125">
        <f>Valores!$C$87</f>
        <v>0</v>
      </c>
      <c r="AK65" s="125">
        <f>Valores!C$38*B65</f>
        <v>0</v>
      </c>
      <c r="AL65" s="125">
        <f>IF($F$3="NO",0,Valores!$C$55)</f>
        <v>170.34</v>
      </c>
      <c r="AM65" s="125">
        <f t="shared" si="3"/>
        <v>170.34</v>
      </c>
      <c r="AN65" s="125">
        <f>AH65*Valores!$C$70</f>
        <v>-16623.834150000002</v>
      </c>
      <c r="AO65" s="125">
        <f>AH65*-Valores!$C$71</f>
        <v>0</v>
      </c>
      <c r="AP65" s="125">
        <f>AH65*Valores!$C$72</f>
        <v>-6800.659425000001</v>
      </c>
      <c r="AQ65" s="125">
        <f>Valores!$C$99</f>
        <v>-280.91</v>
      </c>
      <c r="AR65" s="125">
        <f>IF($F$5=0,Valores!$C$100,(Valores!$C$100+$F$5*(Valores!$C$100)))</f>
        <v>-329</v>
      </c>
      <c r="AS65" s="125">
        <f t="shared" si="6"/>
        <v>127261.701425</v>
      </c>
      <c r="AT65" s="125">
        <f t="shared" si="0"/>
        <v>-16623.834150000002</v>
      </c>
      <c r="AU65" s="125">
        <f>AH65*Valores!$C$73</f>
        <v>-4080.3956550000003</v>
      </c>
      <c r="AV65" s="125">
        <f>AH65*Valores!$C$74</f>
        <v>-453.37729500000006</v>
      </c>
      <c r="AW65" s="125">
        <f t="shared" si="4"/>
        <v>130138.49790000002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2032.7</v>
      </c>
      <c r="G66" s="192">
        <v>1944</v>
      </c>
      <c r="H66" s="125">
        <f>ROUND(G66*Valores!$C$2,2)</f>
        <v>50019.9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10388.87</v>
      </c>
      <c r="N66" s="125">
        <f t="shared" si="1"/>
        <v>0</v>
      </c>
      <c r="O66" s="125">
        <f>Valores!$C$9</f>
        <v>28480.68</v>
      </c>
      <c r="P66" s="125">
        <f>Valores!$D$5</f>
        <v>13153.38</v>
      </c>
      <c r="Q66" s="125">
        <f>Valores!$C$22</f>
        <v>11734.9</v>
      </c>
      <c r="R66" s="125">
        <f>IF($F$4="NO",Valores!$C$44,Valores!$C$44/2)</f>
        <v>4967.105</v>
      </c>
      <c r="S66" s="125">
        <f>Valores!$C$19</f>
        <v>12239.42</v>
      </c>
      <c r="T66" s="125">
        <f t="shared" si="7"/>
        <v>12239.42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Valores!$C$94</f>
        <v>6913.05</v>
      </c>
      <c r="AA66" s="125">
        <f>Valores!$C$25</f>
        <v>537.98</v>
      </c>
      <c r="AB66" s="214">
        <v>0</v>
      </c>
      <c r="AC66" s="125">
        <f t="shared" si="2"/>
        <v>0</v>
      </c>
      <c r="AD66" s="125">
        <f>Valores!$C$26</f>
        <v>537.98</v>
      </c>
      <c r="AE66" s="192">
        <v>0</v>
      </c>
      <c r="AF66" s="125">
        <f>ROUND(AE66*Valores!$C$2,2)</f>
        <v>0</v>
      </c>
      <c r="AG66" s="125">
        <f>ROUND(IF($F$4="NO",Valores!$C$62,Valores!$C$62/2),2)</f>
        <v>3203.47</v>
      </c>
      <c r="AH66" s="125">
        <f t="shared" si="5"/>
        <v>144209.435</v>
      </c>
      <c r="AI66" s="125">
        <f>Valores!$C$31</f>
        <v>0</v>
      </c>
      <c r="AJ66" s="125">
        <f>Valores!$C$87</f>
        <v>0</v>
      </c>
      <c r="AK66" s="125">
        <f>Valores!C$38*B66</f>
        <v>0</v>
      </c>
      <c r="AL66" s="125">
        <f>IF($F$3="NO",0,Valores!$C$55)</f>
        <v>170.34</v>
      </c>
      <c r="AM66" s="125">
        <f t="shared" si="3"/>
        <v>170.34</v>
      </c>
      <c r="AN66" s="125">
        <f>AH66*Valores!$C$70</f>
        <v>-15863.03785</v>
      </c>
      <c r="AO66" s="125">
        <f>AH66*-Valores!$C$71</f>
        <v>0</v>
      </c>
      <c r="AP66" s="125">
        <f>AH66*Valores!$C$72</f>
        <v>-6489.424575</v>
      </c>
      <c r="AQ66" s="125">
        <f>Valores!$C$99</f>
        <v>-280.91</v>
      </c>
      <c r="AR66" s="125">
        <f>IF($F$5=0,Valores!$C$100,(Valores!$C$100+$F$5*(Valores!$C$100)))</f>
        <v>-329</v>
      </c>
      <c r="AS66" s="125">
        <f t="shared" si="6"/>
        <v>121417.402575</v>
      </c>
      <c r="AT66" s="125">
        <f t="shared" si="0"/>
        <v>-15863.03785</v>
      </c>
      <c r="AU66" s="125">
        <f>AH66*Valores!$C$73</f>
        <v>-3893.654745</v>
      </c>
      <c r="AV66" s="125">
        <f>AH66*Valores!$C$74</f>
        <v>-432.628305</v>
      </c>
      <c r="AW66" s="125">
        <f t="shared" si="4"/>
        <v>124190.4541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2032.7</v>
      </c>
      <c r="G67" s="192">
        <v>1944</v>
      </c>
      <c r="H67" s="125">
        <f>ROUND(G67*Valores!$C$2,2)</f>
        <v>50019.9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10388.87</v>
      </c>
      <c r="N67" s="125">
        <f t="shared" si="1"/>
        <v>0</v>
      </c>
      <c r="O67" s="125">
        <f>Valores!$C$9</f>
        <v>28480.68</v>
      </c>
      <c r="P67" s="125">
        <f>Valores!$D$5</f>
        <v>13153.38</v>
      </c>
      <c r="Q67" s="125">
        <f>Valores!$C$22</f>
        <v>11734.9</v>
      </c>
      <c r="R67" s="125">
        <f>IF($F$4="NO",Valores!$C$44,Valores!$C$44/2)</f>
        <v>4967.105</v>
      </c>
      <c r="S67" s="125">
        <f>Valores!$C$19</f>
        <v>12239.42</v>
      </c>
      <c r="T67" s="125">
        <f t="shared" si="7"/>
        <v>12239.42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Valores!$C$94</f>
        <v>6913.05</v>
      </c>
      <c r="AA67" s="125">
        <f>Valores!$C$25</f>
        <v>537.98</v>
      </c>
      <c r="AB67" s="214">
        <v>0</v>
      </c>
      <c r="AC67" s="125">
        <f t="shared" si="2"/>
        <v>0</v>
      </c>
      <c r="AD67" s="125">
        <f>Valores!$C$26</f>
        <v>537.98</v>
      </c>
      <c r="AE67" s="192">
        <v>94</v>
      </c>
      <c r="AF67" s="125">
        <f>ROUND(AE67*Valores!$C$2,2)</f>
        <v>2418.66</v>
      </c>
      <c r="AG67" s="125">
        <f>ROUND(IF($F$4="NO",Valores!$C$62,Valores!$C$62/2),2)</f>
        <v>3203.47</v>
      </c>
      <c r="AH67" s="125">
        <f t="shared" si="5"/>
        <v>146628.095</v>
      </c>
      <c r="AI67" s="125">
        <f>Valores!$C$31</f>
        <v>0</v>
      </c>
      <c r="AJ67" s="125">
        <f>Valores!$C$87</f>
        <v>0</v>
      </c>
      <c r="AK67" s="125">
        <f>Valores!C$38*B67</f>
        <v>0</v>
      </c>
      <c r="AL67" s="125">
        <f>IF($F$3="NO",0,Valores!$C$55)</f>
        <v>170.34</v>
      </c>
      <c r="AM67" s="125">
        <f t="shared" si="3"/>
        <v>170.34</v>
      </c>
      <c r="AN67" s="125">
        <f>AH67*Valores!$C$70</f>
        <v>-16129.09045</v>
      </c>
      <c r="AO67" s="125">
        <f>AH67*-Valores!$C$71</f>
        <v>0</v>
      </c>
      <c r="AP67" s="125">
        <f>AH67*Valores!$C$72</f>
        <v>-6598.2642749999995</v>
      </c>
      <c r="AQ67" s="125">
        <f>Valores!$C$99</f>
        <v>-280.91</v>
      </c>
      <c r="AR67" s="125">
        <f>IF($F$5=0,Valores!$C$100,(Valores!$C$100+$F$5*(Valores!$C$100)))</f>
        <v>-329</v>
      </c>
      <c r="AS67" s="125">
        <f t="shared" si="6"/>
        <v>123461.170275</v>
      </c>
      <c r="AT67" s="125">
        <f t="shared" si="0"/>
        <v>-16129.09045</v>
      </c>
      <c r="AU67" s="125">
        <f>AH67*Valores!$C$73</f>
        <v>-3958.958565</v>
      </c>
      <c r="AV67" s="125">
        <f>AH67*Valores!$C$74</f>
        <v>-439.88428500000003</v>
      </c>
      <c r="AW67" s="125">
        <f t="shared" si="4"/>
        <v>126270.5017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2573.04</v>
      </c>
      <c r="G68" s="192">
        <v>2864</v>
      </c>
      <c r="H68" s="125">
        <f>ROUND(G68*Valores!$C$2,2)</f>
        <v>73691.87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13980.33</v>
      </c>
      <c r="N68" s="125">
        <f t="shared" si="1"/>
        <v>0</v>
      </c>
      <c r="O68" s="125">
        <f>Valores!$C$9</f>
        <v>28480.68</v>
      </c>
      <c r="P68" s="125">
        <f>Valores!$D$5</f>
        <v>13153.38</v>
      </c>
      <c r="Q68" s="125">
        <v>0</v>
      </c>
      <c r="R68" s="125">
        <f>IF($F$4="NO",Valores!$C$43,Valores!$C$43/2)</f>
        <v>4697.875</v>
      </c>
      <c r="S68" s="125">
        <f>Valores!$C$19</f>
        <v>12239.42</v>
      </c>
      <c r="T68" s="125">
        <f t="shared" si="7"/>
        <v>12239.42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Valores!$C$93</f>
        <v>5760.87</v>
      </c>
      <c r="AA68" s="125">
        <f>Valores!$C$25</f>
        <v>537.98</v>
      </c>
      <c r="AB68" s="214">
        <v>0</v>
      </c>
      <c r="AC68" s="125">
        <f t="shared" si="2"/>
        <v>0</v>
      </c>
      <c r="AD68" s="125">
        <f>Valores!$C$26</f>
        <v>537.98</v>
      </c>
      <c r="AE68" s="192">
        <v>0</v>
      </c>
      <c r="AF68" s="125">
        <f>ROUND(AE68*Valores!$C$2,2)</f>
        <v>0</v>
      </c>
      <c r="AG68" s="125">
        <f>ROUND(IF($F$4="NO",Valores!$C$62,Valores!$C$62/2),2)</f>
        <v>3203.47</v>
      </c>
      <c r="AH68" s="125">
        <f t="shared" si="5"/>
        <v>158856.89500000002</v>
      </c>
      <c r="AI68" s="125">
        <f>Valores!$C$31</f>
        <v>0</v>
      </c>
      <c r="AJ68" s="125">
        <f>Valores!$C$86</f>
        <v>0</v>
      </c>
      <c r="AK68" s="125">
        <f>Valores!C$38*B68</f>
        <v>0</v>
      </c>
      <c r="AL68" s="125">
        <f>IF($F$3="NO",0,Valores!$C$54)</f>
        <v>327.6</v>
      </c>
      <c r="AM68" s="125">
        <f t="shared" si="3"/>
        <v>327.6</v>
      </c>
      <c r="AN68" s="125">
        <f>AH68*Valores!$C$70</f>
        <v>-17474.25845</v>
      </c>
      <c r="AO68" s="125">
        <f>AH68*-Valores!$C$71</f>
        <v>0</v>
      </c>
      <c r="AP68" s="125">
        <f>AH68*Valores!$C$72</f>
        <v>-7148.560275000001</v>
      </c>
      <c r="AQ68" s="125">
        <f>Valores!$C$99</f>
        <v>-280.91</v>
      </c>
      <c r="AR68" s="125">
        <f>IF($F$5=0,Valores!$C$100,(Valores!$C$100+$F$5*(Valores!$C$100)))</f>
        <v>-329</v>
      </c>
      <c r="AS68" s="125">
        <f t="shared" si="6"/>
        <v>133951.766275</v>
      </c>
      <c r="AT68" s="125">
        <f t="shared" si="0"/>
        <v>-17474.25845</v>
      </c>
      <c r="AU68" s="125">
        <f>AH68*Valores!$C$73</f>
        <v>-4289.136165000001</v>
      </c>
      <c r="AV68" s="125">
        <f>AH68*Valores!$C$74</f>
        <v>-476.5706850000001</v>
      </c>
      <c r="AW68" s="125">
        <f t="shared" si="4"/>
        <v>136944.5297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2032.7</v>
      </c>
      <c r="G69" s="192">
        <v>2161</v>
      </c>
      <c r="H69" s="125">
        <f>ROUND(G69*Valores!$C$2,2)</f>
        <v>55603.39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11226.39</v>
      </c>
      <c r="N69" s="125">
        <f t="shared" si="1"/>
        <v>0</v>
      </c>
      <c r="O69" s="125">
        <f>Valores!$C$9</f>
        <v>28480.68</v>
      </c>
      <c r="P69" s="125">
        <f>Valores!$D$5</f>
        <v>13153.38</v>
      </c>
      <c r="Q69" s="125">
        <f>Valores!$C$22</f>
        <v>11734.9</v>
      </c>
      <c r="R69" s="125">
        <f>IF($F$4="NO",Valores!$C$44,Valores!$C$44/2)</f>
        <v>4967.105</v>
      </c>
      <c r="S69" s="125">
        <f>Valores!$C$19</f>
        <v>12239.42</v>
      </c>
      <c r="T69" s="125">
        <f t="shared" si="7"/>
        <v>12239.42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Valores!$C$94</f>
        <v>6913.05</v>
      </c>
      <c r="AA69" s="125">
        <f>Valores!$C$25</f>
        <v>537.98</v>
      </c>
      <c r="AB69" s="214">
        <v>0</v>
      </c>
      <c r="AC69" s="125">
        <f t="shared" si="2"/>
        <v>0</v>
      </c>
      <c r="AD69" s="125">
        <f>Valores!$C$26</f>
        <v>537.98</v>
      </c>
      <c r="AE69" s="192">
        <v>0</v>
      </c>
      <c r="AF69" s="125">
        <f>ROUND(AE69*Valores!$C$2,2)</f>
        <v>0</v>
      </c>
      <c r="AG69" s="125">
        <f>ROUND(IF($F$4="NO",Valores!$C$62,Valores!$C$62/2),2)</f>
        <v>3203.47</v>
      </c>
      <c r="AH69" s="125">
        <f t="shared" si="5"/>
        <v>150630.445</v>
      </c>
      <c r="AI69" s="125">
        <f>Valores!$C$31</f>
        <v>0</v>
      </c>
      <c r="AJ69" s="125">
        <f>Valores!$C$87</f>
        <v>0</v>
      </c>
      <c r="AK69" s="125">
        <f>Valores!C$38*B69</f>
        <v>0</v>
      </c>
      <c r="AL69" s="125">
        <f>IF($F$3="NO",0,Valores!$C$55)</f>
        <v>170.34</v>
      </c>
      <c r="AM69" s="125">
        <f t="shared" si="3"/>
        <v>170.34</v>
      </c>
      <c r="AN69" s="125">
        <f>AH69*Valores!$C$70</f>
        <v>-16569.34895</v>
      </c>
      <c r="AO69" s="125">
        <f>AH69*-Valores!$C$71</f>
        <v>0</v>
      </c>
      <c r="AP69" s="125">
        <f>AH69*Valores!$C$72</f>
        <v>-6778.370025</v>
      </c>
      <c r="AQ69" s="125">
        <f>Valores!$C$99</f>
        <v>-280.91</v>
      </c>
      <c r="AR69" s="125">
        <f>IF($F$5=0,Valores!$C$100,(Valores!$C$100+$F$5*(Valores!$C$100)))</f>
        <v>-329</v>
      </c>
      <c r="AS69" s="125">
        <f t="shared" si="6"/>
        <v>126843.156025</v>
      </c>
      <c r="AT69" s="125">
        <f t="shared" si="0"/>
        <v>-16569.34895</v>
      </c>
      <c r="AU69" s="125">
        <f>AH69*Valores!$C$73</f>
        <v>-4067.022015</v>
      </c>
      <c r="AV69" s="125">
        <f>AH69*Valores!$C$74</f>
        <v>-451.891335</v>
      </c>
      <c r="AW69" s="125">
        <f t="shared" si="4"/>
        <v>129712.5227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2315.74</v>
      </c>
      <c r="G70" s="192">
        <v>3010</v>
      </c>
      <c r="H70" s="125">
        <f>ROUND(G70*Valores!$C$2,2)</f>
        <v>77448.5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14700.03</v>
      </c>
      <c r="N70" s="125">
        <f t="shared" si="1"/>
        <v>0</v>
      </c>
      <c r="O70" s="125">
        <f>Valores!$C$9</f>
        <v>28480.68</v>
      </c>
      <c r="P70" s="125">
        <f>Valores!$D$5</f>
        <v>13153.38</v>
      </c>
      <c r="Q70" s="125">
        <f>Valores!$C$22</f>
        <v>11734.9</v>
      </c>
      <c r="R70" s="125">
        <f>IF($F$4="NO",Valores!$C$47,Valores!$C$47/2)</f>
        <v>5996.52</v>
      </c>
      <c r="S70" s="125">
        <f>Valores!$C$19</f>
        <v>12239.42</v>
      </c>
      <c r="T70" s="125">
        <f t="shared" si="7"/>
        <v>12239.42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Valores!$C$94</f>
        <v>6913.05</v>
      </c>
      <c r="AA70" s="125">
        <f>Valores!$C$25</f>
        <v>537.98</v>
      </c>
      <c r="AB70" s="214">
        <v>0</v>
      </c>
      <c r="AC70" s="125">
        <f t="shared" si="2"/>
        <v>0</v>
      </c>
      <c r="AD70" s="125">
        <f>Valores!$C$26</f>
        <v>537.98</v>
      </c>
      <c r="AE70" s="192">
        <v>0</v>
      </c>
      <c r="AF70" s="125">
        <f>ROUND(AE70*Valores!$C$2,2)</f>
        <v>0</v>
      </c>
      <c r="AG70" s="125">
        <f>ROUND(IF($F$4="NO",Valores!$C$62,Valores!$C$62/2),2)</f>
        <v>3203.47</v>
      </c>
      <c r="AH70" s="125">
        <f t="shared" si="5"/>
        <v>177261.65000000002</v>
      </c>
      <c r="AI70" s="125">
        <f>Valores!$C$31</f>
        <v>0</v>
      </c>
      <c r="AJ70" s="125">
        <f>Valores!$C$87</f>
        <v>0</v>
      </c>
      <c r="AK70" s="125">
        <f>Valores!C$38*B70</f>
        <v>0</v>
      </c>
      <c r="AL70" s="125">
        <f>IF($F$3="NO",0,Valores!$C$55)</f>
        <v>170.34</v>
      </c>
      <c r="AM70" s="125">
        <f t="shared" si="3"/>
        <v>170.34</v>
      </c>
      <c r="AN70" s="125">
        <f>AH70*Valores!$C$70</f>
        <v>-19498.7815</v>
      </c>
      <c r="AO70" s="125">
        <f>AH70*-Valores!$C$71</f>
        <v>0</v>
      </c>
      <c r="AP70" s="125">
        <f>AH70*Valores!$C$72</f>
        <v>-7976.77425</v>
      </c>
      <c r="AQ70" s="125">
        <f>Valores!$C$99</f>
        <v>-280.91</v>
      </c>
      <c r="AR70" s="125">
        <f>IF($F$5=0,Valores!$C$100,(Valores!$C$100+$F$5*(Valores!$C$100)))</f>
        <v>-329</v>
      </c>
      <c r="AS70" s="125">
        <f t="shared" si="6"/>
        <v>149346.52425000002</v>
      </c>
      <c r="AT70" s="125">
        <f t="shared" si="0"/>
        <v>-19498.7815</v>
      </c>
      <c r="AU70" s="125">
        <f>AH70*Valores!$C$73</f>
        <v>-4786.064550000001</v>
      </c>
      <c r="AV70" s="125">
        <f>AH70*Valores!$C$74</f>
        <v>-531.7849500000001</v>
      </c>
      <c r="AW70" s="125">
        <f t="shared" si="4"/>
        <v>152615.35900000003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2006.97</v>
      </c>
      <c r="G71" s="192">
        <v>2162</v>
      </c>
      <c r="H71" s="125">
        <f>ROUND(G71*Valores!$C$2,2)</f>
        <v>55629.12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11226.39</v>
      </c>
      <c r="N71" s="125">
        <f t="shared" si="1"/>
        <v>0</v>
      </c>
      <c r="O71" s="125">
        <f>Valores!$C$9</f>
        <v>28480.68</v>
      </c>
      <c r="P71" s="125">
        <f>Valores!$D$5</f>
        <v>13153.38</v>
      </c>
      <c r="Q71" s="125">
        <f>Valores!$C$22</f>
        <v>11734.9</v>
      </c>
      <c r="R71" s="125">
        <f>IF($F$4="NO",Valores!$C$44,Valores!$C$44/2)</f>
        <v>4967.105</v>
      </c>
      <c r="S71" s="125">
        <f>Valores!$C$19</f>
        <v>12239.42</v>
      </c>
      <c r="T71" s="125">
        <f t="shared" si="7"/>
        <v>12239.42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Valores!$C$94</f>
        <v>6913.05</v>
      </c>
      <c r="AA71" s="125">
        <f>Valores!$C$25</f>
        <v>537.98</v>
      </c>
      <c r="AB71" s="214">
        <v>0</v>
      </c>
      <c r="AC71" s="125">
        <f t="shared" si="2"/>
        <v>0</v>
      </c>
      <c r="AD71" s="125">
        <f>Valores!$C$26</f>
        <v>537.98</v>
      </c>
      <c r="AE71" s="192">
        <v>0</v>
      </c>
      <c r="AF71" s="125">
        <f>ROUND(AE71*Valores!$C$2,2)</f>
        <v>0</v>
      </c>
      <c r="AG71" s="125">
        <f>ROUND(IF($F$4="NO",Valores!$C$62,Valores!$C$62/2),2)</f>
        <v>3203.47</v>
      </c>
      <c r="AH71" s="125">
        <f t="shared" si="5"/>
        <v>150630.445</v>
      </c>
      <c r="AI71" s="125">
        <f>Valores!$C$31</f>
        <v>0</v>
      </c>
      <c r="AJ71" s="125">
        <f>Valores!$C$87</f>
        <v>0</v>
      </c>
      <c r="AK71" s="125">
        <f>Valores!C$38*B71</f>
        <v>0</v>
      </c>
      <c r="AL71" s="125">
        <f>IF($F$3="NO",0,Valores!$C$55)</f>
        <v>170.34</v>
      </c>
      <c r="AM71" s="125">
        <f t="shared" si="3"/>
        <v>170.34</v>
      </c>
      <c r="AN71" s="125">
        <f>AH71*Valores!$C$70</f>
        <v>-16569.34895</v>
      </c>
      <c r="AO71" s="125">
        <f>AH71*-Valores!$C$71</f>
        <v>0</v>
      </c>
      <c r="AP71" s="125">
        <f>AH71*Valores!$C$72</f>
        <v>-6778.370025</v>
      </c>
      <c r="AQ71" s="125">
        <f>Valores!$C$99</f>
        <v>-280.91</v>
      </c>
      <c r="AR71" s="125">
        <f>IF($F$5=0,Valores!$C$100,(Valores!$C$100+$F$5*(Valores!$C$100)))</f>
        <v>-329</v>
      </c>
      <c r="AS71" s="125">
        <f t="shared" si="6"/>
        <v>126843.156025</v>
      </c>
      <c r="AT71" s="125">
        <f aca="true" t="shared" si="10" ref="AT71:AT133">AN71</f>
        <v>-16569.34895</v>
      </c>
      <c r="AU71" s="125">
        <f>AH71*Valores!$C$73</f>
        <v>-4067.022015</v>
      </c>
      <c r="AV71" s="125">
        <f>AH71*Valores!$C$74</f>
        <v>-451.891335</v>
      </c>
      <c r="AW71" s="125">
        <f t="shared" si="4"/>
        <v>129712.5227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2315.74</v>
      </c>
      <c r="G72" s="192">
        <v>2800</v>
      </c>
      <c r="H72" s="125">
        <f>ROUND(G72*Valores!$C$2,2)</f>
        <v>72045.12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13889.52</v>
      </c>
      <c r="N72" s="125">
        <f aca="true" t="shared" si="11" ref="N72:N135">ROUND(SUM(F72,H72,J72,L72,X72,R72)*$H$2,2)</f>
        <v>0</v>
      </c>
      <c r="O72" s="125">
        <f>Valores!$C$9</f>
        <v>28480.68</v>
      </c>
      <c r="P72" s="125">
        <f>Valores!$D$5</f>
        <v>13153.38</v>
      </c>
      <c r="Q72" s="125">
        <v>0</v>
      </c>
      <c r="R72" s="125">
        <f>IF($F$4="NO",Valores!$C$47,Valores!$C$47/2)</f>
        <v>5996.52</v>
      </c>
      <c r="S72" s="125">
        <f>Valores!$C$19</f>
        <v>12239.42</v>
      </c>
      <c r="T72" s="125">
        <f t="shared" si="7"/>
        <v>12239.42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Valores!$C$94</f>
        <v>6913.05</v>
      </c>
      <c r="AA72" s="125">
        <f>Valores!$C$25</f>
        <v>537.98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537.98</v>
      </c>
      <c r="AE72" s="192">
        <v>0</v>
      </c>
      <c r="AF72" s="125">
        <f>ROUND(AE72*Valores!$C$2,2)</f>
        <v>0</v>
      </c>
      <c r="AG72" s="125">
        <f>ROUND(IF($F$4="NO",Valores!$C$62,Valores!$C$62/2),2)</f>
        <v>3203.47</v>
      </c>
      <c r="AH72" s="125">
        <f t="shared" si="5"/>
        <v>159312.86000000002</v>
      </c>
      <c r="AI72" s="125">
        <f>Valores!$C$31</f>
        <v>0</v>
      </c>
      <c r="AJ72" s="125">
        <f>Valores!$C$87</f>
        <v>0</v>
      </c>
      <c r="AK72" s="125">
        <f>Valores!C$38*B72</f>
        <v>0</v>
      </c>
      <c r="AL72" s="125">
        <f>IF($F$3="NO",0,Valores!$C$55)</f>
        <v>170.34</v>
      </c>
      <c r="AM72" s="125">
        <f aca="true" t="shared" si="13" ref="AM72:AM135">SUM(AI72:AL72)</f>
        <v>170.34</v>
      </c>
      <c r="AN72" s="125">
        <f>AH72*Valores!$C$70</f>
        <v>-17524.4146</v>
      </c>
      <c r="AO72" s="125">
        <f>AH72*-Valores!$C$71</f>
        <v>0</v>
      </c>
      <c r="AP72" s="125">
        <f>AH72*Valores!$C$72</f>
        <v>-7169.0787</v>
      </c>
      <c r="AQ72" s="125">
        <f>Valores!$C$99</f>
        <v>-280.91</v>
      </c>
      <c r="AR72" s="125">
        <f>IF($F$5=0,Valores!$C$100,(Valores!$C$100+$F$5*(Valores!$C$100)))</f>
        <v>-329</v>
      </c>
      <c r="AS72" s="125">
        <f t="shared" si="6"/>
        <v>134179.7967</v>
      </c>
      <c r="AT72" s="125">
        <f t="shared" si="10"/>
        <v>-17524.4146</v>
      </c>
      <c r="AU72" s="125">
        <f>AH72*Valores!$C$73</f>
        <v>-4301.44722</v>
      </c>
      <c r="AV72" s="125">
        <f>AH72*Valores!$C$74</f>
        <v>-477.93858000000006</v>
      </c>
      <c r="AW72" s="125">
        <f aca="true" t="shared" si="14" ref="AW72:AW135">AH72+AM72+SUM(AT72:AV72)</f>
        <v>137179.3996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2032.7</v>
      </c>
      <c r="G73" s="192">
        <v>2161</v>
      </c>
      <c r="H73" s="125">
        <f>ROUND(G73*Valores!$C$2,2)</f>
        <v>55603.39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11226.39</v>
      </c>
      <c r="N73" s="125">
        <f t="shared" si="11"/>
        <v>0</v>
      </c>
      <c r="O73" s="125">
        <f>Valores!$C$9</f>
        <v>28480.68</v>
      </c>
      <c r="P73" s="125">
        <f>Valores!$D$5</f>
        <v>13153.38</v>
      </c>
      <c r="Q73" s="125">
        <f>Valores!$C$22</f>
        <v>11734.9</v>
      </c>
      <c r="R73" s="125">
        <f>IF($F$4="NO",Valores!$C$44,Valores!$C$44/2)</f>
        <v>4967.105</v>
      </c>
      <c r="S73" s="125">
        <f>Valores!$C$19</f>
        <v>12239.42</v>
      </c>
      <c r="T73" s="125">
        <f t="shared" si="7"/>
        <v>12239.42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Valores!$C$94</f>
        <v>6913.05</v>
      </c>
      <c r="AA73" s="125">
        <f>Valores!$C$25</f>
        <v>537.98</v>
      </c>
      <c r="AB73" s="214">
        <v>0</v>
      </c>
      <c r="AC73" s="125">
        <f t="shared" si="12"/>
        <v>0</v>
      </c>
      <c r="AD73" s="125">
        <f>Valores!$C$26</f>
        <v>537.98</v>
      </c>
      <c r="AE73" s="192">
        <v>0</v>
      </c>
      <c r="AF73" s="125">
        <f>ROUND(AE73*Valores!$C$2,2)</f>
        <v>0</v>
      </c>
      <c r="AG73" s="125">
        <f>ROUND(IF($F$4="NO",Valores!$C$62,Valores!$C$62/2),2)</f>
        <v>3203.47</v>
      </c>
      <c r="AH73" s="125">
        <f aca="true" t="shared" si="15" ref="AH73:AH136">SUM(F73,H73,J73,L73,M73,N73,O73,P73,Q73,R73,T73,U73,V73,X73,Y73,Z73,AA73,AC73,AD73,AF73,AG73)</f>
        <v>150630.445</v>
      </c>
      <c r="AI73" s="125">
        <f>Valores!$C$31</f>
        <v>0</v>
      </c>
      <c r="AJ73" s="125">
        <f>Valores!$C$87</f>
        <v>0</v>
      </c>
      <c r="AK73" s="125">
        <f>Valores!C$38*B73</f>
        <v>0</v>
      </c>
      <c r="AL73" s="125">
        <f>IF($F$3="NO",0,Valores!$C$55)</f>
        <v>170.34</v>
      </c>
      <c r="AM73" s="125">
        <f t="shared" si="13"/>
        <v>170.34</v>
      </c>
      <c r="AN73" s="125">
        <f>AH73*Valores!$C$70</f>
        <v>-16569.34895</v>
      </c>
      <c r="AO73" s="125">
        <f>AH73*-Valores!$C$71</f>
        <v>0</v>
      </c>
      <c r="AP73" s="125">
        <f>AH73*Valores!$C$72</f>
        <v>-6778.370025</v>
      </c>
      <c r="AQ73" s="125">
        <f>Valores!$C$99</f>
        <v>-280.91</v>
      </c>
      <c r="AR73" s="125">
        <f>IF($F$5=0,Valores!$C$100,(Valores!$C$100+$F$5*(Valores!$C$100)))</f>
        <v>-329</v>
      </c>
      <c r="AS73" s="125">
        <f aca="true" t="shared" si="16" ref="AS73:AS136">AH73+SUM(AM73:AR73)</f>
        <v>126843.156025</v>
      </c>
      <c r="AT73" s="125">
        <f t="shared" si="10"/>
        <v>-16569.34895</v>
      </c>
      <c r="AU73" s="125">
        <f>AH73*Valores!$C$73</f>
        <v>-4067.022015</v>
      </c>
      <c r="AV73" s="125">
        <f>AH73*Valores!$C$74</f>
        <v>-451.891335</v>
      </c>
      <c r="AW73" s="125">
        <f t="shared" si="14"/>
        <v>129712.5227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2315.74</v>
      </c>
      <c r="G74" s="192">
        <v>2720</v>
      </c>
      <c r="H74" s="125">
        <f>ROUND(G74*Valores!$C$2,2)</f>
        <v>69986.69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12681.28</v>
      </c>
      <c r="N74" s="125">
        <f t="shared" si="11"/>
        <v>0</v>
      </c>
      <c r="O74" s="125">
        <f>Valores!$C$9</f>
        <v>28480.68</v>
      </c>
      <c r="P74" s="125">
        <f>Valores!$D$5</f>
        <v>13153.38</v>
      </c>
      <c r="Q74" s="125">
        <v>0</v>
      </c>
      <c r="R74" s="125">
        <f>IF($F$4="NO",Valores!$C$47,Valores!$C$475/2)</f>
        <v>0</v>
      </c>
      <c r="S74" s="125">
        <f>Valores!$C$19</f>
        <v>12239.42</v>
      </c>
      <c r="T74" s="125">
        <f t="shared" si="7"/>
        <v>12239.42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Valores!$C$94</f>
        <v>6913.05</v>
      </c>
      <c r="AA74" s="125">
        <f>Valores!$C$25</f>
        <v>537.98</v>
      </c>
      <c r="AB74" s="214">
        <v>0</v>
      </c>
      <c r="AC74" s="125">
        <f t="shared" si="12"/>
        <v>0</v>
      </c>
      <c r="AD74" s="125">
        <f>Valores!$C$26</f>
        <v>537.98</v>
      </c>
      <c r="AE74" s="192">
        <v>0</v>
      </c>
      <c r="AF74" s="125">
        <f>ROUND(AE74*Valores!$C$2,2)</f>
        <v>0</v>
      </c>
      <c r="AG74" s="125">
        <f>ROUND(IF($F$4="NO",Valores!$C$62,Valores!$C$62/2),2)</f>
        <v>3203.47</v>
      </c>
      <c r="AH74" s="125">
        <f t="shared" si="15"/>
        <v>150049.67000000004</v>
      </c>
      <c r="AI74" s="125">
        <f>Valores!$C$31</f>
        <v>0</v>
      </c>
      <c r="AJ74" s="125">
        <f>Valores!$C$87</f>
        <v>0</v>
      </c>
      <c r="AK74" s="125">
        <f>Valores!C$38*B74</f>
        <v>0</v>
      </c>
      <c r="AL74" s="125">
        <f>IF($F$3="NO",0,Valores!$C$55)</f>
        <v>170.34</v>
      </c>
      <c r="AM74" s="125">
        <f t="shared" si="13"/>
        <v>170.34</v>
      </c>
      <c r="AN74" s="125">
        <f>AH74*Valores!$C$70</f>
        <v>-16505.463700000004</v>
      </c>
      <c r="AO74" s="125">
        <f>AH74*-Valores!$C$71</f>
        <v>0</v>
      </c>
      <c r="AP74" s="125">
        <f>AH74*Valores!$C$72</f>
        <v>-6752.235150000001</v>
      </c>
      <c r="AQ74" s="125">
        <f>Valores!$C$99</f>
        <v>-280.91</v>
      </c>
      <c r="AR74" s="125">
        <f>IF($F$5=0,Valores!$C$100,(Valores!$C$100+$F$5*(Valores!$C$100)))</f>
        <v>-329</v>
      </c>
      <c r="AS74" s="125">
        <f t="shared" si="16"/>
        <v>126352.40115000003</v>
      </c>
      <c r="AT74" s="125">
        <f t="shared" si="10"/>
        <v>-16505.463700000004</v>
      </c>
      <c r="AU74" s="125">
        <f>AH74*Valores!$C$73</f>
        <v>-4051.3410900000013</v>
      </c>
      <c r="AV74" s="125">
        <f>AH74*Valores!$C$74</f>
        <v>-450.14901000000015</v>
      </c>
      <c r="AW74" s="125">
        <f t="shared" si="14"/>
        <v>129213.05620000004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2006.97</v>
      </c>
      <c r="G75" s="192">
        <v>1284</v>
      </c>
      <c r="H75" s="125">
        <f>ROUND(G75*Valores!$C$2,2)</f>
        <v>33037.83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7778.54</v>
      </c>
      <c r="N75" s="125">
        <f t="shared" si="11"/>
        <v>0</v>
      </c>
      <c r="O75" s="125">
        <f>Valores!$C$8</f>
        <v>28397.34</v>
      </c>
      <c r="P75" s="125">
        <f>Valores!$D$5</f>
        <v>13153.38</v>
      </c>
      <c r="Q75" s="125">
        <f>Valores!$C$22</f>
        <v>11734.9</v>
      </c>
      <c r="R75" s="125">
        <f>IF($F$4="NO",Valores!$C$43,Valores!$C$43/2)</f>
        <v>4697.875</v>
      </c>
      <c r="S75" s="125">
        <f>Valores!$C$20</f>
        <v>12114.28</v>
      </c>
      <c r="T75" s="125">
        <f aca="true" t="shared" si="17" ref="T75:T138">ROUND(S75*(1+$H$2),2)</f>
        <v>12114.28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Valores!$C$93</f>
        <v>5760.87</v>
      </c>
      <c r="AA75" s="125">
        <f>Valores!$C$25</f>
        <v>537.98</v>
      </c>
      <c r="AB75" s="214">
        <v>0</v>
      </c>
      <c r="AC75" s="125">
        <f t="shared" si="12"/>
        <v>0</v>
      </c>
      <c r="AD75" s="125">
        <f>Valores!$C$26</f>
        <v>537.98</v>
      </c>
      <c r="AE75" s="192">
        <v>0</v>
      </c>
      <c r="AF75" s="125">
        <f>ROUND(AE75*Valores!$C$2,2)</f>
        <v>0</v>
      </c>
      <c r="AG75" s="125">
        <f>ROUND(IF($F$4="NO",Valores!$C$62,Valores!$C$62/2),2)</f>
        <v>3203.47</v>
      </c>
      <c r="AH75" s="125">
        <f t="shared" si="15"/>
        <v>122961.415</v>
      </c>
      <c r="AI75" s="125">
        <f>Valores!$C$31</f>
        <v>0</v>
      </c>
      <c r="AJ75" s="125">
        <f>Valores!$C$86</f>
        <v>0</v>
      </c>
      <c r="AK75" s="125">
        <f>Valores!C$38*B75</f>
        <v>0</v>
      </c>
      <c r="AL75" s="125">
        <f>IF($F$3="NO",0,Valores!$C$55)</f>
        <v>170.34</v>
      </c>
      <c r="AM75" s="125">
        <f t="shared" si="13"/>
        <v>170.34</v>
      </c>
      <c r="AN75" s="125">
        <f>AH75*Valores!$C$70</f>
        <v>-13525.75565</v>
      </c>
      <c r="AO75" s="125">
        <f>AH75*-Valores!$C$71</f>
        <v>0</v>
      </c>
      <c r="AP75" s="125">
        <f>AH75*Valores!$C$72</f>
        <v>-5533.263674999999</v>
      </c>
      <c r="AQ75" s="125">
        <f>Valores!$C$99</f>
        <v>-280.91</v>
      </c>
      <c r="AR75" s="125">
        <f>IF($F$5=0,Valores!$C$100,(Valores!$C$100+$F$5*(Valores!$C$100)))</f>
        <v>-329</v>
      </c>
      <c r="AS75" s="125">
        <f t="shared" si="16"/>
        <v>103462.825675</v>
      </c>
      <c r="AT75" s="125">
        <f t="shared" si="10"/>
        <v>-13525.75565</v>
      </c>
      <c r="AU75" s="125">
        <f>AH75*Valores!$C$73</f>
        <v>-3319.958205</v>
      </c>
      <c r="AV75" s="125">
        <f>AH75*Valores!$C$74</f>
        <v>-368.88424499999996</v>
      </c>
      <c r="AW75" s="125">
        <f t="shared" si="14"/>
        <v>105917.15689999999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2006.97</v>
      </c>
      <c r="G76" s="192">
        <v>1284</v>
      </c>
      <c r="H76" s="125">
        <f>ROUND(G76*Valores!$C$2,2)</f>
        <v>33037.83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7778.54</v>
      </c>
      <c r="N76" s="125">
        <f t="shared" si="11"/>
        <v>0</v>
      </c>
      <c r="O76" s="125">
        <f>Valores!$C$8</f>
        <v>28397.34</v>
      </c>
      <c r="P76" s="125">
        <f>Valores!$D$5</f>
        <v>13153.38</v>
      </c>
      <c r="Q76" s="125">
        <f>Valores!$C$22</f>
        <v>11734.9</v>
      </c>
      <c r="R76" s="125">
        <f>IF($F$4="NO",Valores!$C$43,Valores!$C$43/2)</f>
        <v>4697.875</v>
      </c>
      <c r="S76" s="125">
        <f>Valores!$C$20</f>
        <v>12114.28</v>
      </c>
      <c r="T76" s="125">
        <f t="shared" si="17"/>
        <v>12114.28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Valores!$C$93</f>
        <v>5760.87</v>
      </c>
      <c r="AA76" s="125">
        <f>Valores!$C$25</f>
        <v>537.98</v>
      </c>
      <c r="AB76" s="214">
        <v>0</v>
      </c>
      <c r="AC76" s="125">
        <f t="shared" si="12"/>
        <v>0</v>
      </c>
      <c r="AD76" s="125">
        <f>Valores!$C$26</f>
        <v>537.98</v>
      </c>
      <c r="AE76" s="192">
        <v>0</v>
      </c>
      <c r="AF76" s="125">
        <f>ROUND(AE76*Valores!$C$2,2)</f>
        <v>0</v>
      </c>
      <c r="AG76" s="125">
        <f>ROUND(IF($F$4="NO",Valores!$C$62,Valores!$C$62/2),2)</f>
        <v>3203.47</v>
      </c>
      <c r="AH76" s="125">
        <f t="shared" si="15"/>
        <v>122961.415</v>
      </c>
      <c r="AI76" s="125">
        <f>Valores!$C$31</f>
        <v>0</v>
      </c>
      <c r="AJ76" s="125">
        <f>Valores!$C$86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AH76*Valores!$C$70</f>
        <v>-13525.75565</v>
      </c>
      <c r="AO76" s="125">
        <f>AH76*-Valores!$C$71</f>
        <v>0</v>
      </c>
      <c r="AP76" s="125">
        <f>AH76*Valores!$C$72</f>
        <v>-5533.263674999999</v>
      </c>
      <c r="AQ76" s="125">
        <f>Valores!$C$99</f>
        <v>-280.91</v>
      </c>
      <c r="AR76" s="125">
        <f>IF($F$5=0,Valores!$C$100,(Valores!$C$100+$F$5*(Valores!$C$100)))</f>
        <v>-329</v>
      </c>
      <c r="AS76" s="125">
        <f t="shared" si="16"/>
        <v>103292.485675</v>
      </c>
      <c r="AT76" s="125">
        <f t="shared" si="10"/>
        <v>-13525.75565</v>
      </c>
      <c r="AU76" s="125">
        <f>AH76*Valores!$C$73</f>
        <v>-3319.958205</v>
      </c>
      <c r="AV76" s="125">
        <f>AH76*Valores!$C$74</f>
        <v>-368.88424499999996</v>
      </c>
      <c r="AW76" s="125">
        <f t="shared" si="14"/>
        <v>105746.81689999999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2006.97</v>
      </c>
      <c r="G77" s="192">
        <v>1284</v>
      </c>
      <c r="H77" s="125">
        <f>ROUND(G77*Valores!$C$2,2)</f>
        <v>33037.83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5961.4</v>
      </c>
      <c r="N77" s="125">
        <f t="shared" si="11"/>
        <v>0</v>
      </c>
      <c r="O77" s="125">
        <f>Valores!$C$14</f>
        <v>23734.39</v>
      </c>
      <c r="P77" s="125">
        <f>Valores!$D$5</f>
        <v>13153.38</v>
      </c>
      <c r="Q77" s="125">
        <f>Valores!$C$22</f>
        <v>11734.9</v>
      </c>
      <c r="R77" s="125">
        <f>IF($F$4="NO",Valores!$C$43,Valores!$C$43/2)</f>
        <v>4697.875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Valores!$C$93</f>
        <v>5760.87</v>
      </c>
      <c r="AA77" s="125">
        <f>Valores!$C$25</f>
        <v>537.98</v>
      </c>
      <c r="AB77" s="214">
        <v>0</v>
      </c>
      <c r="AC77" s="125">
        <f t="shared" si="12"/>
        <v>0</v>
      </c>
      <c r="AD77" s="125">
        <f>Valores!$C$26</f>
        <v>537.98</v>
      </c>
      <c r="AE77" s="192">
        <v>0</v>
      </c>
      <c r="AF77" s="125">
        <f>ROUND(AE77*Valores!$C$2,2)</f>
        <v>0</v>
      </c>
      <c r="AG77" s="125">
        <f>ROUND(IF($F$4="NO",Valores!$C$62,Valores!$C$62/2),2)</f>
        <v>3203.47</v>
      </c>
      <c r="AH77" s="125">
        <f t="shared" si="15"/>
        <v>104367.04499999998</v>
      </c>
      <c r="AI77" s="125">
        <f>Valores!$C$31</f>
        <v>0</v>
      </c>
      <c r="AJ77" s="125">
        <f>Valores!$C$86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AH77*Valores!$C$70</f>
        <v>-11480.374949999998</v>
      </c>
      <c r="AO77" s="125">
        <f>AH77*-Valores!$C$71</f>
        <v>0</v>
      </c>
      <c r="AP77" s="125">
        <f>AH77*Valores!$C$72</f>
        <v>-4696.517024999999</v>
      </c>
      <c r="AQ77" s="125">
        <f>Valores!$C$99</f>
        <v>-280.91</v>
      </c>
      <c r="AR77" s="125">
        <f>IF($F$5=0,Valores!$C$100,(Valores!$C$100+$F$5*(Valores!$C$100)))</f>
        <v>-329</v>
      </c>
      <c r="AS77" s="125">
        <f t="shared" si="16"/>
        <v>87580.24302499999</v>
      </c>
      <c r="AT77" s="125">
        <f t="shared" si="10"/>
        <v>-11480.374949999998</v>
      </c>
      <c r="AU77" s="125">
        <f>AH77*Valores!$C$73</f>
        <v>-2817.9102149999994</v>
      </c>
      <c r="AV77" s="125">
        <f>AH77*Valores!$C$74</f>
        <v>-313.10113499999994</v>
      </c>
      <c r="AW77" s="125">
        <f t="shared" si="14"/>
        <v>89755.65869999999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2109.89</v>
      </c>
      <c r="G78" s="192">
        <v>2038</v>
      </c>
      <c r="H78" s="125">
        <f>ROUND(G78*Valores!$C$2,2)</f>
        <v>52438.56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10722.86</v>
      </c>
      <c r="N78" s="125">
        <f t="shared" si="11"/>
        <v>0</v>
      </c>
      <c r="O78" s="125">
        <f>Valores!$C$9</f>
        <v>28480.68</v>
      </c>
      <c r="P78" s="125">
        <f>Valores!$D$5</f>
        <v>13153.38</v>
      </c>
      <c r="Q78" s="125">
        <f>Valores!$C$22</f>
        <v>11734.9</v>
      </c>
      <c r="R78" s="125">
        <f>IF($F$4="NO",Valores!$C$43,Valores!$C$43/2)</f>
        <v>4697.875</v>
      </c>
      <c r="S78" s="125">
        <f>Valores!$C$19</f>
        <v>12239.42</v>
      </c>
      <c r="T78" s="125">
        <f t="shared" si="17"/>
        <v>12239.42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Valores!$C$93</f>
        <v>5760.87</v>
      </c>
      <c r="AA78" s="125">
        <f>Valores!$C$25</f>
        <v>537.98</v>
      </c>
      <c r="AB78" s="214">
        <v>0</v>
      </c>
      <c r="AC78" s="125">
        <f t="shared" si="12"/>
        <v>0</v>
      </c>
      <c r="AD78" s="125">
        <f>Valores!$C$26</f>
        <v>537.98</v>
      </c>
      <c r="AE78" s="192">
        <v>0</v>
      </c>
      <c r="AF78" s="125">
        <f>ROUND(AE78*Valores!$C$2,2)</f>
        <v>0</v>
      </c>
      <c r="AG78" s="125">
        <f>ROUND(IF($F$4="NO",Valores!$C$62,Valores!$C$62/2),2)</f>
        <v>3203.47</v>
      </c>
      <c r="AH78" s="125">
        <f t="shared" si="15"/>
        <v>145617.86500000002</v>
      </c>
      <c r="AI78" s="125">
        <f>Valores!$C$31</f>
        <v>0</v>
      </c>
      <c r="AJ78" s="125">
        <f>Valores!$C$86</f>
        <v>0</v>
      </c>
      <c r="AK78" s="125">
        <f>Valores!C$38*B78</f>
        <v>0</v>
      </c>
      <c r="AL78" s="125">
        <f>IF($F$3="NO",0,Valores!$C$55)</f>
        <v>170.34</v>
      </c>
      <c r="AM78" s="125">
        <f t="shared" si="13"/>
        <v>170.34</v>
      </c>
      <c r="AN78" s="125">
        <f>AH78*Valores!$C$70</f>
        <v>-16017.965150000002</v>
      </c>
      <c r="AO78" s="125">
        <f>AH78*-Valores!$C$71</f>
        <v>0</v>
      </c>
      <c r="AP78" s="125">
        <f>AH78*Valores!$C$72</f>
        <v>-6552.803925000001</v>
      </c>
      <c r="AQ78" s="125">
        <f>Valores!$C$99</f>
        <v>-280.91</v>
      </c>
      <c r="AR78" s="125">
        <f>IF($F$5=0,Valores!$C$100,(Valores!$C$100+$F$5*(Valores!$C$100)))</f>
        <v>-329</v>
      </c>
      <c r="AS78" s="125">
        <f t="shared" si="16"/>
        <v>122607.52592500002</v>
      </c>
      <c r="AT78" s="125">
        <f t="shared" si="10"/>
        <v>-16017.965150000002</v>
      </c>
      <c r="AU78" s="125">
        <f>AH78*Valores!$C$73</f>
        <v>-3931.6823550000004</v>
      </c>
      <c r="AV78" s="125">
        <f>AH78*Valores!$C$74</f>
        <v>-436.85359500000004</v>
      </c>
      <c r="AW78" s="125">
        <f t="shared" si="14"/>
        <v>125401.70390000002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2006.97</v>
      </c>
      <c r="G79" s="192">
        <v>2072</v>
      </c>
      <c r="H79" s="125">
        <f>ROUND(G79*Valores!$C$2,2)</f>
        <v>53313.39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10879.03</v>
      </c>
      <c r="N79" s="125">
        <f t="shared" si="11"/>
        <v>0</v>
      </c>
      <c r="O79" s="125">
        <f>Valores!$C$9</f>
        <v>28480.68</v>
      </c>
      <c r="P79" s="125">
        <f>Valores!$D$5</f>
        <v>13153.38</v>
      </c>
      <c r="Q79" s="125">
        <f>Valores!$C$22</f>
        <v>11734.9</v>
      </c>
      <c r="R79" s="125">
        <f>IF($F$4="NO",Valores!$C$44,Valores!$C$44/2)</f>
        <v>4967.105</v>
      </c>
      <c r="S79" s="125">
        <f>Valores!$C$19</f>
        <v>12239.42</v>
      </c>
      <c r="T79" s="125">
        <f t="shared" si="17"/>
        <v>12239.42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Valores!$C$94</f>
        <v>6913.05</v>
      </c>
      <c r="AA79" s="125">
        <f>Valores!$C$25</f>
        <v>537.98</v>
      </c>
      <c r="AB79" s="214">
        <v>0</v>
      </c>
      <c r="AC79" s="125">
        <f t="shared" si="12"/>
        <v>0</v>
      </c>
      <c r="AD79" s="125">
        <f>Valores!$C$26</f>
        <v>537.98</v>
      </c>
      <c r="AE79" s="192">
        <v>0</v>
      </c>
      <c r="AF79" s="125">
        <f>ROUND(AE79*Valores!$C$2,2)</f>
        <v>0</v>
      </c>
      <c r="AG79" s="125">
        <f>ROUND(IF($F$4="NO",Valores!$C$62,Valores!$C$62/2),2)</f>
        <v>3203.47</v>
      </c>
      <c r="AH79" s="125">
        <f t="shared" si="15"/>
        <v>147967.355</v>
      </c>
      <c r="AI79" s="125">
        <f>Valores!$C$31</f>
        <v>0</v>
      </c>
      <c r="AJ79" s="125">
        <f>Valores!$C$87</f>
        <v>0</v>
      </c>
      <c r="AK79" s="125">
        <f>Valores!C$38*B79</f>
        <v>0</v>
      </c>
      <c r="AL79" s="125">
        <f>IF($F$3="NO",0,Valores!$C$55)</f>
        <v>170.34</v>
      </c>
      <c r="AM79" s="125">
        <f t="shared" si="13"/>
        <v>170.34</v>
      </c>
      <c r="AN79" s="125">
        <f>AH79*Valores!$C$70</f>
        <v>-16276.409050000002</v>
      </c>
      <c r="AO79" s="125">
        <f>AH79*-Valores!$C$71</f>
        <v>0</v>
      </c>
      <c r="AP79" s="125">
        <f>AH79*Valores!$C$72</f>
        <v>-6658.530975000001</v>
      </c>
      <c r="AQ79" s="125">
        <f>Valores!$C$99</f>
        <v>-280.91</v>
      </c>
      <c r="AR79" s="125">
        <f>IF($F$5=0,Valores!$C$100,(Valores!$C$100+$F$5*(Valores!$C$100)))</f>
        <v>-329</v>
      </c>
      <c r="AS79" s="125">
        <f t="shared" si="16"/>
        <v>124592.84497500001</v>
      </c>
      <c r="AT79" s="125">
        <f t="shared" si="10"/>
        <v>-16276.409050000002</v>
      </c>
      <c r="AU79" s="125">
        <f>AH79*Valores!$C$73</f>
        <v>-3995.118585</v>
      </c>
      <c r="AV79" s="125">
        <f>AH79*Valores!$C$74</f>
        <v>-443.90206500000005</v>
      </c>
      <c r="AW79" s="125">
        <f t="shared" si="14"/>
        <v>127422.2653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2006.97</v>
      </c>
      <c r="G80" s="192">
        <v>1770</v>
      </c>
      <c r="H80" s="125">
        <f>ROUND(G80*Valores!$C$2,2)</f>
        <v>45542.81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9713.45</v>
      </c>
      <c r="N80" s="125">
        <f t="shared" si="11"/>
        <v>0</v>
      </c>
      <c r="O80" s="125">
        <f>Valores!$C$9</f>
        <v>28480.68</v>
      </c>
      <c r="P80" s="125">
        <f>Valores!$D$5</f>
        <v>13153.38</v>
      </c>
      <c r="Q80" s="125">
        <f>Valores!$C$22</f>
        <v>11734.9</v>
      </c>
      <c r="R80" s="125">
        <f>IF($F$4="NO",Valores!$C$44,Valores!$C$44/2)</f>
        <v>4967.105</v>
      </c>
      <c r="S80" s="125">
        <f>Valores!$C$19</f>
        <v>12239.42</v>
      </c>
      <c r="T80" s="125">
        <f t="shared" si="17"/>
        <v>12239.42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Valores!$C$94</f>
        <v>6913.05</v>
      </c>
      <c r="AA80" s="125">
        <f>Valores!$C$25</f>
        <v>537.98</v>
      </c>
      <c r="AB80" s="214">
        <v>0</v>
      </c>
      <c r="AC80" s="125">
        <f t="shared" si="12"/>
        <v>0</v>
      </c>
      <c r="AD80" s="125">
        <f>Valores!$C$26</f>
        <v>537.98</v>
      </c>
      <c r="AE80" s="192">
        <v>0</v>
      </c>
      <c r="AF80" s="125">
        <f>ROUND(AE80*Valores!$C$2,2)</f>
        <v>0</v>
      </c>
      <c r="AG80" s="125">
        <f>ROUND(IF($F$4="NO",Valores!$C$62,Valores!$C$62/2),2)</f>
        <v>3203.47</v>
      </c>
      <c r="AH80" s="125">
        <f t="shared" si="15"/>
        <v>139031.195</v>
      </c>
      <c r="AI80" s="125">
        <f>Valores!$C$31</f>
        <v>0</v>
      </c>
      <c r="AJ80" s="125">
        <f>Valores!$C$87</f>
        <v>0</v>
      </c>
      <c r="AK80" s="125">
        <f>Valores!C$38*B80</f>
        <v>0</v>
      </c>
      <c r="AL80" s="125">
        <f>IF($F$3="NO",0,Valores!$C$55)</f>
        <v>170.34</v>
      </c>
      <c r="AM80" s="125">
        <f t="shared" si="13"/>
        <v>170.34</v>
      </c>
      <c r="AN80" s="125">
        <f>AH80*Valores!$C$70</f>
        <v>-15293.43145</v>
      </c>
      <c r="AO80" s="125">
        <f>AH80*-Valores!$C$71</f>
        <v>0</v>
      </c>
      <c r="AP80" s="125">
        <f>AH80*Valores!$C$72</f>
        <v>-6256.403775</v>
      </c>
      <c r="AQ80" s="125">
        <f>Valores!$C$99</f>
        <v>-280.91</v>
      </c>
      <c r="AR80" s="125">
        <f>IF($F$5=0,Valores!$C$100,(Valores!$C$100+$F$5*(Valores!$C$100)))</f>
        <v>-329</v>
      </c>
      <c r="AS80" s="125">
        <f t="shared" si="16"/>
        <v>117041.78977500001</v>
      </c>
      <c r="AT80" s="125">
        <f t="shared" si="10"/>
        <v>-15293.43145</v>
      </c>
      <c r="AU80" s="125">
        <f>AH80*Valores!$C$73</f>
        <v>-3753.842265</v>
      </c>
      <c r="AV80" s="125">
        <f>AH80*Valores!$C$74</f>
        <v>-417.093585</v>
      </c>
      <c r="AW80" s="125">
        <f t="shared" si="14"/>
        <v>119737.1677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1981.24</v>
      </c>
      <c r="G81" s="192">
        <v>2073</v>
      </c>
      <c r="H81" s="125">
        <f>ROUND(G81*Valores!$C$2,2)</f>
        <v>53339.12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10879.03</v>
      </c>
      <c r="N81" s="125">
        <f t="shared" si="11"/>
        <v>0</v>
      </c>
      <c r="O81" s="125">
        <f>Valores!$C$9</f>
        <v>28480.68</v>
      </c>
      <c r="P81" s="125">
        <f>Valores!$D$5</f>
        <v>13153.38</v>
      </c>
      <c r="Q81" s="125">
        <f>Valores!$C$22</f>
        <v>11734.9</v>
      </c>
      <c r="R81" s="125">
        <f>IF($F$4="NO",Valores!$C$44,Valores!$C$44/2)</f>
        <v>4967.105</v>
      </c>
      <c r="S81" s="125">
        <f>Valores!$C$19</f>
        <v>12239.42</v>
      </c>
      <c r="T81" s="125">
        <f t="shared" si="17"/>
        <v>12239.42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Valores!$C$94</f>
        <v>6913.05</v>
      </c>
      <c r="AA81" s="125">
        <f>Valores!$C$25</f>
        <v>537.98</v>
      </c>
      <c r="AB81" s="214">
        <v>0</v>
      </c>
      <c r="AC81" s="125">
        <f t="shared" si="12"/>
        <v>0</v>
      </c>
      <c r="AD81" s="125">
        <f>Valores!$C$26</f>
        <v>537.98</v>
      </c>
      <c r="AE81" s="192">
        <v>0</v>
      </c>
      <c r="AF81" s="125">
        <f>ROUND(AE81*Valores!$C$2,2)</f>
        <v>0</v>
      </c>
      <c r="AG81" s="125">
        <f>ROUND(IF($F$4="NO",Valores!$C$62,Valores!$C$62/2),2)</f>
        <v>3203.47</v>
      </c>
      <c r="AH81" s="125">
        <f t="shared" si="15"/>
        <v>147967.355</v>
      </c>
      <c r="AI81" s="125">
        <f>Valores!$C$31</f>
        <v>0</v>
      </c>
      <c r="AJ81" s="125">
        <f>Valores!$C$87</f>
        <v>0</v>
      </c>
      <c r="AK81" s="125">
        <f>Valores!C$38*B81</f>
        <v>0</v>
      </c>
      <c r="AL81" s="125">
        <f>IF($F$3="NO",0,Valores!$C$55)</f>
        <v>170.34</v>
      </c>
      <c r="AM81" s="125">
        <f t="shared" si="13"/>
        <v>170.34</v>
      </c>
      <c r="AN81" s="125">
        <f>AH81*Valores!$C$70</f>
        <v>-16276.409050000002</v>
      </c>
      <c r="AO81" s="125">
        <f>AH81*-Valores!$C$71</f>
        <v>0</v>
      </c>
      <c r="AP81" s="125">
        <f>AH81*Valores!$C$72</f>
        <v>-6658.530975000001</v>
      </c>
      <c r="AQ81" s="125">
        <f>Valores!$C$99</f>
        <v>-280.91</v>
      </c>
      <c r="AR81" s="125">
        <f>IF($F$5=0,Valores!$C$100,(Valores!$C$100+$F$5*(Valores!$C$100)))</f>
        <v>-329</v>
      </c>
      <c r="AS81" s="125">
        <f t="shared" si="16"/>
        <v>124592.84497500001</v>
      </c>
      <c r="AT81" s="125">
        <f t="shared" si="10"/>
        <v>-16276.409050000002</v>
      </c>
      <c r="AU81" s="125">
        <f>AH81*Valores!$C$73</f>
        <v>-3995.118585</v>
      </c>
      <c r="AV81" s="125">
        <f>AH81*Valores!$C$74</f>
        <v>-443.90206500000005</v>
      </c>
      <c r="AW81" s="125">
        <f t="shared" si="14"/>
        <v>127422.2653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1955.51</v>
      </c>
      <c r="G82" s="192">
        <v>1872</v>
      </c>
      <c r="H82" s="125">
        <f>ROUND(G82*Valores!$C$2,2)</f>
        <v>48167.31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10099.4</v>
      </c>
      <c r="N82" s="125">
        <f t="shared" si="11"/>
        <v>0</v>
      </c>
      <c r="O82" s="125">
        <f>Valores!$C$9</f>
        <v>28480.68</v>
      </c>
      <c r="P82" s="125">
        <f>Valores!$D$5</f>
        <v>13153.38</v>
      </c>
      <c r="Q82" s="125">
        <v>0</v>
      </c>
      <c r="R82" s="125">
        <f>IF($F$4="NO",Valores!$C$44,Valores!$C$44/2)</f>
        <v>4967.105</v>
      </c>
      <c r="S82" s="125">
        <f>Valores!$C$19</f>
        <v>12239.42</v>
      </c>
      <c r="T82" s="125">
        <f t="shared" si="17"/>
        <v>12239.42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Valores!$C$94</f>
        <v>6913.05</v>
      </c>
      <c r="AA82" s="125">
        <f>Valores!$C$25</f>
        <v>537.98</v>
      </c>
      <c r="AB82" s="214">
        <v>0</v>
      </c>
      <c r="AC82" s="125">
        <f t="shared" si="12"/>
        <v>0</v>
      </c>
      <c r="AD82" s="125">
        <f>Valores!$C$26</f>
        <v>537.98</v>
      </c>
      <c r="AE82" s="192">
        <v>0</v>
      </c>
      <c r="AF82" s="125">
        <f>ROUND(AE82*Valores!$C$2,2)</f>
        <v>0</v>
      </c>
      <c r="AG82" s="125">
        <f>ROUND(IF($F$4="NO",Valores!$C$62,Valores!$C$62/2),2)</f>
        <v>3203.47</v>
      </c>
      <c r="AH82" s="125">
        <f t="shared" si="15"/>
        <v>130255.28499999999</v>
      </c>
      <c r="AI82" s="125">
        <f>Valores!$C$31</f>
        <v>0</v>
      </c>
      <c r="AJ82" s="125">
        <f>Valores!$C$87</f>
        <v>0</v>
      </c>
      <c r="AK82" s="125">
        <f>Valores!C$38*B82</f>
        <v>0</v>
      </c>
      <c r="AL82" s="125">
        <f>IF($F$3="NO",0,Valores!$C$55)</f>
        <v>170.34</v>
      </c>
      <c r="AM82" s="125">
        <f t="shared" si="13"/>
        <v>170.34</v>
      </c>
      <c r="AN82" s="125">
        <f>AH82*Valores!$C$70</f>
        <v>-14328.081349999999</v>
      </c>
      <c r="AO82" s="125">
        <f>AH82*-Valores!$C$71</f>
        <v>0</v>
      </c>
      <c r="AP82" s="125">
        <f>AH82*Valores!$C$72</f>
        <v>-5861.487824999999</v>
      </c>
      <c r="AQ82" s="125">
        <f>Valores!$C$99</f>
        <v>-280.91</v>
      </c>
      <c r="AR82" s="125">
        <f>IF($F$5=0,Valores!$C$100,(Valores!$C$100+$F$5*(Valores!$C$100)))</f>
        <v>-329</v>
      </c>
      <c r="AS82" s="125">
        <f t="shared" si="16"/>
        <v>109626.14582499999</v>
      </c>
      <c r="AT82" s="125">
        <f t="shared" si="10"/>
        <v>-14328.081349999999</v>
      </c>
      <c r="AU82" s="125">
        <f>AH82*Valores!$C$73</f>
        <v>-3516.8926949999995</v>
      </c>
      <c r="AV82" s="125">
        <f>AH82*Valores!$C$74</f>
        <v>-390.765855</v>
      </c>
      <c r="AW82" s="125">
        <f t="shared" si="14"/>
        <v>112189.88509999998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1929.78</v>
      </c>
      <c r="G83" s="192">
        <v>1873</v>
      </c>
      <c r="H83" s="125">
        <f>ROUND(G83*Valores!$C$2,2)</f>
        <v>48193.04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10099.4</v>
      </c>
      <c r="N83" s="125">
        <f t="shared" si="11"/>
        <v>0</v>
      </c>
      <c r="O83" s="125">
        <f>Valores!$C$9</f>
        <v>28480.68</v>
      </c>
      <c r="P83" s="125">
        <f>Valores!$D$5</f>
        <v>13153.38</v>
      </c>
      <c r="Q83" s="125">
        <f>Valores!$C$22</f>
        <v>11734.9</v>
      </c>
      <c r="R83" s="125">
        <f>IF($F$4="NO",Valores!$C$44,Valores!$C$44/2)</f>
        <v>4967.105</v>
      </c>
      <c r="S83" s="125">
        <f>Valores!$C$19</f>
        <v>12239.42</v>
      </c>
      <c r="T83" s="125">
        <f t="shared" si="17"/>
        <v>12239.42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Valores!$C$94</f>
        <v>6913.05</v>
      </c>
      <c r="AA83" s="125">
        <f>Valores!$C$25</f>
        <v>537.98</v>
      </c>
      <c r="AB83" s="214">
        <v>0</v>
      </c>
      <c r="AC83" s="125">
        <f t="shared" si="12"/>
        <v>0</v>
      </c>
      <c r="AD83" s="125">
        <f>Valores!$C$26</f>
        <v>537.98</v>
      </c>
      <c r="AE83" s="192">
        <v>0</v>
      </c>
      <c r="AF83" s="125">
        <f>ROUND(AE83*Valores!$C$2,2)</f>
        <v>0</v>
      </c>
      <c r="AG83" s="125">
        <f>ROUND(IF($F$4="NO",Valores!$C$62,Valores!$C$62/2),2)</f>
        <v>3203.47</v>
      </c>
      <c r="AH83" s="125">
        <f t="shared" si="15"/>
        <v>141990.185</v>
      </c>
      <c r="AI83" s="125">
        <f>Valores!$C$31</f>
        <v>0</v>
      </c>
      <c r="AJ83" s="125">
        <f>Valores!$C$87</f>
        <v>0</v>
      </c>
      <c r="AK83" s="125">
        <f>Valores!C$38*B83</f>
        <v>0</v>
      </c>
      <c r="AL83" s="125">
        <f>IF($F$3="NO",0,Valores!$C$55)</f>
        <v>170.34</v>
      </c>
      <c r="AM83" s="125">
        <f t="shared" si="13"/>
        <v>170.34</v>
      </c>
      <c r="AN83" s="125">
        <f>AH83*Valores!$C$70</f>
        <v>-15618.92035</v>
      </c>
      <c r="AO83" s="125">
        <f>AH83*-Valores!$C$71</f>
        <v>0</v>
      </c>
      <c r="AP83" s="125">
        <f>AH83*Valores!$C$72</f>
        <v>-6389.558325</v>
      </c>
      <c r="AQ83" s="125">
        <f>Valores!$C$99</f>
        <v>-280.91</v>
      </c>
      <c r="AR83" s="125">
        <f>IF($F$5=0,Valores!$C$100,(Valores!$C$100+$F$5*(Valores!$C$100)))</f>
        <v>-329</v>
      </c>
      <c r="AS83" s="125">
        <f t="shared" si="16"/>
        <v>119542.136325</v>
      </c>
      <c r="AT83" s="125">
        <f t="shared" si="10"/>
        <v>-15618.92035</v>
      </c>
      <c r="AU83" s="125">
        <f>AH83*Valores!$C$73</f>
        <v>-3833.734995</v>
      </c>
      <c r="AV83" s="125">
        <f>AH83*Valores!$C$74</f>
        <v>-425.970555</v>
      </c>
      <c r="AW83" s="125">
        <f t="shared" si="14"/>
        <v>122281.8991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1955.51</v>
      </c>
      <c r="G84" s="192">
        <v>1752</v>
      </c>
      <c r="H84" s="125">
        <f>ROUND(G84*Valores!$C$2,2)</f>
        <v>45079.66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9595.87</v>
      </c>
      <c r="N84" s="125">
        <f t="shared" si="11"/>
        <v>0</v>
      </c>
      <c r="O84" s="125">
        <f>Valores!$C$8</f>
        <v>28397.34</v>
      </c>
      <c r="P84" s="125">
        <f>Valores!$D$5</f>
        <v>13153.38</v>
      </c>
      <c r="Q84" s="125">
        <f>Valores!$C$22</f>
        <v>11734.9</v>
      </c>
      <c r="R84" s="125">
        <f>IF($F$4="NO",Valores!$C$43,Valores!$C$43/2)</f>
        <v>4697.875</v>
      </c>
      <c r="S84" s="125">
        <f>Valores!$C$19</f>
        <v>12239.42</v>
      </c>
      <c r="T84" s="125">
        <f t="shared" si="17"/>
        <v>12239.42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Valores!$C$93</f>
        <v>5760.87</v>
      </c>
      <c r="AA84" s="125">
        <f>Valores!$C$25</f>
        <v>537.98</v>
      </c>
      <c r="AB84" s="214">
        <v>0</v>
      </c>
      <c r="AC84" s="125">
        <f t="shared" si="12"/>
        <v>0</v>
      </c>
      <c r="AD84" s="125">
        <f>Valores!$C$26</f>
        <v>537.98</v>
      </c>
      <c r="AE84" s="192">
        <v>0</v>
      </c>
      <c r="AF84" s="125">
        <f>ROUND(AE84*Valores!$C$2,2)</f>
        <v>0</v>
      </c>
      <c r="AG84" s="125">
        <f>ROUND(IF($F$4="NO",Valores!$C$62,Valores!$C$62/2),2)</f>
        <v>3203.47</v>
      </c>
      <c r="AH84" s="125">
        <f t="shared" si="15"/>
        <v>136894.25500000003</v>
      </c>
      <c r="AI84" s="125">
        <f>Valores!$C$31</f>
        <v>0</v>
      </c>
      <c r="AJ84" s="125">
        <f>Valores!$C$86</f>
        <v>0</v>
      </c>
      <c r="AK84" s="125">
        <f>Valores!C$38*B84</f>
        <v>0</v>
      </c>
      <c r="AL84" s="125">
        <f>IF($F$3="NO",0,Valores!$C$55)</f>
        <v>170.34</v>
      </c>
      <c r="AM84" s="125">
        <f t="shared" si="13"/>
        <v>170.34</v>
      </c>
      <c r="AN84" s="125">
        <f>AH84*Valores!$C$70</f>
        <v>-15058.368050000005</v>
      </c>
      <c r="AO84" s="125">
        <f>AH84*-Valores!$C$71</f>
        <v>0</v>
      </c>
      <c r="AP84" s="125">
        <f>AH84*Valores!$C$72</f>
        <v>-6160.241475000002</v>
      </c>
      <c r="AQ84" s="125">
        <f>Valores!$C$99</f>
        <v>-280.91</v>
      </c>
      <c r="AR84" s="125">
        <f>IF($F$5=0,Valores!$C$100,(Valores!$C$100+$F$5*(Valores!$C$100)))</f>
        <v>-329</v>
      </c>
      <c r="AS84" s="125">
        <f t="shared" si="16"/>
        <v>115236.07547500002</v>
      </c>
      <c r="AT84" s="125">
        <f t="shared" si="10"/>
        <v>-15058.368050000005</v>
      </c>
      <c r="AU84" s="125">
        <f>AH84*Valores!$C$73</f>
        <v>-3696.144885000001</v>
      </c>
      <c r="AV84" s="125">
        <f>AH84*Valores!$C$74</f>
        <v>-410.68276500000013</v>
      </c>
      <c r="AW84" s="125">
        <f t="shared" si="14"/>
        <v>117899.39930000002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2006.97</v>
      </c>
      <c r="G85" s="192">
        <v>1770</v>
      </c>
      <c r="H85" s="125">
        <f>ROUND(G85*Valores!$C$2,2)</f>
        <v>45542.81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9634.45</v>
      </c>
      <c r="N85" s="125">
        <f t="shared" si="11"/>
        <v>0</v>
      </c>
      <c r="O85" s="125">
        <f>Valores!$C$10</f>
        <v>24443.05</v>
      </c>
      <c r="P85" s="125">
        <f>Valores!$D$5</f>
        <v>13153.38</v>
      </c>
      <c r="Q85" s="125">
        <f>Valores!$C$22</f>
        <v>11734.9</v>
      </c>
      <c r="R85" s="125">
        <f>IF($F$4="NO",Valores!$C$42,Valores!$C$42/2)</f>
        <v>4440.46</v>
      </c>
      <c r="S85" s="125">
        <f>Valores!$C$19</f>
        <v>12239.42</v>
      </c>
      <c r="T85" s="125">
        <f t="shared" si="17"/>
        <v>12239.42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Valores!$C$93</f>
        <v>5760.87</v>
      </c>
      <c r="AA85" s="125">
        <f>Valores!$C$25</f>
        <v>537.98</v>
      </c>
      <c r="AB85" s="214">
        <v>0</v>
      </c>
      <c r="AC85" s="125">
        <f t="shared" si="12"/>
        <v>0</v>
      </c>
      <c r="AD85" s="125">
        <f>Valores!$C$26</f>
        <v>537.98</v>
      </c>
      <c r="AE85" s="192">
        <v>0</v>
      </c>
      <c r="AF85" s="125">
        <f>ROUND(AE85*Valores!$C$2,2)</f>
        <v>0</v>
      </c>
      <c r="AG85" s="125">
        <f>ROUND(IF($F$4="NO",Valores!$C$62,Valores!$C$62/2),2)</f>
        <v>3203.47</v>
      </c>
      <c r="AH85" s="125">
        <f t="shared" si="15"/>
        <v>133235.74</v>
      </c>
      <c r="AI85" s="125">
        <f>Valores!$C$31</f>
        <v>0</v>
      </c>
      <c r="AJ85" s="125">
        <f>Valores!$C$86</f>
        <v>0</v>
      </c>
      <c r="AK85" s="125">
        <f>Valores!C$38*B85</f>
        <v>0</v>
      </c>
      <c r="AL85" s="125">
        <f>IF($F$3="NO",0,Valores!$C$55)</f>
        <v>170.34</v>
      </c>
      <c r="AM85" s="125">
        <f t="shared" si="13"/>
        <v>170.34</v>
      </c>
      <c r="AN85" s="125">
        <f>AH85*Valores!$C$70</f>
        <v>-14655.9314</v>
      </c>
      <c r="AO85" s="125">
        <f>AH85*-Valores!$C$71</f>
        <v>0</v>
      </c>
      <c r="AP85" s="125">
        <f>AH85*Valores!$C$72</f>
        <v>-5995.608299999999</v>
      </c>
      <c r="AQ85" s="125">
        <f>Valores!$C$99</f>
        <v>-280.91</v>
      </c>
      <c r="AR85" s="125">
        <f>IF($F$5=0,Valores!$C$100,(Valores!$C$100+$F$5*(Valores!$C$100)))</f>
        <v>-329</v>
      </c>
      <c r="AS85" s="125">
        <f t="shared" si="16"/>
        <v>112144.63029999999</v>
      </c>
      <c r="AT85" s="125">
        <f t="shared" si="10"/>
        <v>-14655.9314</v>
      </c>
      <c r="AU85" s="125">
        <f>AH85*Valores!$C$73</f>
        <v>-3597.36498</v>
      </c>
      <c r="AV85" s="125">
        <f>AH85*Valores!$C$74</f>
        <v>-399.70722</v>
      </c>
      <c r="AW85" s="125">
        <f t="shared" si="14"/>
        <v>114753.07639999999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1955.51</v>
      </c>
      <c r="G86" s="192">
        <v>1872</v>
      </c>
      <c r="H86" s="125">
        <f>ROUND(G86*Valores!$C$2,2)</f>
        <v>48167.31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10020.41</v>
      </c>
      <c r="N86" s="125">
        <f t="shared" si="11"/>
        <v>0</v>
      </c>
      <c r="O86" s="125">
        <f>Valores!$C$10</f>
        <v>24443.05</v>
      </c>
      <c r="P86" s="125">
        <f>Valores!$D$5</f>
        <v>13153.38</v>
      </c>
      <c r="Q86" s="125">
        <v>0</v>
      </c>
      <c r="R86" s="125">
        <f>IF($F$4="NO",Valores!$C$42,Valores!$C$42/2)</f>
        <v>4440.46</v>
      </c>
      <c r="S86" s="125">
        <f>Valores!$C$19</f>
        <v>12239.42</v>
      </c>
      <c r="T86" s="125">
        <f t="shared" si="17"/>
        <v>12239.42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Valores!$C$93</f>
        <v>5760.87</v>
      </c>
      <c r="AA86" s="125">
        <f>Valores!$C$25</f>
        <v>537.98</v>
      </c>
      <c r="AB86" s="214">
        <v>0</v>
      </c>
      <c r="AC86" s="125">
        <f t="shared" si="12"/>
        <v>0</v>
      </c>
      <c r="AD86" s="125">
        <f>Valores!$C$26</f>
        <v>537.98</v>
      </c>
      <c r="AE86" s="192">
        <v>0</v>
      </c>
      <c r="AF86" s="125">
        <f>ROUND(AE86*Valores!$C$2,2)</f>
        <v>0</v>
      </c>
      <c r="AG86" s="125">
        <f>ROUND(IF($F$4="NO",Valores!$C$62,Valores!$C$62/2),2)</f>
        <v>3203.47</v>
      </c>
      <c r="AH86" s="125">
        <f t="shared" si="15"/>
        <v>124459.84</v>
      </c>
      <c r="AI86" s="125">
        <f>Valores!$C$31</f>
        <v>0</v>
      </c>
      <c r="AJ86" s="125">
        <f>Valores!$C$86</f>
        <v>0</v>
      </c>
      <c r="AK86" s="125">
        <f>Valores!C$38*B86</f>
        <v>0</v>
      </c>
      <c r="AL86" s="125">
        <f>IF($F$3="NO",0,Valores!$C$55)</f>
        <v>170.34</v>
      </c>
      <c r="AM86" s="125">
        <f t="shared" si="13"/>
        <v>170.34</v>
      </c>
      <c r="AN86" s="125">
        <f>AH86*Valores!$C$70</f>
        <v>-13690.5824</v>
      </c>
      <c r="AO86" s="125">
        <f>AH86*-Valores!$C$71</f>
        <v>0</v>
      </c>
      <c r="AP86" s="125">
        <f>AH86*Valores!$C$72</f>
        <v>-5600.6928</v>
      </c>
      <c r="AQ86" s="125">
        <f>Valores!$C$99</f>
        <v>-280.91</v>
      </c>
      <c r="AR86" s="125">
        <f>IF($F$5=0,Valores!$C$100,(Valores!$C$100+$F$5*(Valores!$C$100)))</f>
        <v>-329</v>
      </c>
      <c r="AS86" s="125">
        <f t="shared" si="16"/>
        <v>104728.9948</v>
      </c>
      <c r="AT86" s="125">
        <f t="shared" si="10"/>
        <v>-13690.5824</v>
      </c>
      <c r="AU86" s="125">
        <f>AH86*Valores!$C$73</f>
        <v>-3360.41568</v>
      </c>
      <c r="AV86" s="125">
        <f>AH86*Valores!$C$74</f>
        <v>-373.37952</v>
      </c>
      <c r="AW86" s="125">
        <f t="shared" si="14"/>
        <v>107205.8024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4348.44</v>
      </c>
      <c r="G87" s="192">
        <f>1997</f>
        <v>1997</v>
      </c>
      <c r="H87" s="125">
        <f>ROUND(G87*Valores!$C$2,2)</f>
        <v>51383.61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10900.4</v>
      </c>
      <c r="N87" s="125">
        <f t="shared" si="11"/>
        <v>0</v>
      </c>
      <c r="O87" s="125">
        <f>Valores!$C$9</f>
        <v>28480.68</v>
      </c>
      <c r="P87" s="125">
        <f>Valores!$D$5</f>
        <v>13153.38</v>
      </c>
      <c r="Q87" s="125">
        <f>Valores!$C$22</f>
        <v>11734.9</v>
      </c>
      <c r="R87" s="125">
        <f>IF($F$4="NO",Valores!$C$43,Valores!$C$43/2)</f>
        <v>4697.875</v>
      </c>
      <c r="S87" s="125">
        <f>Valores!$C$19</f>
        <v>12239.42</v>
      </c>
      <c r="T87" s="125">
        <f t="shared" si="17"/>
        <v>12239.42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Valores!$C$93</f>
        <v>5760.87</v>
      </c>
      <c r="AA87" s="125">
        <f>Valores!$C$25</f>
        <v>537.98</v>
      </c>
      <c r="AB87" s="214">
        <v>0</v>
      </c>
      <c r="AC87" s="125">
        <f t="shared" si="12"/>
        <v>0</v>
      </c>
      <c r="AD87" s="125">
        <f>Valores!$C$26</f>
        <v>537.98</v>
      </c>
      <c r="AE87" s="192">
        <v>0</v>
      </c>
      <c r="AF87" s="125">
        <f>ROUND(AE87*Valores!$C$2,2)</f>
        <v>0</v>
      </c>
      <c r="AG87" s="125">
        <f>ROUND(IF($F$4="NO",Valores!$C$62,Valores!$C$62/2),2)</f>
        <v>3203.47</v>
      </c>
      <c r="AH87" s="125">
        <f t="shared" si="15"/>
        <v>146979.00500000003</v>
      </c>
      <c r="AI87" s="125">
        <f>Valores!$C$31</f>
        <v>0</v>
      </c>
      <c r="AJ87" s="125">
        <f>Valores!$C$86</f>
        <v>0</v>
      </c>
      <c r="AK87" s="125">
        <f>Valores!C$38*B87</f>
        <v>0</v>
      </c>
      <c r="AL87" s="125">
        <f>IF($F$3="NO",0,Valores!$C$55)</f>
        <v>170.34</v>
      </c>
      <c r="AM87" s="125">
        <f t="shared" si="13"/>
        <v>170.34</v>
      </c>
      <c r="AN87" s="125">
        <f>AH87*Valores!$C$70</f>
        <v>-16167.690550000003</v>
      </c>
      <c r="AO87" s="125">
        <f>AH87*-Valores!$C$71</f>
        <v>0</v>
      </c>
      <c r="AP87" s="125">
        <f>AH87*Valores!$C$72</f>
        <v>-6614.055225000001</v>
      </c>
      <c r="AQ87" s="125">
        <f>Valores!$C$99</f>
        <v>-280.91</v>
      </c>
      <c r="AR87" s="125">
        <f>IF($F$5=0,Valores!$C$100,(Valores!$C$100+$F$5*(Valores!$C$100)))</f>
        <v>-329</v>
      </c>
      <c r="AS87" s="125">
        <f t="shared" si="16"/>
        <v>123757.68922500004</v>
      </c>
      <c r="AT87" s="125">
        <f t="shared" si="10"/>
        <v>-16167.690550000003</v>
      </c>
      <c r="AU87" s="125">
        <f>AH87*Valores!$C$73</f>
        <v>-3968.4331350000007</v>
      </c>
      <c r="AV87" s="125">
        <f>AH87*Valores!$C$74</f>
        <v>-440.9370150000001</v>
      </c>
      <c r="AW87" s="125">
        <f t="shared" si="14"/>
        <v>126572.28430000003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5609.23</v>
      </c>
      <c r="G88" s="192">
        <f>1997</f>
        <v>1997</v>
      </c>
      <c r="H88" s="125">
        <f>ROUND(G88*Valores!$C$2,2)</f>
        <v>51383.61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11089.52</v>
      </c>
      <c r="N88" s="125">
        <f t="shared" si="11"/>
        <v>0</v>
      </c>
      <c r="O88" s="125">
        <f>Valores!$C$15</f>
        <v>33325.83</v>
      </c>
      <c r="P88" s="125">
        <f>Valores!$D$5</f>
        <v>13153.38</v>
      </c>
      <c r="Q88" s="125">
        <f>Valores!$C$22</f>
        <v>11734.9</v>
      </c>
      <c r="R88" s="125">
        <f>IF($F$4="NO",Valores!$C$43,Valores!$C$43/2)</f>
        <v>4697.875</v>
      </c>
      <c r="S88" s="125">
        <f>Valores!$C$19</f>
        <v>12239.42</v>
      </c>
      <c r="T88" s="125">
        <f t="shared" si="17"/>
        <v>12239.42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Valores!$C$93</f>
        <v>5760.87</v>
      </c>
      <c r="AA88" s="125">
        <f>Valores!$C$25</f>
        <v>537.98</v>
      </c>
      <c r="AB88" s="214">
        <v>0</v>
      </c>
      <c r="AC88" s="125">
        <f t="shared" si="12"/>
        <v>0</v>
      </c>
      <c r="AD88" s="125">
        <f>Valores!$C$26</f>
        <v>537.98</v>
      </c>
      <c r="AE88" s="192">
        <v>0</v>
      </c>
      <c r="AF88" s="125">
        <f>ROUND(AE88*Valores!$C$2,2)</f>
        <v>0</v>
      </c>
      <c r="AG88" s="125">
        <f>ROUND(IF($F$4="NO",Valores!$C$62,Valores!$C$62/2),2)</f>
        <v>3203.47</v>
      </c>
      <c r="AH88" s="125">
        <f t="shared" si="15"/>
        <v>153274.06500000003</v>
      </c>
      <c r="AI88" s="125">
        <f>Valores!$C$31</f>
        <v>0</v>
      </c>
      <c r="AJ88" s="125">
        <f>Valores!$C$86</f>
        <v>0</v>
      </c>
      <c r="AK88" s="125">
        <f>Valores!C$38*B88</f>
        <v>0</v>
      </c>
      <c r="AL88" s="125">
        <f>IF($F$3="NO",0,Valores!$C$55)</f>
        <v>170.34</v>
      </c>
      <c r="AM88" s="125">
        <f t="shared" si="13"/>
        <v>170.34</v>
      </c>
      <c r="AN88" s="125">
        <f>AH88*Valores!$C$70</f>
        <v>-16860.147150000004</v>
      </c>
      <c r="AO88" s="125">
        <f>AH88*-Valores!$C$71</f>
        <v>0</v>
      </c>
      <c r="AP88" s="125">
        <f>AH88*Valores!$C$72</f>
        <v>-6897.3329250000015</v>
      </c>
      <c r="AQ88" s="125">
        <f>Valores!$C$99</f>
        <v>-280.91</v>
      </c>
      <c r="AR88" s="125">
        <f>IF($F$5=0,Valores!$C$100,(Valores!$C$100+$F$5*(Valores!$C$100)))</f>
        <v>-329</v>
      </c>
      <c r="AS88" s="125">
        <f t="shared" si="16"/>
        <v>129077.01492500002</v>
      </c>
      <c r="AT88" s="125">
        <f t="shared" si="10"/>
        <v>-16860.147150000004</v>
      </c>
      <c r="AU88" s="125">
        <f>AH88*Valores!$C$73</f>
        <v>-4138.399755</v>
      </c>
      <c r="AV88" s="125">
        <f>AH88*Valores!$C$74</f>
        <v>-459.8221950000001</v>
      </c>
      <c r="AW88" s="125">
        <f t="shared" si="14"/>
        <v>131986.03590000002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5609.23</v>
      </c>
      <c r="G89" s="192">
        <f>1997</f>
        <v>1997</v>
      </c>
      <c r="H89" s="125">
        <f>ROUND(G89*Valores!$C$2,2)</f>
        <v>51383.61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11089.52</v>
      </c>
      <c r="N89" s="125">
        <f t="shared" si="11"/>
        <v>0</v>
      </c>
      <c r="O89" s="125">
        <f>Valores!$C$15</f>
        <v>33325.83</v>
      </c>
      <c r="P89" s="125">
        <f>Valores!$D$5</f>
        <v>13153.38</v>
      </c>
      <c r="Q89" s="125">
        <f>Valores!$C$22</f>
        <v>11734.9</v>
      </c>
      <c r="R89" s="125">
        <f>IF($F$4="NO",Valores!$C$43,Valores!$C$43/2)</f>
        <v>4697.875</v>
      </c>
      <c r="S89" s="125">
        <f>Valores!$C$19</f>
        <v>12239.42</v>
      </c>
      <c r="T89" s="125">
        <f t="shared" si="17"/>
        <v>12239.42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Valores!$C$93</f>
        <v>5760.87</v>
      </c>
      <c r="AA89" s="125">
        <f>Valores!$C$25</f>
        <v>537.98</v>
      </c>
      <c r="AB89" s="214">
        <v>0</v>
      </c>
      <c r="AC89" s="125">
        <f t="shared" si="12"/>
        <v>0</v>
      </c>
      <c r="AD89" s="125">
        <f>Valores!$C$26</f>
        <v>537.98</v>
      </c>
      <c r="AE89" s="192">
        <v>19</v>
      </c>
      <c r="AF89" s="125">
        <f>ROUND(AE89*Valores!$C$2,2)</f>
        <v>488.88</v>
      </c>
      <c r="AG89" s="125">
        <f>ROUND(IF($F$4="NO",Valores!$C$62,Valores!$C$62/2),2)</f>
        <v>3203.47</v>
      </c>
      <c r="AH89" s="125">
        <f t="shared" si="15"/>
        <v>153762.94500000004</v>
      </c>
      <c r="AI89" s="125">
        <f>Valores!$C$31</f>
        <v>0</v>
      </c>
      <c r="AJ89" s="125">
        <f>Valores!$C$86</f>
        <v>0</v>
      </c>
      <c r="AK89" s="125">
        <f>Valores!C$38*B89</f>
        <v>0</v>
      </c>
      <c r="AL89" s="125">
        <f>IF($F$3="NO",0,Valores!$C$55)</f>
        <v>170.34</v>
      </c>
      <c r="AM89" s="125">
        <f t="shared" si="13"/>
        <v>170.34</v>
      </c>
      <c r="AN89" s="125">
        <f>AH89*Valores!$C$70</f>
        <v>-16913.923950000004</v>
      </c>
      <c r="AO89" s="125">
        <f>AH89*-Valores!$C$71</f>
        <v>0</v>
      </c>
      <c r="AP89" s="125">
        <f>AH89*Valores!$C$72</f>
        <v>-6919.332525000002</v>
      </c>
      <c r="AQ89" s="125">
        <f>Valores!$C$99</f>
        <v>-280.91</v>
      </c>
      <c r="AR89" s="125">
        <f>IF($F$5=0,Valores!$C$100,(Valores!$C$100+$F$5*(Valores!$C$100)))</f>
        <v>-329</v>
      </c>
      <c r="AS89" s="125">
        <f t="shared" si="16"/>
        <v>129490.11852500003</v>
      </c>
      <c r="AT89" s="125">
        <f t="shared" si="10"/>
        <v>-16913.923950000004</v>
      </c>
      <c r="AU89" s="125">
        <f>AH89*Valores!$C$73</f>
        <v>-4151.599515000001</v>
      </c>
      <c r="AV89" s="125">
        <f>AH89*Valores!$C$74</f>
        <v>-461.2888350000001</v>
      </c>
      <c r="AW89" s="125">
        <f t="shared" si="14"/>
        <v>132406.47270000004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4811.58</v>
      </c>
      <c r="G90" s="192">
        <v>1704</v>
      </c>
      <c r="H90" s="125">
        <f>ROUND(G90*Valores!$C$2,2)</f>
        <v>43844.6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9839.02</v>
      </c>
      <c r="N90" s="125">
        <f t="shared" si="11"/>
        <v>0</v>
      </c>
      <c r="O90" s="125">
        <f>Valores!$C$9</f>
        <v>28480.68</v>
      </c>
      <c r="P90" s="125">
        <f>Valores!$D$5</f>
        <v>13153.38</v>
      </c>
      <c r="Q90" s="125">
        <f>Valores!$C$22</f>
        <v>11734.9</v>
      </c>
      <c r="R90" s="125">
        <f>IF($F$4="NO",Valores!$C$43,Valores!$C$43/2)</f>
        <v>4697.875</v>
      </c>
      <c r="S90" s="125">
        <f>Valores!$C$19</f>
        <v>12239.42</v>
      </c>
      <c r="T90" s="125">
        <f t="shared" si="17"/>
        <v>12239.42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Valores!$C$93</f>
        <v>5760.87</v>
      </c>
      <c r="AA90" s="125">
        <f>Valores!$C$25</f>
        <v>537.98</v>
      </c>
      <c r="AB90" s="214">
        <v>0</v>
      </c>
      <c r="AC90" s="125">
        <f t="shared" si="12"/>
        <v>0</v>
      </c>
      <c r="AD90" s="125">
        <f>Valores!$C$26</f>
        <v>537.98</v>
      </c>
      <c r="AE90" s="192">
        <v>0</v>
      </c>
      <c r="AF90" s="125">
        <f>ROUND(AE90*Valores!$C$2,2)</f>
        <v>0</v>
      </c>
      <c r="AG90" s="125">
        <f>ROUND(IF($F$4="NO",Valores!$C$62,Valores!$C$62/2),2)</f>
        <v>3203.47</v>
      </c>
      <c r="AH90" s="125">
        <f t="shared" si="15"/>
        <v>138841.75500000003</v>
      </c>
      <c r="AI90" s="125">
        <f>Valores!$C$31</f>
        <v>0</v>
      </c>
      <c r="AJ90" s="125">
        <f>Valores!$C$86</f>
        <v>0</v>
      </c>
      <c r="AK90" s="125">
        <f>Valores!C$38*B90</f>
        <v>0</v>
      </c>
      <c r="AL90" s="125">
        <f>IF($F$3="NO",0,Valores!$C$55)</f>
        <v>170.34</v>
      </c>
      <c r="AM90" s="125">
        <f t="shared" si="13"/>
        <v>170.34</v>
      </c>
      <c r="AN90" s="125">
        <f>AH90*Valores!$C$70</f>
        <v>-15272.593050000003</v>
      </c>
      <c r="AO90" s="125">
        <f>AH90*-Valores!$C$71</f>
        <v>0</v>
      </c>
      <c r="AP90" s="125">
        <f>AH90*Valores!$C$72</f>
        <v>-6247.878975000001</v>
      </c>
      <c r="AQ90" s="125">
        <f>Valores!$C$99</f>
        <v>-280.91</v>
      </c>
      <c r="AR90" s="125">
        <f>IF($F$5=0,Valores!$C$100,(Valores!$C$100+$F$5*(Valores!$C$100)))</f>
        <v>-329</v>
      </c>
      <c r="AS90" s="125">
        <f t="shared" si="16"/>
        <v>116881.71297500003</v>
      </c>
      <c r="AT90" s="125">
        <f t="shared" si="10"/>
        <v>-15272.593050000003</v>
      </c>
      <c r="AU90" s="125">
        <f>AH90*Valores!$C$73</f>
        <v>-3748.727385000001</v>
      </c>
      <c r="AV90" s="125">
        <f>AH90*Valores!$C$74</f>
        <v>-416.5252650000001</v>
      </c>
      <c r="AW90" s="125">
        <f t="shared" si="14"/>
        <v>119574.24930000002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4811.58</v>
      </c>
      <c r="G91" s="192">
        <v>1704</v>
      </c>
      <c r="H91" s="125">
        <f>ROUND(G91*Valores!$C$2,2)</f>
        <v>43844.6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9839.02</v>
      </c>
      <c r="N91" s="125">
        <f t="shared" si="11"/>
        <v>0</v>
      </c>
      <c r="O91" s="125">
        <f>Valores!$C$9</f>
        <v>28480.68</v>
      </c>
      <c r="P91" s="125">
        <f>Valores!$D$5</f>
        <v>13153.38</v>
      </c>
      <c r="Q91" s="125">
        <f>Valores!$C$22</f>
        <v>11734.9</v>
      </c>
      <c r="R91" s="125">
        <f>IF($F$4="NO",Valores!$C$43,Valores!$C$43/2)</f>
        <v>4697.875</v>
      </c>
      <c r="S91" s="125">
        <f>Valores!$C$19</f>
        <v>12239.42</v>
      </c>
      <c r="T91" s="125">
        <f t="shared" si="17"/>
        <v>12239.42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Valores!$C$93</f>
        <v>5760.87</v>
      </c>
      <c r="AA91" s="125">
        <f>Valores!$C$25</f>
        <v>537.98</v>
      </c>
      <c r="AB91" s="214">
        <v>0</v>
      </c>
      <c r="AC91" s="125">
        <f t="shared" si="12"/>
        <v>0</v>
      </c>
      <c r="AD91" s="125">
        <f>Valores!$C$26</f>
        <v>537.98</v>
      </c>
      <c r="AE91" s="192">
        <v>19</v>
      </c>
      <c r="AF91" s="125">
        <f>ROUND(AE91*Valores!$C$2,2)</f>
        <v>488.88</v>
      </c>
      <c r="AG91" s="125">
        <f>ROUND(IF($F$4="NO",Valores!$C$62,Valores!$C$62/2),2)</f>
        <v>3203.47</v>
      </c>
      <c r="AH91" s="125">
        <f t="shared" si="15"/>
        <v>139330.63500000004</v>
      </c>
      <c r="AI91" s="125">
        <f>Valores!$C$31</f>
        <v>0</v>
      </c>
      <c r="AJ91" s="125">
        <f>Valores!$C$86</f>
        <v>0</v>
      </c>
      <c r="AK91" s="125">
        <f>Valores!C$38*B91</f>
        <v>0</v>
      </c>
      <c r="AL91" s="125">
        <f>IF($F$3="NO",0,Valores!$C$55)</f>
        <v>170.34</v>
      </c>
      <c r="AM91" s="125">
        <f t="shared" si="13"/>
        <v>170.34</v>
      </c>
      <c r="AN91" s="125">
        <f>AH91*Valores!$C$70</f>
        <v>-15326.369850000005</v>
      </c>
      <c r="AO91" s="125">
        <f>AH91*-Valores!$C$71</f>
        <v>0</v>
      </c>
      <c r="AP91" s="125">
        <f>AH91*Valores!$C$72</f>
        <v>-6269.878575000002</v>
      </c>
      <c r="AQ91" s="125">
        <f>Valores!$C$99</f>
        <v>-280.91</v>
      </c>
      <c r="AR91" s="125">
        <f>IF($F$5=0,Valores!$C$100,(Valores!$C$100+$F$5*(Valores!$C$100)))</f>
        <v>-329</v>
      </c>
      <c r="AS91" s="125">
        <f t="shared" si="16"/>
        <v>117294.81657500003</v>
      </c>
      <c r="AT91" s="125">
        <f t="shared" si="10"/>
        <v>-15326.369850000005</v>
      </c>
      <c r="AU91" s="125">
        <f>AH91*Valores!$C$73</f>
        <v>-3761.927145000001</v>
      </c>
      <c r="AV91" s="125">
        <f>AH91*Valores!$C$74</f>
        <v>-417.99190500000014</v>
      </c>
      <c r="AW91" s="125">
        <f t="shared" si="14"/>
        <v>119994.68610000004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4142.59</v>
      </c>
      <c r="G92" s="192">
        <f>1480</f>
        <v>1480</v>
      </c>
      <c r="H92" s="125">
        <f>ROUND(G92*Valores!$C$2,2)</f>
        <v>38080.99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8874.13</v>
      </c>
      <c r="N92" s="125">
        <f t="shared" si="11"/>
        <v>0</v>
      </c>
      <c r="O92" s="125">
        <f>Valores!$C$9</f>
        <v>28480.68</v>
      </c>
      <c r="P92" s="125">
        <f>Valores!$D$5</f>
        <v>13153.38</v>
      </c>
      <c r="Q92" s="125">
        <f>Valores!$C$22</f>
        <v>11734.9</v>
      </c>
      <c r="R92" s="125">
        <f>IF($F$4="NO",Valores!$C$43,Valores!$C$43/2)</f>
        <v>4697.875</v>
      </c>
      <c r="S92" s="125">
        <f>Valores!$C$19</f>
        <v>12239.42</v>
      </c>
      <c r="T92" s="125">
        <f t="shared" si="17"/>
        <v>12239.42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Valores!$C$93</f>
        <v>5760.87</v>
      </c>
      <c r="AA92" s="125">
        <f>Valores!$C$25</f>
        <v>537.98</v>
      </c>
      <c r="AB92" s="214">
        <v>0</v>
      </c>
      <c r="AC92" s="125">
        <f t="shared" si="12"/>
        <v>0</v>
      </c>
      <c r="AD92" s="125">
        <f>Valores!$C$26</f>
        <v>537.98</v>
      </c>
      <c r="AE92" s="192">
        <v>0</v>
      </c>
      <c r="AF92" s="125">
        <f>ROUND(AE92*Valores!$C$2,2)</f>
        <v>0</v>
      </c>
      <c r="AG92" s="125">
        <f>ROUND(IF($F$4="NO",Valores!$C$62,Valores!$C$62/2),2)</f>
        <v>3203.47</v>
      </c>
      <c r="AH92" s="125">
        <f t="shared" si="15"/>
        <v>131444.26499999998</v>
      </c>
      <c r="AI92" s="125">
        <f>Valores!$C$31</f>
        <v>0</v>
      </c>
      <c r="AJ92" s="125">
        <f>Valores!$C$86</f>
        <v>0</v>
      </c>
      <c r="AK92" s="125">
        <f>Valores!C$38*B92</f>
        <v>0</v>
      </c>
      <c r="AL92" s="125">
        <f>IF($F$3="NO",0,Valores!$C$55)</f>
        <v>170.34</v>
      </c>
      <c r="AM92" s="125">
        <f t="shared" si="13"/>
        <v>170.34</v>
      </c>
      <c r="AN92" s="125">
        <f>AH92*Valores!$C$70</f>
        <v>-14458.869149999999</v>
      </c>
      <c r="AO92" s="125">
        <f>AH92*-Valores!$C$71</f>
        <v>0</v>
      </c>
      <c r="AP92" s="125">
        <f>AH92*Valores!$C$72</f>
        <v>-5914.991924999999</v>
      </c>
      <c r="AQ92" s="125">
        <f>Valores!$C$99</f>
        <v>-280.91</v>
      </c>
      <c r="AR92" s="125">
        <f>IF($F$5=0,Valores!$C$100,(Valores!$C$100+$F$5*(Valores!$C$100)))</f>
        <v>-329</v>
      </c>
      <c r="AS92" s="125">
        <f t="shared" si="16"/>
        <v>110630.83392499998</v>
      </c>
      <c r="AT92" s="125">
        <f t="shared" si="10"/>
        <v>-14458.869149999999</v>
      </c>
      <c r="AU92" s="125">
        <f>AH92*Valores!$C$73</f>
        <v>-3548.9951549999996</v>
      </c>
      <c r="AV92" s="125">
        <f>AH92*Valores!$C$74</f>
        <v>-394.332795</v>
      </c>
      <c r="AW92" s="125">
        <f t="shared" si="14"/>
        <v>113212.40789999999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4142.59</v>
      </c>
      <c r="G93" s="192">
        <f>1480</f>
        <v>1480</v>
      </c>
      <c r="H93" s="125">
        <f>ROUND(G93*Valores!$C$2,2)</f>
        <v>38080.99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8874.13</v>
      </c>
      <c r="N93" s="125">
        <f t="shared" si="11"/>
        <v>0</v>
      </c>
      <c r="O93" s="125">
        <f>Valores!$C$9</f>
        <v>28480.68</v>
      </c>
      <c r="P93" s="125">
        <f>Valores!$D$5</f>
        <v>13153.38</v>
      </c>
      <c r="Q93" s="125">
        <f>Valores!$C$22</f>
        <v>11734.9</v>
      </c>
      <c r="R93" s="125">
        <f>IF($F$4="NO",Valores!$C$43,Valores!$C$43/2)</f>
        <v>4697.875</v>
      </c>
      <c r="S93" s="125">
        <f>Valores!$C$19</f>
        <v>12239.42</v>
      </c>
      <c r="T93" s="125">
        <f t="shared" si="17"/>
        <v>12239.42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Valores!$C$93</f>
        <v>5760.87</v>
      </c>
      <c r="AA93" s="125">
        <f>Valores!$C$25</f>
        <v>537.98</v>
      </c>
      <c r="AB93" s="214">
        <v>0</v>
      </c>
      <c r="AC93" s="125">
        <f t="shared" si="12"/>
        <v>0</v>
      </c>
      <c r="AD93" s="125">
        <f>Valores!$C$26</f>
        <v>537.98</v>
      </c>
      <c r="AE93" s="192">
        <v>19</v>
      </c>
      <c r="AF93" s="125">
        <f>ROUND(AE93*Valores!$C$2,2)</f>
        <v>488.88</v>
      </c>
      <c r="AG93" s="125">
        <f>ROUND(IF($F$4="NO",Valores!$C$62,Valores!$C$62/2),2)</f>
        <v>3203.47</v>
      </c>
      <c r="AH93" s="125">
        <f t="shared" si="15"/>
        <v>131933.145</v>
      </c>
      <c r="AI93" s="125">
        <f>Valores!$C$31</f>
        <v>0</v>
      </c>
      <c r="AJ93" s="125">
        <f>Valores!$C$86</f>
        <v>0</v>
      </c>
      <c r="AK93" s="125">
        <f>Valores!C$38*B93</f>
        <v>0</v>
      </c>
      <c r="AL93" s="125">
        <f>IF($F$3="NO",0,Valores!$C$55)</f>
        <v>170.34</v>
      </c>
      <c r="AM93" s="125">
        <f t="shared" si="13"/>
        <v>170.34</v>
      </c>
      <c r="AN93" s="125">
        <f>AH93*Valores!$C$70</f>
        <v>-14512.645949999998</v>
      </c>
      <c r="AO93" s="125">
        <f>AH93*-Valores!$C$71</f>
        <v>0</v>
      </c>
      <c r="AP93" s="125">
        <f>AH93*Valores!$C$72</f>
        <v>-5936.9915249999995</v>
      </c>
      <c r="AQ93" s="125">
        <f>Valores!$C$99</f>
        <v>-280.91</v>
      </c>
      <c r="AR93" s="125">
        <f>IF($F$5=0,Valores!$C$100,(Valores!$C$100+$F$5*(Valores!$C$100)))</f>
        <v>-329</v>
      </c>
      <c r="AS93" s="125">
        <f t="shared" si="16"/>
        <v>111043.93752499999</v>
      </c>
      <c r="AT93" s="125">
        <f t="shared" si="10"/>
        <v>-14512.645949999998</v>
      </c>
      <c r="AU93" s="125">
        <f>AH93*Valores!$C$73</f>
        <v>-3562.1949149999996</v>
      </c>
      <c r="AV93" s="125">
        <f>AH93*Valores!$C$74</f>
        <v>-395.79943499999996</v>
      </c>
      <c r="AW93" s="125">
        <f t="shared" si="14"/>
        <v>113632.84469999999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4605.74</v>
      </c>
      <c r="G94" s="192">
        <v>1712</v>
      </c>
      <c r="H94" s="125">
        <f>ROUND(G94*Valores!$C$2,2)</f>
        <v>44050.44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9839.02</v>
      </c>
      <c r="N94" s="125">
        <f t="shared" si="11"/>
        <v>0</v>
      </c>
      <c r="O94" s="125">
        <f>Valores!$C$9</f>
        <v>28480.68</v>
      </c>
      <c r="P94" s="125">
        <f>Valores!$D$5</f>
        <v>13153.38</v>
      </c>
      <c r="Q94" s="125">
        <f>Valores!$C$22</f>
        <v>11734.9</v>
      </c>
      <c r="R94" s="125">
        <f>IF($F$4="NO",Valores!$C$43,Valores!$C$43/2)</f>
        <v>4697.875</v>
      </c>
      <c r="S94" s="125">
        <f>Valores!$C$19</f>
        <v>12239.42</v>
      </c>
      <c r="T94" s="125">
        <f t="shared" si="17"/>
        <v>12239.42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Valores!$C$93</f>
        <v>5760.87</v>
      </c>
      <c r="AA94" s="125">
        <f>Valores!$C$25</f>
        <v>537.98</v>
      </c>
      <c r="AB94" s="214">
        <v>0</v>
      </c>
      <c r="AC94" s="125">
        <f t="shared" si="12"/>
        <v>0</v>
      </c>
      <c r="AD94" s="125">
        <f>Valores!$C$26</f>
        <v>537.98</v>
      </c>
      <c r="AE94" s="192">
        <v>0</v>
      </c>
      <c r="AF94" s="125">
        <f>ROUND(AE94*Valores!$C$2,2)</f>
        <v>0</v>
      </c>
      <c r="AG94" s="125">
        <f>ROUND(IF($F$4="NO",Valores!$C$62,Valores!$C$62/2),2)</f>
        <v>3203.47</v>
      </c>
      <c r="AH94" s="125">
        <f t="shared" si="15"/>
        <v>138841.75500000003</v>
      </c>
      <c r="AI94" s="125">
        <f>Valores!$C$31</f>
        <v>0</v>
      </c>
      <c r="AJ94" s="125">
        <f>Valores!$C$86</f>
        <v>0</v>
      </c>
      <c r="AK94" s="125">
        <f>Valores!C$38*B94</f>
        <v>0</v>
      </c>
      <c r="AL94" s="125">
        <f>IF($F$3="NO",0,Valores!$C$55)</f>
        <v>170.34</v>
      </c>
      <c r="AM94" s="125">
        <f t="shared" si="13"/>
        <v>170.34</v>
      </c>
      <c r="AN94" s="125">
        <f>AH94*Valores!$C$70</f>
        <v>-15272.593050000003</v>
      </c>
      <c r="AO94" s="125">
        <f>AH94*-Valores!$C$71</f>
        <v>0</v>
      </c>
      <c r="AP94" s="125">
        <f>AH94*Valores!$C$72</f>
        <v>-6247.878975000001</v>
      </c>
      <c r="AQ94" s="125">
        <f>Valores!$C$99</f>
        <v>-280.91</v>
      </c>
      <c r="AR94" s="125">
        <f>IF($F$5=0,Valores!$C$100,(Valores!$C$100+$F$5*(Valores!$C$100)))</f>
        <v>-329</v>
      </c>
      <c r="AS94" s="125">
        <f t="shared" si="16"/>
        <v>116881.71297500003</v>
      </c>
      <c r="AT94" s="125">
        <f t="shared" si="10"/>
        <v>-15272.593050000003</v>
      </c>
      <c r="AU94" s="125">
        <f>AH94*Valores!$C$73</f>
        <v>-3748.727385000001</v>
      </c>
      <c r="AV94" s="125">
        <f>AH94*Valores!$C$74</f>
        <v>-416.5252650000001</v>
      </c>
      <c r="AW94" s="125">
        <f t="shared" si="14"/>
        <v>119574.24930000002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1646.75</v>
      </c>
      <c r="G95" s="192">
        <v>2086</v>
      </c>
      <c r="H95" s="125">
        <f>ROUND(G95*Valores!$C$2,2)</f>
        <v>53673.61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10879.03</v>
      </c>
      <c r="N95" s="125">
        <f t="shared" si="11"/>
        <v>0</v>
      </c>
      <c r="O95" s="125">
        <f>Valores!$C$9</f>
        <v>28480.68</v>
      </c>
      <c r="P95" s="125">
        <f>Valores!$D$5</f>
        <v>13153.38</v>
      </c>
      <c r="Q95" s="125">
        <f>Valores!$C$22</f>
        <v>11734.9</v>
      </c>
      <c r="R95" s="125">
        <f>IF($F$4="NO",Valores!$C$44,Valores!$C$44/2)</f>
        <v>4967.105</v>
      </c>
      <c r="S95" s="125">
        <f>Valores!$C$19</f>
        <v>12239.42</v>
      </c>
      <c r="T95" s="125">
        <f t="shared" si="17"/>
        <v>12239.42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Valores!$C$94</f>
        <v>6913.05</v>
      </c>
      <c r="AA95" s="125">
        <f>Valores!$C$25</f>
        <v>537.98</v>
      </c>
      <c r="AB95" s="214">
        <v>0</v>
      </c>
      <c r="AC95" s="125">
        <f t="shared" si="12"/>
        <v>0</v>
      </c>
      <c r="AD95" s="125">
        <f>Valores!$C$26</f>
        <v>537.98</v>
      </c>
      <c r="AE95" s="192">
        <v>0</v>
      </c>
      <c r="AF95" s="125">
        <f>ROUND(AE95*Valores!$C$2,2)</f>
        <v>0</v>
      </c>
      <c r="AG95" s="125">
        <f>ROUND(IF($F$4="NO",Valores!$C$62,Valores!$C$62/2),2)</f>
        <v>3203.47</v>
      </c>
      <c r="AH95" s="125">
        <f t="shared" si="15"/>
        <v>147967.355</v>
      </c>
      <c r="AI95" s="125">
        <f>Valores!$C$31</f>
        <v>0</v>
      </c>
      <c r="AJ95" s="125">
        <f>Valores!$C$87</f>
        <v>0</v>
      </c>
      <c r="AK95" s="125">
        <f>Valores!C$38*B95</f>
        <v>0</v>
      </c>
      <c r="AL95" s="125">
        <f>IF($F$3="NO",0,Valores!$C$55)</f>
        <v>170.34</v>
      </c>
      <c r="AM95" s="125">
        <f t="shared" si="13"/>
        <v>170.34</v>
      </c>
      <c r="AN95" s="125">
        <f>AH95*Valores!$C$70</f>
        <v>-16276.409050000002</v>
      </c>
      <c r="AO95" s="125">
        <f>AH95*-Valores!$C$71</f>
        <v>0</v>
      </c>
      <c r="AP95" s="125">
        <f>AH95*Valores!$C$72</f>
        <v>-6658.530975000001</v>
      </c>
      <c r="AQ95" s="125">
        <f>Valores!$C$99</f>
        <v>-280.91</v>
      </c>
      <c r="AR95" s="125">
        <f>IF($F$5=0,Valores!$C$100,(Valores!$C$100+$F$5*(Valores!$C$100)))</f>
        <v>-329</v>
      </c>
      <c r="AS95" s="125">
        <f t="shared" si="16"/>
        <v>124592.84497500001</v>
      </c>
      <c r="AT95" s="125">
        <f t="shared" si="10"/>
        <v>-16276.409050000002</v>
      </c>
      <c r="AU95" s="125">
        <f>AH95*Valores!$C$73</f>
        <v>-3995.118585</v>
      </c>
      <c r="AV95" s="125">
        <f>AH95*Valores!$C$74</f>
        <v>-443.90206500000005</v>
      </c>
      <c r="AW95" s="125">
        <f t="shared" si="14"/>
        <v>127422.2653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2290.01</v>
      </c>
      <c r="G96" s="192">
        <v>2481</v>
      </c>
      <c r="H96" s="125">
        <f>ROUND(G96*Valores!$C$2,2)</f>
        <v>63837.12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12459.66</v>
      </c>
      <c r="N96" s="125">
        <f t="shared" si="11"/>
        <v>0</v>
      </c>
      <c r="O96" s="125">
        <f>Valores!$C$8</f>
        <v>28397.34</v>
      </c>
      <c r="P96" s="125">
        <f>Valores!$D$5</f>
        <v>13153.38</v>
      </c>
      <c r="Q96" s="125">
        <v>0</v>
      </c>
      <c r="R96" s="125">
        <f>IF($F$4="NO",Valores!$C$43,Valores!$C$43/2)</f>
        <v>4697.875</v>
      </c>
      <c r="S96" s="125">
        <f>Valores!$C$19</f>
        <v>12239.42</v>
      </c>
      <c r="T96" s="125">
        <f t="shared" si="17"/>
        <v>12239.42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Valores!$C$93</f>
        <v>5760.87</v>
      </c>
      <c r="AA96" s="125">
        <f>Valores!$C$25</f>
        <v>537.98</v>
      </c>
      <c r="AB96" s="214">
        <v>0</v>
      </c>
      <c r="AC96" s="125">
        <f t="shared" si="12"/>
        <v>0</v>
      </c>
      <c r="AD96" s="125">
        <f>Valores!$C$26</f>
        <v>537.98</v>
      </c>
      <c r="AE96" s="192">
        <v>0</v>
      </c>
      <c r="AF96" s="125">
        <f>ROUND(AE96*Valores!$C$2,2)</f>
        <v>0</v>
      </c>
      <c r="AG96" s="125">
        <f>ROUND(IF($F$4="NO",Valores!$C$62,Valores!$C$62/2),2)</f>
        <v>3203.47</v>
      </c>
      <c r="AH96" s="125">
        <f t="shared" si="15"/>
        <v>147115.10500000004</v>
      </c>
      <c r="AI96" s="125">
        <f>Valores!$C$31</f>
        <v>0</v>
      </c>
      <c r="AJ96" s="125">
        <f>Valores!$C$86</f>
        <v>0</v>
      </c>
      <c r="AK96" s="125">
        <f>Valores!C$38*B96</f>
        <v>0</v>
      </c>
      <c r="AL96" s="125">
        <f>IF($F$3="NO",0,Valores!$C$55)</f>
        <v>170.34</v>
      </c>
      <c r="AM96" s="125">
        <f t="shared" si="13"/>
        <v>170.34</v>
      </c>
      <c r="AN96" s="125">
        <f>AH96*Valores!$C$70</f>
        <v>-16182.661550000004</v>
      </c>
      <c r="AO96" s="125">
        <f>AH96*-Valores!$C$71</f>
        <v>0</v>
      </c>
      <c r="AP96" s="125">
        <f>AH96*Valores!$C$72</f>
        <v>-6620.179725000002</v>
      </c>
      <c r="AQ96" s="125">
        <f>Valores!$C$99</f>
        <v>-280.91</v>
      </c>
      <c r="AR96" s="125">
        <f>IF($F$5=0,Valores!$C$100,(Valores!$C$100+$F$5*(Valores!$C$100)))</f>
        <v>-329</v>
      </c>
      <c r="AS96" s="125">
        <f t="shared" si="16"/>
        <v>123872.69372500003</v>
      </c>
      <c r="AT96" s="125">
        <f t="shared" si="10"/>
        <v>-16182.661550000004</v>
      </c>
      <c r="AU96" s="125">
        <f>AH96*Valores!$C$73</f>
        <v>-3972.107835000001</v>
      </c>
      <c r="AV96" s="125">
        <f>AH96*Valores!$C$74</f>
        <v>-441.34531500000014</v>
      </c>
      <c r="AW96" s="125">
        <f t="shared" si="14"/>
        <v>126689.33030000003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2290.01</v>
      </c>
      <c r="G97" s="192">
        <v>2381</v>
      </c>
      <c r="H97" s="125">
        <f>ROUND(G97*Valores!$C$2,2)</f>
        <v>61264.08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12073.71</v>
      </c>
      <c r="N97" s="125">
        <f t="shared" si="11"/>
        <v>0</v>
      </c>
      <c r="O97" s="125">
        <f>Valores!$C$16</f>
        <v>22234.39</v>
      </c>
      <c r="P97" s="125">
        <f>Valores!$D$5</f>
        <v>13153.38</v>
      </c>
      <c r="Q97" s="125">
        <f>Valores!$C$22</f>
        <v>11734.9</v>
      </c>
      <c r="R97" s="125">
        <f>IF($F$4="NO",Valores!$C$43,Valores!$C$43/2)</f>
        <v>4697.875</v>
      </c>
      <c r="S97" s="125">
        <f>Valores!$C$19</f>
        <v>12239.42</v>
      </c>
      <c r="T97" s="125">
        <f t="shared" si="17"/>
        <v>12239.42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Valores!$C$93</f>
        <v>5760.87</v>
      </c>
      <c r="AA97" s="125">
        <f>Valores!$C$25</f>
        <v>537.98</v>
      </c>
      <c r="AB97" s="214">
        <v>0</v>
      </c>
      <c r="AC97" s="125">
        <f t="shared" si="12"/>
        <v>0</v>
      </c>
      <c r="AD97" s="125">
        <f>Valores!$C$26</f>
        <v>537.98</v>
      </c>
      <c r="AE97" s="192">
        <v>0</v>
      </c>
      <c r="AF97" s="125">
        <f>ROUND(AE97*Valores!$C$2,2)</f>
        <v>0</v>
      </c>
      <c r="AG97" s="125">
        <f>ROUND(IF($F$4="NO",Valores!$C$62,Valores!$C$62/2),2)</f>
        <v>3203.47</v>
      </c>
      <c r="AH97" s="125">
        <f t="shared" si="15"/>
        <v>149728.06500000003</v>
      </c>
      <c r="AI97" s="125">
        <f>Valores!$C$31</f>
        <v>0</v>
      </c>
      <c r="AJ97" s="125">
        <f>Valores!$C$86</f>
        <v>0</v>
      </c>
      <c r="AK97" s="125">
        <f>Valores!C$38*B97</f>
        <v>0</v>
      </c>
      <c r="AL97" s="125">
        <f>IF($F$3="NO",0,Valores!$C$55)</f>
        <v>170.34</v>
      </c>
      <c r="AM97" s="125">
        <f t="shared" si="13"/>
        <v>170.34</v>
      </c>
      <c r="AN97" s="125">
        <f>AH97*Valores!$C$70</f>
        <v>-16470.087150000003</v>
      </c>
      <c r="AO97" s="125">
        <f>AH97*-Valores!$C$71</f>
        <v>0</v>
      </c>
      <c r="AP97" s="125">
        <f>AH97*Valores!$C$72</f>
        <v>-6737.762925000001</v>
      </c>
      <c r="AQ97" s="125">
        <f>Valores!$C$99</f>
        <v>-280.91</v>
      </c>
      <c r="AR97" s="125">
        <f>IF($F$5=0,Valores!$C$100,(Valores!$C$100+$F$5*(Valores!$C$100)))</f>
        <v>-329</v>
      </c>
      <c r="AS97" s="125">
        <f t="shared" si="16"/>
        <v>126080.64492500003</v>
      </c>
      <c r="AT97" s="125">
        <f t="shared" si="10"/>
        <v>-16470.087150000003</v>
      </c>
      <c r="AU97" s="125">
        <f>AH97*Valores!$C$73</f>
        <v>-4042.6577550000006</v>
      </c>
      <c r="AV97" s="125">
        <f>AH97*Valores!$C$74</f>
        <v>-449.1841950000001</v>
      </c>
      <c r="AW97" s="125">
        <f t="shared" si="14"/>
        <v>128936.47590000002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2290.01</v>
      </c>
      <c r="G98" s="192">
        <v>1768</v>
      </c>
      <c r="H98" s="125">
        <f>ROUND(G98*Valores!$C$2,2)</f>
        <v>45491.35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9707.8</v>
      </c>
      <c r="N98" s="125">
        <f t="shared" si="11"/>
        <v>0</v>
      </c>
      <c r="O98" s="125">
        <f>Valores!$C$16</f>
        <v>22234.39</v>
      </c>
      <c r="P98" s="125">
        <f>Valores!$D$5</f>
        <v>13153.38</v>
      </c>
      <c r="Q98" s="125">
        <f>Valores!$C$22</f>
        <v>11734.9</v>
      </c>
      <c r="R98" s="125">
        <f>IF($F$4="NO",Valores!$C$43,Valores!$C$43/2)</f>
        <v>4697.875</v>
      </c>
      <c r="S98" s="125">
        <f>Valores!$C$19</f>
        <v>12239.42</v>
      </c>
      <c r="T98" s="125">
        <f t="shared" si="17"/>
        <v>12239.42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Valores!$C$93</f>
        <v>5760.87</v>
      </c>
      <c r="AA98" s="125">
        <f>Valores!$C$25</f>
        <v>537.98</v>
      </c>
      <c r="AB98" s="214">
        <v>0</v>
      </c>
      <c r="AC98" s="125">
        <f t="shared" si="12"/>
        <v>0</v>
      </c>
      <c r="AD98" s="125">
        <f>Valores!$C$26</f>
        <v>537.98</v>
      </c>
      <c r="AE98" s="192">
        <v>0</v>
      </c>
      <c r="AF98" s="125">
        <f>ROUND(AE98*Valores!$C$2,2)</f>
        <v>0</v>
      </c>
      <c r="AG98" s="125">
        <f>ROUND(IF($F$4="NO",Valores!$C$62,Valores!$C$62/2),2)</f>
        <v>3203.47</v>
      </c>
      <c r="AH98" s="125">
        <f t="shared" si="15"/>
        <v>131589.425</v>
      </c>
      <c r="AI98" s="125">
        <f>Valores!$C$31</f>
        <v>0</v>
      </c>
      <c r="AJ98" s="125">
        <f>Valores!$C$86</f>
        <v>0</v>
      </c>
      <c r="AK98" s="125">
        <f>Valores!C$38*B98</f>
        <v>0</v>
      </c>
      <c r="AL98" s="125">
        <f>IF($F$3="NO",0,Valores!$C$55)</f>
        <v>170.34</v>
      </c>
      <c r="AM98" s="125">
        <f t="shared" si="13"/>
        <v>170.34</v>
      </c>
      <c r="AN98" s="125">
        <f>AH98*Valores!$C$70</f>
        <v>-14474.836749999999</v>
      </c>
      <c r="AO98" s="125">
        <f>AH98*-Valores!$C$71</f>
        <v>0</v>
      </c>
      <c r="AP98" s="125">
        <f>AH98*Valores!$C$72</f>
        <v>-5921.524124999999</v>
      </c>
      <c r="AQ98" s="125">
        <f>Valores!$C$99</f>
        <v>-280.91</v>
      </c>
      <c r="AR98" s="125">
        <f>IF($F$5=0,Valores!$C$100,(Valores!$C$100+$F$5*(Valores!$C$100)))</f>
        <v>-329</v>
      </c>
      <c r="AS98" s="125">
        <f t="shared" si="16"/>
        <v>110753.494125</v>
      </c>
      <c r="AT98" s="125">
        <f t="shared" si="10"/>
        <v>-14474.836749999999</v>
      </c>
      <c r="AU98" s="125">
        <f>AH98*Valores!$C$73</f>
        <v>-3552.9144749999996</v>
      </c>
      <c r="AV98" s="125">
        <f>AH98*Valores!$C$74</f>
        <v>-394.76827499999996</v>
      </c>
      <c r="AW98" s="125">
        <f t="shared" si="14"/>
        <v>113337.24549999999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2290.01</v>
      </c>
      <c r="G99" s="192">
        <v>1768</v>
      </c>
      <c r="H99" s="125">
        <f>ROUND(G99*Valores!$C$2,2)</f>
        <v>45491.35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9707.8</v>
      </c>
      <c r="N99" s="125">
        <f t="shared" si="11"/>
        <v>0</v>
      </c>
      <c r="O99" s="125">
        <f>Valores!$C$8</f>
        <v>28397.34</v>
      </c>
      <c r="P99" s="125">
        <f>Valores!$D$5</f>
        <v>13153.38</v>
      </c>
      <c r="Q99" s="125">
        <f>Valores!$C$22</f>
        <v>11734.9</v>
      </c>
      <c r="R99" s="125">
        <f>IF($F$4="NO",Valores!$C$43,Valores!$C$43/2)</f>
        <v>4697.875</v>
      </c>
      <c r="S99" s="125">
        <f>Valores!$C$19</f>
        <v>12239.42</v>
      </c>
      <c r="T99" s="125">
        <f t="shared" si="17"/>
        <v>12239.42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Valores!$C$93</f>
        <v>5760.87</v>
      </c>
      <c r="AA99" s="125">
        <f>Valores!$C$25</f>
        <v>537.98</v>
      </c>
      <c r="AB99" s="214">
        <v>0</v>
      </c>
      <c r="AC99" s="125">
        <f t="shared" si="12"/>
        <v>0</v>
      </c>
      <c r="AD99" s="125">
        <f>Valores!$C$26</f>
        <v>537.98</v>
      </c>
      <c r="AE99" s="192">
        <v>0</v>
      </c>
      <c r="AF99" s="125">
        <f>ROUND(AE99*Valores!$C$2,2)</f>
        <v>0</v>
      </c>
      <c r="AG99" s="125">
        <f>ROUND(IF($F$4="NO",Valores!$C$62,Valores!$C$62/2),2)</f>
        <v>3203.47</v>
      </c>
      <c r="AH99" s="125">
        <f t="shared" si="15"/>
        <v>137752.37500000003</v>
      </c>
      <c r="AI99" s="125">
        <f>Valores!$C$31</f>
        <v>0</v>
      </c>
      <c r="AJ99" s="125">
        <f>Valores!$C$86</f>
        <v>0</v>
      </c>
      <c r="AK99" s="125">
        <f>Valores!C$38*B99</f>
        <v>0</v>
      </c>
      <c r="AL99" s="125">
        <f>IF($F$3="NO",0,Valores!$C$55)</f>
        <v>170.34</v>
      </c>
      <c r="AM99" s="125">
        <f t="shared" si="13"/>
        <v>170.34</v>
      </c>
      <c r="AN99" s="125">
        <f>AH99*Valores!$C$70</f>
        <v>-15152.761250000003</v>
      </c>
      <c r="AO99" s="125">
        <f>AH99*-Valores!$C$71</f>
        <v>0</v>
      </c>
      <c r="AP99" s="125">
        <f>AH99*Valores!$C$72</f>
        <v>-6198.856875000001</v>
      </c>
      <c r="AQ99" s="125">
        <f>Valores!$C$99</f>
        <v>-280.91</v>
      </c>
      <c r="AR99" s="125">
        <f>IF($F$5=0,Valores!$C$100,(Valores!$C$100+$F$5*(Valores!$C$100)))</f>
        <v>-329</v>
      </c>
      <c r="AS99" s="125">
        <f t="shared" si="16"/>
        <v>115961.18687500003</v>
      </c>
      <c r="AT99" s="125">
        <f t="shared" si="10"/>
        <v>-15152.761250000003</v>
      </c>
      <c r="AU99" s="125">
        <f>AH99*Valores!$C$73</f>
        <v>-3719.314125000001</v>
      </c>
      <c r="AV99" s="125">
        <f>AH99*Valores!$C$74</f>
        <v>-413.2571250000001</v>
      </c>
      <c r="AW99" s="125">
        <f t="shared" si="14"/>
        <v>118637.38250000002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2290.01</v>
      </c>
      <c r="G100" s="192">
        <v>2211</v>
      </c>
      <c r="H100" s="125">
        <f>ROUND(G100*Valores!$C$2,2)</f>
        <v>56889.91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11417.58</v>
      </c>
      <c r="N100" s="125">
        <f t="shared" si="11"/>
        <v>0</v>
      </c>
      <c r="O100" s="125">
        <f>Valores!$C$8</f>
        <v>28397.34</v>
      </c>
      <c r="P100" s="125">
        <f>Valores!$D$5</f>
        <v>13153.38</v>
      </c>
      <c r="Q100" s="125">
        <f>Valores!$C$22</f>
        <v>11734.9</v>
      </c>
      <c r="R100" s="125">
        <f>IF($F$4="NO",Valores!$C$43,Valores!$C$43/2)</f>
        <v>4697.875</v>
      </c>
      <c r="S100" s="125">
        <f>Valores!$C$19</f>
        <v>12239.42</v>
      </c>
      <c r="T100" s="125">
        <f t="shared" si="17"/>
        <v>12239.42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Valores!$C$93</f>
        <v>5760.87</v>
      </c>
      <c r="AA100" s="125">
        <f>Valores!$C$25</f>
        <v>537.98</v>
      </c>
      <c r="AB100" s="214">
        <v>0</v>
      </c>
      <c r="AC100" s="125">
        <f t="shared" si="12"/>
        <v>0</v>
      </c>
      <c r="AD100" s="125">
        <f>Valores!$C$26</f>
        <v>537.98</v>
      </c>
      <c r="AE100" s="192">
        <v>0</v>
      </c>
      <c r="AF100" s="125">
        <f>ROUND(AE100*Valores!$C$2,2)</f>
        <v>0</v>
      </c>
      <c r="AG100" s="125">
        <f>ROUND(IF($F$4="NO",Valores!$C$62,Valores!$C$62/2),2)</f>
        <v>3203.47</v>
      </c>
      <c r="AH100" s="125">
        <f t="shared" si="15"/>
        <v>150860.71500000003</v>
      </c>
      <c r="AI100" s="125">
        <f>Valores!$C$31</f>
        <v>0</v>
      </c>
      <c r="AJ100" s="125">
        <f>Valores!$C$86</f>
        <v>0</v>
      </c>
      <c r="AK100" s="125">
        <f>Valores!C$38*B100</f>
        <v>0</v>
      </c>
      <c r="AL100" s="125">
        <f>IF($F$3="NO",0,Valores!$C$55)</f>
        <v>170.34</v>
      </c>
      <c r="AM100" s="125">
        <f t="shared" si="13"/>
        <v>170.34</v>
      </c>
      <c r="AN100" s="125">
        <f>AH100*Valores!$C$70</f>
        <v>-16594.67865</v>
      </c>
      <c r="AO100" s="125">
        <f>AH100*-Valores!$C$71</f>
        <v>0</v>
      </c>
      <c r="AP100" s="125">
        <f>AH100*Valores!$C$72</f>
        <v>-6788.732175000001</v>
      </c>
      <c r="AQ100" s="125">
        <f>Valores!$C$99</f>
        <v>-280.91</v>
      </c>
      <c r="AR100" s="125">
        <f>IF($F$5=0,Valores!$C$100,(Valores!$C$100+$F$5*(Valores!$C$100)))</f>
        <v>-329</v>
      </c>
      <c r="AS100" s="125">
        <f t="shared" si="16"/>
        <v>127037.73417500002</v>
      </c>
      <c r="AT100" s="125">
        <f t="shared" si="10"/>
        <v>-16594.67865</v>
      </c>
      <c r="AU100" s="125">
        <f>AH100*Valores!$C$73</f>
        <v>-4073.2393050000005</v>
      </c>
      <c r="AV100" s="125">
        <f>AH100*Valores!$C$74</f>
        <v>-452.5821450000001</v>
      </c>
      <c r="AW100" s="125">
        <f t="shared" si="14"/>
        <v>129910.55490000002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2290.01</v>
      </c>
      <c r="G101" s="192">
        <v>1956</v>
      </c>
      <c r="H101" s="125">
        <f>ROUND(G101*Valores!$C$2,2)</f>
        <v>50328.66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10433.39</v>
      </c>
      <c r="N101" s="125">
        <f t="shared" si="11"/>
        <v>0</v>
      </c>
      <c r="O101" s="125">
        <f>Valores!$C$16</f>
        <v>22234.39</v>
      </c>
      <c r="P101" s="125">
        <f>Valores!$D$5</f>
        <v>13153.38</v>
      </c>
      <c r="Q101" s="125">
        <v>0</v>
      </c>
      <c r="R101" s="125">
        <f>IF($F$4="NO",Valores!$C$43,Valores!$C$43/2)</f>
        <v>4697.875</v>
      </c>
      <c r="S101" s="125">
        <f>Valores!$C$19</f>
        <v>12239.42</v>
      </c>
      <c r="T101" s="125">
        <f t="shared" si="17"/>
        <v>12239.42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Valores!$C$93</f>
        <v>5760.87</v>
      </c>
      <c r="AA101" s="125">
        <f>Valores!$C$25</f>
        <v>537.98</v>
      </c>
      <c r="AB101" s="214">
        <v>0</v>
      </c>
      <c r="AC101" s="125">
        <f t="shared" si="12"/>
        <v>0</v>
      </c>
      <c r="AD101" s="125">
        <f>Valores!$C$26</f>
        <v>537.98</v>
      </c>
      <c r="AE101" s="192">
        <v>0</v>
      </c>
      <c r="AF101" s="125">
        <f>ROUND(AE101*Valores!$C$2,2)</f>
        <v>0</v>
      </c>
      <c r="AG101" s="125">
        <f>ROUND(IF($F$4="NO",Valores!$C$62,Valores!$C$62/2),2)</f>
        <v>3203.47</v>
      </c>
      <c r="AH101" s="125">
        <f t="shared" si="15"/>
        <v>125417.425</v>
      </c>
      <c r="AI101" s="125">
        <f>Valores!$C$31</f>
        <v>0</v>
      </c>
      <c r="AJ101" s="125">
        <f>Valores!$C$86</f>
        <v>0</v>
      </c>
      <c r="AK101" s="125">
        <f>Valores!C$38*B101</f>
        <v>0</v>
      </c>
      <c r="AL101" s="125">
        <f>IF($F$3="NO",0,Valores!$C$55)</f>
        <v>170.34</v>
      </c>
      <c r="AM101" s="125">
        <f t="shared" si="13"/>
        <v>170.34</v>
      </c>
      <c r="AN101" s="125">
        <f>AH101*Valores!$C$70</f>
        <v>-13795.91675</v>
      </c>
      <c r="AO101" s="125">
        <f>AH101*-Valores!$C$71</f>
        <v>0</v>
      </c>
      <c r="AP101" s="125">
        <f>AH101*Valores!$C$72</f>
        <v>-5643.784125</v>
      </c>
      <c r="AQ101" s="125">
        <f>Valores!$C$99</f>
        <v>-280.91</v>
      </c>
      <c r="AR101" s="125">
        <f>IF($F$5=0,Valores!$C$100,(Valores!$C$100+$F$5*(Valores!$C$100)))</f>
        <v>-329</v>
      </c>
      <c r="AS101" s="125">
        <f t="shared" si="16"/>
        <v>105538.154125</v>
      </c>
      <c r="AT101" s="125">
        <f t="shared" si="10"/>
        <v>-13795.91675</v>
      </c>
      <c r="AU101" s="125">
        <f>AH101*Valores!$C$73</f>
        <v>-3386.2704750000003</v>
      </c>
      <c r="AV101" s="125">
        <f>AH101*Valores!$C$74</f>
        <v>-376.252275</v>
      </c>
      <c r="AW101" s="125">
        <f t="shared" si="14"/>
        <v>108029.3255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2290.01</v>
      </c>
      <c r="G102" s="192">
        <v>1267</v>
      </c>
      <c r="H102" s="125">
        <f>ROUND(G102*Valores!$C$2,2)</f>
        <v>32600.42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7774.16</v>
      </c>
      <c r="N102" s="125">
        <f t="shared" si="11"/>
        <v>0</v>
      </c>
      <c r="O102" s="125">
        <f>Valores!$C$16</f>
        <v>22234.39</v>
      </c>
      <c r="P102" s="125">
        <f>Valores!$D$5</f>
        <v>13153.38</v>
      </c>
      <c r="Q102" s="125">
        <v>0</v>
      </c>
      <c r="R102" s="125">
        <f>IF($F$4="NO",Valores!$C$43,Valores!$C$43/2)</f>
        <v>4697.875</v>
      </c>
      <c r="S102" s="125">
        <f>Valores!$C$19</f>
        <v>12239.42</v>
      </c>
      <c r="T102" s="125">
        <f t="shared" si="17"/>
        <v>12239.42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Valores!$C$93</f>
        <v>5760.87</v>
      </c>
      <c r="AA102" s="125">
        <f>Valores!$C$25</f>
        <v>537.98</v>
      </c>
      <c r="AB102" s="214">
        <v>0</v>
      </c>
      <c r="AC102" s="125">
        <f t="shared" si="12"/>
        <v>0</v>
      </c>
      <c r="AD102" s="125">
        <f>Valores!$C$26</f>
        <v>537.98</v>
      </c>
      <c r="AE102" s="192">
        <v>0</v>
      </c>
      <c r="AF102" s="125">
        <f>ROUND(AE102*Valores!$C$2,2)</f>
        <v>0</v>
      </c>
      <c r="AG102" s="125">
        <f>ROUND(IF($F$4="NO",Valores!$C$62,Valores!$C$62/2),2)</f>
        <v>3203.47</v>
      </c>
      <c r="AH102" s="125">
        <f t="shared" si="15"/>
        <v>105029.95499999999</v>
      </c>
      <c r="AI102" s="125">
        <f>Valores!$C$31</f>
        <v>0</v>
      </c>
      <c r="AJ102" s="125">
        <f>Valores!$C$86</f>
        <v>0</v>
      </c>
      <c r="AK102" s="125">
        <f>Valores!C$38*B102</f>
        <v>0</v>
      </c>
      <c r="AL102" s="125">
        <f>IF($F$3="NO",0,Valores!$C$55)</f>
        <v>170.34</v>
      </c>
      <c r="AM102" s="125">
        <f t="shared" si="13"/>
        <v>170.34</v>
      </c>
      <c r="AN102" s="125">
        <f>AH102*Valores!$C$70</f>
        <v>-11553.295049999999</v>
      </c>
      <c r="AO102" s="125">
        <f>AH102*-Valores!$C$71</f>
        <v>0</v>
      </c>
      <c r="AP102" s="125">
        <f>AH102*Valores!$C$72</f>
        <v>-4726.347975</v>
      </c>
      <c r="AQ102" s="125">
        <f>Valores!$C$99</f>
        <v>-280.91</v>
      </c>
      <c r="AR102" s="125">
        <f>IF($F$5=0,Valores!$C$100,(Valores!$C$100+$F$5*(Valores!$C$100)))</f>
        <v>-329</v>
      </c>
      <c r="AS102" s="125">
        <f t="shared" si="16"/>
        <v>88310.74197499998</v>
      </c>
      <c r="AT102" s="125">
        <f t="shared" si="10"/>
        <v>-11553.295049999999</v>
      </c>
      <c r="AU102" s="125">
        <f>AH102*Valores!$C$73</f>
        <v>-2835.8087849999997</v>
      </c>
      <c r="AV102" s="125">
        <f>AH102*Valores!$C$74</f>
        <v>-315.089865</v>
      </c>
      <c r="AW102" s="125">
        <f t="shared" si="14"/>
        <v>90496.10129999998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1723.94</v>
      </c>
      <c r="G103" s="192">
        <v>2108</v>
      </c>
      <c r="H103" s="125">
        <f>ROUND(G103*Valores!$C$2,2)</f>
        <v>54239.68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10839.15</v>
      </c>
      <c r="N103" s="125">
        <f t="shared" si="11"/>
        <v>0</v>
      </c>
      <c r="O103" s="125">
        <f>Valores!$C$14</f>
        <v>23734.39</v>
      </c>
      <c r="P103" s="125">
        <f>Valores!$D$5</f>
        <v>13153.38</v>
      </c>
      <c r="Q103" s="125">
        <v>0</v>
      </c>
      <c r="R103" s="125">
        <f>IF($F$4="NO",Valores!$C$41,Valores!$C$41/2)</f>
        <v>4183.095</v>
      </c>
      <c r="S103" s="125">
        <f>Valores!$C$20</f>
        <v>12114.28</v>
      </c>
      <c r="T103" s="125">
        <f t="shared" si="17"/>
        <v>12114.28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Valores!$C$93</f>
        <v>5760.87</v>
      </c>
      <c r="AA103" s="125">
        <f>Valores!$C$25</f>
        <v>537.98</v>
      </c>
      <c r="AB103" s="214">
        <v>0</v>
      </c>
      <c r="AC103" s="125">
        <f t="shared" si="12"/>
        <v>0</v>
      </c>
      <c r="AD103" s="125">
        <f>Valores!$C$26</f>
        <v>537.98</v>
      </c>
      <c r="AE103" s="192">
        <v>0</v>
      </c>
      <c r="AF103" s="125">
        <f>ROUND(AE103*Valores!$C$2,2)</f>
        <v>0</v>
      </c>
      <c r="AG103" s="125">
        <f>ROUND(IF($F$4="NO",Valores!$C$62,Valores!$C$62/2),2)</f>
        <v>3203.47</v>
      </c>
      <c r="AH103" s="125">
        <f t="shared" si="15"/>
        <v>130028.215</v>
      </c>
      <c r="AI103" s="125">
        <f>Valores!$C$31</f>
        <v>0</v>
      </c>
      <c r="AJ103" s="125">
        <f>Valores!$C$86</f>
        <v>0</v>
      </c>
      <c r="AK103" s="125">
        <f>Valores!C$38*B103</f>
        <v>0</v>
      </c>
      <c r="AL103" s="125">
        <f>IF($F$3="NO",0,Valores!$C$55)</f>
        <v>170.34</v>
      </c>
      <c r="AM103" s="125">
        <f t="shared" si="13"/>
        <v>170.34</v>
      </c>
      <c r="AN103" s="125">
        <f>AH103*Valores!$C$70</f>
        <v>-14303.10365</v>
      </c>
      <c r="AO103" s="125">
        <f>AH103*-Valores!$C$71</f>
        <v>0</v>
      </c>
      <c r="AP103" s="125">
        <f>AH103*Valores!$C$72</f>
        <v>-5851.269675</v>
      </c>
      <c r="AQ103" s="125">
        <f>Valores!$C$99</f>
        <v>-280.91</v>
      </c>
      <c r="AR103" s="125">
        <f>IF($F$5=0,Valores!$C$100,(Valores!$C$100+$F$5*(Valores!$C$100)))</f>
        <v>-329</v>
      </c>
      <c r="AS103" s="125">
        <f t="shared" si="16"/>
        <v>109434.271675</v>
      </c>
      <c r="AT103" s="125">
        <f t="shared" si="10"/>
        <v>-14303.10365</v>
      </c>
      <c r="AU103" s="125">
        <f>AH103*Valores!$C$73</f>
        <v>-3510.7618049999996</v>
      </c>
      <c r="AV103" s="125">
        <f>AH103*Valores!$C$74</f>
        <v>-390.084645</v>
      </c>
      <c r="AW103" s="125">
        <f t="shared" si="14"/>
        <v>111994.60489999999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1157.87</v>
      </c>
      <c r="G104" s="192">
        <v>1502</v>
      </c>
      <c r="H104" s="125">
        <f>ROUND(G104*Valores!$C$2,2)</f>
        <v>38647.06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8415.35</v>
      </c>
      <c r="N104" s="125">
        <f t="shared" si="11"/>
        <v>0</v>
      </c>
      <c r="O104" s="125">
        <f>Valores!$C$14</f>
        <v>23734.39</v>
      </c>
      <c r="P104" s="125">
        <f>Valores!$D$5</f>
        <v>13153.38</v>
      </c>
      <c r="Q104" s="125">
        <v>0</v>
      </c>
      <c r="R104" s="125">
        <f>IF($F$4="NO",Valores!$C$41,Valores!$C$41/2)</f>
        <v>4183.095</v>
      </c>
      <c r="S104" s="125">
        <f>Valores!$C$20</f>
        <v>12114.28</v>
      </c>
      <c r="T104" s="125">
        <f t="shared" si="17"/>
        <v>12114.28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Valores!$C$93</f>
        <v>5760.87</v>
      </c>
      <c r="AA104" s="125">
        <f>Valores!$C$25</f>
        <v>537.98</v>
      </c>
      <c r="AB104" s="214">
        <v>0</v>
      </c>
      <c r="AC104" s="125">
        <f t="shared" si="12"/>
        <v>0</v>
      </c>
      <c r="AD104" s="125">
        <f>Valores!$C$26</f>
        <v>537.98</v>
      </c>
      <c r="AE104" s="192">
        <v>0</v>
      </c>
      <c r="AF104" s="125">
        <f>ROUND(AE104*Valores!$C$2,2)</f>
        <v>0</v>
      </c>
      <c r="AG104" s="125">
        <f>ROUND(IF($F$4="NO",Valores!$C$62,Valores!$C$62/2),2)</f>
        <v>3203.47</v>
      </c>
      <c r="AH104" s="125">
        <f t="shared" si="15"/>
        <v>111445.72499999999</v>
      </c>
      <c r="AI104" s="125">
        <f>Valores!$C$31</f>
        <v>0</v>
      </c>
      <c r="AJ104" s="125">
        <f>Valores!$C$86</f>
        <v>0</v>
      </c>
      <c r="AK104" s="125">
        <f>Valores!C$38*B104</f>
        <v>0</v>
      </c>
      <c r="AL104" s="125">
        <f>IF($F$3="NO",0,Valores!$C$55)</f>
        <v>170.34</v>
      </c>
      <c r="AM104" s="125">
        <f t="shared" si="13"/>
        <v>170.34</v>
      </c>
      <c r="AN104" s="125">
        <f>AH104*Valores!$C$70</f>
        <v>-12259.02975</v>
      </c>
      <c r="AO104" s="125">
        <f>AH104*-Valores!$C$71</f>
        <v>0</v>
      </c>
      <c r="AP104" s="125">
        <f>AH104*Valores!$C$72</f>
        <v>-5015.0576249999995</v>
      </c>
      <c r="AQ104" s="125">
        <f>Valores!$C$99</f>
        <v>-280.91</v>
      </c>
      <c r="AR104" s="125">
        <f>IF($F$5=0,Valores!$C$100,(Valores!$C$100+$F$5*(Valores!$C$100)))</f>
        <v>-329</v>
      </c>
      <c r="AS104" s="125">
        <f t="shared" si="16"/>
        <v>93732.067625</v>
      </c>
      <c r="AT104" s="125">
        <f t="shared" si="10"/>
        <v>-12259.02975</v>
      </c>
      <c r="AU104" s="125">
        <f>AH104*Valores!$C$73</f>
        <v>-3009.0345749999997</v>
      </c>
      <c r="AV104" s="125">
        <f>AH104*Valores!$C$74</f>
        <v>-334.337175</v>
      </c>
      <c r="AW104" s="125">
        <f t="shared" si="14"/>
        <v>96013.6635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1569.55</v>
      </c>
      <c r="G105" s="192">
        <v>2114</v>
      </c>
      <c r="H105" s="125">
        <f>ROUND(G105*Valores!$C$2,2)</f>
        <v>54394.07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10839.15</v>
      </c>
      <c r="N105" s="125">
        <f t="shared" si="11"/>
        <v>0</v>
      </c>
      <c r="O105" s="125">
        <f>Valores!$C$14</f>
        <v>23734.39</v>
      </c>
      <c r="P105" s="125">
        <f>Valores!$D$5</f>
        <v>13153.38</v>
      </c>
      <c r="Q105" s="125">
        <v>0</v>
      </c>
      <c r="R105" s="125">
        <f>IF($F$4="NO",Valores!$C$41,Valores!$C$41/2)</f>
        <v>4183.095</v>
      </c>
      <c r="S105" s="125">
        <f>Valores!$C$20</f>
        <v>12114.28</v>
      </c>
      <c r="T105" s="125">
        <f t="shared" si="17"/>
        <v>12114.28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Valores!$C$93</f>
        <v>5760.87</v>
      </c>
      <c r="AA105" s="125">
        <f>Valores!$C$25</f>
        <v>537.98</v>
      </c>
      <c r="AB105" s="214">
        <v>0</v>
      </c>
      <c r="AC105" s="125">
        <f t="shared" si="12"/>
        <v>0</v>
      </c>
      <c r="AD105" s="125">
        <f>Valores!$C$26</f>
        <v>537.98</v>
      </c>
      <c r="AE105" s="192">
        <v>0</v>
      </c>
      <c r="AF105" s="125">
        <f>ROUND(AE105*Valores!$C$2,2)</f>
        <v>0</v>
      </c>
      <c r="AG105" s="125">
        <f>ROUND(IF($F$4="NO",Valores!$C$62,Valores!$C$62/2),2)</f>
        <v>3203.47</v>
      </c>
      <c r="AH105" s="125">
        <f t="shared" si="15"/>
        <v>130028.215</v>
      </c>
      <c r="AI105" s="125">
        <f>Valores!$C$31</f>
        <v>0</v>
      </c>
      <c r="AJ105" s="125">
        <f>Valores!$C$86</f>
        <v>0</v>
      </c>
      <c r="AK105" s="125">
        <f>Valores!C$38*B105</f>
        <v>0</v>
      </c>
      <c r="AL105" s="125">
        <f>IF($F$3="NO",0,Valores!$C$55)</f>
        <v>170.34</v>
      </c>
      <c r="AM105" s="125">
        <f t="shared" si="13"/>
        <v>170.34</v>
      </c>
      <c r="AN105" s="125">
        <f>AH105*Valores!$C$70</f>
        <v>-14303.10365</v>
      </c>
      <c r="AO105" s="125">
        <f>AH105*-Valores!$C$71</f>
        <v>0</v>
      </c>
      <c r="AP105" s="125">
        <f>AH105*Valores!$C$72</f>
        <v>-5851.269675</v>
      </c>
      <c r="AQ105" s="125">
        <f>Valores!$C$99</f>
        <v>-280.91</v>
      </c>
      <c r="AR105" s="125">
        <f>IF($F$5=0,Valores!$C$100,(Valores!$C$100+$F$5*(Valores!$C$100)))</f>
        <v>-329</v>
      </c>
      <c r="AS105" s="125">
        <f t="shared" si="16"/>
        <v>109434.271675</v>
      </c>
      <c r="AT105" s="125">
        <f t="shared" si="10"/>
        <v>-14303.10365</v>
      </c>
      <c r="AU105" s="125">
        <f>AH105*Valores!$C$73</f>
        <v>-3510.7618049999996</v>
      </c>
      <c r="AV105" s="125">
        <f>AH105*Valores!$C$74</f>
        <v>-390.084645</v>
      </c>
      <c r="AW105" s="125">
        <f t="shared" si="14"/>
        <v>111994.60489999999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1518.09</v>
      </c>
      <c r="G106" s="192">
        <v>2013</v>
      </c>
      <c r="H106" s="125">
        <f>ROUND(G106*Valores!$C$2,2)</f>
        <v>51795.3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10441.61</v>
      </c>
      <c r="N106" s="125">
        <f t="shared" si="11"/>
        <v>0</v>
      </c>
      <c r="O106" s="125">
        <f>Valores!$C$14</f>
        <v>23734.39</v>
      </c>
      <c r="P106" s="125">
        <f>Valores!$D$5</f>
        <v>13153.38</v>
      </c>
      <c r="Q106" s="125">
        <v>0</v>
      </c>
      <c r="R106" s="125">
        <f>IF($F$4="NO",Valores!$C$41,Valores!$C$41/2)</f>
        <v>4183.095</v>
      </c>
      <c r="S106" s="125">
        <f>Valores!$C$20</f>
        <v>12114.28</v>
      </c>
      <c r="T106" s="125">
        <f t="shared" si="17"/>
        <v>12114.28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Valores!$C$93</f>
        <v>5760.87</v>
      </c>
      <c r="AA106" s="125">
        <f>Valores!$C$25</f>
        <v>537.98</v>
      </c>
      <c r="AB106" s="214">
        <v>0</v>
      </c>
      <c r="AC106" s="125">
        <f t="shared" si="12"/>
        <v>0</v>
      </c>
      <c r="AD106" s="125">
        <f>Valores!$C$26</f>
        <v>537.98</v>
      </c>
      <c r="AE106" s="192">
        <v>0</v>
      </c>
      <c r="AF106" s="125">
        <f>ROUND(AE106*Valores!$C$2,2)</f>
        <v>0</v>
      </c>
      <c r="AG106" s="125">
        <f>ROUND(IF($F$4="NO",Valores!$C$62,Valores!$C$62/2),2)</f>
        <v>3203.47</v>
      </c>
      <c r="AH106" s="125">
        <f t="shared" si="15"/>
        <v>126980.44499999999</v>
      </c>
      <c r="AI106" s="125">
        <f>Valores!$C$31</f>
        <v>0</v>
      </c>
      <c r="AJ106" s="125">
        <f>Valores!$C$86</f>
        <v>0</v>
      </c>
      <c r="AK106" s="125">
        <f>Valores!C$38*B106</f>
        <v>0</v>
      </c>
      <c r="AL106" s="125">
        <f>IF($F$3="NO",0,Valores!$C$55)</f>
        <v>170.34</v>
      </c>
      <c r="AM106" s="125">
        <f t="shared" si="13"/>
        <v>170.34</v>
      </c>
      <c r="AN106" s="125">
        <f>AH106*Valores!$C$70</f>
        <v>-13967.84895</v>
      </c>
      <c r="AO106" s="125">
        <f>AH106*-Valores!$C$71</f>
        <v>0</v>
      </c>
      <c r="AP106" s="125">
        <f>AH106*Valores!$C$72</f>
        <v>-5714.120024999999</v>
      </c>
      <c r="AQ106" s="125">
        <f>Valores!$C$99</f>
        <v>-280.91</v>
      </c>
      <c r="AR106" s="125">
        <f>IF($F$5=0,Valores!$C$100,(Valores!$C$100+$F$5*(Valores!$C$100)))</f>
        <v>-329</v>
      </c>
      <c r="AS106" s="125">
        <f t="shared" si="16"/>
        <v>106858.90602499999</v>
      </c>
      <c r="AT106" s="125">
        <f t="shared" si="10"/>
        <v>-13967.84895</v>
      </c>
      <c r="AU106" s="125">
        <f>AH106*Valores!$C$73</f>
        <v>-3428.472015</v>
      </c>
      <c r="AV106" s="125">
        <f>AH106*Valores!$C$74</f>
        <v>-380.941335</v>
      </c>
      <c r="AW106" s="125">
        <f t="shared" si="14"/>
        <v>109373.52269999999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1440.9</v>
      </c>
      <c r="G107" s="192">
        <v>1720</v>
      </c>
      <c r="H107" s="125">
        <f>ROUND(G107*Valores!$C$2,2)</f>
        <v>44256.29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9299.18</v>
      </c>
      <c r="N107" s="125">
        <f t="shared" si="11"/>
        <v>0</v>
      </c>
      <c r="O107" s="125">
        <f>Valores!$C$14</f>
        <v>23734.39</v>
      </c>
      <c r="P107" s="125">
        <f>Valores!$D$5</f>
        <v>13153.38</v>
      </c>
      <c r="Q107" s="125">
        <v>0</v>
      </c>
      <c r="R107" s="125">
        <f>IF($F$4="NO",Valores!$C$41,Valores!$C$41/2)</f>
        <v>4183.095</v>
      </c>
      <c r="S107" s="125">
        <f>Valores!$C$20</f>
        <v>12114.28</v>
      </c>
      <c r="T107" s="125">
        <f t="shared" si="17"/>
        <v>12114.28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Valores!$C$93</f>
        <v>5760.87</v>
      </c>
      <c r="AA107" s="125">
        <f>Valores!$C$25</f>
        <v>537.98</v>
      </c>
      <c r="AB107" s="214">
        <v>0</v>
      </c>
      <c r="AC107" s="125">
        <f t="shared" si="12"/>
        <v>0</v>
      </c>
      <c r="AD107" s="125">
        <f>Valores!$C$26</f>
        <v>537.98</v>
      </c>
      <c r="AE107" s="192">
        <v>0</v>
      </c>
      <c r="AF107" s="125">
        <f>ROUND(AE107*Valores!$C$2,2)</f>
        <v>0</v>
      </c>
      <c r="AG107" s="125">
        <f>ROUND(IF($F$4="NO",Valores!$C$62,Valores!$C$62/2),2)</f>
        <v>3203.47</v>
      </c>
      <c r="AH107" s="125">
        <f t="shared" si="15"/>
        <v>118221.815</v>
      </c>
      <c r="AI107" s="125">
        <f>Valores!$C$31</f>
        <v>0</v>
      </c>
      <c r="AJ107" s="125">
        <f>Valores!$C$86</f>
        <v>0</v>
      </c>
      <c r="AK107" s="125">
        <f>Valores!C$38*B107</f>
        <v>0</v>
      </c>
      <c r="AL107" s="125">
        <f>IF($F$3="NO",0,Valores!$C$55)</f>
        <v>170.34</v>
      </c>
      <c r="AM107" s="125">
        <f t="shared" si="13"/>
        <v>170.34</v>
      </c>
      <c r="AN107" s="125">
        <f>AH107*Valores!$C$70</f>
        <v>-13004.399650000001</v>
      </c>
      <c r="AO107" s="125">
        <f>AH107*-Valores!$C$71</f>
        <v>0</v>
      </c>
      <c r="AP107" s="125">
        <f>AH107*Valores!$C$72</f>
        <v>-5319.981675</v>
      </c>
      <c r="AQ107" s="125">
        <f>Valores!$C$99</f>
        <v>-280.91</v>
      </c>
      <c r="AR107" s="125">
        <f>IF($F$5=0,Valores!$C$100,(Valores!$C$100+$F$5*(Valores!$C$100)))</f>
        <v>-329</v>
      </c>
      <c r="AS107" s="125">
        <f t="shared" si="16"/>
        <v>99457.863675</v>
      </c>
      <c r="AT107" s="125">
        <f t="shared" si="10"/>
        <v>-13004.399650000001</v>
      </c>
      <c r="AU107" s="125">
        <f>AH107*Valores!$C$73</f>
        <v>-3191.989005</v>
      </c>
      <c r="AV107" s="125">
        <f>AH107*Valores!$C$74</f>
        <v>-354.66544500000003</v>
      </c>
      <c r="AW107" s="125">
        <f t="shared" si="14"/>
        <v>101841.10089999999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1157.87</v>
      </c>
      <c r="G108" s="192">
        <v>1502</v>
      </c>
      <c r="H108" s="125">
        <f>ROUND(G108*Valores!$C$2,2)</f>
        <v>38647.06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8415.35</v>
      </c>
      <c r="N108" s="125">
        <f t="shared" si="11"/>
        <v>0</v>
      </c>
      <c r="O108" s="125">
        <f>Valores!$C$14</f>
        <v>23734.39</v>
      </c>
      <c r="P108" s="125">
        <f>Valores!$D$5</f>
        <v>13153.38</v>
      </c>
      <c r="Q108" s="125">
        <v>0</v>
      </c>
      <c r="R108" s="125">
        <f>IF($F$4="NO",Valores!$C$41,Valores!$C$41/2)</f>
        <v>4183.095</v>
      </c>
      <c r="S108" s="125">
        <f>Valores!$C$20</f>
        <v>12114.28</v>
      </c>
      <c r="T108" s="125">
        <f t="shared" si="17"/>
        <v>12114.28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Valores!$C$93</f>
        <v>5760.87</v>
      </c>
      <c r="AA108" s="125">
        <f>Valores!$C$25</f>
        <v>537.98</v>
      </c>
      <c r="AB108" s="214">
        <v>0</v>
      </c>
      <c r="AC108" s="125">
        <f t="shared" si="12"/>
        <v>0</v>
      </c>
      <c r="AD108" s="125">
        <f>Valores!$C$26</f>
        <v>537.98</v>
      </c>
      <c r="AE108" s="192">
        <v>0</v>
      </c>
      <c r="AF108" s="125">
        <f>ROUND(AE108*Valores!$C$2,2)</f>
        <v>0</v>
      </c>
      <c r="AG108" s="125">
        <f>ROUND(IF($F$4="NO",Valores!$C$62,Valores!$C$62/2),2)</f>
        <v>3203.47</v>
      </c>
      <c r="AH108" s="125">
        <f t="shared" si="15"/>
        <v>111445.72499999999</v>
      </c>
      <c r="AI108" s="125">
        <f>Valores!$C$31</f>
        <v>0</v>
      </c>
      <c r="AJ108" s="125">
        <f>Valores!$C$86</f>
        <v>0</v>
      </c>
      <c r="AK108" s="125">
        <f>Valores!C$38*B108</f>
        <v>0</v>
      </c>
      <c r="AL108" s="125">
        <f>IF($F$3="NO",0,Valores!$C$55)</f>
        <v>170.34</v>
      </c>
      <c r="AM108" s="125">
        <f t="shared" si="13"/>
        <v>170.34</v>
      </c>
      <c r="AN108" s="125">
        <f>AH108*Valores!$C$70</f>
        <v>-12259.02975</v>
      </c>
      <c r="AO108" s="125">
        <f>AH108*-Valores!$C$71</f>
        <v>0</v>
      </c>
      <c r="AP108" s="125">
        <f>AH108*Valores!$C$72</f>
        <v>-5015.0576249999995</v>
      </c>
      <c r="AQ108" s="125">
        <f>Valores!$C$99</f>
        <v>-280.91</v>
      </c>
      <c r="AR108" s="125">
        <f>IF($F$5=0,Valores!$C$100,(Valores!$C$100+$F$5*(Valores!$C$100)))</f>
        <v>-329</v>
      </c>
      <c r="AS108" s="125">
        <f t="shared" si="16"/>
        <v>93732.067625</v>
      </c>
      <c r="AT108" s="125">
        <f t="shared" si="10"/>
        <v>-12259.02975</v>
      </c>
      <c r="AU108" s="125">
        <f>AH108*Valores!$C$73</f>
        <v>-3009.0345749999997</v>
      </c>
      <c r="AV108" s="125">
        <f>AH108*Valores!$C$74</f>
        <v>-334.337175</v>
      </c>
      <c r="AW108" s="125">
        <f t="shared" si="14"/>
        <v>96013.6635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1157.87</v>
      </c>
      <c r="G109" s="192">
        <v>1139</v>
      </c>
      <c r="H109" s="125">
        <f>ROUND(G109*Valores!$C$2,2)</f>
        <v>29306.93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7014.33</v>
      </c>
      <c r="N109" s="125">
        <f t="shared" si="11"/>
        <v>0</v>
      </c>
      <c r="O109" s="125">
        <f>Valores!$C$14</f>
        <v>23734.39</v>
      </c>
      <c r="P109" s="125">
        <f>Valores!$D$5</f>
        <v>13153.38</v>
      </c>
      <c r="Q109" s="125">
        <v>0</v>
      </c>
      <c r="R109" s="125">
        <f>IF($F$4="NO",Valores!$C$41,Valores!$C$41/2)</f>
        <v>4183.095</v>
      </c>
      <c r="S109" s="125">
        <f>Valores!$C$20</f>
        <v>12114.28</v>
      </c>
      <c r="T109" s="125">
        <f t="shared" si="17"/>
        <v>12114.28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Valores!$C$93</f>
        <v>5760.87</v>
      </c>
      <c r="AA109" s="125">
        <f>Valores!$C$25</f>
        <v>537.98</v>
      </c>
      <c r="AB109" s="214">
        <v>0</v>
      </c>
      <c r="AC109" s="125">
        <f t="shared" si="12"/>
        <v>0</v>
      </c>
      <c r="AD109" s="125">
        <f>Valores!$C$26</f>
        <v>537.98</v>
      </c>
      <c r="AE109" s="192">
        <v>0</v>
      </c>
      <c r="AF109" s="125">
        <f>ROUND(AE109*Valores!$C$2,2)</f>
        <v>0</v>
      </c>
      <c r="AG109" s="125">
        <f>ROUND(IF($F$4="NO",Valores!$C$62,Valores!$C$62/2),2)</f>
        <v>3203.47</v>
      </c>
      <c r="AH109" s="125">
        <f t="shared" si="15"/>
        <v>100704.57499999998</v>
      </c>
      <c r="AI109" s="125">
        <f>Valores!$C$31</f>
        <v>0</v>
      </c>
      <c r="AJ109" s="125">
        <f>Valores!$C$86</f>
        <v>0</v>
      </c>
      <c r="AK109" s="125">
        <f>Valores!C$38*B109</f>
        <v>0</v>
      </c>
      <c r="AL109" s="125">
        <f>IF($F$3="NO",0,Valores!$C$55)</f>
        <v>170.34</v>
      </c>
      <c r="AM109" s="125">
        <f t="shared" si="13"/>
        <v>170.34</v>
      </c>
      <c r="AN109" s="125">
        <f>AH109*Valores!$C$70</f>
        <v>-11077.503249999998</v>
      </c>
      <c r="AO109" s="125">
        <f>AH109*-Valores!$C$71</f>
        <v>0</v>
      </c>
      <c r="AP109" s="125">
        <f>AH109*Valores!$C$72</f>
        <v>-4531.705874999999</v>
      </c>
      <c r="AQ109" s="125">
        <f>Valores!$C$99</f>
        <v>-280.91</v>
      </c>
      <c r="AR109" s="125">
        <f>IF($F$5=0,Valores!$C$100,(Valores!$C$100+$F$5*(Valores!$C$100)))</f>
        <v>-329</v>
      </c>
      <c r="AS109" s="125">
        <f t="shared" si="16"/>
        <v>84655.79587499998</v>
      </c>
      <c r="AT109" s="125">
        <f t="shared" si="10"/>
        <v>-11077.503249999998</v>
      </c>
      <c r="AU109" s="125">
        <f>AH109*Valores!$C$73</f>
        <v>-2719.0235249999996</v>
      </c>
      <c r="AV109" s="125">
        <f>AH109*Valores!$C$74</f>
        <v>-302.11372499999993</v>
      </c>
      <c r="AW109" s="125">
        <f t="shared" si="14"/>
        <v>86776.27449999998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1183.6</v>
      </c>
      <c r="G110" s="192">
        <v>1102</v>
      </c>
      <c r="H110" s="125">
        <f>ROUND(G110*Valores!$C$2,2)</f>
        <v>28354.9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6875.38</v>
      </c>
      <c r="N110" s="125">
        <f t="shared" si="11"/>
        <v>0</v>
      </c>
      <c r="O110" s="125">
        <f>Valores!$C$14</f>
        <v>23734.39</v>
      </c>
      <c r="P110" s="125">
        <f>Valores!$D$5</f>
        <v>13153.38</v>
      </c>
      <c r="Q110" s="125">
        <v>0</v>
      </c>
      <c r="R110" s="125">
        <f>IF($F$4="NO",Valores!$C$41,Valores!$C$41/2)</f>
        <v>4183.095</v>
      </c>
      <c r="S110" s="125">
        <f>Valores!$C$20</f>
        <v>12114.28</v>
      </c>
      <c r="T110" s="125">
        <f t="shared" si="17"/>
        <v>12114.28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Valores!$C$93</f>
        <v>5760.87</v>
      </c>
      <c r="AA110" s="125">
        <f>Valores!$C$25</f>
        <v>537.98</v>
      </c>
      <c r="AB110" s="214">
        <v>0</v>
      </c>
      <c r="AC110" s="125">
        <f t="shared" si="12"/>
        <v>0</v>
      </c>
      <c r="AD110" s="125">
        <f>Valores!$C$26</f>
        <v>537.98</v>
      </c>
      <c r="AE110" s="192">
        <v>0</v>
      </c>
      <c r="AF110" s="125">
        <f>ROUND(AE110*Valores!$C$2,2)</f>
        <v>0</v>
      </c>
      <c r="AG110" s="125">
        <f>ROUND(IF($F$4="NO",Valores!$C$62,Valores!$C$62/2),2)</f>
        <v>3203.47</v>
      </c>
      <c r="AH110" s="125">
        <f t="shared" si="15"/>
        <v>99639.32499999998</v>
      </c>
      <c r="AI110" s="125">
        <f>Valores!$C$31</f>
        <v>0</v>
      </c>
      <c r="AJ110" s="125">
        <f>Valores!$C$86</f>
        <v>0</v>
      </c>
      <c r="AK110" s="125">
        <f>Valores!C$38*B110</f>
        <v>0</v>
      </c>
      <c r="AL110" s="125">
        <f>IF($F$3="NO",0,Valores!$C$55)</f>
        <v>170.34</v>
      </c>
      <c r="AM110" s="125">
        <f t="shared" si="13"/>
        <v>170.34</v>
      </c>
      <c r="AN110" s="125">
        <f>AH110*Valores!$C$70</f>
        <v>-10960.325749999998</v>
      </c>
      <c r="AO110" s="125">
        <f>AH110*-Valores!$C$71</f>
        <v>0</v>
      </c>
      <c r="AP110" s="125">
        <f>AH110*Valores!$C$72</f>
        <v>-4483.769624999999</v>
      </c>
      <c r="AQ110" s="125">
        <f>Valores!$C$99</f>
        <v>-280.91</v>
      </c>
      <c r="AR110" s="125">
        <f>IF($F$5=0,Valores!$C$100,(Valores!$C$100+$F$5*(Valores!$C$100)))</f>
        <v>-329</v>
      </c>
      <c r="AS110" s="125">
        <f t="shared" si="16"/>
        <v>83755.65962499999</v>
      </c>
      <c r="AT110" s="125">
        <f t="shared" si="10"/>
        <v>-10960.325749999998</v>
      </c>
      <c r="AU110" s="125">
        <f>AH110*Valores!$C$73</f>
        <v>-2690.2617749999995</v>
      </c>
      <c r="AV110" s="125">
        <f>AH110*Valores!$C$74</f>
        <v>-298.91797499999996</v>
      </c>
      <c r="AW110" s="125">
        <f t="shared" si="14"/>
        <v>85860.15949999998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1698.21</v>
      </c>
      <c r="G111" s="192">
        <v>1911</v>
      </c>
      <c r="H111" s="125">
        <f>ROUND(G111*Valores!$C$2,2)</f>
        <v>49170.79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10074.96</v>
      </c>
      <c r="N111" s="125">
        <f t="shared" si="11"/>
        <v>0</v>
      </c>
      <c r="O111" s="125">
        <f>Valores!$C$14</f>
        <v>23734.39</v>
      </c>
      <c r="P111" s="125">
        <f>Valores!$D$5</f>
        <v>13153.38</v>
      </c>
      <c r="Q111" s="125">
        <f>Valores!$C$22</f>
        <v>11734.9</v>
      </c>
      <c r="R111" s="125">
        <f>IF($F$4="NO",Valores!$C$41,Valores!$C$41/2)</f>
        <v>4183.095</v>
      </c>
      <c r="S111" s="125">
        <f>Valores!$C$20</f>
        <v>12114.28</v>
      </c>
      <c r="T111" s="125">
        <f t="shared" si="17"/>
        <v>12114.28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Valores!$C$93</f>
        <v>5760.87</v>
      </c>
      <c r="AA111" s="125">
        <f>Valores!$C$25</f>
        <v>537.98</v>
      </c>
      <c r="AB111" s="214">
        <v>0</v>
      </c>
      <c r="AC111" s="125">
        <f t="shared" si="12"/>
        <v>0</v>
      </c>
      <c r="AD111" s="125">
        <f>Valores!$C$26</f>
        <v>537.98</v>
      </c>
      <c r="AE111" s="192">
        <v>94</v>
      </c>
      <c r="AF111" s="125">
        <f>ROUND(AE111*Valores!$C$2,2)</f>
        <v>2418.66</v>
      </c>
      <c r="AG111" s="125">
        <f>ROUND(IF($F$4="NO",Valores!$C$62,Valores!$C$62/2),2)</f>
        <v>3203.47</v>
      </c>
      <c r="AH111" s="125">
        <f t="shared" si="15"/>
        <v>138322.96500000003</v>
      </c>
      <c r="AI111" s="125">
        <f>Valores!$C$31</f>
        <v>0</v>
      </c>
      <c r="AJ111" s="125">
        <f>Valores!$C$86</f>
        <v>0</v>
      </c>
      <c r="AK111" s="125">
        <f>Valores!C$38*B111</f>
        <v>0</v>
      </c>
      <c r="AL111" s="125">
        <f>IF($F$3="NO",0,Valores!$C$55)</f>
        <v>170.34</v>
      </c>
      <c r="AM111" s="125">
        <f t="shared" si="13"/>
        <v>170.34</v>
      </c>
      <c r="AN111" s="125">
        <f>AH111*Valores!$C$70</f>
        <v>-15215.526150000003</v>
      </c>
      <c r="AO111" s="125">
        <f>AH111*-Valores!$C$71</f>
        <v>0</v>
      </c>
      <c r="AP111" s="125">
        <f>AH111*Valores!$C$72</f>
        <v>-6224.5334250000005</v>
      </c>
      <c r="AQ111" s="125">
        <f>Valores!$C$99</f>
        <v>-280.91</v>
      </c>
      <c r="AR111" s="125">
        <f>IF($F$5=0,Valores!$C$100,(Valores!$C$100+$F$5*(Valores!$C$100)))</f>
        <v>-329</v>
      </c>
      <c r="AS111" s="125">
        <f t="shared" si="16"/>
        <v>116443.33542500003</v>
      </c>
      <c r="AT111" s="125">
        <f t="shared" si="10"/>
        <v>-15215.526150000003</v>
      </c>
      <c r="AU111" s="125">
        <f>AH111*Valores!$C$73</f>
        <v>-3734.7200550000007</v>
      </c>
      <c r="AV111" s="125">
        <f>AH111*Valores!$C$74</f>
        <v>-414.9688950000001</v>
      </c>
      <c r="AW111" s="125">
        <f t="shared" si="14"/>
        <v>119128.08990000002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1569.55</v>
      </c>
      <c r="G112" s="192">
        <v>1545</v>
      </c>
      <c r="H112" s="125">
        <f>ROUND(G112*Valores!$C$2,2)</f>
        <v>39753.47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8643.06</v>
      </c>
      <c r="N112" s="125">
        <f t="shared" si="11"/>
        <v>0</v>
      </c>
      <c r="O112" s="125">
        <f>Valores!$C$14</f>
        <v>23734.39</v>
      </c>
      <c r="P112" s="125">
        <f>Valores!$D$5</f>
        <v>13153.38</v>
      </c>
      <c r="Q112" s="125">
        <f>Valores!$C$22</f>
        <v>11734.9</v>
      </c>
      <c r="R112" s="125">
        <f>IF($F$4="NO",Valores!$C$41,Valores!$C$41/2)</f>
        <v>4183.095</v>
      </c>
      <c r="S112" s="125">
        <f>Valores!$C$20</f>
        <v>12114.28</v>
      </c>
      <c r="T112" s="125">
        <f t="shared" si="17"/>
        <v>12114.28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Valores!$C$93</f>
        <v>5760.87</v>
      </c>
      <c r="AA112" s="125">
        <f>Valores!$C$25</f>
        <v>537.98</v>
      </c>
      <c r="AB112" s="214">
        <v>0</v>
      </c>
      <c r="AC112" s="125">
        <f t="shared" si="12"/>
        <v>0</v>
      </c>
      <c r="AD112" s="125">
        <f>Valores!$C$26</f>
        <v>537.98</v>
      </c>
      <c r="AE112" s="192">
        <v>94</v>
      </c>
      <c r="AF112" s="125">
        <f>ROUND(AE112*Valores!$C$2,2)</f>
        <v>2418.66</v>
      </c>
      <c r="AG112" s="125">
        <f>ROUND(IF($F$4="NO",Valores!$C$62,Valores!$C$62/2),2)</f>
        <v>3203.47</v>
      </c>
      <c r="AH112" s="125">
        <f t="shared" si="15"/>
        <v>127345.08499999999</v>
      </c>
      <c r="AI112" s="125">
        <f>Valores!$C$31</f>
        <v>0</v>
      </c>
      <c r="AJ112" s="125">
        <f>Valores!$C$86</f>
        <v>0</v>
      </c>
      <c r="AK112" s="125">
        <f>Valores!C$38*B112</f>
        <v>0</v>
      </c>
      <c r="AL112" s="125">
        <f>IF($F$3="NO",0,Valores!$C$55)</f>
        <v>170.34</v>
      </c>
      <c r="AM112" s="125">
        <f t="shared" si="13"/>
        <v>170.34</v>
      </c>
      <c r="AN112" s="125">
        <f>AH112*Valores!$C$70</f>
        <v>-14007.95935</v>
      </c>
      <c r="AO112" s="125">
        <f>AH112*-Valores!$C$71</f>
        <v>0</v>
      </c>
      <c r="AP112" s="125">
        <f>AH112*Valores!$C$72</f>
        <v>-5730.528824999999</v>
      </c>
      <c r="AQ112" s="125">
        <f>Valores!$C$99</f>
        <v>-280.91</v>
      </c>
      <c r="AR112" s="125">
        <f>IF($F$5=0,Valores!$C$100,(Valores!$C$100+$F$5*(Valores!$C$100)))</f>
        <v>-329</v>
      </c>
      <c r="AS112" s="125">
        <f t="shared" si="16"/>
        <v>107167.026825</v>
      </c>
      <c r="AT112" s="125">
        <f t="shared" si="10"/>
        <v>-14007.95935</v>
      </c>
      <c r="AU112" s="125">
        <f>AH112*Valores!$C$73</f>
        <v>-3438.317295</v>
      </c>
      <c r="AV112" s="125">
        <f>AH112*Valores!$C$74</f>
        <v>-382.035255</v>
      </c>
      <c r="AW112" s="125">
        <f t="shared" si="14"/>
        <v>109687.11309999999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5609.23</v>
      </c>
      <c r="G113" s="192">
        <v>2100</v>
      </c>
      <c r="H113" s="125">
        <f>ROUND(G113*Valores!$C$2,2)</f>
        <v>54033.84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11391.07</v>
      </c>
      <c r="N113" s="125">
        <f t="shared" si="11"/>
        <v>0</v>
      </c>
      <c r="O113" s="125">
        <f>Valores!$C$14</f>
        <v>23734.39</v>
      </c>
      <c r="P113" s="125">
        <f>Valores!$D$5</f>
        <v>13153.38</v>
      </c>
      <c r="Q113" s="125">
        <f>Valores!$C$22</f>
        <v>11734.9</v>
      </c>
      <c r="R113" s="125">
        <f>IF($F$4="NO",Valores!$C$41,Valores!$C$41/2)</f>
        <v>4183.095</v>
      </c>
      <c r="S113" s="125">
        <f>Valores!$C$20</f>
        <v>12114.28</v>
      </c>
      <c r="T113" s="125">
        <f t="shared" si="17"/>
        <v>12114.28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Valores!$C$93</f>
        <v>5760.87</v>
      </c>
      <c r="AA113" s="125">
        <f>Valores!$C$25</f>
        <v>537.98</v>
      </c>
      <c r="AB113" s="214">
        <v>0</v>
      </c>
      <c r="AC113" s="125">
        <f t="shared" si="12"/>
        <v>0</v>
      </c>
      <c r="AD113" s="125">
        <f>Valores!$C$26</f>
        <v>537.98</v>
      </c>
      <c r="AE113" s="192">
        <v>0</v>
      </c>
      <c r="AF113" s="125">
        <f>ROUND(AE113*Valores!$C$2,2)</f>
        <v>0</v>
      </c>
      <c r="AG113" s="125">
        <f>ROUND(IF($F$4="NO",Valores!$C$62,Valores!$C$62/2),2)</f>
        <v>3203.47</v>
      </c>
      <c r="AH113" s="125">
        <f t="shared" si="15"/>
        <v>145994.48500000002</v>
      </c>
      <c r="AI113" s="125">
        <f>Valores!$C$31</f>
        <v>0</v>
      </c>
      <c r="AJ113" s="125">
        <f>Valores!$C$86</f>
        <v>0</v>
      </c>
      <c r="AK113" s="125">
        <f>Valores!C$38*B113</f>
        <v>0</v>
      </c>
      <c r="AL113" s="125">
        <f>IF($F$3="NO",0,Valores!$C$55)</f>
        <v>170.34</v>
      </c>
      <c r="AM113" s="125">
        <f t="shared" si="13"/>
        <v>170.34</v>
      </c>
      <c r="AN113" s="125">
        <f>AH113*Valores!$C$70</f>
        <v>-16059.393350000002</v>
      </c>
      <c r="AO113" s="125">
        <f>AH113*-Valores!$C$71</f>
        <v>0</v>
      </c>
      <c r="AP113" s="125">
        <f>AH113*Valores!$C$72</f>
        <v>-6569.751825</v>
      </c>
      <c r="AQ113" s="125">
        <f>Valores!$C$99</f>
        <v>-280.91</v>
      </c>
      <c r="AR113" s="125">
        <f>IF($F$5=0,Valores!$C$100,(Valores!$C$100+$F$5*(Valores!$C$100)))</f>
        <v>-329</v>
      </c>
      <c r="AS113" s="125">
        <f t="shared" si="16"/>
        <v>122925.76982500001</v>
      </c>
      <c r="AT113" s="125">
        <f t="shared" si="10"/>
        <v>-16059.393350000002</v>
      </c>
      <c r="AU113" s="125">
        <f>AH113*Valores!$C$73</f>
        <v>-3941.8510950000004</v>
      </c>
      <c r="AV113" s="125">
        <f>AH113*Valores!$C$74</f>
        <v>-437.98345500000005</v>
      </c>
      <c r="AW113" s="125">
        <f t="shared" si="14"/>
        <v>125725.59710000001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5660.69</v>
      </c>
      <c r="G114" s="192">
        <v>1995</v>
      </c>
      <c r="H114" s="125">
        <f>ROUND(G114*Valores!$C$2,2)</f>
        <v>51332.15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10993.53</v>
      </c>
      <c r="N114" s="125">
        <f t="shared" si="11"/>
        <v>0</v>
      </c>
      <c r="O114" s="125">
        <f>Valores!$C$14</f>
        <v>23734.39</v>
      </c>
      <c r="P114" s="125">
        <f>Valores!$D$5</f>
        <v>13153.38</v>
      </c>
      <c r="Q114" s="125">
        <f>Valores!$C$22</f>
        <v>11734.9</v>
      </c>
      <c r="R114" s="125">
        <f>IF($F$4="NO",Valores!$C$41,Valores!$C$41/2)</f>
        <v>4183.095</v>
      </c>
      <c r="S114" s="125">
        <f>Valores!$C$20</f>
        <v>12114.28</v>
      </c>
      <c r="T114" s="125">
        <f t="shared" si="17"/>
        <v>12114.28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Valores!$C$93</f>
        <v>5760.87</v>
      </c>
      <c r="AA114" s="125">
        <f>Valores!$C$25</f>
        <v>537.98</v>
      </c>
      <c r="AB114" s="214">
        <v>0</v>
      </c>
      <c r="AC114" s="125">
        <f t="shared" si="12"/>
        <v>0</v>
      </c>
      <c r="AD114" s="125">
        <f>Valores!$C$26</f>
        <v>537.98</v>
      </c>
      <c r="AE114" s="192">
        <v>0</v>
      </c>
      <c r="AF114" s="125">
        <f>ROUND(AE114*Valores!$C$2,2)</f>
        <v>0</v>
      </c>
      <c r="AG114" s="125">
        <f>ROUND(IF($F$4="NO",Valores!$C$62,Valores!$C$62/2),2)</f>
        <v>3203.47</v>
      </c>
      <c r="AH114" s="125">
        <f t="shared" si="15"/>
        <v>142946.71500000003</v>
      </c>
      <c r="AI114" s="125">
        <f>Valores!$C$31</f>
        <v>0</v>
      </c>
      <c r="AJ114" s="125">
        <f>Valores!$C$86</f>
        <v>0</v>
      </c>
      <c r="AK114" s="125">
        <f>Valores!C$38*B114</f>
        <v>0</v>
      </c>
      <c r="AL114" s="125">
        <f>IF($F$3="NO",0,Valores!$C$55)</f>
        <v>170.34</v>
      </c>
      <c r="AM114" s="125">
        <f t="shared" si="13"/>
        <v>170.34</v>
      </c>
      <c r="AN114" s="125">
        <f>AH114*Valores!$C$70</f>
        <v>-15724.138650000003</v>
      </c>
      <c r="AO114" s="125">
        <f>AH114*-Valores!$C$71</f>
        <v>0</v>
      </c>
      <c r="AP114" s="125">
        <f>AH114*Valores!$C$72</f>
        <v>-6432.602175000001</v>
      </c>
      <c r="AQ114" s="125">
        <f>Valores!$C$99</f>
        <v>-280.91</v>
      </c>
      <c r="AR114" s="125">
        <f>IF($F$5=0,Valores!$C$100,(Valores!$C$100+$F$5*(Valores!$C$100)))</f>
        <v>-329</v>
      </c>
      <c r="AS114" s="125">
        <f t="shared" si="16"/>
        <v>120350.40417500002</v>
      </c>
      <c r="AT114" s="125">
        <f t="shared" si="10"/>
        <v>-15724.138650000003</v>
      </c>
      <c r="AU114" s="125">
        <f>AH114*Valores!$C$73</f>
        <v>-3859.5613050000006</v>
      </c>
      <c r="AV114" s="125">
        <f>AH114*Valores!$C$74</f>
        <v>-428.84014500000006</v>
      </c>
      <c r="AW114" s="125">
        <f t="shared" si="14"/>
        <v>123104.51490000002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4811.58</v>
      </c>
      <c r="G115" s="192">
        <v>1704</v>
      </c>
      <c r="H115" s="125">
        <f>ROUND(G115*Valores!$C$2,2)</f>
        <v>43844.6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9743.03</v>
      </c>
      <c r="N115" s="125">
        <f t="shared" si="11"/>
        <v>0</v>
      </c>
      <c r="O115" s="125">
        <f>Valores!$C$14</f>
        <v>23734.39</v>
      </c>
      <c r="P115" s="125">
        <f>Valores!$D$5</f>
        <v>13153.38</v>
      </c>
      <c r="Q115" s="125">
        <f>Valores!$C$22</f>
        <v>11734.9</v>
      </c>
      <c r="R115" s="125">
        <f>IF($F$4="NO",Valores!$C$41,Valores!$C$41/2)</f>
        <v>4183.095</v>
      </c>
      <c r="S115" s="125">
        <f>Valores!$C$20</f>
        <v>12114.28</v>
      </c>
      <c r="T115" s="125">
        <f t="shared" si="17"/>
        <v>12114.28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Valores!$C$93</f>
        <v>5760.87</v>
      </c>
      <c r="AA115" s="125">
        <f>Valores!$C$25</f>
        <v>537.98</v>
      </c>
      <c r="AB115" s="214">
        <v>0</v>
      </c>
      <c r="AC115" s="125">
        <f t="shared" si="12"/>
        <v>0</v>
      </c>
      <c r="AD115" s="125">
        <f>Valores!$C$26</f>
        <v>537.98</v>
      </c>
      <c r="AE115" s="192">
        <v>0</v>
      </c>
      <c r="AF115" s="125">
        <f>ROUND(AE115*Valores!$C$2,2)</f>
        <v>0</v>
      </c>
      <c r="AG115" s="125">
        <f>ROUND(IF($F$4="NO",Valores!$C$62,Valores!$C$62/2),2)</f>
        <v>3203.47</v>
      </c>
      <c r="AH115" s="125">
        <f t="shared" si="15"/>
        <v>133359.555</v>
      </c>
      <c r="AI115" s="125">
        <f>Valores!$C$31</f>
        <v>0</v>
      </c>
      <c r="AJ115" s="125">
        <f>Valores!$C$86</f>
        <v>0</v>
      </c>
      <c r="AK115" s="125">
        <f>Valores!C$38*B115</f>
        <v>0</v>
      </c>
      <c r="AL115" s="125">
        <f>IF($F$3="NO",0,Valores!$C$55)</f>
        <v>170.34</v>
      </c>
      <c r="AM115" s="125">
        <f t="shared" si="13"/>
        <v>170.34</v>
      </c>
      <c r="AN115" s="125">
        <f>AH115*Valores!$C$70</f>
        <v>-14669.55105</v>
      </c>
      <c r="AO115" s="125">
        <f>AH115*-Valores!$C$71</f>
        <v>0</v>
      </c>
      <c r="AP115" s="125">
        <f>AH115*Valores!$C$72</f>
        <v>-6001.179974999999</v>
      </c>
      <c r="AQ115" s="125">
        <f>Valores!$C$99</f>
        <v>-280.91</v>
      </c>
      <c r="AR115" s="125">
        <f>IF($F$5=0,Valores!$C$100,(Valores!$C$100+$F$5*(Valores!$C$100)))</f>
        <v>-329</v>
      </c>
      <c r="AS115" s="125">
        <f t="shared" si="16"/>
        <v>112249.253975</v>
      </c>
      <c r="AT115" s="125">
        <f t="shared" si="10"/>
        <v>-14669.55105</v>
      </c>
      <c r="AU115" s="125">
        <f>AH115*Valores!$C$73</f>
        <v>-3600.7079849999996</v>
      </c>
      <c r="AV115" s="125">
        <f>AH115*Valores!$C$74</f>
        <v>-400.078665</v>
      </c>
      <c r="AW115" s="125">
        <f t="shared" si="14"/>
        <v>114859.55729999999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4142.59</v>
      </c>
      <c r="G116" s="192">
        <v>1480</v>
      </c>
      <c r="H116" s="125">
        <f>ROUND(G116*Valores!$C$2,2)</f>
        <v>38080.99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8778.14</v>
      </c>
      <c r="N116" s="125">
        <f t="shared" si="11"/>
        <v>0</v>
      </c>
      <c r="O116" s="125">
        <f>Valores!$C$14</f>
        <v>23734.39</v>
      </c>
      <c r="P116" s="125">
        <f>Valores!$D$5</f>
        <v>13153.38</v>
      </c>
      <c r="Q116" s="125">
        <f>Valores!$C$22</f>
        <v>11734.9</v>
      </c>
      <c r="R116" s="125">
        <f>IF($F$4="NO",Valores!$C$41,Valores!$C$41/2)</f>
        <v>4183.095</v>
      </c>
      <c r="S116" s="125">
        <f>Valores!$C$20</f>
        <v>12114.28</v>
      </c>
      <c r="T116" s="125">
        <f t="shared" si="17"/>
        <v>12114.28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Valores!$C$93</f>
        <v>5760.87</v>
      </c>
      <c r="AA116" s="125">
        <f>Valores!$C$25</f>
        <v>537.98</v>
      </c>
      <c r="AB116" s="214">
        <v>0</v>
      </c>
      <c r="AC116" s="125">
        <f t="shared" si="12"/>
        <v>0</v>
      </c>
      <c r="AD116" s="125">
        <f>Valores!$C$26</f>
        <v>537.98</v>
      </c>
      <c r="AE116" s="192">
        <v>0</v>
      </c>
      <c r="AF116" s="125">
        <f>ROUND(AE116*Valores!$C$2,2)</f>
        <v>0</v>
      </c>
      <c r="AG116" s="125">
        <f>ROUND(IF($F$4="NO",Valores!$C$62,Valores!$C$62/2),2)</f>
        <v>3203.47</v>
      </c>
      <c r="AH116" s="125">
        <f t="shared" si="15"/>
        <v>125962.06499999999</v>
      </c>
      <c r="AI116" s="125">
        <f>Valores!$C$31</f>
        <v>0</v>
      </c>
      <c r="AJ116" s="125">
        <f>Valores!$C$86</f>
        <v>0</v>
      </c>
      <c r="AK116" s="125">
        <f>Valores!C$38*B116</f>
        <v>0</v>
      </c>
      <c r="AL116" s="125">
        <f>IF($F$3="NO",0,Valores!$C$55)</f>
        <v>170.34</v>
      </c>
      <c r="AM116" s="125">
        <f t="shared" si="13"/>
        <v>170.34</v>
      </c>
      <c r="AN116" s="125">
        <f>AH116*Valores!$C$70</f>
        <v>-13855.82715</v>
      </c>
      <c r="AO116" s="125">
        <f>AH116*-Valores!$C$71</f>
        <v>0</v>
      </c>
      <c r="AP116" s="125">
        <f>AH116*Valores!$C$72</f>
        <v>-5668.292924999999</v>
      </c>
      <c r="AQ116" s="125">
        <f>Valores!$C$99</f>
        <v>-280.91</v>
      </c>
      <c r="AR116" s="125">
        <f>IF($F$5=0,Valores!$C$100,(Valores!$C$100+$F$5*(Valores!$C$100)))</f>
        <v>-329</v>
      </c>
      <c r="AS116" s="125">
        <f t="shared" si="16"/>
        <v>105998.37492499998</v>
      </c>
      <c r="AT116" s="125">
        <f t="shared" si="10"/>
        <v>-13855.82715</v>
      </c>
      <c r="AU116" s="125">
        <f>AH116*Valores!$C$73</f>
        <v>-3400.9757549999995</v>
      </c>
      <c r="AV116" s="125">
        <f>AH116*Valores!$C$74</f>
        <v>-377.886195</v>
      </c>
      <c r="AW116" s="125">
        <f t="shared" si="14"/>
        <v>108497.71589999998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32883.45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7377.12</v>
      </c>
      <c r="N117" s="125">
        <f t="shared" si="11"/>
        <v>0</v>
      </c>
      <c r="O117" s="125">
        <f>Valores!$C$14</f>
        <v>23734.39</v>
      </c>
      <c r="P117" s="125">
        <f>Valores!$D$5</f>
        <v>13153.38</v>
      </c>
      <c r="Q117" s="125">
        <f>Valores!$C$22</f>
        <v>11734.9</v>
      </c>
      <c r="R117" s="125">
        <f>IF($F$4="NO",Valores!$C$41,Valores!$C$41/2)</f>
        <v>4183.095</v>
      </c>
      <c r="S117" s="125">
        <f>Valores!$C$20</f>
        <v>12114.28</v>
      </c>
      <c r="T117" s="125">
        <f t="shared" si="17"/>
        <v>12114.28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Valores!$C$93</f>
        <v>5760.87</v>
      </c>
      <c r="AA117" s="125">
        <f>Valores!$C$25</f>
        <v>537.98</v>
      </c>
      <c r="AB117" s="214">
        <v>0</v>
      </c>
      <c r="AC117" s="125">
        <f t="shared" si="12"/>
        <v>0</v>
      </c>
      <c r="AD117" s="125">
        <f>Valores!$C$26</f>
        <v>537.98</v>
      </c>
      <c r="AE117" s="192">
        <v>0</v>
      </c>
      <c r="AF117" s="125">
        <f>ROUND(AE117*Valores!$C$2,2)</f>
        <v>0</v>
      </c>
      <c r="AG117" s="125">
        <f>ROUND(IF($F$4="NO",Valores!$C$62,Valores!$C$62/2),2)</f>
        <v>3203.47</v>
      </c>
      <c r="AH117" s="125">
        <f t="shared" si="15"/>
        <v>115220.91499999998</v>
      </c>
      <c r="AI117" s="125">
        <f>Valores!$C$31</f>
        <v>0</v>
      </c>
      <c r="AJ117" s="125">
        <f>Valores!$C$86</f>
        <v>0</v>
      </c>
      <c r="AK117" s="125">
        <f>Valores!C$38*B117</f>
        <v>0</v>
      </c>
      <c r="AL117" s="125">
        <f>IF($F$3="NO",0,Valores!$C$55)</f>
        <v>170.34</v>
      </c>
      <c r="AM117" s="125">
        <f t="shared" si="13"/>
        <v>170.34</v>
      </c>
      <c r="AN117" s="125">
        <f>AH117*Valores!$C$70</f>
        <v>-12674.300649999997</v>
      </c>
      <c r="AO117" s="125">
        <f>AH117*-Valores!$C$71</f>
        <v>0</v>
      </c>
      <c r="AP117" s="125">
        <f>AH117*Valores!$C$72</f>
        <v>-5184.941174999999</v>
      </c>
      <c r="AQ117" s="125">
        <f>Valores!$C$99</f>
        <v>-280.91</v>
      </c>
      <c r="AR117" s="125">
        <f>IF($F$5=0,Valores!$C$100,(Valores!$C$100+$F$5*(Valores!$C$100)))</f>
        <v>-329</v>
      </c>
      <c r="AS117" s="125">
        <f t="shared" si="16"/>
        <v>96922.10317499998</v>
      </c>
      <c r="AT117" s="125">
        <f t="shared" si="10"/>
        <v>-12674.300649999997</v>
      </c>
      <c r="AU117" s="125">
        <f>AH117*Valores!$C$73</f>
        <v>-3110.9647049999994</v>
      </c>
      <c r="AV117" s="125">
        <f>AH117*Valores!$C$74</f>
        <v>-345.662745</v>
      </c>
      <c r="AW117" s="125">
        <f t="shared" si="14"/>
        <v>99260.32689999999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1981.24</v>
      </c>
      <c r="G118" s="192">
        <v>2073</v>
      </c>
      <c r="H118" s="125">
        <f>ROUND(G118*Valores!$C$2,2)</f>
        <v>53339.12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10838.65</v>
      </c>
      <c r="N118" s="125">
        <f t="shared" si="11"/>
        <v>0</v>
      </c>
      <c r="O118" s="125">
        <f>Valores!$C$8</f>
        <v>28397.34</v>
      </c>
      <c r="P118" s="125">
        <f>Valores!$D$5</f>
        <v>13153.38</v>
      </c>
      <c r="Q118" s="125">
        <f>Valores!$C$22</f>
        <v>11734.9</v>
      </c>
      <c r="R118" s="125">
        <f>IF($F$4="NO",Valores!$C$43,Valores!$C$43/2)</f>
        <v>4697.875</v>
      </c>
      <c r="S118" s="125">
        <f>Valores!$C$19</f>
        <v>12239.42</v>
      </c>
      <c r="T118" s="125">
        <f t="shared" si="17"/>
        <v>12239.42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Valores!$C$93</f>
        <v>5760.87</v>
      </c>
      <c r="AA118" s="125">
        <f>Valores!$C$25</f>
        <v>537.98</v>
      </c>
      <c r="AB118" s="214">
        <v>0</v>
      </c>
      <c r="AC118" s="125">
        <f t="shared" si="12"/>
        <v>0</v>
      </c>
      <c r="AD118" s="125">
        <f>Valores!$C$26</f>
        <v>537.98</v>
      </c>
      <c r="AE118" s="192">
        <v>0</v>
      </c>
      <c r="AF118" s="125">
        <f>ROUND(AE118*Valores!$C$2,2)</f>
        <v>0</v>
      </c>
      <c r="AG118" s="125">
        <f>ROUND(IF($F$4="NO",Valores!$C$62,Valores!$C$62/2),2)</f>
        <v>3203.47</v>
      </c>
      <c r="AH118" s="125">
        <f t="shared" si="15"/>
        <v>146422.225</v>
      </c>
      <c r="AI118" s="125">
        <f>Valores!$C$31</f>
        <v>0</v>
      </c>
      <c r="AJ118" s="125">
        <f>Valores!$C$86</f>
        <v>0</v>
      </c>
      <c r="AK118" s="125">
        <f>Valores!C$38*B118</f>
        <v>0</v>
      </c>
      <c r="AL118" s="125">
        <f>IF($F$3="NO",0,Valores!$C$55)</f>
        <v>170.34</v>
      </c>
      <c r="AM118" s="125">
        <f t="shared" si="13"/>
        <v>170.34</v>
      </c>
      <c r="AN118" s="125">
        <f>AH118*Valores!$C$70</f>
        <v>-16106.44475</v>
      </c>
      <c r="AO118" s="125">
        <f>AH118*-Valores!$C$71</f>
        <v>0</v>
      </c>
      <c r="AP118" s="125">
        <f>AH118*Valores!$C$72</f>
        <v>-6589.000125</v>
      </c>
      <c r="AQ118" s="125">
        <f>Valores!$C$99</f>
        <v>-280.91</v>
      </c>
      <c r="AR118" s="125">
        <f>IF($F$5=0,Valores!$C$100,(Valores!$C$100+$F$5*(Valores!$C$100)))</f>
        <v>-329</v>
      </c>
      <c r="AS118" s="125">
        <f t="shared" si="16"/>
        <v>123287.21012500001</v>
      </c>
      <c r="AT118" s="125">
        <f t="shared" si="10"/>
        <v>-16106.44475</v>
      </c>
      <c r="AU118" s="125">
        <f>AH118*Valores!$C$73</f>
        <v>-3953.400075</v>
      </c>
      <c r="AV118" s="125">
        <f>AH118*Valores!$C$74</f>
        <v>-439.266675</v>
      </c>
      <c r="AW118" s="125">
        <f t="shared" si="14"/>
        <v>126093.4535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1981.24</v>
      </c>
      <c r="G119" s="192">
        <v>2043</v>
      </c>
      <c r="H119" s="125">
        <f>ROUND(G119*Valores!$C$2,2)</f>
        <v>52567.21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10722.86</v>
      </c>
      <c r="N119" s="125">
        <f t="shared" si="11"/>
        <v>0</v>
      </c>
      <c r="O119" s="125">
        <f>Valores!$C$9</f>
        <v>28480.68</v>
      </c>
      <c r="P119" s="125">
        <f>Valores!$D$5</f>
        <v>13153.38</v>
      </c>
      <c r="Q119" s="125">
        <f>Valores!$C$22</f>
        <v>11734.9</v>
      </c>
      <c r="R119" s="125">
        <f>IF($F$4="NO",Valores!$C$43,Valores!$C$43/2)</f>
        <v>4697.875</v>
      </c>
      <c r="S119" s="125">
        <f>Valores!$C$19</f>
        <v>12239.42</v>
      </c>
      <c r="T119" s="125">
        <f t="shared" si="17"/>
        <v>12239.42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Valores!$C$93</f>
        <v>5760.87</v>
      </c>
      <c r="AA119" s="125">
        <f>Valores!$C$25</f>
        <v>537.98</v>
      </c>
      <c r="AB119" s="214">
        <v>0</v>
      </c>
      <c r="AC119" s="125">
        <f t="shared" si="12"/>
        <v>0</v>
      </c>
      <c r="AD119" s="125">
        <f>Valores!$C$26</f>
        <v>537.98</v>
      </c>
      <c r="AE119" s="192">
        <v>0</v>
      </c>
      <c r="AF119" s="125">
        <f>ROUND(AE119*Valores!$C$2,2)</f>
        <v>0</v>
      </c>
      <c r="AG119" s="125">
        <f>ROUND(IF($F$4="NO",Valores!$C$62,Valores!$C$62/2),2)</f>
        <v>3203.47</v>
      </c>
      <c r="AH119" s="125">
        <f t="shared" si="15"/>
        <v>145617.86500000002</v>
      </c>
      <c r="AI119" s="125">
        <f>Valores!$C$31</f>
        <v>0</v>
      </c>
      <c r="AJ119" s="125">
        <f>Valores!$C$86</f>
        <v>0</v>
      </c>
      <c r="AK119" s="125">
        <f>Valores!C$38*B119</f>
        <v>0</v>
      </c>
      <c r="AL119" s="125">
        <f>IF($F$3="NO",0,Valores!$C$55)</f>
        <v>170.34</v>
      </c>
      <c r="AM119" s="125">
        <f t="shared" si="13"/>
        <v>170.34</v>
      </c>
      <c r="AN119" s="125">
        <f>AH119*Valores!$C$70</f>
        <v>-16017.965150000002</v>
      </c>
      <c r="AO119" s="125">
        <f>AH119*-Valores!$C$71</f>
        <v>0</v>
      </c>
      <c r="AP119" s="125">
        <f>AH119*Valores!$C$72</f>
        <v>-6552.803925000001</v>
      </c>
      <c r="AQ119" s="125">
        <f>Valores!$C$99</f>
        <v>-280.91</v>
      </c>
      <c r="AR119" s="125">
        <f>IF($F$5=0,Valores!$C$100,(Valores!$C$100+$F$5*(Valores!$C$100)))</f>
        <v>-329</v>
      </c>
      <c r="AS119" s="125">
        <f t="shared" si="16"/>
        <v>122607.52592500002</v>
      </c>
      <c r="AT119" s="125">
        <f t="shared" si="10"/>
        <v>-16017.965150000002</v>
      </c>
      <c r="AU119" s="125">
        <f>AH119*Valores!$C$73</f>
        <v>-3931.6823550000004</v>
      </c>
      <c r="AV119" s="125">
        <f>AH119*Valores!$C$74</f>
        <v>-436.85359500000004</v>
      </c>
      <c r="AW119" s="125">
        <f t="shared" si="14"/>
        <v>125401.70390000002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1955.51</v>
      </c>
      <c r="G120" s="192">
        <v>1954</v>
      </c>
      <c r="H120" s="125">
        <f>ROUND(G120*Valores!$C$2,2)</f>
        <v>50277.2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10375.5</v>
      </c>
      <c r="N120" s="125">
        <f t="shared" si="11"/>
        <v>0</v>
      </c>
      <c r="O120" s="125">
        <f>Valores!$C$9</f>
        <v>28480.68</v>
      </c>
      <c r="P120" s="125">
        <f>Valores!$D$5</f>
        <v>13153.38</v>
      </c>
      <c r="Q120" s="125">
        <f>Valores!$C$22</f>
        <v>11734.9</v>
      </c>
      <c r="R120" s="125">
        <f>IF($F$4="NO",Valores!$C$43,Valores!$C$43/2)</f>
        <v>4697.875</v>
      </c>
      <c r="S120" s="125">
        <f>Valores!$C$19</f>
        <v>12239.42</v>
      </c>
      <c r="T120" s="125">
        <f t="shared" si="17"/>
        <v>12239.42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Valores!$C$93</f>
        <v>5760.87</v>
      </c>
      <c r="AA120" s="125">
        <f>Valores!$C$25</f>
        <v>537.98</v>
      </c>
      <c r="AB120" s="214">
        <v>0</v>
      </c>
      <c r="AC120" s="125">
        <f t="shared" si="12"/>
        <v>0</v>
      </c>
      <c r="AD120" s="125">
        <f>Valores!$C$26</f>
        <v>537.98</v>
      </c>
      <c r="AE120" s="192">
        <v>0</v>
      </c>
      <c r="AF120" s="125">
        <f>ROUND(AE120*Valores!$C$2,2)</f>
        <v>0</v>
      </c>
      <c r="AG120" s="125">
        <f>ROUND(IF($F$4="NO",Valores!$C$62,Valores!$C$62/2),2)</f>
        <v>3203.47</v>
      </c>
      <c r="AH120" s="125">
        <f t="shared" si="15"/>
        <v>142954.765</v>
      </c>
      <c r="AI120" s="125">
        <f>Valores!$C$31</f>
        <v>0</v>
      </c>
      <c r="AJ120" s="125">
        <f>Valores!$C$86</f>
        <v>0</v>
      </c>
      <c r="AK120" s="125">
        <f>Valores!C$38*B120</f>
        <v>0</v>
      </c>
      <c r="AL120" s="125">
        <f>IF($F$3="NO",0,Valores!$C$55)</f>
        <v>170.34</v>
      </c>
      <c r="AM120" s="125">
        <f t="shared" si="13"/>
        <v>170.34</v>
      </c>
      <c r="AN120" s="125">
        <f>AH120*Valores!$C$70</f>
        <v>-15725.024150000001</v>
      </c>
      <c r="AO120" s="125">
        <f>AH120*-Valores!$C$71</f>
        <v>0</v>
      </c>
      <c r="AP120" s="125">
        <f>AH120*Valores!$C$72</f>
        <v>-6432.964425</v>
      </c>
      <c r="AQ120" s="125">
        <f>Valores!$C$99</f>
        <v>-280.91</v>
      </c>
      <c r="AR120" s="125">
        <f>IF($F$5=0,Valores!$C$100,(Valores!$C$100+$F$5*(Valores!$C$100)))</f>
        <v>-329</v>
      </c>
      <c r="AS120" s="125">
        <f t="shared" si="16"/>
        <v>120357.20642500001</v>
      </c>
      <c r="AT120" s="125">
        <f t="shared" si="10"/>
        <v>-15725.024150000001</v>
      </c>
      <c r="AU120" s="125">
        <f>AH120*Valores!$C$73</f>
        <v>-3859.7786550000005</v>
      </c>
      <c r="AV120" s="125">
        <f>AH120*Valores!$C$74</f>
        <v>-428.864295</v>
      </c>
      <c r="AW120" s="125">
        <f t="shared" si="14"/>
        <v>123111.4379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7050.13</v>
      </c>
      <c r="G121" s="192">
        <v>1163</v>
      </c>
      <c r="H121" s="125">
        <f>ROUND(G121*Valores!$C$2,2)</f>
        <v>29924.46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8086.78</v>
      </c>
      <c r="N121" s="125">
        <f t="shared" si="11"/>
        <v>0</v>
      </c>
      <c r="O121" s="125">
        <f>Valores!$C$9</f>
        <v>28480.68</v>
      </c>
      <c r="P121" s="125">
        <f>Valores!$D$5</f>
        <v>13153.38</v>
      </c>
      <c r="Q121" s="125">
        <f>Valores!$C$22</f>
        <v>11734.9</v>
      </c>
      <c r="R121" s="125">
        <f>IF($F$4="NO",Valores!$C$43,Valores!$C$43/2)</f>
        <v>4697.875</v>
      </c>
      <c r="S121" s="125">
        <f>Valores!$C$19</f>
        <v>12239.42</v>
      </c>
      <c r="T121" s="125">
        <f t="shared" si="17"/>
        <v>12239.42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Valores!$C$93</f>
        <v>5760.87</v>
      </c>
      <c r="AA121" s="125">
        <f>Valores!$C$25</f>
        <v>537.98</v>
      </c>
      <c r="AB121" s="214">
        <v>0</v>
      </c>
      <c r="AC121" s="125">
        <f t="shared" si="12"/>
        <v>0</v>
      </c>
      <c r="AD121" s="125">
        <f>Valores!$C$26</f>
        <v>537.98</v>
      </c>
      <c r="AE121" s="192">
        <v>0</v>
      </c>
      <c r="AF121" s="125">
        <f>ROUND(AE121*Valores!$C$2,2)</f>
        <v>0</v>
      </c>
      <c r="AG121" s="125">
        <f>ROUND(IF($F$4="NO",Valores!$C$62,Valores!$C$62/2),2)</f>
        <v>3203.47</v>
      </c>
      <c r="AH121" s="125">
        <f t="shared" si="15"/>
        <v>125407.92499999997</v>
      </c>
      <c r="AI121" s="125">
        <f>Valores!$C$31</f>
        <v>0</v>
      </c>
      <c r="AJ121" s="125">
        <f>Valores!$C$86</f>
        <v>0</v>
      </c>
      <c r="AK121" s="125">
        <f>Valores!C$38*B121</f>
        <v>0</v>
      </c>
      <c r="AL121" s="125">
        <f>IF($F$3="NO",0,Valores!$C$55)</f>
        <v>170.34</v>
      </c>
      <c r="AM121" s="125">
        <f t="shared" si="13"/>
        <v>170.34</v>
      </c>
      <c r="AN121" s="125">
        <f>AH121*Valores!$C$70</f>
        <v>-13794.871749999997</v>
      </c>
      <c r="AO121" s="125">
        <f>AH121*-Valores!$C$71</f>
        <v>0</v>
      </c>
      <c r="AP121" s="125">
        <f>AH121*Valores!$C$72</f>
        <v>-5643.3566249999985</v>
      </c>
      <c r="AQ121" s="125">
        <f>Valores!$C$99</f>
        <v>-280.91</v>
      </c>
      <c r="AR121" s="125">
        <f>IF($F$5=0,Valores!$C$100,(Valores!$C$100+$F$5*(Valores!$C$100)))</f>
        <v>-329</v>
      </c>
      <c r="AS121" s="125">
        <f t="shared" si="16"/>
        <v>105530.12662499998</v>
      </c>
      <c r="AT121" s="125">
        <f t="shared" si="10"/>
        <v>-13794.871749999997</v>
      </c>
      <c r="AU121" s="125">
        <f>AH121*Valores!$C$73</f>
        <v>-3386.0139749999994</v>
      </c>
      <c r="AV121" s="125">
        <f>AH121*Valores!$C$74</f>
        <v>-376.22377499999993</v>
      </c>
      <c r="AW121" s="125">
        <f t="shared" si="14"/>
        <v>108021.15549999998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72045.12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13483</v>
      </c>
      <c r="N122" s="125">
        <f t="shared" si="11"/>
        <v>0</v>
      </c>
      <c r="O122" s="125">
        <f>Valores!$C$16</f>
        <v>22234.39</v>
      </c>
      <c r="P122" s="125">
        <f>Valores!$D$5</f>
        <v>13153.38</v>
      </c>
      <c r="Q122" s="125">
        <f>Valores!$C$22</f>
        <v>11734.9</v>
      </c>
      <c r="R122" s="125">
        <f>IF($F$4="NO",Valores!$C$45,Valores!$C$45/2)</f>
        <v>5727.29</v>
      </c>
      <c r="S122" s="125">
        <f>Valores!$C$20</f>
        <v>12114.28</v>
      </c>
      <c r="T122" s="125">
        <f t="shared" si="17"/>
        <v>12114.28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Valores!$C$93</f>
        <v>5760.87</v>
      </c>
      <c r="AA122" s="125">
        <f>Valores!$C$25</f>
        <v>537.98</v>
      </c>
      <c r="AB122" s="214">
        <v>0</v>
      </c>
      <c r="AC122" s="125">
        <f t="shared" si="12"/>
        <v>0</v>
      </c>
      <c r="AD122" s="125">
        <f>Valores!$C$26</f>
        <v>537.98</v>
      </c>
      <c r="AE122" s="192">
        <v>0</v>
      </c>
      <c r="AF122" s="125">
        <f>ROUND(AE122*Valores!$C$2,2)</f>
        <v>0</v>
      </c>
      <c r="AG122" s="125">
        <f>ROUND(IF($F$4="NO",Valores!$C$62,Valores!$C$62/2),2)</f>
        <v>3203.47</v>
      </c>
      <c r="AH122" s="125">
        <f t="shared" si="15"/>
        <v>160532.66000000003</v>
      </c>
      <c r="AI122" s="125">
        <f>Valores!$C$31</f>
        <v>0</v>
      </c>
      <c r="AJ122" s="125">
        <f>Valores!$C$86</f>
        <v>0</v>
      </c>
      <c r="AK122" s="125">
        <f>Valores!C$38*B122</f>
        <v>0</v>
      </c>
      <c r="AL122" s="125">
        <f>IF($F$3="NO",0,Valores!$C$54)</f>
        <v>327.6</v>
      </c>
      <c r="AM122" s="125">
        <f t="shared" si="13"/>
        <v>327.6</v>
      </c>
      <c r="AN122" s="125">
        <f>AH122*Valores!$C$70</f>
        <v>-17658.592600000004</v>
      </c>
      <c r="AO122" s="125">
        <f>AH122*-Valores!$C$71</f>
        <v>0</v>
      </c>
      <c r="AP122" s="125">
        <f>AH122*Valores!$C$72</f>
        <v>-7223.9697000000015</v>
      </c>
      <c r="AQ122" s="125">
        <f>Valores!$C$99</f>
        <v>-280.91</v>
      </c>
      <c r="AR122" s="125">
        <f>IF($F$5=0,Valores!$C$100,(Valores!$C$100+$F$5*(Valores!$C$100)))</f>
        <v>-329</v>
      </c>
      <c r="AS122" s="125">
        <f t="shared" si="16"/>
        <v>135367.78770000002</v>
      </c>
      <c r="AT122" s="125">
        <f t="shared" si="10"/>
        <v>-17658.592600000004</v>
      </c>
      <c r="AU122" s="125">
        <f>AH122*Valores!$C$73</f>
        <v>-4334.3818200000005</v>
      </c>
      <c r="AV122" s="125">
        <f>AH122*Valores!$C$74</f>
        <v>-481.5979800000001</v>
      </c>
      <c r="AW122" s="125">
        <f t="shared" si="14"/>
        <v>138385.68760000003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73331.64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13877.9</v>
      </c>
      <c r="N123" s="125">
        <f t="shared" si="11"/>
        <v>0</v>
      </c>
      <c r="O123" s="125">
        <f>Valores!$C$9</f>
        <v>28480.68</v>
      </c>
      <c r="P123" s="125">
        <f>Valores!$D$5</f>
        <v>13153.38</v>
      </c>
      <c r="Q123" s="125">
        <f>Valores!$C$22</f>
        <v>11734.9</v>
      </c>
      <c r="R123" s="125">
        <f>IF($F$4="NO",Valores!$C$46,Valores!$C$46/2)</f>
        <v>7073.445</v>
      </c>
      <c r="S123" s="125">
        <f>Valores!$C$20</f>
        <v>12114.28</v>
      </c>
      <c r="T123" s="125">
        <f t="shared" si="17"/>
        <v>12114.28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Valores!$C$95</f>
        <v>11521.74</v>
      </c>
      <c r="AA123" s="125">
        <f>Valores!$C$25</f>
        <v>537.98</v>
      </c>
      <c r="AB123" s="214">
        <v>0</v>
      </c>
      <c r="AC123" s="125">
        <f t="shared" si="12"/>
        <v>0</v>
      </c>
      <c r="AD123" s="125">
        <f>Valores!$C$26</f>
        <v>537.98</v>
      </c>
      <c r="AE123" s="192">
        <v>0</v>
      </c>
      <c r="AF123" s="125">
        <f>ROUND(AE123*Valores!$C$2,2)</f>
        <v>0</v>
      </c>
      <c r="AG123" s="125">
        <f>ROUND(IF($F$4="NO",Valores!$C$62,Valores!$C$62/2),2)</f>
        <v>3203.47</v>
      </c>
      <c r="AH123" s="125">
        <f t="shared" si="15"/>
        <v>175567.39500000002</v>
      </c>
      <c r="AI123" s="125">
        <f>Valores!$C$31</f>
        <v>0</v>
      </c>
      <c r="AJ123" s="125">
        <f>Valores!$C$88</f>
        <v>0</v>
      </c>
      <c r="AK123" s="125">
        <f>Valores!C$38*B123</f>
        <v>0</v>
      </c>
      <c r="AL123" s="125">
        <f>IF($F$3="NO",0,Valores!$C$54)</f>
        <v>327.6</v>
      </c>
      <c r="AM123" s="125">
        <f t="shared" si="13"/>
        <v>327.6</v>
      </c>
      <c r="AN123" s="125">
        <f>AH123*Valores!$C$70</f>
        <v>-19312.413450000004</v>
      </c>
      <c r="AO123" s="125">
        <f>AH123*-Valores!$C$71</f>
        <v>0</v>
      </c>
      <c r="AP123" s="125">
        <f>AH123*Valores!$C$72</f>
        <v>-7900.532775000001</v>
      </c>
      <c r="AQ123" s="125">
        <f>Valores!$C$99</f>
        <v>-280.91</v>
      </c>
      <c r="AR123" s="125">
        <f>IF($F$5=0,Valores!$C$100,(Valores!$C$100+$F$5*(Valores!$C$100)))</f>
        <v>-329</v>
      </c>
      <c r="AS123" s="125">
        <f t="shared" si="16"/>
        <v>148072.138775</v>
      </c>
      <c r="AT123" s="125">
        <f t="shared" si="10"/>
        <v>-19312.413450000004</v>
      </c>
      <c r="AU123" s="125">
        <f>AH123*Valores!$C$73</f>
        <v>-4740.319665000001</v>
      </c>
      <c r="AV123" s="125">
        <f>AH123*Valores!$C$74</f>
        <v>-526.7021850000001</v>
      </c>
      <c r="AW123" s="125">
        <f t="shared" si="14"/>
        <v>151315.5597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44642.24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9179.55</v>
      </c>
      <c r="N124" s="125">
        <f t="shared" si="11"/>
        <v>0</v>
      </c>
      <c r="O124" s="125">
        <f>Valores!$C$16</f>
        <v>22234.39</v>
      </c>
      <c r="P124" s="125">
        <f>Valores!$D$5</f>
        <v>13153.38</v>
      </c>
      <c r="Q124" s="125">
        <v>0</v>
      </c>
      <c r="R124" s="125">
        <f>IF($F$4="NO",Valores!$C$42,Valores!$C$42/2)</f>
        <v>4440.46</v>
      </c>
      <c r="S124" s="125">
        <f>Valores!$C$20</f>
        <v>12114.28</v>
      </c>
      <c r="T124" s="125">
        <f t="shared" si="17"/>
        <v>12114.28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Valores!$C$93</f>
        <v>5760.87</v>
      </c>
      <c r="AA124" s="125">
        <f>Valores!$C$25</f>
        <v>537.98</v>
      </c>
      <c r="AB124" s="214">
        <v>0</v>
      </c>
      <c r="AC124" s="125">
        <f t="shared" si="12"/>
        <v>0</v>
      </c>
      <c r="AD124" s="125">
        <f>Valores!$C$26</f>
        <v>537.98</v>
      </c>
      <c r="AE124" s="192">
        <v>0</v>
      </c>
      <c r="AF124" s="125">
        <f>ROUND(AE124*Valores!$C$2,2)</f>
        <v>0</v>
      </c>
      <c r="AG124" s="125">
        <f>ROUND(IF($F$4="NO",Valores!$C$62,Valores!$C$62/2),2)</f>
        <v>3203.47</v>
      </c>
      <c r="AH124" s="125">
        <f t="shared" si="15"/>
        <v>115804.59999999999</v>
      </c>
      <c r="AI124" s="125">
        <f>Valores!$C$31</f>
        <v>0</v>
      </c>
      <c r="AJ124" s="125">
        <f>Valores!$C$86</f>
        <v>0</v>
      </c>
      <c r="AK124" s="125">
        <f>Valores!C$38*B124</f>
        <v>0</v>
      </c>
      <c r="AL124" s="125">
        <f>IF($F$3="NO",0,Valores!$C$55)</f>
        <v>170.34</v>
      </c>
      <c r="AM124" s="125">
        <f t="shared" si="13"/>
        <v>170.34</v>
      </c>
      <c r="AN124" s="125">
        <f>AH124*Valores!$C$70</f>
        <v>-12738.506</v>
      </c>
      <c r="AO124" s="125">
        <f>AH124*-Valores!$C$71</f>
        <v>0</v>
      </c>
      <c r="AP124" s="125">
        <f>AH124*Valores!$C$72</f>
        <v>-5211.206999999999</v>
      </c>
      <c r="AQ124" s="125">
        <f>Valores!$C$99</f>
        <v>-280.91</v>
      </c>
      <c r="AR124" s="125">
        <f>IF($F$5=0,Valores!$C$100,(Valores!$C$100+$F$5*(Valores!$C$100)))</f>
        <v>-329</v>
      </c>
      <c r="AS124" s="125">
        <f t="shared" si="16"/>
        <v>97415.317</v>
      </c>
      <c r="AT124" s="125">
        <f t="shared" si="10"/>
        <v>-12738.506</v>
      </c>
      <c r="AU124" s="125">
        <f>AH124*Valores!$C$73</f>
        <v>-3126.7241999999997</v>
      </c>
      <c r="AV124" s="125">
        <f>AH124*Valores!$C$74</f>
        <v>-347.4138</v>
      </c>
      <c r="AW124" s="125">
        <f t="shared" si="14"/>
        <v>99762.29599999999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1852.59</v>
      </c>
      <c r="G125" s="192">
        <v>1590</v>
      </c>
      <c r="H125" s="125">
        <f>ROUND(G125*Valores!$C$2,2)</f>
        <v>40911.34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8897.8</v>
      </c>
      <c r="N125" s="125">
        <f t="shared" si="11"/>
        <v>0</v>
      </c>
      <c r="O125" s="125">
        <f>Valores!$C$16</f>
        <v>22234.39</v>
      </c>
      <c r="P125" s="125">
        <f>Valores!$D$5</f>
        <v>13153.38</v>
      </c>
      <c r="Q125" s="125">
        <f>Valores!$C$22</f>
        <v>11734.9</v>
      </c>
      <c r="R125" s="125">
        <f>IF($F$4="NO",Valores!$C$42,Valores!$C$42/2)</f>
        <v>4440.46</v>
      </c>
      <c r="S125" s="125">
        <f>Valores!$C$20</f>
        <v>12114.28</v>
      </c>
      <c r="T125" s="125">
        <f t="shared" si="17"/>
        <v>12114.28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Valores!$C$93</f>
        <v>5760.87</v>
      </c>
      <c r="AA125" s="125">
        <f>Valores!$C$25</f>
        <v>537.98</v>
      </c>
      <c r="AB125" s="214">
        <v>0</v>
      </c>
      <c r="AC125" s="125">
        <f t="shared" si="12"/>
        <v>0</v>
      </c>
      <c r="AD125" s="125">
        <f>Valores!$C$26</f>
        <v>537.98</v>
      </c>
      <c r="AE125" s="192">
        <v>0</v>
      </c>
      <c r="AF125" s="125">
        <f>ROUND(AE125*Valores!$C$2,2)</f>
        <v>0</v>
      </c>
      <c r="AG125" s="125">
        <f>ROUND(IF($F$4="NO",Valores!$C$62,Valores!$C$62/2),2)</f>
        <v>3203.47</v>
      </c>
      <c r="AH125" s="125">
        <f t="shared" si="15"/>
        <v>125379.43999999999</v>
      </c>
      <c r="AI125" s="125">
        <f>Valores!$C$31</f>
        <v>0</v>
      </c>
      <c r="AJ125" s="125">
        <f>Valores!$C$86</f>
        <v>0</v>
      </c>
      <c r="AK125" s="125">
        <f>Valores!C$38*B125</f>
        <v>0</v>
      </c>
      <c r="AL125" s="125">
        <f>IF($F$3="NO",0,Valores!$C$55)</f>
        <v>170.34</v>
      </c>
      <c r="AM125" s="125">
        <f t="shared" si="13"/>
        <v>170.34</v>
      </c>
      <c r="AN125" s="125">
        <f>AH125*Valores!$C$70</f>
        <v>-13791.738399999998</v>
      </c>
      <c r="AO125" s="125">
        <f>AH125*-Valores!$C$71</f>
        <v>0</v>
      </c>
      <c r="AP125" s="125">
        <f>AH125*Valores!$C$72</f>
        <v>-5642.074799999999</v>
      </c>
      <c r="AQ125" s="125">
        <f>Valores!$C$99</f>
        <v>-280.91</v>
      </c>
      <c r="AR125" s="125">
        <f>IF($F$5=0,Valores!$C$100,(Valores!$C$100+$F$5*(Valores!$C$100)))</f>
        <v>-329</v>
      </c>
      <c r="AS125" s="125">
        <f t="shared" si="16"/>
        <v>105506.05679999999</v>
      </c>
      <c r="AT125" s="125">
        <f t="shared" si="10"/>
        <v>-13791.738399999998</v>
      </c>
      <c r="AU125" s="125">
        <f>AH125*Valores!$C$73</f>
        <v>-3385.2448799999997</v>
      </c>
      <c r="AV125" s="125">
        <f>AH125*Valores!$C$74</f>
        <v>-376.13831999999996</v>
      </c>
      <c r="AW125" s="125">
        <f t="shared" si="14"/>
        <v>107996.65839999999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1852.59</v>
      </c>
      <c r="G126" s="192">
        <v>1590</v>
      </c>
      <c r="H126" s="125">
        <f>ROUND(G126*Valores!$C$2,2)</f>
        <v>40911.34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8897.8</v>
      </c>
      <c r="N126" s="125">
        <f t="shared" si="11"/>
        <v>0</v>
      </c>
      <c r="O126" s="125">
        <f>Valores!$C$16</f>
        <v>22234.39</v>
      </c>
      <c r="P126" s="125">
        <f>Valores!$D$5</f>
        <v>13153.38</v>
      </c>
      <c r="Q126" s="125">
        <f>Valores!$C$22</f>
        <v>11734.9</v>
      </c>
      <c r="R126" s="125">
        <f>IF($F$4="NO",Valores!$C$42,Valores!$C$42/2)</f>
        <v>4440.46</v>
      </c>
      <c r="S126" s="125">
        <f>Valores!$C$20</f>
        <v>12114.28</v>
      </c>
      <c r="T126" s="125">
        <f t="shared" si="17"/>
        <v>12114.28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Valores!$C$93</f>
        <v>5760.87</v>
      </c>
      <c r="AA126" s="125">
        <f>Valores!$C$25</f>
        <v>537.98</v>
      </c>
      <c r="AB126" s="214">
        <v>0</v>
      </c>
      <c r="AC126" s="125">
        <f t="shared" si="12"/>
        <v>0</v>
      </c>
      <c r="AD126" s="125">
        <f>Valores!$C$26</f>
        <v>537.98</v>
      </c>
      <c r="AE126" s="192">
        <v>94</v>
      </c>
      <c r="AF126" s="125">
        <f>ROUND(AE126*Valores!$C$2,2)</f>
        <v>2418.66</v>
      </c>
      <c r="AG126" s="125">
        <f>ROUND(IF($F$4="NO",Valores!$C$62,Valores!$C$62/2),2)</f>
        <v>3203.47</v>
      </c>
      <c r="AH126" s="125">
        <f t="shared" si="15"/>
        <v>127798.09999999999</v>
      </c>
      <c r="AI126" s="125">
        <f>Valores!$C$31</f>
        <v>0</v>
      </c>
      <c r="AJ126" s="125">
        <f>Valores!$C$86</f>
        <v>0</v>
      </c>
      <c r="AK126" s="125">
        <f>Valores!C$38*B126</f>
        <v>0</v>
      </c>
      <c r="AL126" s="125">
        <f>IF($F$3="NO",0,Valores!$C$55)</f>
        <v>170.34</v>
      </c>
      <c r="AM126" s="125">
        <f t="shared" si="13"/>
        <v>170.34</v>
      </c>
      <c r="AN126" s="125">
        <f>AH126*Valores!$C$70</f>
        <v>-14057.791</v>
      </c>
      <c r="AO126" s="125">
        <f>AH126*-Valores!$C$71</f>
        <v>0</v>
      </c>
      <c r="AP126" s="125">
        <f>AH126*Valores!$C$72</f>
        <v>-5750.914499999999</v>
      </c>
      <c r="AQ126" s="125">
        <f>Valores!$C$99</f>
        <v>-280.91</v>
      </c>
      <c r="AR126" s="125">
        <f>IF($F$5=0,Valores!$C$100,(Valores!$C$100+$F$5*(Valores!$C$100)))</f>
        <v>-329</v>
      </c>
      <c r="AS126" s="125">
        <f t="shared" si="16"/>
        <v>107549.82449999999</v>
      </c>
      <c r="AT126" s="125">
        <f t="shared" si="10"/>
        <v>-14057.791</v>
      </c>
      <c r="AU126" s="125">
        <f>AH126*Valores!$C$73</f>
        <v>-3450.5487</v>
      </c>
      <c r="AV126" s="125">
        <f>AH126*Valores!$C$74</f>
        <v>-383.3943</v>
      </c>
      <c r="AW126" s="125">
        <f t="shared" si="14"/>
        <v>110076.70599999999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1981.24</v>
      </c>
      <c r="G127" s="192">
        <v>2043</v>
      </c>
      <c r="H127" s="125">
        <f>ROUND(G127*Valores!$C$2,2)</f>
        <v>52567.21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10722.86</v>
      </c>
      <c r="N127" s="125">
        <f t="shared" si="11"/>
        <v>0</v>
      </c>
      <c r="O127" s="125">
        <f>Valores!$C$11</f>
        <v>22943.05</v>
      </c>
      <c r="P127" s="125">
        <f>Valores!$D$5</f>
        <v>13153.38</v>
      </c>
      <c r="Q127" s="125">
        <f>Valores!$C$22</f>
        <v>11734.9</v>
      </c>
      <c r="R127" s="125">
        <f>IF($F$4="NO",Valores!$C$43,Valores!$C$43/2)</f>
        <v>4697.875</v>
      </c>
      <c r="S127" s="125">
        <f>Valores!$C$19</f>
        <v>12239.42</v>
      </c>
      <c r="T127" s="125">
        <f t="shared" si="17"/>
        <v>12239.42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Valores!$C$93</f>
        <v>5760.87</v>
      </c>
      <c r="AA127" s="125">
        <f>Valores!$C$25</f>
        <v>537.98</v>
      </c>
      <c r="AB127" s="214">
        <v>0</v>
      </c>
      <c r="AC127" s="125">
        <f t="shared" si="12"/>
        <v>0</v>
      </c>
      <c r="AD127" s="125">
        <f>Valores!$C$26</f>
        <v>537.98</v>
      </c>
      <c r="AE127" s="192">
        <v>0</v>
      </c>
      <c r="AF127" s="125">
        <f>ROUND(AE127*Valores!$C$2,2)</f>
        <v>0</v>
      </c>
      <c r="AG127" s="125">
        <f>ROUND(IF($F$4="NO",Valores!$C$62,Valores!$C$62/2),2)</f>
        <v>3203.47</v>
      </c>
      <c r="AH127" s="125">
        <f t="shared" si="15"/>
        <v>140080.23500000002</v>
      </c>
      <c r="AI127" s="125">
        <f>Valores!$C$31</f>
        <v>0</v>
      </c>
      <c r="AJ127" s="125">
        <f>Valores!$C$86</f>
        <v>0</v>
      </c>
      <c r="AK127" s="125">
        <f>Valores!C$38*B127</f>
        <v>0</v>
      </c>
      <c r="AL127" s="125">
        <f>IF($F$3="NO",0,Valores!$C$55)</f>
        <v>170.34</v>
      </c>
      <c r="AM127" s="125">
        <f t="shared" si="13"/>
        <v>170.34</v>
      </c>
      <c r="AN127" s="125">
        <f>AH127*Valores!$C$70</f>
        <v>-15408.825850000001</v>
      </c>
      <c r="AO127" s="125">
        <f>AH127*-Valores!$C$71</f>
        <v>0</v>
      </c>
      <c r="AP127" s="125">
        <f>AH127*Valores!$C$72</f>
        <v>-6303.610575000001</v>
      </c>
      <c r="AQ127" s="125">
        <f>Valores!$C$99</f>
        <v>-280.91</v>
      </c>
      <c r="AR127" s="125">
        <f>IF($F$5=0,Valores!$C$100,(Valores!$C$100+$F$5*(Valores!$C$100)))</f>
        <v>-329</v>
      </c>
      <c r="AS127" s="125">
        <f t="shared" si="16"/>
        <v>117928.22857500002</v>
      </c>
      <c r="AT127" s="125">
        <f t="shared" si="10"/>
        <v>-15408.825850000001</v>
      </c>
      <c r="AU127" s="125">
        <f>AH127*Valores!$C$73</f>
        <v>-3782.1663450000005</v>
      </c>
      <c r="AV127" s="125">
        <f>AH127*Valores!$C$74</f>
        <v>-420.24070500000005</v>
      </c>
      <c r="AW127" s="125">
        <f t="shared" si="14"/>
        <v>120639.34210000001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1569.55</v>
      </c>
      <c r="G128" s="192">
        <v>1217</v>
      </c>
      <c r="H128" s="125">
        <f>ROUND(G128*Valores!$C$2,2)</f>
        <v>31313.9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7434.5</v>
      </c>
      <c r="N128" s="125">
        <f t="shared" si="11"/>
        <v>0</v>
      </c>
      <c r="O128" s="125">
        <f>Valores!$C$16</f>
        <v>22234.39</v>
      </c>
      <c r="P128" s="125">
        <f>Valores!$D$5</f>
        <v>13153.38</v>
      </c>
      <c r="Q128" s="125">
        <f>Valores!$C$22</f>
        <v>11734.9</v>
      </c>
      <c r="R128" s="125">
        <f>IF($F$4="NO",Valores!$C$42,Valores!$C$42/2)</f>
        <v>4440.46</v>
      </c>
      <c r="S128" s="125">
        <f>Valores!$C$19</f>
        <v>12239.42</v>
      </c>
      <c r="T128" s="125">
        <f t="shared" si="17"/>
        <v>12239.42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Valores!$C$93</f>
        <v>5760.87</v>
      </c>
      <c r="AA128" s="125">
        <f>Valores!$C$25</f>
        <v>537.98</v>
      </c>
      <c r="AB128" s="214">
        <v>0</v>
      </c>
      <c r="AC128" s="125">
        <f t="shared" si="12"/>
        <v>0</v>
      </c>
      <c r="AD128" s="125">
        <f>Valores!$C$26</f>
        <v>537.98</v>
      </c>
      <c r="AE128" s="192">
        <v>0</v>
      </c>
      <c r="AF128" s="125">
        <f>ROUND(AE128*Valores!$C$2,2)</f>
        <v>0</v>
      </c>
      <c r="AG128" s="125">
        <f>ROUND(IF($F$4="NO",Valores!$C$62,Valores!$C$62/2),2)</f>
        <v>3203.47</v>
      </c>
      <c r="AH128" s="125">
        <f t="shared" si="15"/>
        <v>114160.79999999999</v>
      </c>
      <c r="AI128" s="125">
        <f>Valores!$C$31</f>
        <v>0</v>
      </c>
      <c r="AJ128" s="125">
        <f>Valores!$C$86</f>
        <v>0</v>
      </c>
      <c r="AK128" s="125">
        <f>Valores!C$38*B128</f>
        <v>0</v>
      </c>
      <c r="AL128" s="125">
        <f>IF($F$3="NO",0,Valores!$C$55)</f>
        <v>170.34</v>
      </c>
      <c r="AM128" s="125">
        <f t="shared" si="13"/>
        <v>170.34</v>
      </c>
      <c r="AN128" s="125">
        <f>AH128*Valores!$C$70</f>
        <v>-12557.687999999998</v>
      </c>
      <c r="AO128" s="125">
        <f>AH128*-Valores!$C$71</f>
        <v>0</v>
      </c>
      <c r="AP128" s="125">
        <f>AH128*Valores!$C$72</f>
        <v>-5137.235999999999</v>
      </c>
      <c r="AQ128" s="125">
        <f>Valores!$C$99</f>
        <v>-280.91</v>
      </c>
      <c r="AR128" s="125">
        <f>IF($F$5=0,Valores!$C$100,(Valores!$C$100+$F$5*(Valores!$C$100)))</f>
        <v>-329</v>
      </c>
      <c r="AS128" s="125">
        <f t="shared" si="16"/>
        <v>96026.306</v>
      </c>
      <c r="AT128" s="125">
        <f t="shared" si="10"/>
        <v>-12557.687999999998</v>
      </c>
      <c r="AU128" s="125">
        <f>AH128*Valores!$C$73</f>
        <v>-3082.3415999999997</v>
      </c>
      <c r="AV128" s="125">
        <f>AH128*Valores!$C$74</f>
        <v>-342.4824</v>
      </c>
      <c r="AW128" s="125">
        <f t="shared" si="14"/>
        <v>98348.62799999998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1852.59</v>
      </c>
      <c r="G129" s="192">
        <v>1206</v>
      </c>
      <c r="H129" s="125">
        <f>ROUND(G129*Valores!$C$2,2)</f>
        <v>31030.86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7434.5</v>
      </c>
      <c r="N129" s="125">
        <f t="shared" si="11"/>
        <v>0</v>
      </c>
      <c r="O129" s="125">
        <f>Valores!$C$16</f>
        <v>22234.39</v>
      </c>
      <c r="P129" s="125">
        <f>Valores!$D$5</f>
        <v>13153.38</v>
      </c>
      <c r="Q129" s="125">
        <f>Valores!$C$22</f>
        <v>11734.9</v>
      </c>
      <c r="R129" s="125">
        <f>IF($F$4="NO",Valores!$C$42,Valores!$C$42/2)</f>
        <v>4440.46</v>
      </c>
      <c r="S129" s="125">
        <f>Valores!$C$19</f>
        <v>12239.42</v>
      </c>
      <c r="T129" s="125">
        <f t="shared" si="17"/>
        <v>12239.42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Valores!$C$93</f>
        <v>5760.87</v>
      </c>
      <c r="AA129" s="125">
        <f>Valores!$C$25</f>
        <v>537.98</v>
      </c>
      <c r="AB129" s="214">
        <v>0</v>
      </c>
      <c r="AC129" s="125">
        <f t="shared" si="12"/>
        <v>0</v>
      </c>
      <c r="AD129" s="125">
        <f>Valores!$C$26</f>
        <v>537.98</v>
      </c>
      <c r="AE129" s="192">
        <v>94</v>
      </c>
      <c r="AF129" s="125">
        <f>ROUND(AE129*Valores!$C$2,2)</f>
        <v>2418.66</v>
      </c>
      <c r="AG129" s="125">
        <f>ROUND(IF($F$4="NO",Valores!$C$62,Valores!$C$62/2),2)</f>
        <v>3203.47</v>
      </c>
      <c r="AH129" s="125">
        <f t="shared" si="15"/>
        <v>116579.45999999999</v>
      </c>
      <c r="AI129" s="125">
        <f>Valores!$C$31</f>
        <v>0</v>
      </c>
      <c r="AJ129" s="125">
        <f>Valores!$C$86</f>
        <v>0</v>
      </c>
      <c r="AK129" s="125">
        <f>Valores!C$38*B129</f>
        <v>0</v>
      </c>
      <c r="AL129" s="125">
        <f>IF($F$3="NO",0,Valores!$C$55)</f>
        <v>170.34</v>
      </c>
      <c r="AM129" s="125">
        <f t="shared" si="13"/>
        <v>170.34</v>
      </c>
      <c r="AN129" s="125">
        <f>AH129*Valores!$C$70</f>
        <v>-12823.7406</v>
      </c>
      <c r="AO129" s="125">
        <f>AH129*-Valores!$C$71</f>
        <v>0</v>
      </c>
      <c r="AP129" s="125">
        <f>AH129*Valores!$C$72</f>
        <v>-5246.075699999999</v>
      </c>
      <c r="AQ129" s="125">
        <f>Valores!$C$99</f>
        <v>-280.91</v>
      </c>
      <c r="AR129" s="125">
        <f>IF($F$5=0,Valores!$C$100,(Valores!$C$100+$F$5*(Valores!$C$100)))</f>
        <v>-329</v>
      </c>
      <c r="AS129" s="125">
        <f t="shared" si="16"/>
        <v>98070.0737</v>
      </c>
      <c r="AT129" s="125">
        <f t="shared" si="10"/>
        <v>-12823.7406</v>
      </c>
      <c r="AU129" s="125">
        <f>AH129*Valores!$C$73</f>
        <v>-3147.64542</v>
      </c>
      <c r="AV129" s="125">
        <f>AH129*Valores!$C$74</f>
        <v>-349.73838</v>
      </c>
      <c r="AW129" s="125">
        <f t="shared" si="14"/>
        <v>100428.67559999999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1569.55</v>
      </c>
      <c r="G130" s="192">
        <v>1217</v>
      </c>
      <c r="H130" s="125">
        <f>ROUND(G130*Valores!$C$2,2)</f>
        <v>31313.9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7415.73</v>
      </c>
      <c r="N130" s="125">
        <f t="shared" si="11"/>
        <v>0</v>
      </c>
      <c r="O130" s="125">
        <f>Valores!$C$16</f>
        <v>22234.39</v>
      </c>
      <c r="P130" s="125">
        <f>Valores!$D$5</f>
        <v>13153.38</v>
      </c>
      <c r="Q130" s="125">
        <v>0</v>
      </c>
      <c r="R130" s="125">
        <f>IF($F$4="NO",Valores!$C$42,Valores!$C$42/2)</f>
        <v>4440.46</v>
      </c>
      <c r="S130" s="125">
        <f>Valores!$C$20</f>
        <v>12114.28</v>
      </c>
      <c r="T130" s="125">
        <f t="shared" si="17"/>
        <v>12114.28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Valores!$C$93</f>
        <v>5760.87</v>
      </c>
      <c r="AA130" s="125">
        <f>Valores!$C$25</f>
        <v>537.98</v>
      </c>
      <c r="AB130" s="214">
        <v>0</v>
      </c>
      <c r="AC130" s="125">
        <f t="shared" si="12"/>
        <v>0</v>
      </c>
      <c r="AD130" s="125">
        <f>Valores!$C$26</f>
        <v>537.98</v>
      </c>
      <c r="AE130" s="192">
        <v>0</v>
      </c>
      <c r="AF130" s="125">
        <f>ROUND(AE130*Valores!$C$2,2)</f>
        <v>0</v>
      </c>
      <c r="AG130" s="125">
        <f>ROUND(IF($F$4="NO",Valores!$C$62,Valores!$C$62/2),2)</f>
        <v>3203.47</v>
      </c>
      <c r="AH130" s="125">
        <f t="shared" si="15"/>
        <v>102281.99</v>
      </c>
      <c r="AI130" s="125">
        <f>Valores!$C$31</f>
        <v>0</v>
      </c>
      <c r="AJ130" s="125">
        <f>Valores!$C$86</f>
        <v>0</v>
      </c>
      <c r="AK130" s="125">
        <f>Valores!C$38*B130</f>
        <v>0</v>
      </c>
      <c r="AL130" s="125">
        <f>IF($F$3="NO",0,Valores!$C$55)</f>
        <v>170.34</v>
      </c>
      <c r="AM130" s="125">
        <f t="shared" si="13"/>
        <v>170.34</v>
      </c>
      <c r="AN130" s="125">
        <f>AH130*Valores!$C$70</f>
        <v>-11251.018900000001</v>
      </c>
      <c r="AO130" s="125">
        <f>AH130*-Valores!$C$71</f>
        <v>0</v>
      </c>
      <c r="AP130" s="125">
        <f>AH130*Valores!$C$72</f>
        <v>-4602.68955</v>
      </c>
      <c r="AQ130" s="125">
        <f>Valores!$C$99</f>
        <v>-280.91</v>
      </c>
      <c r="AR130" s="125">
        <f>IF($F$5=0,Valores!$C$100,(Valores!$C$100+$F$5*(Valores!$C$100)))</f>
        <v>-329</v>
      </c>
      <c r="AS130" s="125">
        <f t="shared" si="16"/>
        <v>85988.71155</v>
      </c>
      <c r="AT130" s="125">
        <f t="shared" si="10"/>
        <v>-11251.018900000001</v>
      </c>
      <c r="AU130" s="125">
        <f>AH130*Valores!$C$73</f>
        <v>-2761.61373</v>
      </c>
      <c r="AV130" s="125">
        <f>AH130*Valores!$C$74</f>
        <v>-306.84597</v>
      </c>
      <c r="AW130" s="125">
        <f t="shared" si="14"/>
        <v>88132.8514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32883.45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7454.34</v>
      </c>
      <c r="N131" s="125">
        <f t="shared" si="11"/>
        <v>0</v>
      </c>
      <c r="O131" s="125">
        <f>Valores!$C$16</f>
        <v>22234.39</v>
      </c>
      <c r="P131" s="125">
        <f>Valores!$D$5</f>
        <v>13153.38</v>
      </c>
      <c r="Q131" s="125">
        <f>Valores!$C$22</f>
        <v>11734.9</v>
      </c>
      <c r="R131" s="125">
        <f>IF($F$4="NO",Valores!$C$43,Valores!$C$43/2)</f>
        <v>4697.875</v>
      </c>
      <c r="S131" s="125">
        <f>Valores!$C$20</f>
        <v>12114.28</v>
      </c>
      <c r="T131" s="125">
        <f t="shared" si="17"/>
        <v>12114.28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Valores!$C$93</f>
        <v>5760.87</v>
      </c>
      <c r="AA131" s="125">
        <f>Valores!$C$25</f>
        <v>537.98</v>
      </c>
      <c r="AB131" s="214">
        <v>0</v>
      </c>
      <c r="AC131" s="125">
        <f t="shared" si="12"/>
        <v>0</v>
      </c>
      <c r="AD131" s="125">
        <f>Valores!$C$26</f>
        <v>537.98</v>
      </c>
      <c r="AE131" s="192">
        <v>0</v>
      </c>
      <c r="AF131" s="125">
        <f>ROUND(AE131*Valores!$C$2,2)</f>
        <v>0</v>
      </c>
      <c r="AG131" s="125">
        <f>ROUND(IF($F$4="NO",Valores!$C$62,Valores!$C$62/2),2)</f>
        <v>3203.47</v>
      </c>
      <c r="AH131" s="125">
        <f t="shared" si="15"/>
        <v>114312.91499999998</v>
      </c>
      <c r="AI131" s="125">
        <f>Valores!$C$31</f>
        <v>0</v>
      </c>
      <c r="AJ131" s="125">
        <f>Valores!$C$86</f>
        <v>0</v>
      </c>
      <c r="AK131" s="125">
        <f>Valores!C$38*B131</f>
        <v>0</v>
      </c>
      <c r="AL131" s="125">
        <f>IF($F$3="NO",0,Valores!$C$55)</f>
        <v>170.34</v>
      </c>
      <c r="AM131" s="125">
        <f t="shared" si="13"/>
        <v>170.34</v>
      </c>
      <c r="AN131" s="125">
        <f>AH131*Valores!$C$70</f>
        <v>-12574.420649999998</v>
      </c>
      <c r="AO131" s="125">
        <f>AH131*-Valores!$C$71</f>
        <v>0</v>
      </c>
      <c r="AP131" s="125">
        <f>AH131*Valores!$C$72</f>
        <v>-5144.081174999998</v>
      </c>
      <c r="AQ131" s="125">
        <f>Valores!$C$99</f>
        <v>-280.91</v>
      </c>
      <c r="AR131" s="125">
        <f>IF($F$5=0,Valores!$C$100,(Valores!$C$100+$F$5*(Valores!$C$100)))</f>
        <v>-329</v>
      </c>
      <c r="AS131" s="125">
        <f t="shared" si="16"/>
        <v>96154.84317499999</v>
      </c>
      <c r="AT131" s="125">
        <f t="shared" si="10"/>
        <v>-12574.420649999998</v>
      </c>
      <c r="AU131" s="125">
        <f>AH131*Valores!$C$73</f>
        <v>-3086.4487049999993</v>
      </c>
      <c r="AV131" s="125">
        <f>AH131*Valores!$C$74</f>
        <v>-342.9387449999999</v>
      </c>
      <c r="AW131" s="125">
        <f t="shared" si="14"/>
        <v>98479.44689999998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32883.45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7473.11</v>
      </c>
      <c r="N132" s="125">
        <f t="shared" si="11"/>
        <v>0</v>
      </c>
      <c r="O132" s="125">
        <f>Valores!$C$16</f>
        <v>22234.39</v>
      </c>
      <c r="P132" s="125">
        <f>Valores!$D$5</f>
        <v>13153.38</v>
      </c>
      <c r="Q132" s="125">
        <f>Valores!$C$22</f>
        <v>11734.9</v>
      </c>
      <c r="R132" s="125">
        <f>IF($F$4="NO",Valores!$C$43,Valores!$C$43/2)</f>
        <v>4697.875</v>
      </c>
      <c r="S132" s="125">
        <f>Valores!$C$19</f>
        <v>12239.42</v>
      </c>
      <c r="T132" s="125">
        <f t="shared" si="17"/>
        <v>12239.42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Valores!$C$93</f>
        <v>5760.87</v>
      </c>
      <c r="AA132" s="125">
        <f>Valores!$C$25</f>
        <v>537.98</v>
      </c>
      <c r="AB132" s="214">
        <v>0</v>
      </c>
      <c r="AC132" s="125">
        <f t="shared" si="12"/>
        <v>0</v>
      </c>
      <c r="AD132" s="125">
        <f>Valores!$C$26</f>
        <v>537.98</v>
      </c>
      <c r="AE132" s="192">
        <v>94</v>
      </c>
      <c r="AF132" s="125">
        <f>ROUND(AE132*Valores!$C$2,2)</f>
        <v>2418.66</v>
      </c>
      <c r="AG132" s="125">
        <f>ROUND(IF($F$4="NO",Valores!$C$62,Valores!$C$62/2),2)</f>
        <v>3203.47</v>
      </c>
      <c r="AH132" s="125">
        <f t="shared" si="15"/>
        <v>116875.48499999999</v>
      </c>
      <c r="AI132" s="125">
        <f>Valores!$C$31</f>
        <v>0</v>
      </c>
      <c r="AJ132" s="125">
        <f>Valores!$C$86</f>
        <v>0</v>
      </c>
      <c r="AK132" s="125">
        <f>Valores!C$38*B132</f>
        <v>0</v>
      </c>
      <c r="AL132" s="125">
        <f>IF($F$3="NO",0,Valores!$C$55)</f>
        <v>170.34</v>
      </c>
      <c r="AM132" s="125">
        <f t="shared" si="13"/>
        <v>170.34</v>
      </c>
      <c r="AN132" s="125">
        <f>AH132*Valores!$C$70</f>
        <v>-12856.303349999998</v>
      </c>
      <c r="AO132" s="125">
        <f>AH132*-Valores!$C$71</f>
        <v>0</v>
      </c>
      <c r="AP132" s="125">
        <f>AH132*Valores!$C$72</f>
        <v>-5259.396824999999</v>
      </c>
      <c r="AQ132" s="125">
        <f>Valores!$C$99</f>
        <v>-280.91</v>
      </c>
      <c r="AR132" s="125">
        <f>IF($F$5=0,Valores!$C$100,(Valores!$C$100+$F$5*(Valores!$C$100)))</f>
        <v>-329</v>
      </c>
      <c r="AS132" s="125">
        <f t="shared" si="16"/>
        <v>98320.21482499999</v>
      </c>
      <c r="AT132" s="125">
        <f t="shared" si="10"/>
        <v>-12856.303349999998</v>
      </c>
      <c r="AU132" s="125">
        <f>AH132*Valores!$C$73</f>
        <v>-3155.638095</v>
      </c>
      <c r="AV132" s="125">
        <f>AH132*Valores!$C$74</f>
        <v>-350.62645499999996</v>
      </c>
      <c r="AW132" s="125">
        <f t="shared" si="14"/>
        <v>100683.25709999999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24083.65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6095.76</v>
      </c>
      <c r="N133" s="125">
        <f t="shared" si="11"/>
        <v>0</v>
      </c>
      <c r="O133" s="125">
        <f>Valores!$C$16</f>
        <v>22234.39</v>
      </c>
      <c r="P133" s="125">
        <f>Valores!$D$5</f>
        <v>13153.38</v>
      </c>
      <c r="Q133" s="125">
        <f>Valores!$C$23</f>
        <v>10922.07</v>
      </c>
      <c r="R133" s="125">
        <f>IF($F$4="NO",Valores!$C$42,Valores!$C$42/2)</f>
        <v>4440.46</v>
      </c>
      <c r="S133" s="125">
        <f>Valores!$C$20</f>
        <v>12114.28</v>
      </c>
      <c r="T133" s="125">
        <f t="shared" si="17"/>
        <v>12114.28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Valores!$C$93</f>
        <v>5760.87</v>
      </c>
      <c r="AA133" s="125">
        <f>Valores!$C$25</f>
        <v>537.98</v>
      </c>
      <c r="AB133" s="214">
        <v>0</v>
      </c>
      <c r="AC133" s="125">
        <f t="shared" si="12"/>
        <v>0</v>
      </c>
      <c r="AD133" s="125">
        <f>Valores!$C$26</f>
        <v>537.98</v>
      </c>
      <c r="AE133" s="192">
        <v>94</v>
      </c>
      <c r="AF133" s="125">
        <f>ROUND(AE133*Valores!$C$2,2)</f>
        <v>2418.66</v>
      </c>
      <c r="AG133" s="125">
        <f>ROUND(IF($F$4="NO",Valores!$C$62,Valores!$C$62/2),2)</f>
        <v>3203.47</v>
      </c>
      <c r="AH133" s="125">
        <f t="shared" si="15"/>
        <v>105502.95</v>
      </c>
      <c r="AI133" s="125">
        <f>Valores!$C$31</f>
        <v>0</v>
      </c>
      <c r="AJ133" s="125">
        <f>Valores!$C$86</f>
        <v>0</v>
      </c>
      <c r="AK133" s="125">
        <f>Valores!C$38*B133</f>
        <v>0</v>
      </c>
      <c r="AL133" s="125">
        <f>IF($F$3="NO",0,Valores!$C$55)</f>
        <v>170.34</v>
      </c>
      <c r="AM133" s="125">
        <f t="shared" si="13"/>
        <v>170.34</v>
      </c>
      <c r="AN133" s="125">
        <f>AH133*Valores!$C$70</f>
        <v>-11605.3245</v>
      </c>
      <c r="AO133" s="125">
        <f>AH133*-Valores!$C$71</f>
        <v>0</v>
      </c>
      <c r="AP133" s="125">
        <f>AH133*Valores!$C$72</f>
        <v>-4747.63275</v>
      </c>
      <c r="AQ133" s="125">
        <f>Valores!$C$99</f>
        <v>-280.91</v>
      </c>
      <c r="AR133" s="125">
        <f>IF($F$5=0,Valores!$C$100,(Valores!$C$100+$F$5*(Valores!$C$100)))</f>
        <v>-329</v>
      </c>
      <c r="AS133" s="125">
        <f t="shared" si="16"/>
        <v>88710.42275</v>
      </c>
      <c r="AT133" s="125">
        <f t="shared" si="10"/>
        <v>-11605.3245</v>
      </c>
      <c r="AU133" s="125">
        <f>AH133*Valores!$C$73</f>
        <v>-2848.5796499999997</v>
      </c>
      <c r="AV133" s="125">
        <f>AH133*Valores!$C$74</f>
        <v>-316.50885</v>
      </c>
      <c r="AW133" s="125">
        <f t="shared" si="14"/>
        <v>90902.877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32883.45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7415.73</v>
      </c>
      <c r="N134" s="125">
        <f t="shared" si="11"/>
        <v>0</v>
      </c>
      <c r="O134" s="125">
        <f>Valores!$C$8</f>
        <v>28397.34</v>
      </c>
      <c r="P134" s="125">
        <f>Valores!$D$5</f>
        <v>13153.38</v>
      </c>
      <c r="Q134" s="125">
        <v>0</v>
      </c>
      <c r="R134" s="125">
        <f>IF($F$4="NO",Valores!$C$42,Valores!$C$42/2)</f>
        <v>4440.46</v>
      </c>
      <c r="S134" s="125">
        <f>Valores!$C$20</f>
        <v>12114.28</v>
      </c>
      <c r="T134" s="125">
        <f t="shared" si="17"/>
        <v>12114.28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Valores!$C$93</f>
        <v>5760.87</v>
      </c>
      <c r="AA134" s="125">
        <f>Valores!$C$25</f>
        <v>537.98</v>
      </c>
      <c r="AB134" s="214">
        <v>0</v>
      </c>
      <c r="AC134" s="125">
        <f t="shared" si="12"/>
        <v>0</v>
      </c>
      <c r="AD134" s="125">
        <f>Valores!$C$26</f>
        <v>537.98</v>
      </c>
      <c r="AE134" s="192">
        <v>94</v>
      </c>
      <c r="AF134" s="125">
        <f>ROUND(AE134*Valores!$C$2,2)</f>
        <v>2418.66</v>
      </c>
      <c r="AG134" s="125">
        <f>ROUND(IF($F$4="NO",Valores!$C$62,Valores!$C$62/2),2)</f>
        <v>3203.47</v>
      </c>
      <c r="AH134" s="125">
        <f t="shared" si="15"/>
        <v>110863.59999999999</v>
      </c>
      <c r="AI134" s="125">
        <f>Valores!$C$31</f>
        <v>0</v>
      </c>
      <c r="AJ134" s="125">
        <f>Valores!$C$86</f>
        <v>0</v>
      </c>
      <c r="AK134" s="125">
        <f>Valores!C$38*B134</f>
        <v>0</v>
      </c>
      <c r="AL134" s="125">
        <f>IF($F$3="NO",0,Valores!$C$55)</f>
        <v>170.34</v>
      </c>
      <c r="AM134" s="125">
        <f t="shared" si="13"/>
        <v>170.34</v>
      </c>
      <c r="AN134" s="125">
        <f>AH134*Valores!$C$70</f>
        <v>-12194.996</v>
      </c>
      <c r="AO134" s="125">
        <f>AH134*-Valores!$C$71</f>
        <v>0</v>
      </c>
      <c r="AP134" s="125">
        <f>AH134*Valores!$C$72</f>
        <v>-4988.861999999999</v>
      </c>
      <c r="AQ134" s="125">
        <f>Valores!$C$99</f>
        <v>-280.91</v>
      </c>
      <c r="AR134" s="125">
        <f>IF($F$5=0,Valores!$C$100,(Valores!$C$100+$F$5*(Valores!$C$100)))</f>
        <v>-329</v>
      </c>
      <c r="AS134" s="125">
        <f t="shared" si="16"/>
        <v>93240.17199999999</v>
      </c>
      <c r="AT134" s="125">
        <f aca="true" t="shared" si="18" ref="AT134:AT196">AN134</f>
        <v>-12194.996</v>
      </c>
      <c r="AU134" s="125">
        <f>AH134*Valores!$C$73</f>
        <v>-2993.3172</v>
      </c>
      <c r="AV134" s="125">
        <f>AH134*Valores!$C$74</f>
        <v>-332.5908</v>
      </c>
      <c r="AW134" s="125">
        <f t="shared" si="14"/>
        <v>95513.036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32883.45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7473.11</v>
      </c>
      <c r="N135" s="125">
        <f t="shared" si="11"/>
        <v>0</v>
      </c>
      <c r="O135" s="125">
        <f>Valores!$C$8</f>
        <v>28397.34</v>
      </c>
      <c r="P135" s="125">
        <f>Valores!$D$5</f>
        <v>13153.38</v>
      </c>
      <c r="Q135" s="125">
        <f>Valores!$C$22</f>
        <v>11734.9</v>
      </c>
      <c r="R135" s="125">
        <f>IF($F$4="NO",Valores!$C$43,Valores!$C$43/2)</f>
        <v>4697.875</v>
      </c>
      <c r="S135" s="125">
        <f>Valores!$C$19</f>
        <v>12239.42</v>
      </c>
      <c r="T135" s="125">
        <f t="shared" si="17"/>
        <v>12239.42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Valores!$C$93</f>
        <v>5760.87</v>
      </c>
      <c r="AA135" s="125">
        <f>Valores!$C$25</f>
        <v>537.98</v>
      </c>
      <c r="AB135" s="214">
        <v>0</v>
      </c>
      <c r="AC135" s="125">
        <f t="shared" si="12"/>
        <v>0</v>
      </c>
      <c r="AD135" s="125">
        <f>Valores!$C$26</f>
        <v>537.98</v>
      </c>
      <c r="AE135" s="192">
        <v>0</v>
      </c>
      <c r="AF135" s="125">
        <f>ROUND(AE135*Valores!$C$2,2)</f>
        <v>0</v>
      </c>
      <c r="AG135" s="125">
        <f>ROUND(IF($F$4="NO",Valores!$C$62,Valores!$C$62/2),2)</f>
        <v>3203.47</v>
      </c>
      <c r="AH135" s="125">
        <f t="shared" si="15"/>
        <v>120619.77499999998</v>
      </c>
      <c r="AI135" s="125">
        <f>Valores!$C$31</f>
        <v>0</v>
      </c>
      <c r="AJ135" s="125">
        <f>Valores!$C$86</f>
        <v>0</v>
      </c>
      <c r="AK135" s="125">
        <f>Valores!C$38*B135</f>
        <v>0</v>
      </c>
      <c r="AL135" s="125">
        <f>IF($F$3="NO",0,Valores!$C$55)</f>
        <v>170.34</v>
      </c>
      <c r="AM135" s="125">
        <f t="shared" si="13"/>
        <v>170.34</v>
      </c>
      <c r="AN135" s="125">
        <f>AH135*Valores!$C$70</f>
        <v>-13268.175249999998</v>
      </c>
      <c r="AO135" s="125">
        <f>AH135*-Valores!$C$71</f>
        <v>0</v>
      </c>
      <c r="AP135" s="125">
        <f>AH135*Valores!$C$72</f>
        <v>-5427.889874999999</v>
      </c>
      <c r="AQ135" s="125">
        <f>Valores!$C$99</f>
        <v>-280.91</v>
      </c>
      <c r="AR135" s="125">
        <f>IF($F$5=0,Valores!$C$100,(Valores!$C$100+$F$5*(Valores!$C$100)))</f>
        <v>-329</v>
      </c>
      <c r="AS135" s="125">
        <f t="shared" si="16"/>
        <v>101484.13987499998</v>
      </c>
      <c r="AT135" s="125">
        <f t="shared" si="18"/>
        <v>-13268.175249999998</v>
      </c>
      <c r="AU135" s="125">
        <f>AH135*Valores!$C$73</f>
        <v>-3256.7339249999995</v>
      </c>
      <c r="AV135" s="125">
        <f>AH135*Valores!$C$74</f>
        <v>-361.85932499999996</v>
      </c>
      <c r="AW135" s="125">
        <f t="shared" si="14"/>
        <v>103903.34649999999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32883.45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7473.11</v>
      </c>
      <c r="N136" s="125">
        <f aca="true" t="shared" si="19" ref="N136:N199">ROUND(SUM(F136,H136,J136,L136,X136,R136)*$H$2,2)</f>
        <v>0</v>
      </c>
      <c r="O136" s="125">
        <f>Valores!$C$8</f>
        <v>28397.34</v>
      </c>
      <c r="P136" s="125">
        <f>Valores!$D$5</f>
        <v>13153.38</v>
      </c>
      <c r="Q136" s="125">
        <f>Valores!$C$22</f>
        <v>11734.9</v>
      </c>
      <c r="R136" s="125">
        <f>IF($F$4="NO",Valores!$C$43,Valores!$C$43/2)</f>
        <v>4697.875</v>
      </c>
      <c r="S136" s="125">
        <f>Valores!$C$19</f>
        <v>12239.42</v>
      </c>
      <c r="T136" s="125">
        <f t="shared" si="17"/>
        <v>12239.42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Valores!$C$93</f>
        <v>5760.87</v>
      </c>
      <c r="AA136" s="125">
        <f>Valores!$C$25</f>
        <v>537.98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537.98</v>
      </c>
      <c r="AE136" s="192">
        <v>0</v>
      </c>
      <c r="AF136" s="125">
        <f>ROUND(AE136*Valores!$C$2,2)</f>
        <v>0</v>
      </c>
      <c r="AG136" s="125">
        <f>ROUND(IF($F$4="NO",Valores!$C$62,Valores!$C$62/2),2)</f>
        <v>3203.47</v>
      </c>
      <c r="AH136" s="125">
        <f t="shared" si="15"/>
        <v>120619.77499999998</v>
      </c>
      <c r="AI136" s="125">
        <f>Valores!$C$31</f>
        <v>0</v>
      </c>
      <c r="AJ136" s="125">
        <f>Valores!$C$86</f>
        <v>0</v>
      </c>
      <c r="AK136" s="125">
        <f>Valores!C$38*B136</f>
        <v>0</v>
      </c>
      <c r="AL136" s="125">
        <f>IF($F$3="NO",0,Valores!$C$55)</f>
        <v>170.34</v>
      </c>
      <c r="AM136" s="125">
        <f aca="true" t="shared" si="21" ref="AM136:AM199">SUM(AI136:AL136)</f>
        <v>170.34</v>
      </c>
      <c r="AN136" s="125">
        <f>AH136*Valores!$C$70</f>
        <v>-13268.175249999998</v>
      </c>
      <c r="AO136" s="125">
        <f>AH136*-Valores!$C$71</f>
        <v>0</v>
      </c>
      <c r="AP136" s="125">
        <f>AH136*Valores!$C$72</f>
        <v>-5427.889874999999</v>
      </c>
      <c r="AQ136" s="125">
        <f>Valores!$C$99</f>
        <v>-280.91</v>
      </c>
      <c r="AR136" s="125">
        <f>IF($F$5=0,Valores!$C$100,(Valores!$C$100+$F$5*(Valores!$C$100)))</f>
        <v>-329</v>
      </c>
      <c r="AS136" s="125">
        <f t="shared" si="16"/>
        <v>101484.13987499998</v>
      </c>
      <c r="AT136" s="125">
        <f t="shared" si="18"/>
        <v>-13268.175249999998</v>
      </c>
      <c r="AU136" s="125">
        <f>AH136*Valores!$C$73</f>
        <v>-3256.7339249999995</v>
      </c>
      <c r="AV136" s="125">
        <f>AH136*Valores!$C$74</f>
        <v>-361.85932499999996</v>
      </c>
      <c r="AW136" s="125">
        <f aca="true" t="shared" si="22" ref="AW136:AW199">AH136+AM136+SUM(AT136:AV136)</f>
        <v>103903.34649999999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32883.45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7473.11</v>
      </c>
      <c r="N137" s="125">
        <f t="shared" si="19"/>
        <v>0</v>
      </c>
      <c r="O137" s="125">
        <f>Valores!$C$16</f>
        <v>22234.39</v>
      </c>
      <c r="P137" s="125">
        <f>Valores!$D$5</f>
        <v>13153.38</v>
      </c>
      <c r="Q137" s="125">
        <v>0</v>
      </c>
      <c r="R137" s="125">
        <f>IF($F$4="NO",Valores!$C$43,Valores!$C$43/2)</f>
        <v>4697.875</v>
      </c>
      <c r="S137" s="125">
        <f>Valores!$C$19</f>
        <v>12239.42</v>
      </c>
      <c r="T137" s="125">
        <f t="shared" si="17"/>
        <v>12239.42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Valores!$C$93</f>
        <v>5760.87</v>
      </c>
      <c r="AA137" s="125">
        <f>Valores!$C$25</f>
        <v>537.98</v>
      </c>
      <c r="AB137" s="214">
        <v>0</v>
      </c>
      <c r="AC137" s="125">
        <f t="shared" si="20"/>
        <v>0</v>
      </c>
      <c r="AD137" s="125">
        <f>Valores!$C$26</f>
        <v>537.98</v>
      </c>
      <c r="AE137" s="192">
        <v>0</v>
      </c>
      <c r="AF137" s="125">
        <f>ROUND(AE137*Valores!$C$2,2)</f>
        <v>0</v>
      </c>
      <c r="AG137" s="125">
        <f>ROUND(IF($F$4="NO",Valores!$C$62,Valores!$C$62/2),2)</f>
        <v>3203.47</v>
      </c>
      <c r="AH137" s="125">
        <f aca="true" t="shared" si="23" ref="AH137:AH200">SUM(F137,H137,J137,L137,M137,N137,O137,P137,Q137,R137,T137,U137,V137,X137,Y137,Z137,AA137,AC137,AD137,AF137,AG137)</f>
        <v>102721.92499999999</v>
      </c>
      <c r="AI137" s="125">
        <f>Valores!$C$31</f>
        <v>0</v>
      </c>
      <c r="AJ137" s="125">
        <f>Valores!$C$86</f>
        <v>0</v>
      </c>
      <c r="AK137" s="125">
        <f>Valores!C$38*B137</f>
        <v>0</v>
      </c>
      <c r="AL137" s="125">
        <f>IF($F$3="NO",0,Valores!$C$55)</f>
        <v>170.34</v>
      </c>
      <c r="AM137" s="125">
        <f t="shared" si="21"/>
        <v>170.34</v>
      </c>
      <c r="AN137" s="125">
        <f>AH137*Valores!$C$70</f>
        <v>-11299.41175</v>
      </c>
      <c r="AO137" s="125">
        <f>AH137*-Valores!$C$71</f>
        <v>0</v>
      </c>
      <c r="AP137" s="125">
        <f>AH137*Valores!$C$72</f>
        <v>-4622.486625</v>
      </c>
      <c r="AQ137" s="125">
        <f>Valores!$C$99</f>
        <v>-280.91</v>
      </c>
      <c r="AR137" s="125">
        <f>IF($F$5=0,Valores!$C$100,(Valores!$C$100+$F$5*(Valores!$C$100)))</f>
        <v>-329</v>
      </c>
      <c r="AS137" s="125">
        <f aca="true" t="shared" si="24" ref="AS137:AS200">AH137+SUM(AM137:AR137)</f>
        <v>86360.45662499999</v>
      </c>
      <c r="AT137" s="125">
        <f t="shared" si="18"/>
        <v>-11299.41175</v>
      </c>
      <c r="AU137" s="125">
        <f>AH137*Valores!$C$73</f>
        <v>-2773.4919749999995</v>
      </c>
      <c r="AV137" s="125">
        <f>AH137*Valores!$C$74</f>
        <v>-308.165775</v>
      </c>
      <c r="AW137" s="125">
        <f t="shared" si="22"/>
        <v>88511.19549999999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15849.93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4918.08</v>
      </c>
      <c r="N138" s="125">
        <f t="shared" si="19"/>
        <v>0</v>
      </c>
      <c r="O138" s="125">
        <f>Valores!$C$8</f>
        <v>28397.34</v>
      </c>
      <c r="P138" s="125">
        <f>Valores!$D$5</f>
        <v>13153.38</v>
      </c>
      <c r="Q138" s="125">
        <f>Valores!$C$22</f>
        <v>11734.9</v>
      </c>
      <c r="R138" s="125">
        <f>IF($F$4="NO",Valores!$C$43,Valores!$C$43/2)</f>
        <v>4697.875</v>
      </c>
      <c r="S138" s="125">
        <f>Valores!$C$19</f>
        <v>12239.42</v>
      </c>
      <c r="T138" s="125">
        <f t="shared" si="17"/>
        <v>12239.42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Valores!$C$93</f>
        <v>5760.87</v>
      </c>
      <c r="AA138" s="125">
        <f>Valores!$C$25</f>
        <v>537.98</v>
      </c>
      <c r="AB138" s="214">
        <v>0</v>
      </c>
      <c r="AC138" s="125">
        <f t="shared" si="20"/>
        <v>0</v>
      </c>
      <c r="AD138" s="125">
        <f>Valores!$C$26</f>
        <v>537.98</v>
      </c>
      <c r="AE138" s="192">
        <v>0</v>
      </c>
      <c r="AF138" s="125">
        <f>ROUND(AE138*Valores!$C$2,2)</f>
        <v>0</v>
      </c>
      <c r="AG138" s="125">
        <f>ROUND(IF($F$4="NO",Valores!$C$62,Valores!$C$62/2),2)</f>
        <v>3203.47</v>
      </c>
      <c r="AH138" s="125">
        <f t="shared" si="23"/>
        <v>101031.22499999999</v>
      </c>
      <c r="AI138" s="125">
        <f>Valores!$C$31</f>
        <v>0</v>
      </c>
      <c r="AJ138" s="125">
        <f>Valores!$C$86</f>
        <v>0</v>
      </c>
      <c r="AK138" s="125">
        <f>Valores!C$38*B138</f>
        <v>0</v>
      </c>
      <c r="AL138" s="125">
        <f>IF($F$3="NO",0,Valores!$C$55)</f>
        <v>170.34</v>
      </c>
      <c r="AM138" s="125">
        <f t="shared" si="21"/>
        <v>170.34</v>
      </c>
      <c r="AN138" s="125">
        <f>AH138*Valores!$C$70</f>
        <v>-11113.434749999999</v>
      </c>
      <c r="AO138" s="125">
        <f>AH138*-Valores!$C$71</f>
        <v>0</v>
      </c>
      <c r="AP138" s="125">
        <f>AH138*Valores!$C$72</f>
        <v>-4546.405124999999</v>
      </c>
      <c r="AQ138" s="125">
        <f>Valores!$C$99</f>
        <v>-280.91</v>
      </c>
      <c r="AR138" s="125">
        <f>IF($F$5=0,Valores!$C$100,(Valores!$C$100+$F$5*(Valores!$C$100)))</f>
        <v>-329</v>
      </c>
      <c r="AS138" s="125">
        <f t="shared" si="24"/>
        <v>84931.815125</v>
      </c>
      <c r="AT138" s="125">
        <f t="shared" si="18"/>
        <v>-11113.434749999999</v>
      </c>
      <c r="AU138" s="125">
        <f>AH138*Valores!$C$73</f>
        <v>-2727.8430749999998</v>
      </c>
      <c r="AV138" s="125">
        <f>AH138*Valores!$C$74</f>
        <v>-303.09367499999996</v>
      </c>
      <c r="AW138" s="125">
        <f t="shared" si="22"/>
        <v>87057.1935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32883.45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7454.34</v>
      </c>
      <c r="N139" s="125">
        <f t="shared" si="19"/>
        <v>0</v>
      </c>
      <c r="O139" s="125">
        <f>Valores!$C$16</f>
        <v>22234.39</v>
      </c>
      <c r="P139" s="125">
        <f>Valores!$D$5</f>
        <v>13153.38</v>
      </c>
      <c r="Q139" s="125">
        <v>0</v>
      </c>
      <c r="R139" s="125">
        <f>IF($F$4="NO",Valores!$C$43,Valores!$C$43/2)</f>
        <v>4697.875</v>
      </c>
      <c r="S139" s="125">
        <f>Valores!$C$20</f>
        <v>12114.28</v>
      </c>
      <c r="T139" s="125">
        <f aca="true" t="shared" si="25" ref="T139:T202">ROUND(S139*(1+$H$2),2)</f>
        <v>12114.28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Valores!$C$93</f>
        <v>5760.87</v>
      </c>
      <c r="AA139" s="125">
        <f>Valores!$C$25</f>
        <v>537.98</v>
      </c>
      <c r="AB139" s="214">
        <v>0</v>
      </c>
      <c r="AC139" s="125">
        <f t="shared" si="20"/>
        <v>0</v>
      </c>
      <c r="AD139" s="125">
        <f>Valores!$C$26</f>
        <v>537.98</v>
      </c>
      <c r="AE139" s="192">
        <v>0</v>
      </c>
      <c r="AF139" s="125">
        <f>ROUND(AE139*Valores!$C$2,2)</f>
        <v>0</v>
      </c>
      <c r="AG139" s="125">
        <f>ROUND(IF($F$4="NO",Valores!$C$62,Valores!$C$62/2),2)</f>
        <v>3203.47</v>
      </c>
      <c r="AH139" s="125">
        <f t="shared" si="23"/>
        <v>102578.01499999998</v>
      </c>
      <c r="AI139" s="125">
        <f>Valores!$C$31</f>
        <v>0</v>
      </c>
      <c r="AJ139" s="125">
        <f>Valores!$C$86</f>
        <v>0</v>
      </c>
      <c r="AK139" s="125">
        <f>Valores!C$38*B139</f>
        <v>0</v>
      </c>
      <c r="AL139" s="125">
        <f>(IF($F$3="NO",0,Valores!$C$57))</f>
        <v>155.18</v>
      </c>
      <c r="AM139" s="125">
        <f t="shared" si="21"/>
        <v>155.18</v>
      </c>
      <c r="AN139" s="125">
        <f>AH139*Valores!$C$70</f>
        <v>-11283.581649999998</v>
      </c>
      <c r="AO139" s="125">
        <f>AH139*-Valores!$C$71</f>
        <v>0</v>
      </c>
      <c r="AP139" s="125">
        <f>AH139*Valores!$C$72</f>
        <v>-4616.0106749999995</v>
      </c>
      <c r="AQ139" s="125">
        <f>Valores!$C$99</f>
        <v>-280.91</v>
      </c>
      <c r="AR139" s="125">
        <f>IF($F$5=0,Valores!$C$100,(Valores!$C$100+$F$5*(Valores!$C$100)))</f>
        <v>-329</v>
      </c>
      <c r="AS139" s="125">
        <f t="shared" si="24"/>
        <v>86223.69267499998</v>
      </c>
      <c r="AT139" s="125">
        <f t="shared" si="18"/>
        <v>-11283.581649999998</v>
      </c>
      <c r="AU139" s="125">
        <f>AH139*Valores!$C$73</f>
        <v>-2769.6064049999995</v>
      </c>
      <c r="AV139" s="125">
        <f>AH139*Valores!$C$74</f>
        <v>-307.734045</v>
      </c>
      <c r="AW139" s="125">
        <f t="shared" si="22"/>
        <v>88372.27289999998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51023.38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10194.1</v>
      </c>
      <c r="N140" s="125">
        <f t="shared" si="19"/>
        <v>0</v>
      </c>
      <c r="O140" s="125">
        <f>Valores!$C$8</f>
        <v>28397.34</v>
      </c>
      <c r="P140" s="125">
        <f>Valores!$D$5</f>
        <v>13153.38</v>
      </c>
      <c r="Q140" s="125">
        <f>Valores!$C$22</f>
        <v>11734.9</v>
      </c>
      <c r="R140" s="125">
        <f>IF($F$4="NO",Valores!$C$43,Valores!$C$43/2)</f>
        <v>4697.875</v>
      </c>
      <c r="S140" s="125">
        <f>Valores!$C$19</f>
        <v>12239.42</v>
      </c>
      <c r="T140" s="125">
        <f t="shared" si="25"/>
        <v>12239.42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Valores!$C$93</f>
        <v>5760.87</v>
      </c>
      <c r="AA140" s="125">
        <f>Valores!$C$25</f>
        <v>537.98</v>
      </c>
      <c r="AB140" s="214">
        <v>0</v>
      </c>
      <c r="AC140" s="125">
        <f t="shared" si="20"/>
        <v>0</v>
      </c>
      <c r="AD140" s="125">
        <f>Valores!$C$26</f>
        <v>537.98</v>
      </c>
      <c r="AE140" s="192">
        <v>94</v>
      </c>
      <c r="AF140" s="125">
        <f>ROUND(AE140*Valores!$C$2,2)</f>
        <v>2418.66</v>
      </c>
      <c r="AG140" s="125">
        <f>ROUND(IF($F$4="NO",Valores!$C$62,Valores!$C$62/2),2)</f>
        <v>3203.47</v>
      </c>
      <c r="AH140" s="125">
        <f t="shared" si="23"/>
        <v>143899.355</v>
      </c>
      <c r="AI140" s="125">
        <f>Valores!$C$31</f>
        <v>0</v>
      </c>
      <c r="AJ140" s="125">
        <f>Valores!$C$86</f>
        <v>0</v>
      </c>
      <c r="AK140" s="125">
        <f>Valores!C$38*B140</f>
        <v>0</v>
      </c>
      <c r="AL140" s="125">
        <f>IF($F$3="NO",0,Valores!$C$55)</f>
        <v>170.34</v>
      </c>
      <c r="AM140" s="125">
        <f t="shared" si="21"/>
        <v>170.34</v>
      </c>
      <c r="AN140" s="125">
        <f>AH140*Valores!$C$70</f>
        <v>-15828.92905</v>
      </c>
      <c r="AO140" s="125">
        <f>AH140*-Valores!$C$71</f>
        <v>0</v>
      </c>
      <c r="AP140" s="125">
        <f>AH140*Valores!$C$72</f>
        <v>-6475.470975</v>
      </c>
      <c r="AQ140" s="125">
        <f>Valores!$C$99</f>
        <v>-280.91</v>
      </c>
      <c r="AR140" s="125">
        <f>IF($F$5=0,Valores!$C$100,(Valores!$C$100+$F$5*(Valores!$C$100)))</f>
        <v>-329</v>
      </c>
      <c r="AS140" s="125">
        <f t="shared" si="24"/>
        <v>121155.38497500001</v>
      </c>
      <c r="AT140" s="125">
        <f t="shared" si="18"/>
        <v>-15828.92905</v>
      </c>
      <c r="AU140" s="125">
        <f>AH140*Valores!$C$73</f>
        <v>-3885.2825850000004</v>
      </c>
      <c r="AV140" s="125">
        <f>AH140*Valores!$C$74</f>
        <v>-431.69806500000004</v>
      </c>
      <c r="AW140" s="125">
        <f t="shared" si="22"/>
        <v>123923.7853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35456.49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7840.3</v>
      </c>
      <c r="N141" s="125">
        <f t="shared" si="19"/>
        <v>0</v>
      </c>
      <c r="O141" s="125">
        <f>Valores!$C$16</f>
        <v>22234.39</v>
      </c>
      <c r="P141" s="125">
        <f>Valores!$D$5</f>
        <v>13153.38</v>
      </c>
      <c r="Q141" s="125">
        <f>Valores!$C$22</f>
        <v>11734.9</v>
      </c>
      <c r="R141" s="125">
        <f>IF($F$4="NO",Valores!$C$43,Valores!$C$43/2)</f>
        <v>4697.875</v>
      </c>
      <c r="S141" s="125">
        <f>Valores!$C$20</f>
        <v>12114.28</v>
      </c>
      <c r="T141" s="125">
        <f t="shared" si="25"/>
        <v>12114.28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Valores!$C$93</f>
        <v>5760.87</v>
      </c>
      <c r="AA141" s="125">
        <f>Valores!$C$25</f>
        <v>537.98</v>
      </c>
      <c r="AB141" s="214">
        <v>0</v>
      </c>
      <c r="AC141" s="125">
        <f t="shared" si="20"/>
        <v>0</v>
      </c>
      <c r="AD141" s="125">
        <f>Valores!$C$26</f>
        <v>537.98</v>
      </c>
      <c r="AE141" s="192">
        <v>0</v>
      </c>
      <c r="AF141" s="125">
        <f>ROUND(AE141*Valores!$C$2,2)</f>
        <v>0</v>
      </c>
      <c r="AG141" s="125">
        <f>ROUND(IF($F$4="NO",Valores!$C$62,Valores!$C$62/2),2)</f>
        <v>3203.47</v>
      </c>
      <c r="AH141" s="125">
        <f t="shared" si="23"/>
        <v>117271.91499999998</v>
      </c>
      <c r="AI141" s="125">
        <f>Valores!$C$31</f>
        <v>0</v>
      </c>
      <c r="AJ141" s="125">
        <f>Valores!$C$86</f>
        <v>0</v>
      </c>
      <c r="AK141" s="125">
        <f>Valores!C$38*B141</f>
        <v>0</v>
      </c>
      <c r="AL141" s="125">
        <f>IF($F$3="NO",0,Valores!$C$55)</f>
        <v>170.34</v>
      </c>
      <c r="AM141" s="125">
        <f t="shared" si="21"/>
        <v>170.34</v>
      </c>
      <c r="AN141" s="125">
        <f>AH141*Valores!$C$70</f>
        <v>-12899.910649999998</v>
      </c>
      <c r="AO141" s="125">
        <f>AH141*-Valores!$C$71</f>
        <v>0</v>
      </c>
      <c r="AP141" s="125">
        <f>AH141*Valores!$C$72</f>
        <v>-5277.236174999999</v>
      </c>
      <c r="AQ141" s="125">
        <f>Valores!$C$99</f>
        <v>-280.91</v>
      </c>
      <c r="AR141" s="125">
        <f>IF($F$5=0,Valores!$C$100,(Valores!$C$100+$F$5*(Valores!$C$100)))</f>
        <v>-329</v>
      </c>
      <c r="AS141" s="125">
        <f t="shared" si="24"/>
        <v>98655.19817499998</v>
      </c>
      <c r="AT141" s="125">
        <f t="shared" si="18"/>
        <v>-12899.910649999998</v>
      </c>
      <c r="AU141" s="125">
        <f>AH141*Valores!$C$73</f>
        <v>-3166.3417049999994</v>
      </c>
      <c r="AV141" s="125">
        <f>AH141*Valores!$C$74</f>
        <v>-351.81574499999994</v>
      </c>
      <c r="AW141" s="125">
        <f t="shared" si="22"/>
        <v>101024.18689999997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32883.45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7473.11</v>
      </c>
      <c r="N142" s="125">
        <f t="shared" si="19"/>
        <v>0</v>
      </c>
      <c r="O142" s="125">
        <f>Valores!$C$16</f>
        <v>22234.39</v>
      </c>
      <c r="P142" s="125">
        <f>Valores!$D$5</f>
        <v>13153.38</v>
      </c>
      <c r="Q142" s="125">
        <f>Valores!$C$22</f>
        <v>11734.9</v>
      </c>
      <c r="R142" s="125">
        <f>IF($F$4="NO",Valores!$C$43,Valores!$C$43/2)</f>
        <v>4697.875</v>
      </c>
      <c r="S142" s="125">
        <f>Valores!$C$19</f>
        <v>12239.42</v>
      </c>
      <c r="T142" s="125">
        <f t="shared" si="25"/>
        <v>12239.42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Valores!$C$93</f>
        <v>5760.87</v>
      </c>
      <c r="AA142" s="125">
        <f>Valores!$C$25</f>
        <v>537.98</v>
      </c>
      <c r="AB142" s="214">
        <v>0</v>
      </c>
      <c r="AC142" s="125">
        <f t="shared" si="20"/>
        <v>0</v>
      </c>
      <c r="AD142" s="125">
        <f>Valores!$C$26</f>
        <v>537.98</v>
      </c>
      <c r="AE142" s="192">
        <v>0</v>
      </c>
      <c r="AF142" s="125">
        <f>ROUND(AE142*Valores!$C$2,2)</f>
        <v>0</v>
      </c>
      <c r="AG142" s="125">
        <f>ROUND(IF($F$4="NO",Valores!$C$62,Valores!$C$62/2),2)</f>
        <v>3203.47</v>
      </c>
      <c r="AH142" s="125">
        <f t="shared" si="23"/>
        <v>114456.82499999998</v>
      </c>
      <c r="AI142" s="125">
        <f>Valores!$C$31</f>
        <v>0</v>
      </c>
      <c r="AJ142" s="125">
        <f>Valores!$C$86</f>
        <v>0</v>
      </c>
      <c r="AK142" s="125">
        <f>Valores!C$38*B142</f>
        <v>0</v>
      </c>
      <c r="AL142" s="125">
        <f>IF($F$3="NO",0,Valores!$C$55)</f>
        <v>170.34</v>
      </c>
      <c r="AM142" s="125">
        <f t="shared" si="21"/>
        <v>170.34</v>
      </c>
      <c r="AN142" s="125">
        <f>AH142*Valores!$C$70</f>
        <v>-12590.250749999997</v>
      </c>
      <c r="AO142" s="125">
        <f>AH142*-Valores!$C$71</f>
        <v>0</v>
      </c>
      <c r="AP142" s="125">
        <f>AH142*Valores!$C$72</f>
        <v>-5150.557124999999</v>
      </c>
      <c r="AQ142" s="125">
        <f>Valores!$C$99</f>
        <v>-280.91</v>
      </c>
      <c r="AR142" s="125">
        <f>IF($F$5=0,Valores!$C$100,(Valores!$C$100+$F$5*(Valores!$C$100)))</f>
        <v>-329</v>
      </c>
      <c r="AS142" s="125">
        <f t="shared" si="24"/>
        <v>96276.44712499999</v>
      </c>
      <c r="AT142" s="125">
        <f t="shared" si="18"/>
        <v>-12590.250749999997</v>
      </c>
      <c r="AU142" s="125">
        <f>AH142*Valores!$C$73</f>
        <v>-3090.3342749999997</v>
      </c>
      <c r="AV142" s="125">
        <f>AH142*Valores!$C$74</f>
        <v>-343.37047499999994</v>
      </c>
      <c r="AW142" s="125">
        <f t="shared" si="22"/>
        <v>98603.20949999998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32883.45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7473.11</v>
      </c>
      <c r="N143" s="125">
        <f t="shared" si="19"/>
        <v>0</v>
      </c>
      <c r="O143" s="125">
        <f>Valores!$C$16</f>
        <v>22234.39</v>
      </c>
      <c r="P143" s="125">
        <f>Valores!$D$5</f>
        <v>13153.38</v>
      </c>
      <c r="Q143" s="125">
        <f>Valores!$C$22</f>
        <v>11734.9</v>
      </c>
      <c r="R143" s="125">
        <f>IF($F$4="NO",Valores!$C$43,Valores!$C$43/2)</f>
        <v>4697.875</v>
      </c>
      <c r="S143" s="125">
        <f>Valores!$C$19</f>
        <v>12239.42</v>
      </c>
      <c r="T143" s="125">
        <f t="shared" si="25"/>
        <v>12239.42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Valores!$C$93</f>
        <v>5760.87</v>
      </c>
      <c r="AA143" s="125">
        <f>Valores!$C$25</f>
        <v>537.98</v>
      </c>
      <c r="AB143" s="214">
        <v>0</v>
      </c>
      <c r="AC143" s="125">
        <f t="shared" si="20"/>
        <v>0</v>
      </c>
      <c r="AD143" s="125">
        <f>Valores!$C$26</f>
        <v>537.98</v>
      </c>
      <c r="AE143" s="192">
        <v>0</v>
      </c>
      <c r="AF143" s="125">
        <f>ROUND(AE143*Valores!$C$2,2)</f>
        <v>0</v>
      </c>
      <c r="AG143" s="125">
        <f>ROUND(IF($F$4="NO",Valores!$C$62,Valores!$C$62/2),2)</f>
        <v>3203.47</v>
      </c>
      <c r="AH143" s="125">
        <f t="shared" si="23"/>
        <v>114456.82499999998</v>
      </c>
      <c r="AI143" s="125">
        <f>Valores!$C$31</f>
        <v>0</v>
      </c>
      <c r="AJ143" s="125">
        <f>Valores!$C$86</f>
        <v>0</v>
      </c>
      <c r="AK143" s="125">
        <f>Valores!C$38*B143</f>
        <v>0</v>
      </c>
      <c r="AL143" s="125">
        <f>IF($F$3="NO",0,Valores!$C$55)</f>
        <v>170.34</v>
      </c>
      <c r="AM143" s="125">
        <f t="shared" si="21"/>
        <v>170.34</v>
      </c>
      <c r="AN143" s="125">
        <f>AH143*Valores!$C$70</f>
        <v>-12590.250749999997</v>
      </c>
      <c r="AO143" s="125">
        <f>AH143*-Valores!$C$71</f>
        <v>0</v>
      </c>
      <c r="AP143" s="125">
        <f>AH143*Valores!$C$72</f>
        <v>-5150.557124999999</v>
      </c>
      <c r="AQ143" s="125">
        <f>Valores!$C$99</f>
        <v>-280.91</v>
      </c>
      <c r="AR143" s="125">
        <f>IF($F$5=0,Valores!$C$100,(Valores!$C$100+$F$5*(Valores!$C$100)))</f>
        <v>-329</v>
      </c>
      <c r="AS143" s="125">
        <f t="shared" si="24"/>
        <v>96276.44712499999</v>
      </c>
      <c r="AT143" s="125">
        <f t="shared" si="18"/>
        <v>-12590.250749999997</v>
      </c>
      <c r="AU143" s="125">
        <f>AH143*Valores!$C$73</f>
        <v>-3090.3342749999997</v>
      </c>
      <c r="AV143" s="125">
        <f>AH143*Valores!$C$74</f>
        <v>-343.37047499999994</v>
      </c>
      <c r="AW143" s="125">
        <f t="shared" si="22"/>
        <v>98603.20949999998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32883.45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7473.11</v>
      </c>
      <c r="N144" s="125">
        <f t="shared" si="19"/>
        <v>0</v>
      </c>
      <c r="O144" s="125">
        <f>Valores!$C$16</f>
        <v>22234.39</v>
      </c>
      <c r="P144" s="125">
        <f>Valores!$D$5</f>
        <v>13153.38</v>
      </c>
      <c r="Q144" s="125">
        <f>Valores!$C$22</f>
        <v>11734.9</v>
      </c>
      <c r="R144" s="125">
        <f>IF($F$4="NO",Valores!$C$43,Valores!$C$43/2)</f>
        <v>4697.875</v>
      </c>
      <c r="S144" s="125">
        <f>Valores!$C$19</f>
        <v>12239.42</v>
      </c>
      <c r="T144" s="125">
        <f t="shared" si="25"/>
        <v>12239.42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Valores!$C$93</f>
        <v>5760.87</v>
      </c>
      <c r="AA144" s="125">
        <f>Valores!$C$25</f>
        <v>537.98</v>
      </c>
      <c r="AB144" s="214">
        <v>0</v>
      </c>
      <c r="AC144" s="125">
        <f t="shared" si="20"/>
        <v>0</v>
      </c>
      <c r="AD144" s="125">
        <f>Valores!$C$26</f>
        <v>537.98</v>
      </c>
      <c r="AE144" s="192">
        <v>0</v>
      </c>
      <c r="AF144" s="125">
        <f>ROUND(AE144*Valores!$C$2,2)</f>
        <v>0</v>
      </c>
      <c r="AG144" s="125">
        <f>ROUND(IF($F$4="NO",Valores!$C$62,Valores!$C$62/2),2)</f>
        <v>3203.47</v>
      </c>
      <c r="AH144" s="125">
        <f t="shared" si="23"/>
        <v>114456.82499999998</v>
      </c>
      <c r="AI144" s="125">
        <f>Valores!$C$31</f>
        <v>0</v>
      </c>
      <c r="AJ144" s="125">
        <f>Valores!$C$86</f>
        <v>0</v>
      </c>
      <c r="AK144" s="125">
        <f>Valores!C$38*B144</f>
        <v>0</v>
      </c>
      <c r="AL144" s="125">
        <f>IF($F$3="NO",0,Valores!$C$55)</f>
        <v>170.34</v>
      </c>
      <c r="AM144" s="125">
        <f t="shared" si="21"/>
        <v>170.34</v>
      </c>
      <c r="AN144" s="125">
        <f>AH144*Valores!$C$70</f>
        <v>-12590.250749999997</v>
      </c>
      <c r="AO144" s="125">
        <f>AH144*-Valores!$C$71</f>
        <v>0</v>
      </c>
      <c r="AP144" s="125">
        <f>AH144*Valores!$C$72</f>
        <v>-5150.557124999999</v>
      </c>
      <c r="AQ144" s="125">
        <f>Valores!$C$99</f>
        <v>-280.91</v>
      </c>
      <c r="AR144" s="125">
        <f>IF($F$5=0,Valores!$C$100,(Valores!$C$100+$F$5*(Valores!$C$100)))</f>
        <v>-329</v>
      </c>
      <c r="AS144" s="125">
        <f t="shared" si="24"/>
        <v>96276.44712499999</v>
      </c>
      <c r="AT144" s="125">
        <f t="shared" si="18"/>
        <v>-12590.250749999997</v>
      </c>
      <c r="AU144" s="125">
        <f>AH144*Valores!$C$73</f>
        <v>-3090.3342749999997</v>
      </c>
      <c r="AV144" s="125">
        <f>AH144*Valores!$C$74</f>
        <v>-343.37047499999994</v>
      </c>
      <c r="AW144" s="125">
        <f t="shared" si="22"/>
        <v>98603.20949999998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32883.45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7473.11</v>
      </c>
      <c r="N145" s="125">
        <f t="shared" si="19"/>
        <v>0</v>
      </c>
      <c r="O145" s="125">
        <f>Valores!$C$16</f>
        <v>22234.39</v>
      </c>
      <c r="P145" s="125">
        <f>Valores!$D$5</f>
        <v>13153.38</v>
      </c>
      <c r="Q145" s="125">
        <f>Valores!$C$22</f>
        <v>11734.9</v>
      </c>
      <c r="R145" s="125">
        <f>IF($F$4="NO",Valores!$C$43,Valores!$C$43/2)</f>
        <v>4697.875</v>
      </c>
      <c r="S145" s="125">
        <f>Valores!$C$19</f>
        <v>12239.42</v>
      </c>
      <c r="T145" s="125">
        <f t="shared" si="25"/>
        <v>12239.42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Valores!$C$93</f>
        <v>5760.87</v>
      </c>
      <c r="AA145" s="125">
        <f>Valores!$C$25</f>
        <v>537.98</v>
      </c>
      <c r="AB145" s="214">
        <v>0</v>
      </c>
      <c r="AC145" s="125">
        <f t="shared" si="20"/>
        <v>0</v>
      </c>
      <c r="AD145" s="125">
        <f>Valores!$C$26</f>
        <v>537.98</v>
      </c>
      <c r="AE145" s="192">
        <v>94</v>
      </c>
      <c r="AF145" s="125">
        <f>ROUND(AE145*Valores!$C$2,2)</f>
        <v>2418.66</v>
      </c>
      <c r="AG145" s="125">
        <f>ROUND(IF($F$4="NO",Valores!$C$62,Valores!$C$62/2),2)</f>
        <v>3203.47</v>
      </c>
      <c r="AH145" s="125">
        <f t="shared" si="23"/>
        <v>116875.48499999999</v>
      </c>
      <c r="AI145" s="125">
        <f>Valores!$C$31</f>
        <v>0</v>
      </c>
      <c r="AJ145" s="125">
        <f>Valores!$C$86</f>
        <v>0</v>
      </c>
      <c r="AK145" s="125">
        <f>Valores!C$38*B145</f>
        <v>0</v>
      </c>
      <c r="AL145" s="125">
        <f>IF($F$3="NO",0,Valores!$C$55)</f>
        <v>170.34</v>
      </c>
      <c r="AM145" s="125">
        <f t="shared" si="21"/>
        <v>170.34</v>
      </c>
      <c r="AN145" s="125">
        <f>AH145*Valores!$C$70</f>
        <v>-12856.303349999998</v>
      </c>
      <c r="AO145" s="125">
        <f>AH145*-Valores!$C$71</f>
        <v>0</v>
      </c>
      <c r="AP145" s="125">
        <f>AH145*Valores!$C$72</f>
        <v>-5259.396824999999</v>
      </c>
      <c r="AQ145" s="125">
        <f>Valores!$C$99</f>
        <v>-280.91</v>
      </c>
      <c r="AR145" s="125">
        <f>IF($F$5=0,Valores!$C$100,(Valores!$C$100+$F$5*(Valores!$C$100)))</f>
        <v>-329</v>
      </c>
      <c r="AS145" s="125">
        <f t="shared" si="24"/>
        <v>98320.21482499999</v>
      </c>
      <c r="AT145" s="125">
        <f t="shared" si="18"/>
        <v>-12856.303349999998</v>
      </c>
      <c r="AU145" s="125">
        <f>AH145*Valores!$C$73</f>
        <v>-3155.638095</v>
      </c>
      <c r="AV145" s="125">
        <f>AH145*Valores!$C$74</f>
        <v>-350.62645499999996</v>
      </c>
      <c r="AW145" s="125">
        <f t="shared" si="22"/>
        <v>100683.25709999999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32883.45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7473.11</v>
      </c>
      <c r="N146" s="125">
        <f t="shared" si="19"/>
        <v>0</v>
      </c>
      <c r="O146" s="125">
        <f>Valores!$C$16</f>
        <v>22234.39</v>
      </c>
      <c r="P146" s="125">
        <f>Valores!$D$5</f>
        <v>13153.38</v>
      </c>
      <c r="Q146" s="125">
        <f>Valores!$C$22</f>
        <v>11734.9</v>
      </c>
      <c r="R146" s="125">
        <f>IF($F$4="NO",Valores!$C$43,Valores!$C$43/2)</f>
        <v>4697.875</v>
      </c>
      <c r="S146" s="125">
        <f>Valores!$C$19</f>
        <v>12239.42</v>
      </c>
      <c r="T146" s="125">
        <f t="shared" si="25"/>
        <v>12239.42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Valores!$C$93</f>
        <v>5760.87</v>
      </c>
      <c r="AA146" s="125">
        <f>Valores!$C$25</f>
        <v>537.98</v>
      </c>
      <c r="AB146" s="214">
        <v>0</v>
      </c>
      <c r="AC146" s="125">
        <f t="shared" si="20"/>
        <v>0</v>
      </c>
      <c r="AD146" s="125">
        <f>Valores!$C$26</f>
        <v>537.98</v>
      </c>
      <c r="AE146" s="192">
        <v>0</v>
      </c>
      <c r="AF146" s="125">
        <f>ROUND(AE146*Valores!$C$2,2)</f>
        <v>0</v>
      </c>
      <c r="AG146" s="125">
        <f>ROUND(IF($F$4="NO",Valores!$C$62,Valores!$C$62/2),2)</f>
        <v>3203.47</v>
      </c>
      <c r="AH146" s="125">
        <f t="shared" si="23"/>
        <v>114456.82499999998</v>
      </c>
      <c r="AI146" s="125">
        <f>Valores!$C$31</f>
        <v>0</v>
      </c>
      <c r="AJ146" s="125">
        <f>Valores!$C$86</f>
        <v>0</v>
      </c>
      <c r="AK146" s="125">
        <f>Valores!C$38*B146</f>
        <v>0</v>
      </c>
      <c r="AL146" s="125">
        <f>IF($F$3="NO",0,Valores!$C$55)</f>
        <v>170.34</v>
      </c>
      <c r="AM146" s="125">
        <f t="shared" si="21"/>
        <v>170.34</v>
      </c>
      <c r="AN146" s="125">
        <f>AH146*Valores!$C$70</f>
        <v>-12590.250749999997</v>
      </c>
      <c r="AO146" s="125">
        <f>AH146*-Valores!$C$71</f>
        <v>0</v>
      </c>
      <c r="AP146" s="125">
        <f>AH146*Valores!$C$72</f>
        <v>-5150.557124999999</v>
      </c>
      <c r="AQ146" s="125">
        <f>Valores!$C$99</f>
        <v>-280.91</v>
      </c>
      <c r="AR146" s="125">
        <f>IF($F$5=0,Valores!$C$100,(Valores!$C$100+$F$5*(Valores!$C$100)))</f>
        <v>-329</v>
      </c>
      <c r="AS146" s="125">
        <f t="shared" si="24"/>
        <v>96276.44712499999</v>
      </c>
      <c r="AT146" s="125">
        <f t="shared" si="18"/>
        <v>-12590.250749999997</v>
      </c>
      <c r="AU146" s="125">
        <f>AH146*Valores!$C$73</f>
        <v>-3090.3342749999997</v>
      </c>
      <c r="AV146" s="125">
        <f>AH146*Valores!$C$74</f>
        <v>-343.37047499999994</v>
      </c>
      <c r="AW146" s="125">
        <f t="shared" si="22"/>
        <v>98603.20949999998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32883.45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7454.34</v>
      </c>
      <c r="N147" s="125">
        <f t="shared" si="19"/>
        <v>0</v>
      </c>
      <c r="O147" s="125">
        <f>Valores!$C$16</f>
        <v>22234.39</v>
      </c>
      <c r="P147" s="125">
        <f>Valores!$D$5</f>
        <v>13153.38</v>
      </c>
      <c r="Q147" s="125">
        <v>0</v>
      </c>
      <c r="R147" s="125">
        <f>IF($F$4="NO",Valores!$C$43,Valores!$C$43/2)</f>
        <v>4697.875</v>
      </c>
      <c r="S147" s="125">
        <f>Valores!$C$20</f>
        <v>12114.28</v>
      </c>
      <c r="T147" s="125">
        <f t="shared" si="25"/>
        <v>12114.28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Valores!$C$93</f>
        <v>5760.87</v>
      </c>
      <c r="AA147" s="125">
        <f>Valores!$C$25</f>
        <v>537.98</v>
      </c>
      <c r="AB147" s="214">
        <v>0</v>
      </c>
      <c r="AC147" s="125">
        <f t="shared" si="20"/>
        <v>0</v>
      </c>
      <c r="AD147" s="125">
        <f>Valores!$C$26</f>
        <v>537.98</v>
      </c>
      <c r="AE147" s="192">
        <v>0</v>
      </c>
      <c r="AF147" s="125">
        <f>ROUND(AE147*Valores!$C$2,2)</f>
        <v>0</v>
      </c>
      <c r="AG147" s="125">
        <f>ROUND(IF($F$4="NO",Valores!$C$62,Valores!$C$62/2),2)</f>
        <v>3203.47</v>
      </c>
      <c r="AH147" s="125">
        <f t="shared" si="23"/>
        <v>102578.01499999998</v>
      </c>
      <c r="AI147" s="125">
        <f>Valores!$C$31</f>
        <v>0</v>
      </c>
      <c r="AJ147" s="125">
        <f>Valores!$C$86</f>
        <v>0</v>
      </c>
      <c r="AK147" s="125">
        <f>Valores!C$38*B147</f>
        <v>0</v>
      </c>
      <c r="AL147" s="125">
        <f>IF($F$3="NO",0,Valores!$C$55)</f>
        <v>170.34</v>
      </c>
      <c r="AM147" s="125">
        <f t="shared" si="21"/>
        <v>170.34</v>
      </c>
      <c r="AN147" s="125">
        <f>AH147*Valores!$C$70</f>
        <v>-11283.581649999998</v>
      </c>
      <c r="AO147" s="125">
        <f>AH147*-Valores!$C$71</f>
        <v>0</v>
      </c>
      <c r="AP147" s="125">
        <f>AH147*Valores!$C$72</f>
        <v>-4616.0106749999995</v>
      </c>
      <c r="AQ147" s="125">
        <f>Valores!$C$99</f>
        <v>-280.91</v>
      </c>
      <c r="AR147" s="125">
        <f>IF($F$5=0,Valores!$C$100,(Valores!$C$100+$F$5*(Valores!$C$100)))</f>
        <v>-329</v>
      </c>
      <c r="AS147" s="125">
        <f t="shared" si="24"/>
        <v>86238.85267499999</v>
      </c>
      <c r="AT147" s="125">
        <f t="shared" si="18"/>
        <v>-11283.581649999998</v>
      </c>
      <c r="AU147" s="125">
        <f>AH147*Valores!$C$73</f>
        <v>-2769.6064049999995</v>
      </c>
      <c r="AV147" s="125">
        <f>AH147*Valores!$C$74</f>
        <v>-307.734045</v>
      </c>
      <c r="AW147" s="125">
        <f t="shared" si="22"/>
        <v>88387.43289999999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32883.45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7454.34</v>
      </c>
      <c r="N148" s="125">
        <f t="shared" si="19"/>
        <v>0</v>
      </c>
      <c r="O148" s="125">
        <f>Valores!$C$16</f>
        <v>22234.39</v>
      </c>
      <c r="P148" s="125">
        <f>Valores!$D$5</f>
        <v>13153.38</v>
      </c>
      <c r="Q148" s="125">
        <v>0</v>
      </c>
      <c r="R148" s="125">
        <f>IF($F$4="NO",Valores!$C$43,Valores!$C$43/2)</f>
        <v>4697.875</v>
      </c>
      <c r="S148" s="125">
        <f>Valores!$C$20</f>
        <v>12114.28</v>
      </c>
      <c r="T148" s="125">
        <f t="shared" si="25"/>
        <v>12114.28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Valores!$C$93</f>
        <v>5760.87</v>
      </c>
      <c r="AA148" s="125">
        <f>Valores!$C$25</f>
        <v>537.98</v>
      </c>
      <c r="AB148" s="214">
        <v>0</v>
      </c>
      <c r="AC148" s="125">
        <f t="shared" si="20"/>
        <v>0</v>
      </c>
      <c r="AD148" s="125">
        <f>Valores!$C$26</f>
        <v>537.98</v>
      </c>
      <c r="AE148" s="192">
        <v>0</v>
      </c>
      <c r="AF148" s="125">
        <f>ROUND(AE148*Valores!$C$2,2)</f>
        <v>0</v>
      </c>
      <c r="AG148" s="125">
        <f>ROUND(IF($F$4="NO",Valores!$C$62,Valores!$C$62/2),2)</f>
        <v>3203.47</v>
      </c>
      <c r="AH148" s="125">
        <f t="shared" si="23"/>
        <v>102578.01499999998</v>
      </c>
      <c r="AI148" s="125">
        <f>Valores!$C$31</f>
        <v>0</v>
      </c>
      <c r="AJ148" s="125">
        <f>Valores!$C$86</f>
        <v>0</v>
      </c>
      <c r="AK148" s="125">
        <f>Valores!C$38*B148</f>
        <v>0</v>
      </c>
      <c r="AL148" s="125">
        <f>IF($F$3="NO",0,Valores!$C$55)</f>
        <v>170.34</v>
      </c>
      <c r="AM148" s="125">
        <f t="shared" si="21"/>
        <v>170.34</v>
      </c>
      <c r="AN148" s="125">
        <f>AH148*Valores!$C$70</f>
        <v>-11283.581649999998</v>
      </c>
      <c r="AO148" s="125">
        <f>AH148*-Valores!$C$71</f>
        <v>0</v>
      </c>
      <c r="AP148" s="125">
        <f>AH148*Valores!$C$72</f>
        <v>-4616.0106749999995</v>
      </c>
      <c r="AQ148" s="125">
        <f>Valores!$C$99</f>
        <v>-280.91</v>
      </c>
      <c r="AR148" s="125">
        <f>IF($F$5=0,Valores!$C$100,(Valores!$C$100+$F$5*(Valores!$C$100)))</f>
        <v>-329</v>
      </c>
      <c r="AS148" s="125">
        <f t="shared" si="24"/>
        <v>86238.85267499999</v>
      </c>
      <c r="AT148" s="125">
        <f t="shared" si="18"/>
        <v>-11283.581649999998</v>
      </c>
      <c r="AU148" s="125">
        <f>AH148*Valores!$C$73</f>
        <v>-2769.6064049999995</v>
      </c>
      <c r="AV148" s="125">
        <f>AH148*Valores!$C$74</f>
        <v>-307.734045</v>
      </c>
      <c r="AW148" s="125">
        <f t="shared" si="22"/>
        <v>88387.43289999999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27274.22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6631.73</v>
      </c>
      <c r="N149" s="125">
        <f t="shared" si="19"/>
        <v>0</v>
      </c>
      <c r="O149" s="125">
        <f>Valores!$C$16</f>
        <v>22234.39</v>
      </c>
      <c r="P149" s="125">
        <f>Valores!$D$5</f>
        <v>13153.38</v>
      </c>
      <c r="Q149" s="125">
        <f>Valores!$C$22</f>
        <v>11734.9</v>
      </c>
      <c r="R149" s="125">
        <f>IF($F$4="NO",Valores!$C$43,Valores!$C$43/2)</f>
        <v>4697.875</v>
      </c>
      <c r="S149" s="125">
        <f>Valores!$C$19</f>
        <v>12239.42</v>
      </c>
      <c r="T149" s="125">
        <f t="shared" si="25"/>
        <v>12239.42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Valores!$C$93</f>
        <v>5760.87</v>
      </c>
      <c r="AA149" s="125">
        <f>Valores!$C$25</f>
        <v>537.98</v>
      </c>
      <c r="AB149" s="214">
        <v>0</v>
      </c>
      <c r="AC149" s="125">
        <f t="shared" si="20"/>
        <v>0</v>
      </c>
      <c r="AD149" s="125">
        <f>Valores!$C$26</f>
        <v>537.98</v>
      </c>
      <c r="AE149" s="192">
        <v>0</v>
      </c>
      <c r="AF149" s="125">
        <f>ROUND(AE149*Valores!$C$2,2)</f>
        <v>0</v>
      </c>
      <c r="AG149" s="125">
        <f>ROUND(IF($F$4="NO",Valores!$C$62,Valores!$C$62/2),2)</f>
        <v>3203.47</v>
      </c>
      <c r="AH149" s="125">
        <f t="shared" si="23"/>
        <v>108006.21499999998</v>
      </c>
      <c r="AI149" s="125">
        <f>Valores!$C$31</f>
        <v>0</v>
      </c>
      <c r="AJ149" s="125">
        <f>Valores!$C$86</f>
        <v>0</v>
      </c>
      <c r="AK149" s="125">
        <f>Valores!C$38*B149</f>
        <v>0</v>
      </c>
      <c r="AL149" s="125">
        <f>IF($F$3="NO",0,Valores!$C$55)</f>
        <v>170.34</v>
      </c>
      <c r="AM149" s="125">
        <f t="shared" si="21"/>
        <v>170.34</v>
      </c>
      <c r="AN149" s="125">
        <f>AH149*Valores!$C$70</f>
        <v>-11880.683649999997</v>
      </c>
      <c r="AO149" s="125">
        <f>AH149*-Valores!$C$71</f>
        <v>0</v>
      </c>
      <c r="AP149" s="125">
        <f>AH149*Valores!$C$72</f>
        <v>-4860.279674999999</v>
      </c>
      <c r="AQ149" s="125">
        <f>Valores!$C$99</f>
        <v>-280.91</v>
      </c>
      <c r="AR149" s="125">
        <f>IF($F$5=0,Valores!$C$100,(Valores!$C$100+$F$5*(Valores!$C$100)))</f>
        <v>-329</v>
      </c>
      <c r="AS149" s="125">
        <f t="shared" si="24"/>
        <v>90825.68167499999</v>
      </c>
      <c r="AT149" s="125">
        <f t="shared" si="18"/>
        <v>-11880.683649999997</v>
      </c>
      <c r="AU149" s="125">
        <f>AH149*Valores!$C$73</f>
        <v>-2916.1678049999996</v>
      </c>
      <c r="AV149" s="125">
        <f>AH149*Valores!$C$74</f>
        <v>-324.01864499999994</v>
      </c>
      <c r="AW149" s="125">
        <f t="shared" si="22"/>
        <v>93055.68489999998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32883.45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7454.34</v>
      </c>
      <c r="N150" s="125">
        <f t="shared" si="19"/>
        <v>0</v>
      </c>
      <c r="O150" s="125">
        <f>Valores!$C$16</f>
        <v>22234.39</v>
      </c>
      <c r="P150" s="125">
        <f>Valores!$D$5</f>
        <v>13153.38</v>
      </c>
      <c r="Q150" s="125">
        <f>Valores!$C$22</f>
        <v>11734.9</v>
      </c>
      <c r="R150" s="125">
        <f>IF($F$4="NO",Valores!$C$43,Valores!$C$43/2)</f>
        <v>4697.875</v>
      </c>
      <c r="S150" s="125">
        <f>Valores!$C$20</f>
        <v>12114.28</v>
      </c>
      <c r="T150" s="125">
        <f t="shared" si="25"/>
        <v>12114.28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Valores!$C$93</f>
        <v>5760.87</v>
      </c>
      <c r="AA150" s="125">
        <f>Valores!$C$25</f>
        <v>537.98</v>
      </c>
      <c r="AB150" s="214">
        <v>0</v>
      </c>
      <c r="AC150" s="125">
        <f t="shared" si="20"/>
        <v>0</v>
      </c>
      <c r="AD150" s="125">
        <f>Valores!$C$26</f>
        <v>537.98</v>
      </c>
      <c r="AE150" s="192">
        <v>0</v>
      </c>
      <c r="AF150" s="125">
        <f>ROUND(AE150*Valores!$C$2,2)</f>
        <v>0</v>
      </c>
      <c r="AG150" s="125">
        <f>ROUND(IF($F$4="NO",Valores!$C$62,Valores!$C$62/2),2)</f>
        <v>3203.47</v>
      </c>
      <c r="AH150" s="125">
        <f t="shared" si="23"/>
        <v>114312.91499999998</v>
      </c>
      <c r="AI150" s="125">
        <f>Valores!$C$31</f>
        <v>0</v>
      </c>
      <c r="AJ150" s="125">
        <f>Valores!$C$86</f>
        <v>0</v>
      </c>
      <c r="AK150" s="125">
        <f>Valores!C$38*B150</f>
        <v>0</v>
      </c>
      <c r="AL150" s="125">
        <f>IF($F$3="NO",0,Valores!$C$55)</f>
        <v>170.34</v>
      </c>
      <c r="AM150" s="125">
        <f t="shared" si="21"/>
        <v>170.34</v>
      </c>
      <c r="AN150" s="125">
        <f>AH150*Valores!$C$70</f>
        <v>-12574.420649999998</v>
      </c>
      <c r="AO150" s="125">
        <f>AH150*-Valores!$C$71</f>
        <v>0</v>
      </c>
      <c r="AP150" s="125">
        <f>AH150*Valores!$C$72</f>
        <v>-5144.081174999998</v>
      </c>
      <c r="AQ150" s="125">
        <f>Valores!$C$99</f>
        <v>-280.91</v>
      </c>
      <c r="AR150" s="125">
        <f>IF($F$5=0,Valores!$C$100,(Valores!$C$100+$F$5*(Valores!$C$100)))</f>
        <v>-329</v>
      </c>
      <c r="AS150" s="125">
        <f t="shared" si="24"/>
        <v>96154.84317499999</v>
      </c>
      <c r="AT150" s="125">
        <f t="shared" si="18"/>
        <v>-12574.420649999998</v>
      </c>
      <c r="AU150" s="125">
        <f>AH150*Valores!$C$73</f>
        <v>-3086.4487049999993</v>
      </c>
      <c r="AV150" s="125">
        <f>AH150*Valores!$C$74</f>
        <v>-342.9387449999999</v>
      </c>
      <c r="AW150" s="125">
        <f t="shared" si="22"/>
        <v>98479.44689999998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32883.45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7473.11</v>
      </c>
      <c r="N151" s="125">
        <f t="shared" si="19"/>
        <v>0</v>
      </c>
      <c r="O151" s="125">
        <f>Valores!$C$16</f>
        <v>22234.39</v>
      </c>
      <c r="P151" s="125">
        <f>Valores!$D$5</f>
        <v>13153.38</v>
      </c>
      <c r="Q151" s="125">
        <f>Valores!$C$22</f>
        <v>11734.9</v>
      </c>
      <c r="R151" s="125">
        <f>IF($F$4="NO",Valores!$C$43,Valores!$C$43/2)</f>
        <v>4697.875</v>
      </c>
      <c r="S151" s="125">
        <f>Valores!$C$19</f>
        <v>12239.42</v>
      </c>
      <c r="T151" s="125">
        <f t="shared" si="25"/>
        <v>12239.42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Valores!$C$93</f>
        <v>5760.87</v>
      </c>
      <c r="AA151" s="125">
        <f>Valores!$C$25</f>
        <v>537.98</v>
      </c>
      <c r="AB151" s="214">
        <v>0</v>
      </c>
      <c r="AC151" s="125">
        <f t="shared" si="20"/>
        <v>0</v>
      </c>
      <c r="AD151" s="125">
        <f>Valores!$C$26</f>
        <v>537.98</v>
      </c>
      <c r="AE151" s="192">
        <v>0</v>
      </c>
      <c r="AF151" s="125">
        <f>ROUND(AE151*Valores!$C$2,2)</f>
        <v>0</v>
      </c>
      <c r="AG151" s="125">
        <f>ROUND(IF($F$4="NO",Valores!$C$62,Valores!$C$62/2),2)</f>
        <v>3203.47</v>
      </c>
      <c r="AH151" s="125">
        <f t="shared" si="23"/>
        <v>114456.82499999998</v>
      </c>
      <c r="AI151" s="125">
        <f>Valores!$C$31</f>
        <v>0</v>
      </c>
      <c r="AJ151" s="125">
        <f>Valores!$C$86</f>
        <v>0</v>
      </c>
      <c r="AK151" s="125">
        <f>Valores!C$38*B151</f>
        <v>0</v>
      </c>
      <c r="AL151" s="125">
        <f>IF($F$3="NO",0,Valores!$C$55)</f>
        <v>170.34</v>
      </c>
      <c r="AM151" s="125">
        <f t="shared" si="21"/>
        <v>170.34</v>
      </c>
      <c r="AN151" s="125">
        <f>AH151*Valores!$C$70</f>
        <v>-12590.250749999997</v>
      </c>
      <c r="AO151" s="125">
        <f>AH151*-Valores!$C$71</f>
        <v>0</v>
      </c>
      <c r="AP151" s="125">
        <f>AH151*Valores!$C$72</f>
        <v>-5150.557124999999</v>
      </c>
      <c r="AQ151" s="125">
        <f>Valores!$C$99</f>
        <v>-280.91</v>
      </c>
      <c r="AR151" s="125">
        <f>IF($F$5=0,Valores!$C$100,(Valores!$C$100+$F$5*(Valores!$C$100)))</f>
        <v>-329</v>
      </c>
      <c r="AS151" s="125">
        <f t="shared" si="24"/>
        <v>96276.44712499999</v>
      </c>
      <c r="AT151" s="125">
        <f t="shared" si="18"/>
        <v>-12590.250749999997</v>
      </c>
      <c r="AU151" s="125">
        <f>AH151*Valores!$C$73</f>
        <v>-3090.3342749999997</v>
      </c>
      <c r="AV151" s="125">
        <f>AH151*Valores!$C$74</f>
        <v>-343.37047499999994</v>
      </c>
      <c r="AW151" s="125">
        <f t="shared" si="22"/>
        <v>98603.20949999998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27402.88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6612.41</v>
      </c>
      <c r="N152" s="125">
        <f t="shared" si="19"/>
        <v>0</v>
      </c>
      <c r="O152" s="125">
        <f>Valores!$C$16</f>
        <v>22234.39</v>
      </c>
      <c r="P152" s="125">
        <f>Valores!$D$5</f>
        <v>13153.38</v>
      </c>
      <c r="Q152" s="125">
        <f>Valores!$C$23</f>
        <v>10922.07</v>
      </c>
      <c r="R152" s="125">
        <f>IF($F$4="NO",Valores!$C$42,Valores!$C$42/2)</f>
        <v>4440.46</v>
      </c>
      <c r="S152" s="125">
        <f>Valores!$C$19</f>
        <v>12239.42</v>
      </c>
      <c r="T152" s="125">
        <f t="shared" si="25"/>
        <v>12239.42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Valores!$C$93</f>
        <v>5760.87</v>
      </c>
      <c r="AA152" s="125">
        <f>Valores!$C$25</f>
        <v>537.98</v>
      </c>
      <c r="AB152" s="214">
        <v>0</v>
      </c>
      <c r="AC152" s="125">
        <f t="shared" si="20"/>
        <v>0</v>
      </c>
      <c r="AD152" s="125">
        <f>Valores!$C$26</f>
        <v>537.98</v>
      </c>
      <c r="AE152" s="192">
        <v>0</v>
      </c>
      <c r="AF152" s="125">
        <f>ROUND(AE152*Valores!$C$2,2)</f>
        <v>0</v>
      </c>
      <c r="AG152" s="125">
        <f>ROUND(IF($F$4="NO",Valores!$C$62,Valores!$C$62/2),2)</f>
        <v>3203.47</v>
      </c>
      <c r="AH152" s="125">
        <f t="shared" si="23"/>
        <v>107045.31</v>
      </c>
      <c r="AI152" s="125">
        <f>Valores!$C$31</f>
        <v>0</v>
      </c>
      <c r="AJ152" s="125">
        <f>Valores!$C$86</f>
        <v>0</v>
      </c>
      <c r="AK152" s="125">
        <f>Valores!C$38*B152</f>
        <v>0</v>
      </c>
      <c r="AL152" s="125">
        <f>IF($F$3="NO",0,Valores!$C$55)</f>
        <v>170.34</v>
      </c>
      <c r="AM152" s="125">
        <f t="shared" si="21"/>
        <v>170.34</v>
      </c>
      <c r="AN152" s="125">
        <f>AH152*Valores!$C$70</f>
        <v>-11774.9841</v>
      </c>
      <c r="AO152" s="125">
        <f>AH152*-Valores!$C$71</f>
        <v>0</v>
      </c>
      <c r="AP152" s="125">
        <f>AH152*Valores!$C$72</f>
        <v>-4817.03895</v>
      </c>
      <c r="AQ152" s="125">
        <f>Valores!$C$99</f>
        <v>-280.91</v>
      </c>
      <c r="AR152" s="125">
        <f>IF($F$5=0,Valores!$C$100,(Valores!$C$100+$F$5*(Valores!$C$100)))</f>
        <v>-329</v>
      </c>
      <c r="AS152" s="125">
        <f t="shared" si="24"/>
        <v>90013.71695</v>
      </c>
      <c r="AT152" s="125">
        <f t="shared" si="18"/>
        <v>-11774.9841</v>
      </c>
      <c r="AU152" s="125">
        <f>AH152*Valores!$C$73</f>
        <v>-2890.2233699999997</v>
      </c>
      <c r="AV152" s="125">
        <f>AH152*Valores!$C$74</f>
        <v>-321.13593</v>
      </c>
      <c r="AW152" s="125">
        <f t="shared" si="22"/>
        <v>92229.3066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24366.69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6156.99</v>
      </c>
      <c r="N153" s="125">
        <f t="shared" si="19"/>
        <v>0</v>
      </c>
      <c r="O153" s="125">
        <f>Valores!$C$16</f>
        <v>22234.39</v>
      </c>
      <c r="P153" s="125">
        <f>Valores!$D$5</f>
        <v>13153.38</v>
      </c>
      <c r="Q153" s="125">
        <f>Valores!$C$23</f>
        <v>10922.07</v>
      </c>
      <c r="R153" s="125">
        <f>IF($F$4="NO",Valores!$C$42,Valores!$C$42/2)</f>
        <v>4440.46</v>
      </c>
      <c r="S153" s="125">
        <f>Valores!$C$19</f>
        <v>12239.42</v>
      </c>
      <c r="T153" s="125">
        <f t="shared" si="25"/>
        <v>12239.42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Valores!$C$93</f>
        <v>5760.87</v>
      </c>
      <c r="AA153" s="125">
        <f>Valores!$C$25</f>
        <v>537.98</v>
      </c>
      <c r="AB153" s="214">
        <v>0</v>
      </c>
      <c r="AC153" s="125">
        <f t="shared" si="20"/>
        <v>0</v>
      </c>
      <c r="AD153" s="125">
        <f>Valores!$C$26</f>
        <v>537.98</v>
      </c>
      <c r="AE153" s="192">
        <v>0</v>
      </c>
      <c r="AF153" s="125">
        <f>ROUND(AE153*Valores!$C$2,2)</f>
        <v>0</v>
      </c>
      <c r="AG153" s="125">
        <f>ROUND(IF($F$4="NO",Valores!$C$62,Valores!$C$62/2),2)</f>
        <v>3203.47</v>
      </c>
      <c r="AH153" s="125">
        <f t="shared" si="23"/>
        <v>103553.69999999998</v>
      </c>
      <c r="AI153" s="125">
        <f>Valores!$C$31</f>
        <v>0</v>
      </c>
      <c r="AJ153" s="125">
        <f>Valores!$C$86</f>
        <v>0</v>
      </c>
      <c r="AK153" s="125">
        <f>Valores!C$38*B153</f>
        <v>0</v>
      </c>
      <c r="AL153" s="125">
        <f>IF($F$3="NO",0,Valores!$C$55)</f>
        <v>170.34</v>
      </c>
      <c r="AM153" s="125">
        <f t="shared" si="21"/>
        <v>170.34</v>
      </c>
      <c r="AN153" s="125">
        <f>AH153*Valores!$C$70</f>
        <v>-11390.906999999997</v>
      </c>
      <c r="AO153" s="125">
        <f>AH153*-Valores!$C$71</f>
        <v>0</v>
      </c>
      <c r="AP153" s="125">
        <f>AH153*Valores!$C$72</f>
        <v>-4659.916499999999</v>
      </c>
      <c r="AQ153" s="125">
        <f>Valores!$C$99</f>
        <v>-280.91</v>
      </c>
      <c r="AR153" s="125">
        <f>IF($F$5=0,Valores!$C$100,(Valores!$C$100+$F$5*(Valores!$C$100)))</f>
        <v>-329</v>
      </c>
      <c r="AS153" s="125">
        <f t="shared" si="24"/>
        <v>87063.30649999998</v>
      </c>
      <c r="AT153" s="125">
        <f t="shared" si="18"/>
        <v>-11390.906999999997</v>
      </c>
      <c r="AU153" s="125">
        <f>AH153*Valores!$C$73</f>
        <v>-2795.9498999999996</v>
      </c>
      <c r="AV153" s="125">
        <f>AH153*Valores!$C$74</f>
        <v>-310.6611</v>
      </c>
      <c r="AW153" s="125">
        <f t="shared" si="22"/>
        <v>89226.52199999998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46314.72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9844.14</v>
      </c>
      <c r="N154" s="125">
        <f t="shared" si="19"/>
        <v>0</v>
      </c>
      <c r="O154" s="125">
        <f>Valores!$C$8</f>
        <v>28397.34</v>
      </c>
      <c r="P154" s="125">
        <f>Valores!$D$5</f>
        <v>13153.38</v>
      </c>
      <c r="Q154" s="125">
        <f>Valores!$C$22</f>
        <v>11734.9</v>
      </c>
      <c r="R154" s="125">
        <f>IF($F$4="NO",Valores!$C$46,Valores!$C$46/2)</f>
        <v>7073.445</v>
      </c>
      <c r="S154" s="125">
        <f>Valores!$C$19</f>
        <v>12239.42</v>
      </c>
      <c r="T154" s="125">
        <f t="shared" si="25"/>
        <v>12239.42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Valores!$C$95</f>
        <v>11521.74</v>
      </c>
      <c r="AA154" s="125">
        <f>Valores!$C$25</f>
        <v>537.98</v>
      </c>
      <c r="AB154" s="214">
        <v>0</v>
      </c>
      <c r="AC154" s="125">
        <f t="shared" si="20"/>
        <v>0</v>
      </c>
      <c r="AD154" s="125">
        <f>Valores!$C$26</f>
        <v>537.98</v>
      </c>
      <c r="AE154" s="192">
        <v>0</v>
      </c>
      <c r="AF154" s="125">
        <f>ROUND(AE154*Valores!$C$2,2)</f>
        <v>0</v>
      </c>
      <c r="AG154" s="125">
        <f>ROUND(IF($F$4="NO",Valores!$C$62,Valores!$C$62/2),2)</f>
        <v>3203.47</v>
      </c>
      <c r="AH154" s="125">
        <f t="shared" si="23"/>
        <v>144558.515</v>
      </c>
      <c r="AI154" s="125">
        <f>Valores!$C$31</f>
        <v>0</v>
      </c>
      <c r="AJ154" s="125">
        <f>Valores!$C$88</f>
        <v>0</v>
      </c>
      <c r="AK154" s="125">
        <f>Valores!C$38*B154</f>
        <v>0</v>
      </c>
      <c r="AL154" s="125">
        <f>IF($F$3="NO",0,Valores!$C$55)</f>
        <v>170.34</v>
      </c>
      <c r="AM154" s="125">
        <f t="shared" si="21"/>
        <v>170.34</v>
      </c>
      <c r="AN154" s="125">
        <f>AH154*Valores!$C$70</f>
        <v>-15901.436650000001</v>
      </c>
      <c r="AO154" s="125">
        <f>AH154*-Valores!$C$71</f>
        <v>0</v>
      </c>
      <c r="AP154" s="125">
        <f>AH154*Valores!$C$72</f>
        <v>-6505.133175</v>
      </c>
      <c r="AQ154" s="125">
        <f>Valores!$C$99</f>
        <v>-280.91</v>
      </c>
      <c r="AR154" s="125">
        <f>IF($F$5=0,Valores!$C$100,(Valores!$C$100+$F$5*(Valores!$C$100)))</f>
        <v>-329</v>
      </c>
      <c r="AS154" s="125">
        <f t="shared" si="24"/>
        <v>121712.37517500001</v>
      </c>
      <c r="AT154" s="125">
        <f t="shared" si="18"/>
        <v>-15901.436650000001</v>
      </c>
      <c r="AU154" s="125">
        <f>AH154*Valores!$C$73</f>
        <v>-3903.0799050000005</v>
      </c>
      <c r="AV154" s="125">
        <f>AH154*Valores!$C$74</f>
        <v>-433.67554500000006</v>
      </c>
      <c r="AW154" s="125">
        <f t="shared" si="22"/>
        <v>124490.66290000001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32883.45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7473.11</v>
      </c>
      <c r="N155" s="125">
        <f t="shared" si="19"/>
        <v>0</v>
      </c>
      <c r="O155" s="125">
        <f>Valores!$C$8</f>
        <v>28397.34</v>
      </c>
      <c r="P155" s="125">
        <f>Valores!$D$5</f>
        <v>13153.38</v>
      </c>
      <c r="Q155" s="125">
        <f>Valores!$C$22</f>
        <v>11734.9</v>
      </c>
      <c r="R155" s="125">
        <f>IF($F$4="NO",Valores!$C$43,Valores!$C$43/2)</f>
        <v>4697.875</v>
      </c>
      <c r="S155" s="125">
        <f>Valores!$C$19</f>
        <v>12239.42</v>
      </c>
      <c r="T155" s="125">
        <f t="shared" si="25"/>
        <v>12239.42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Valores!$C$93</f>
        <v>5760.87</v>
      </c>
      <c r="AA155" s="125">
        <f>Valores!$C$25</f>
        <v>537.98</v>
      </c>
      <c r="AB155" s="214">
        <v>0</v>
      </c>
      <c r="AC155" s="125">
        <f t="shared" si="20"/>
        <v>0</v>
      </c>
      <c r="AD155" s="125">
        <f>Valores!$C$26</f>
        <v>537.98</v>
      </c>
      <c r="AE155" s="192">
        <v>0</v>
      </c>
      <c r="AF155" s="125">
        <f>ROUND(AE155*Valores!$C$2,2)</f>
        <v>0</v>
      </c>
      <c r="AG155" s="125">
        <f>ROUND(IF($F$4="NO",Valores!$C$62,Valores!$C$62/2),2)</f>
        <v>3203.47</v>
      </c>
      <c r="AH155" s="125">
        <f t="shared" si="23"/>
        <v>120619.77499999998</v>
      </c>
      <c r="AI155" s="125">
        <f>Valores!$C$31</f>
        <v>0</v>
      </c>
      <c r="AJ155" s="125">
        <f>Valores!$C$86</f>
        <v>0</v>
      </c>
      <c r="AK155" s="125">
        <f>Valores!C$38*B155</f>
        <v>0</v>
      </c>
      <c r="AL155" s="125">
        <f>IF($F$3="NO",0,Valores!$C$55)</f>
        <v>170.34</v>
      </c>
      <c r="AM155" s="125">
        <f t="shared" si="21"/>
        <v>170.34</v>
      </c>
      <c r="AN155" s="125">
        <f>AH155*Valores!$C$70</f>
        <v>-13268.175249999998</v>
      </c>
      <c r="AO155" s="125">
        <f>AH155*-Valores!$C$71</f>
        <v>0</v>
      </c>
      <c r="AP155" s="125">
        <f>AH155*Valores!$C$72</f>
        <v>-5427.889874999999</v>
      </c>
      <c r="AQ155" s="125">
        <f>Valores!$C$99</f>
        <v>-280.91</v>
      </c>
      <c r="AR155" s="125">
        <f>IF($F$5=0,Valores!$C$100,(Valores!$C$100+$F$5*(Valores!$C$100)))</f>
        <v>-329</v>
      </c>
      <c r="AS155" s="125">
        <f t="shared" si="24"/>
        <v>101484.13987499998</v>
      </c>
      <c r="AT155" s="125">
        <f t="shared" si="18"/>
        <v>-13268.175249999998</v>
      </c>
      <c r="AU155" s="125">
        <f>AH155*Valores!$C$73</f>
        <v>-3256.7339249999995</v>
      </c>
      <c r="AV155" s="125">
        <f>AH155*Valores!$C$74</f>
        <v>-361.85932499999996</v>
      </c>
      <c r="AW155" s="125">
        <f t="shared" si="22"/>
        <v>103903.34649999999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31236.71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7226.1</v>
      </c>
      <c r="N156" s="125">
        <f t="shared" si="19"/>
        <v>0</v>
      </c>
      <c r="O156" s="125">
        <f>Valores!$C$16</f>
        <v>22234.39</v>
      </c>
      <c r="P156" s="125">
        <f>Valores!$D$5</f>
        <v>13153.38</v>
      </c>
      <c r="Q156" s="125">
        <f>Valores!$C$22</f>
        <v>11734.9</v>
      </c>
      <c r="R156" s="125">
        <f>IF($F$4="NO",Valores!$C$43,Valores!$C$43/2)</f>
        <v>4697.875</v>
      </c>
      <c r="S156" s="125">
        <f>Valores!$C$19</f>
        <v>12239.42</v>
      </c>
      <c r="T156" s="125">
        <f t="shared" si="25"/>
        <v>12239.42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Valores!$C$93</f>
        <v>5760.87</v>
      </c>
      <c r="AA156" s="125">
        <f>Valores!$C$25</f>
        <v>537.98</v>
      </c>
      <c r="AB156" s="214">
        <v>0</v>
      </c>
      <c r="AC156" s="125">
        <f t="shared" si="20"/>
        <v>0</v>
      </c>
      <c r="AD156" s="125">
        <f>Valores!$C$26</f>
        <v>537.98</v>
      </c>
      <c r="AE156" s="192">
        <v>0</v>
      </c>
      <c r="AF156" s="125">
        <f>ROUND(AE156*Valores!$C$2,2)</f>
        <v>0</v>
      </c>
      <c r="AG156" s="125">
        <f>ROUND(IF($F$4="NO",Valores!$C$62,Valores!$C$62/2),2)</f>
        <v>3203.47</v>
      </c>
      <c r="AH156" s="125">
        <f t="shared" si="23"/>
        <v>112563.07499999998</v>
      </c>
      <c r="AI156" s="125">
        <f>Valores!$C$31</f>
        <v>0</v>
      </c>
      <c r="AJ156" s="125">
        <f>Valores!$C$86</f>
        <v>0</v>
      </c>
      <c r="AK156" s="125">
        <f>Valores!C$38*B156</f>
        <v>0</v>
      </c>
      <c r="AL156" s="125">
        <f>IF($F$3="NO",0,Valores!$C$55)</f>
        <v>170.34</v>
      </c>
      <c r="AM156" s="125">
        <f t="shared" si="21"/>
        <v>170.34</v>
      </c>
      <c r="AN156" s="125">
        <f>AH156*Valores!$C$70</f>
        <v>-12381.938249999997</v>
      </c>
      <c r="AO156" s="125">
        <f>AH156*-Valores!$C$71</f>
        <v>0</v>
      </c>
      <c r="AP156" s="125">
        <f>AH156*Valores!$C$72</f>
        <v>-5065.338374999999</v>
      </c>
      <c r="AQ156" s="125">
        <f>Valores!$C$99</f>
        <v>-280.91</v>
      </c>
      <c r="AR156" s="125">
        <f>IF($F$5=0,Valores!$C$100,(Valores!$C$100+$F$5*(Valores!$C$100)))</f>
        <v>-329</v>
      </c>
      <c r="AS156" s="125">
        <f t="shared" si="24"/>
        <v>94676.22837499999</v>
      </c>
      <c r="AT156" s="125">
        <f t="shared" si="18"/>
        <v>-12381.938249999997</v>
      </c>
      <c r="AU156" s="125">
        <f>AH156*Valores!$C$73</f>
        <v>-3039.2030249999993</v>
      </c>
      <c r="AV156" s="125">
        <f>AH156*Valores!$C$74</f>
        <v>-337.68922499999996</v>
      </c>
      <c r="AW156" s="125">
        <f t="shared" si="22"/>
        <v>96974.58449999998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30464.79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7091.54</v>
      </c>
      <c r="N157" s="125">
        <f t="shared" si="19"/>
        <v>0</v>
      </c>
      <c r="O157" s="125">
        <f>Valores!$C$16</f>
        <v>22234.39</v>
      </c>
      <c r="P157" s="125">
        <f>Valores!$D$5</f>
        <v>13153.38</v>
      </c>
      <c r="Q157" s="125">
        <v>0</v>
      </c>
      <c r="R157" s="125">
        <f>IF($F$4="NO",Valores!$C$43,Valores!$C$43/2)</f>
        <v>4697.875</v>
      </c>
      <c r="S157" s="125">
        <f>Valores!$C$20</f>
        <v>12114.28</v>
      </c>
      <c r="T157" s="125">
        <f t="shared" si="25"/>
        <v>12114.28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Valores!$C$93</f>
        <v>5760.87</v>
      </c>
      <c r="AA157" s="125">
        <f>Valores!$C$25</f>
        <v>537.98</v>
      </c>
      <c r="AB157" s="214">
        <v>0</v>
      </c>
      <c r="AC157" s="125">
        <f t="shared" si="20"/>
        <v>0</v>
      </c>
      <c r="AD157" s="125">
        <f>Valores!$C$26</f>
        <v>537.98</v>
      </c>
      <c r="AE157" s="192">
        <v>0</v>
      </c>
      <c r="AF157" s="125">
        <f>ROUND(AE157*Valores!$C$2,2)</f>
        <v>0</v>
      </c>
      <c r="AG157" s="125">
        <f>ROUND(IF($F$4="NO",Valores!$C$62,Valores!$C$62/2),2)</f>
        <v>3203.47</v>
      </c>
      <c r="AH157" s="125">
        <f t="shared" si="23"/>
        <v>99796.555</v>
      </c>
      <c r="AI157" s="125">
        <f>Valores!$C$31</f>
        <v>0</v>
      </c>
      <c r="AJ157" s="125">
        <f>Valores!$C$86</f>
        <v>0</v>
      </c>
      <c r="AK157" s="125">
        <f>Valores!C$38*B157</f>
        <v>0</v>
      </c>
      <c r="AL157" s="125">
        <f>IF($F$3="NO",0,Valores!$C$55)</f>
        <v>170.34</v>
      </c>
      <c r="AM157" s="125">
        <f t="shared" si="21"/>
        <v>170.34</v>
      </c>
      <c r="AN157" s="125">
        <f>AH157*Valores!$C$70</f>
        <v>-10977.62105</v>
      </c>
      <c r="AO157" s="125">
        <f>AH157*-Valores!$C$71</f>
        <v>0</v>
      </c>
      <c r="AP157" s="125">
        <f>AH157*Valores!$C$72</f>
        <v>-4490.844974999999</v>
      </c>
      <c r="AQ157" s="125">
        <f>Valores!$C$99</f>
        <v>-280.91</v>
      </c>
      <c r="AR157" s="125">
        <f>IF($F$5=0,Valores!$C$100,(Valores!$C$100+$F$5*(Valores!$C$100)))</f>
        <v>-329</v>
      </c>
      <c r="AS157" s="125">
        <f t="shared" si="24"/>
        <v>83888.518975</v>
      </c>
      <c r="AT157" s="125">
        <f t="shared" si="18"/>
        <v>-10977.62105</v>
      </c>
      <c r="AU157" s="125">
        <f>AH157*Valores!$C$73</f>
        <v>-2694.506985</v>
      </c>
      <c r="AV157" s="125">
        <f>AH157*Valores!$C$74</f>
        <v>-299.389665</v>
      </c>
      <c r="AW157" s="125">
        <f t="shared" si="22"/>
        <v>85995.3773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24984.22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6249.62</v>
      </c>
      <c r="N158" s="125">
        <f t="shared" si="19"/>
        <v>0</v>
      </c>
      <c r="O158" s="125">
        <f>Valores!$C$16</f>
        <v>22234.39</v>
      </c>
      <c r="P158" s="125">
        <f>Valores!$D$5</f>
        <v>13153.38</v>
      </c>
      <c r="Q158" s="125">
        <f>Valores!$C$23</f>
        <v>10922.07</v>
      </c>
      <c r="R158" s="125">
        <f>IF($F$4="NO",Valores!$C$42,Valores!$C$42/2)</f>
        <v>4440.46</v>
      </c>
      <c r="S158" s="125">
        <f>Valores!$C$19</f>
        <v>12239.42</v>
      </c>
      <c r="T158" s="125">
        <f t="shared" si="25"/>
        <v>12239.42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Valores!$C$93</f>
        <v>5760.87</v>
      </c>
      <c r="AA158" s="125">
        <f>Valores!$C$25</f>
        <v>537.98</v>
      </c>
      <c r="AB158" s="214">
        <v>0</v>
      </c>
      <c r="AC158" s="125">
        <f t="shared" si="20"/>
        <v>0</v>
      </c>
      <c r="AD158" s="125">
        <f>Valores!$C$25</f>
        <v>537.98</v>
      </c>
      <c r="AE158" s="192">
        <v>0</v>
      </c>
      <c r="AF158" s="125">
        <f>ROUND(AE158*Valores!$C$2,2)</f>
        <v>0</v>
      </c>
      <c r="AG158" s="125">
        <f>ROUND(IF($F$4="NO",Valores!$C$62,Valores!$C$62/2),2)</f>
        <v>3203.47</v>
      </c>
      <c r="AH158" s="125">
        <f t="shared" si="23"/>
        <v>104263.85999999999</v>
      </c>
      <c r="AI158" s="125">
        <f>Valores!$C$31</f>
        <v>0</v>
      </c>
      <c r="AJ158" s="125">
        <f>Valores!$C$86</f>
        <v>0</v>
      </c>
      <c r="AK158" s="125">
        <f>Valores!C$38*B158</f>
        <v>0</v>
      </c>
      <c r="AL158" s="125">
        <f>(IF($F$3="NO",0,Valores!$C$57))</f>
        <v>155.18</v>
      </c>
      <c r="AM158" s="125">
        <f t="shared" si="21"/>
        <v>155.18</v>
      </c>
      <c r="AN158" s="125">
        <f>AH158*Valores!$C$70</f>
        <v>-11469.024599999999</v>
      </c>
      <c r="AO158" s="125">
        <f>AH158*-Valores!$C$71</f>
        <v>0</v>
      </c>
      <c r="AP158" s="125">
        <f>AH158*Valores!$C$72</f>
        <v>-4691.873699999999</v>
      </c>
      <c r="AQ158" s="125">
        <f>Valores!$C$99</f>
        <v>-280.91</v>
      </c>
      <c r="AR158" s="125">
        <f>IF($F$5=0,Valores!$C$100,(Valores!$C$100+$F$5*(Valores!$C$100)))</f>
        <v>-329</v>
      </c>
      <c r="AS158" s="125">
        <f t="shared" si="24"/>
        <v>87648.23169999999</v>
      </c>
      <c r="AT158" s="125">
        <f t="shared" si="18"/>
        <v>-11469.024599999999</v>
      </c>
      <c r="AU158" s="125">
        <f>AH158*Valores!$C$73</f>
        <v>-2815.1242199999997</v>
      </c>
      <c r="AV158" s="125">
        <f>AH158*Valores!$C$74</f>
        <v>-312.79157999999995</v>
      </c>
      <c r="AW158" s="125">
        <f t="shared" si="22"/>
        <v>89822.09959999999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24984.22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8188.39</v>
      </c>
      <c r="N159" s="125">
        <f t="shared" si="19"/>
        <v>0</v>
      </c>
      <c r="O159" s="125">
        <f>Valores!$C$16</f>
        <v>22234.39</v>
      </c>
      <c r="P159" s="125">
        <f>Valores!$D$5</f>
        <v>13153.38</v>
      </c>
      <c r="Q159" s="125">
        <f>Valores!$C$23</f>
        <v>10922.07</v>
      </c>
      <c r="R159" s="125">
        <f>IF($F$4="NO",Valores!$C$46,Valores!$C$46/2)</f>
        <v>7073.445</v>
      </c>
      <c r="S159" s="125">
        <f>Valores!$C$19</f>
        <v>12239.42</v>
      </c>
      <c r="T159" s="125">
        <f t="shared" si="25"/>
        <v>12239.42</v>
      </c>
      <c r="U159" s="125">
        <v>0</v>
      </c>
      <c r="V159" s="125">
        <v>0</v>
      </c>
      <c r="W159" s="192">
        <v>400</v>
      </c>
      <c r="X159" s="125">
        <f>ROUND(W159*Valores!$C$2,2)</f>
        <v>10292.16</v>
      </c>
      <c r="Y159" s="125">
        <f>ROUND(SUM(J159,H159,F159,R159)*Valores!$C$3,2)</f>
        <v>4808.65</v>
      </c>
      <c r="Z159" s="125">
        <f>Valores!$C$93</f>
        <v>5760.87</v>
      </c>
      <c r="AA159" s="125">
        <f>Valores!$C$25</f>
        <v>537.98</v>
      </c>
      <c r="AB159" s="214">
        <v>0</v>
      </c>
      <c r="AC159" s="125">
        <f t="shared" si="20"/>
        <v>0</v>
      </c>
      <c r="AD159" s="125">
        <f>Valores!$C$25</f>
        <v>537.98</v>
      </c>
      <c r="AE159" s="192">
        <v>94</v>
      </c>
      <c r="AF159" s="125">
        <f>ROUND(AE159*Valores!$C$2,2)</f>
        <v>2418.66</v>
      </c>
      <c r="AG159" s="125">
        <f>ROUND(IF($F$4="NO",Valores!$C$62,Valores!$C$62/2),2)</f>
        <v>3203.47</v>
      </c>
      <c r="AH159" s="125">
        <f t="shared" si="23"/>
        <v>126355.085</v>
      </c>
      <c r="AI159" s="125">
        <f>Valores!$C$31</f>
        <v>0</v>
      </c>
      <c r="AJ159" s="125">
        <f>Valores!$C$86</f>
        <v>0</v>
      </c>
      <c r="AK159" s="125">
        <f>Valores!C$38*B159</f>
        <v>0</v>
      </c>
      <c r="AL159" s="125">
        <f>(IF($F$3="NO",0,Valores!$C$57))</f>
        <v>155.18</v>
      </c>
      <c r="AM159" s="125">
        <f t="shared" si="21"/>
        <v>155.18</v>
      </c>
      <c r="AN159" s="125">
        <f>AH159*Valores!$C$70</f>
        <v>-13899.059350000001</v>
      </c>
      <c r="AO159" s="125">
        <f>AH159*-Valores!$C$71</f>
        <v>0</v>
      </c>
      <c r="AP159" s="125">
        <f>AH159*Valores!$C$72</f>
        <v>-5685.978825</v>
      </c>
      <c r="AQ159" s="125">
        <f>Valores!$C$99</f>
        <v>-280.91</v>
      </c>
      <c r="AR159" s="125">
        <f>IF($F$5=0,Valores!$C$100,(Valores!$C$100+$F$5*(Valores!$C$100)))</f>
        <v>-329</v>
      </c>
      <c r="AS159" s="125">
        <f t="shared" si="24"/>
        <v>106315.316825</v>
      </c>
      <c r="AT159" s="125">
        <f t="shared" si="18"/>
        <v>-13899.059350000001</v>
      </c>
      <c r="AU159" s="125">
        <f>AH159*Valores!$C$73</f>
        <v>-3411.5872950000003</v>
      </c>
      <c r="AV159" s="125">
        <f>AH159*Valores!$C$74</f>
        <v>-379.06525500000004</v>
      </c>
      <c r="AW159" s="125">
        <f t="shared" si="22"/>
        <v>108820.55309999999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20841.62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5609.45</v>
      </c>
      <c r="N160" s="125">
        <f t="shared" si="19"/>
        <v>0</v>
      </c>
      <c r="O160" s="125">
        <f>Valores!$C$16</f>
        <v>22234.39</v>
      </c>
      <c r="P160" s="125">
        <f>Valores!$D$5</f>
        <v>13153.38</v>
      </c>
      <c r="Q160" s="125">
        <f>Valores!$C$23</f>
        <v>10922.07</v>
      </c>
      <c r="R160" s="125">
        <f>IF($F$4="NO",Valores!$C$42,Valores!$C$42/2)</f>
        <v>4440.46</v>
      </c>
      <c r="S160" s="125">
        <f>Valores!$C$20</f>
        <v>12114.28</v>
      </c>
      <c r="T160" s="125">
        <f t="shared" si="25"/>
        <v>12114.28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Valores!$C$93</f>
        <v>5760.87</v>
      </c>
      <c r="AA160" s="125">
        <f>Valores!$C$25</f>
        <v>537.98</v>
      </c>
      <c r="AB160" s="214">
        <v>0</v>
      </c>
      <c r="AC160" s="125">
        <f t="shared" si="20"/>
        <v>0</v>
      </c>
      <c r="AD160" s="125">
        <f>Valores!$C$26</f>
        <v>537.98</v>
      </c>
      <c r="AE160" s="192">
        <v>0</v>
      </c>
      <c r="AF160" s="125">
        <f>ROUND(AE160*Valores!$C$2,2)</f>
        <v>0</v>
      </c>
      <c r="AG160" s="125">
        <f>ROUND(IF($F$4="NO",Valores!$C$62,Valores!$C$62/2),2)</f>
        <v>3203.47</v>
      </c>
      <c r="AH160" s="125">
        <f t="shared" si="23"/>
        <v>99355.95</v>
      </c>
      <c r="AI160" s="125">
        <f>Valores!$C$31</f>
        <v>0</v>
      </c>
      <c r="AJ160" s="125">
        <f>Valores!$C$86</f>
        <v>0</v>
      </c>
      <c r="AK160" s="125">
        <f>Valores!C$38*B160</f>
        <v>0</v>
      </c>
      <c r="AL160" s="125">
        <f>IF($F$3="NO",0,Valores!$C$55)</f>
        <v>170.34</v>
      </c>
      <c r="AM160" s="125">
        <f t="shared" si="21"/>
        <v>170.34</v>
      </c>
      <c r="AN160" s="125">
        <f>AH160*Valores!$C$70</f>
        <v>-10929.1545</v>
      </c>
      <c r="AO160" s="125">
        <f>AH160*-Valores!$C$71</f>
        <v>0</v>
      </c>
      <c r="AP160" s="125">
        <f>AH160*Valores!$C$72</f>
        <v>-4471.01775</v>
      </c>
      <c r="AQ160" s="125">
        <f>Valores!$C$99</f>
        <v>-280.91</v>
      </c>
      <c r="AR160" s="125">
        <f>IF($F$5=0,Valores!$C$100,(Valores!$C$100+$F$5*(Valores!$C$100)))</f>
        <v>-329</v>
      </c>
      <c r="AS160" s="125">
        <f t="shared" si="24"/>
        <v>83516.20775</v>
      </c>
      <c r="AT160" s="125">
        <f t="shared" si="18"/>
        <v>-10929.1545</v>
      </c>
      <c r="AU160" s="125">
        <f>AH160*Valores!$C$73</f>
        <v>-2682.61065</v>
      </c>
      <c r="AV160" s="125">
        <f>AH160*Valores!$C$74</f>
        <v>-298.06785</v>
      </c>
      <c r="AW160" s="125">
        <f t="shared" si="22"/>
        <v>85616.457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27402.88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6612.41</v>
      </c>
      <c r="N161" s="125">
        <f t="shared" si="19"/>
        <v>0</v>
      </c>
      <c r="O161" s="125">
        <f>Valores!$C$16</f>
        <v>22234.39</v>
      </c>
      <c r="P161" s="125">
        <f>Valores!$D$5</f>
        <v>13153.38</v>
      </c>
      <c r="Q161" s="125">
        <f>Valores!$C$23</f>
        <v>10922.07</v>
      </c>
      <c r="R161" s="125">
        <f>IF($F$4="NO",Valores!$C$42,Valores!$C$42/2)</f>
        <v>4440.46</v>
      </c>
      <c r="S161" s="125">
        <f>Valores!$C$19</f>
        <v>12239.42</v>
      </c>
      <c r="T161" s="125">
        <f t="shared" si="25"/>
        <v>12239.42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Valores!$C$93</f>
        <v>5760.87</v>
      </c>
      <c r="AA161" s="125">
        <f>Valores!$C$25</f>
        <v>537.98</v>
      </c>
      <c r="AB161" s="214">
        <v>0</v>
      </c>
      <c r="AC161" s="125">
        <f t="shared" si="20"/>
        <v>0</v>
      </c>
      <c r="AD161" s="125">
        <f>Valores!$C$26</f>
        <v>537.98</v>
      </c>
      <c r="AE161" s="192">
        <v>0</v>
      </c>
      <c r="AF161" s="125">
        <f>ROUND(AE161*Valores!$C$2,2)</f>
        <v>0</v>
      </c>
      <c r="AG161" s="125">
        <f>ROUND(IF($F$4="NO",Valores!$C$62,Valores!$C$62/2),2)</f>
        <v>3203.47</v>
      </c>
      <c r="AH161" s="125">
        <f t="shared" si="23"/>
        <v>107045.31</v>
      </c>
      <c r="AI161" s="125">
        <f>Valores!$C$31</f>
        <v>0</v>
      </c>
      <c r="AJ161" s="125">
        <f>Valores!$C$86</f>
        <v>0</v>
      </c>
      <c r="AK161" s="125">
        <f>Valores!C$38*B161</f>
        <v>0</v>
      </c>
      <c r="AL161" s="125">
        <f>IF($F$3="NO",0,Valores!$C$55)</f>
        <v>170.34</v>
      </c>
      <c r="AM161" s="125">
        <f t="shared" si="21"/>
        <v>170.34</v>
      </c>
      <c r="AN161" s="125">
        <f>AH161*Valores!$C$70</f>
        <v>-11774.9841</v>
      </c>
      <c r="AO161" s="125">
        <f>AH161*-Valores!$C$71</f>
        <v>0</v>
      </c>
      <c r="AP161" s="125">
        <f>AH161*Valores!$C$72</f>
        <v>-4817.03895</v>
      </c>
      <c r="AQ161" s="125">
        <f>Valores!$C$99</f>
        <v>-280.91</v>
      </c>
      <c r="AR161" s="125">
        <f>IF($F$5=0,Valores!$C$100,(Valores!$C$100+$F$5*(Valores!$C$100)))</f>
        <v>-329</v>
      </c>
      <c r="AS161" s="125">
        <f t="shared" si="24"/>
        <v>90013.71695</v>
      </c>
      <c r="AT161" s="125">
        <f t="shared" si="18"/>
        <v>-11774.9841</v>
      </c>
      <c r="AU161" s="125">
        <f>AH161*Valores!$C$73</f>
        <v>-2890.2233699999997</v>
      </c>
      <c r="AV161" s="125">
        <f>AH161*Valores!$C$74</f>
        <v>-321.13593</v>
      </c>
      <c r="AW161" s="125">
        <f t="shared" si="22"/>
        <v>92229.3066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27402.88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6612.41</v>
      </c>
      <c r="N162" s="125">
        <f t="shared" si="19"/>
        <v>0</v>
      </c>
      <c r="O162" s="125">
        <f>Valores!$C$16</f>
        <v>22234.39</v>
      </c>
      <c r="P162" s="125">
        <f>Valores!$D$5</f>
        <v>13153.38</v>
      </c>
      <c r="Q162" s="125">
        <f>Valores!$C$23</f>
        <v>10922.07</v>
      </c>
      <c r="R162" s="125">
        <f>IF($F$4="NO",Valores!$C$42,Valores!$C$42/2)</f>
        <v>4440.46</v>
      </c>
      <c r="S162" s="125">
        <f>Valores!$C$19</f>
        <v>12239.42</v>
      </c>
      <c r="T162" s="125">
        <f t="shared" si="25"/>
        <v>12239.42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Valores!$C$93</f>
        <v>5760.87</v>
      </c>
      <c r="AA162" s="125">
        <f>Valores!$C$25</f>
        <v>537.98</v>
      </c>
      <c r="AB162" s="214">
        <v>0</v>
      </c>
      <c r="AC162" s="125">
        <f t="shared" si="20"/>
        <v>0</v>
      </c>
      <c r="AD162" s="125">
        <f>Valores!$C$26</f>
        <v>537.98</v>
      </c>
      <c r="AE162" s="192">
        <v>94</v>
      </c>
      <c r="AF162" s="125">
        <f>ROUND(AE162*Valores!$C$2,2)</f>
        <v>2418.66</v>
      </c>
      <c r="AG162" s="125">
        <f>ROUND(IF($F$4="NO",Valores!$C$62,Valores!$C$62/2),2)</f>
        <v>3203.47</v>
      </c>
      <c r="AH162" s="125">
        <f t="shared" si="23"/>
        <v>109463.97</v>
      </c>
      <c r="AI162" s="125">
        <f>Valores!$C$31</f>
        <v>0</v>
      </c>
      <c r="AJ162" s="125">
        <f>Valores!$C$86</f>
        <v>0</v>
      </c>
      <c r="AK162" s="125">
        <f>Valores!C$38*B162</f>
        <v>0</v>
      </c>
      <c r="AL162" s="125">
        <f>IF($F$3="NO",0,Valores!$C$55)</f>
        <v>170.34</v>
      </c>
      <c r="AM162" s="125">
        <f t="shared" si="21"/>
        <v>170.34</v>
      </c>
      <c r="AN162" s="125">
        <f>AH162*Valores!$C$70</f>
        <v>-12041.0367</v>
      </c>
      <c r="AO162" s="125">
        <f>AH162*-Valores!$C$71</f>
        <v>0</v>
      </c>
      <c r="AP162" s="125">
        <f>AH162*Valores!$C$72</f>
        <v>-4925.87865</v>
      </c>
      <c r="AQ162" s="125">
        <f>Valores!$C$99</f>
        <v>-280.91</v>
      </c>
      <c r="AR162" s="125">
        <f>IF($F$5=0,Valores!$C$100,(Valores!$C$100+$F$5*(Valores!$C$100)))</f>
        <v>-329</v>
      </c>
      <c r="AS162" s="125">
        <f t="shared" si="24"/>
        <v>92057.48465</v>
      </c>
      <c r="AT162" s="125">
        <f t="shared" si="18"/>
        <v>-12041.0367</v>
      </c>
      <c r="AU162" s="125">
        <f>AH162*Valores!$C$73</f>
        <v>-2955.52719</v>
      </c>
      <c r="AV162" s="125">
        <f>AH162*Valores!$C$74</f>
        <v>-328.39191</v>
      </c>
      <c r="AW162" s="125">
        <f t="shared" si="22"/>
        <v>94309.3542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2521.58</v>
      </c>
      <c r="G163" s="192">
        <v>2686</v>
      </c>
      <c r="H163" s="125">
        <f>ROUND(G163*Valores!$C$2,2)</f>
        <v>69111.85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16343.64</v>
      </c>
      <c r="N163" s="125">
        <f t="shared" si="19"/>
        <v>0</v>
      </c>
      <c r="O163" s="125">
        <f>Valores!$C$8</f>
        <v>28397.34</v>
      </c>
      <c r="P163" s="125">
        <f>Valores!$D$5</f>
        <v>13153.38</v>
      </c>
      <c r="Q163" s="125">
        <f>Valores!$C$22</f>
        <v>11734.9</v>
      </c>
      <c r="R163" s="125">
        <f>IF($F$4="NO",Valores!$C$46,Valores!$C$46/2)</f>
        <v>7073.445</v>
      </c>
      <c r="S163" s="125">
        <f>Valores!$C$19</f>
        <v>12239.42</v>
      </c>
      <c r="T163" s="125">
        <f t="shared" si="25"/>
        <v>12239.42</v>
      </c>
      <c r="U163" s="125">
        <v>0</v>
      </c>
      <c r="V163" s="125">
        <v>0</v>
      </c>
      <c r="W163" s="192">
        <v>700</v>
      </c>
      <c r="X163" s="125">
        <f>ROUND(W163*Valores!$C$2,2)</f>
        <v>18011.28</v>
      </c>
      <c r="Y163" s="125">
        <f>ROUND(SUM(J163,H163,F163,R163)*Valores!$C$3,2)</f>
        <v>11806.03</v>
      </c>
      <c r="Z163" s="125">
        <f>Valores!$C$95</f>
        <v>11521.74</v>
      </c>
      <c r="AA163" s="125">
        <f>Valores!$C$25</f>
        <v>537.98</v>
      </c>
      <c r="AB163" s="214">
        <v>0</v>
      </c>
      <c r="AC163" s="125">
        <f t="shared" si="20"/>
        <v>0</v>
      </c>
      <c r="AD163" s="125">
        <f>Valores!$C$26</f>
        <v>537.98</v>
      </c>
      <c r="AE163" s="192">
        <v>94</v>
      </c>
      <c r="AF163" s="125">
        <f>ROUND(AE163*Valores!$C$2,2)</f>
        <v>2418.66</v>
      </c>
      <c r="AG163" s="125">
        <f>ROUND(IF($F$4="NO",Valores!$C$62,Valores!$C$62/2),2)</f>
        <v>3203.47</v>
      </c>
      <c r="AH163" s="125">
        <f t="shared" si="23"/>
        <v>208612.69500000004</v>
      </c>
      <c r="AI163" s="125">
        <f>Valores!$C$31</f>
        <v>0</v>
      </c>
      <c r="AJ163" s="125">
        <f>Valores!$C$88</f>
        <v>0</v>
      </c>
      <c r="AK163" s="125">
        <f>Valores!C$38*B163</f>
        <v>0</v>
      </c>
      <c r="AL163" s="125">
        <f>IF($F$3="NO",0,224.5)</f>
        <v>224.5</v>
      </c>
      <c r="AM163" s="125">
        <f t="shared" si="21"/>
        <v>224.5</v>
      </c>
      <c r="AN163" s="125">
        <f>AH163*Valores!$C$70</f>
        <v>-22947.396450000004</v>
      </c>
      <c r="AO163" s="125">
        <f>AH163*-Valores!$C$71</f>
        <v>0</v>
      </c>
      <c r="AP163" s="125">
        <f>AH163*Valores!$C$72</f>
        <v>-9387.571275000002</v>
      </c>
      <c r="AQ163" s="125">
        <f>Valores!$C$99</f>
        <v>-280.91</v>
      </c>
      <c r="AR163" s="125">
        <f>IF($F$5=0,Valores!$C$100,(Valores!$C$100+$F$5*(Valores!$C$100)))</f>
        <v>-329</v>
      </c>
      <c r="AS163" s="125">
        <f t="shared" si="24"/>
        <v>175892.31727500004</v>
      </c>
      <c r="AT163" s="125">
        <f t="shared" si="18"/>
        <v>-22947.396450000004</v>
      </c>
      <c r="AU163" s="125">
        <f>AH163*Valores!$C$73</f>
        <v>-5632.542765000001</v>
      </c>
      <c r="AV163" s="125">
        <f>AH163*Valores!$C$74</f>
        <v>-625.8380850000001</v>
      </c>
      <c r="AW163" s="125">
        <f t="shared" si="22"/>
        <v>179631.41770000002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2392.93</v>
      </c>
      <c r="G164" s="192">
        <v>2547</v>
      </c>
      <c r="H164" s="125">
        <f>ROUND(G164*Valores!$C$2,2)</f>
        <v>65535.33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15787.86</v>
      </c>
      <c r="N164" s="125">
        <f t="shared" si="19"/>
        <v>0</v>
      </c>
      <c r="O164" s="125">
        <f>Valores!$C$16</f>
        <v>22234.39</v>
      </c>
      <c r="P164" s="125">
        <f>Valores!$D$5</f>
        <v>13153.38</v>
      </c>
      <c r="Q164" s="125">
        <f>Valores!$C$22</f>
        <v>11734.9</v>
      </c>
      <c r="R164" s="125">
        <f>IF($F$4="NO",Valores!$C$46,Valores!$C$46/2)</f>
        <v>7073.445</v>
      </c>
      <c r="S164" s="125">
        <f>Valores!$C$19</f>
        <v>12239.42</v>
      </c>
      <c r="T164" s="125">
        <f t="shared" si="25"/>
        <v>12239.42</v>
      </c>
      <c r="U164" s="125">
        <v>0</v>
      </c>
      <c r="V164" s="125">
        <v>0</v>
      </c>
      <c r="W164" s="192">
        <v>700</v>
      </c>
      <c r="X164" s="125">
        <f>ROUND(W164*Valores!$C$2,2)</f>
        <v>18011.28</v>
      </c>
      <c r="Y164" s="125">
        <f>ROUND(SUM(J164,H164,F164,R164)*Valores!$C$3,2)</f>
        <v>11250.26</v>
      </c>
      <c r="Z164" s="125">
        <f>Valores!$C$95</f>
        <v>11521.74</v>
      </c>
      <c r="AA164" s="125">
        <f>Valores!$C$25</f>
        <v>537.98</v>
      </c>
      <c r="AB164" s="214">
        <v>0</v>
      </c>
      <c r="AC164" s="125">
        <f t="shared" si="20"/>
        <v>0</v>
      </c>
      <c r="AD164" s="125">
        <f>Valores!$C$26</f>
        <v>537.98</v>
      </c>
      <c r="AE164" s="192">
        <v>94</v>
      </c>
      <c r="AF164" s="125">
        <f>ROUND(AE164*Valores!$C$2,2)</f>
        <v>2418.66</v>
      </c>
      <c r="AG164" s="125">
        <f>ROUND(IF($F$4="NO",Valores!$C$62,Valores!$C$62/2),2)</f>
        <v>3203.47</v>
      </c>
      <c r="AH164" s="125">
        <f t="shared" si="23"/>
        <v>197633.02500000002</v>
      </c>
      <c r="AI164" s="125">
        <f>Valores!$C$31</f>
        <v>0</v>
      </c>
      <c r="AJ164" s="125">
        <f>Valores!$C$88</f>
        <v>0</v>
      </c>
      <c r="AK164" s="125">
        <f>Valores!C$38*B164</f>
        <v>0</v>
      </c>
      <c r="AL164" s="125">
        <f>IF($F$3="NO",0,224.5)</f>
        <v>224.5</v>
      </c>
      <c r="AM164" s="125">
        <f t="shared" si="21"/>
        <v>224.5</v>
      </c>
      <c r="AN164" s="125">
        <f>AH164*Valores!$C$70</f>
        <v>-21739.632750000004</v>
      </c>
      <c r="AO164" s="125">
        <f>AH164*-Valores!$C$71</f>
        <v>0</v>
      </c>
      <c r="AP164" s="125">
        <f>AH164*Valores!$C$72</f>
        <v>-8893.486125000001</v>
      </c>
      <c r="AQ164" s="125">
        <f>Valores!$C$99</f>
        <v>-280.91</v>
      </c>
      <c r="AR164" s="125">
        <f>IF($F$5=0,Valores!$C$100,(Valores!$C$100+$F$5*(Valores!$C$100)))</f>
        <v>-329</v>
      </c>
      <c r="AS164" s="125">
        <f t="shared" si="24"/>
        <v>166614.496125</v>
      </c>
      <c r="AT164" s="125">
        <f t="shared" si="18"/>
        <v>-21739.632750000004</v>
      </c>
      <c r="AU164" s="125">
        <f>AH164*Valores!$C$73</f>
        <v>-5336.091675000001</v>
      </c>
      <c r="AV164" s="125">
        <f>AH164*Valores!$C$74</f>
        <v>-592.899075</v>
      </c>
      <c r="AW164" s="125">
        <f t="shared" si="22"/>
        <v>170188.9015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2290.01</v>
      </c>
      <c r="G165" s="192">
        <v>2251</v>
      </c>
      <c r="H165" s="125">
        <f>ROUND(G165*Valores!$C$2,2)</f>
        <v>57919.13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14629.99</v>
      </c>
      <c r="N165" s="125">
        <f t="shared" si="19"/>
        <v>0</v>
      </c>
      <c r="O165" s="125">
        <f>Valores!$C$16</f>
        <v>22234.39</v>
      </c>
      <c r="P165" s="125">
        <f>Valores!$D$5</f>
        <v>13153.38</v>
      </c>
      <c r="Q165" s="125">
        <f>Valores!$C$22</f>
        <v>11734.9</v>
      </c>
      <c r="R165" s="125">
        <f>IF($F$4="NO",Valores!$C$46,Valores!$C$46/2)</f>
        <v>7073.445</v>
      </c>
      <c r="S165" s="125">
        <f>Valores!$C$19</f>
        <v>12239.42</v>
      </c>
      <c r="T165" s="125">
        <f t="shared" si="25"/>
        <v>12239.42</v>
      </c>
      <c r="U165" s="125">
        <v>0</v>
      </c>
      <c r="V165" s="125">
        <v>0</v>
      </c>
      <c r="W165" s="192">
        <v>700</v>
      </c>
      <c r="X165" s="125">
        <f>ROUND(W165*Valores!$C$2,2)</f>
        <v>18011.28</v>
      </c>
      <c r="Y165" s="125">
        <f>ROUND(SUM(J165,H165,F165,R165)*Valores!$C$3,2)</f>
        <v>10092.39</v>
      </c>
      <c r="Z165" s="125">
        <f>Valores!$C$95</f>
        <v>11521.74</v>
      </c>
      <c r="AA165" s="125">
        <f>Valores!$C$25</f>
        <v>537.98</v>
      </c>
      <c r="AB165" s="214">
        <v>0</v>
      </c>
      <c r="AC165" s="125">
        <f t="shared" si="20"/>
        <v>0</v>
      </c>
      <c r="AD165" s="125">
        <f>Valores!$C$26</f>
        <v>537.98</v>
      </c>
      <c r="AE165" s="192">
        <v>94</v>
      </c>
      <c r="AF165" s="125">
        <f>ROUND(AE165*Valores!$C$2,2)</f>
        <v>2418.66</v>
      </c>
      <c r="AG165" s="125">
        <f>ROUND(IF($F$4="NO",Valores!$C$62,Valores!$C$62/2),2)</f>
        <v>3203.47</v>
      </c>
      <c r="AH165" s="125">
        <f t="shared" si="23"/>
        <v>187598.16500000004</v>
      </c>
      <c r="AI165" s="125">
        <f>Valores!$C$31</f>
        <v>0</v>
      </c>
      <c r="AJ165" s="125">
        <f>Valores!$C$88</f>
        <v>0</v>
      </c>
      <c r="AK165" s="125">
        <f>Valores!C$38*B165</f>
        <v>0</v>
      </c>
      <c r="AL165" s="125">
        <f>IF($F$3="NO",0,224.5)</f>
        <v>224.5</v>
      </c>
      <c r="AM165" s="125">
        <f t="shared" si="21"/>
        <v>224.5</v>
      </c>
      <c r="AN165" s="125">
        <f>AH165*Valores!$C$70</f>
        <v>-20635.798150000006</v>
      </c>
      <c r="AO165" s="125">
        <f>AH165*-Valores!$C$71</f>
        <v>0</v>
      </c>
      <c r="AP165" s="125">
        <f>AH165*Valores!$C$72</f>
        <v>-8441.917425000001</v>
      </c>
      <c r="AQ165" s="125">
        <f>Valores!$C$99</f>
        <v>-280.91</v>
      </c>
      <c r="AR165" s="125">
        <f>IF($F$5=0,Valores!$C$100,(Valores!$C$100+$F$5*(Valores!$C$100)))</f>
        <v>-329</v>
      </c>
      <c r="AS165" s="125">
        <f t="shared" si="24"/>
        <v>158135.03942500002</v>
      </c>
      <c r="AT165" s="125">
        <f t="shared" si="18"/>
        <v>-20635.798150000006</v>
      </c>
      <c r="AU165" s="125">
        <f>AH165*Valores!$C$73</f>
        <v>-5065.150455000001</v>
      </c>
      <c r="AV165" s="125">
        <f>AH165*Valores!$C$74</f>
        <v>-562.7944950000001</v>
      </c>
      <c r="AW165" s="125">
        <f t="shared" si="22"/>
        <v>161558.92190000002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2135.62</v>
      </c>
      <c r="G166" s="192">
        <v>2352</v>
      </c>
      <c r="H166" s="125">
        <f>ROUND(G166*Valores!$C$2,2)</f>
        <v>60517.9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14996.65</v>
      </c>
      <c r="N166" s="125">
        <f t="shared" si="19"/>
        <v>0</v>
      </c>
      <c r="O166" s="125">
        <f>Valores!$C$16</f>
        <v>22234.39</v>
      </c>
      <c r="P166" s="125">
        <f>Valores!$D$5</f>
        <v>13153.38</v>
      </c>
      <c r="Q166" s="125">
        <v>0</v>
      </c>
      <c r="R166" s="125">
        <f>IF($F$4="NO",Valores!$C$46,Valores!$C$46/2)</f>
        <v>7073.445</v>
      </c>
      <c r="S166" s="125">
        <f>Valores!$C$19</f>
        <v>12239.42</v>
      </c>
      <c r="T166" s="125">
        <f t="shared" si="25"/>
        <v>12239.42</v>
      </c>
      <c r="U166" s="125">
        <v>0</v>
      </c>
      <c r="V166" s="125">
        <v>0</v>
      </c>
      <c r="W166" s="192">
        <v>700</v>
      </c>
      <c r="X166" s="125">
        <f>ROUND(W166*Valores!$C$2,2)</f>
        <v>18011.28</v>
      </c>
      <c r="Y166" s="125">
        <f>ROUND(SUM(J166,H166,F166,R166)*Valores!$C$3,2)</f>
        <v>10459.04</v>
      </c>
      <c r="Z166" s="125">
        <f>Valores!$C$95</f>
        <v>11521.74</v>
      </c>
      <c r="AA166" s="125">
        <f>Valores!$C$25</f>
        <v>537.98</v>
      </c>
      <c r="AB166" s="214">
        <v>0</v>
      </c>
      <c r="AC166" s="125">
        <f t="shared" si="20"/>
        <v>0</v>
      </c>
      <c r="AD166" s="125">
        <f>Valores!$C$26</f>
        <v>537.98</v>
      </c>
      <c r="AE166" s="192">
        <v>94</v>
      </c>
      <c r="AF166" s="125">
        <f>ROUND(AE166*Valores!$C$2,2)</f>
        <v>2418.66</v>
      </c>
      <c r="AG166" s="125">
        <f>ROUND(IF($F$4="NO",Valores!$C$62,Valores!$C$62/2),2)</f>
        <v>3203.47</v>
      </c>
      <c r="AH166" s="125">
        <f t="shared" si="23"/>
        <v>179040.95500000005</v>
      </c>
      <c r="AI166" s="125">
        <f>Valores!$C$31</f>
        <v>0</v>
      </c>
      <c r="AJ166" s="125">
        <f>Valores!$C$88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AH166*Valores!$C$70</f>
        <v>-19694.505050000003</v>
      </c>
      <c r="AO166" s="125">
        <f>AH166*-Valores!$C$71</f>
        <v>0</v>
      </c>
      <c r="AP166" s="125">
        <f>AH166*Valores!$C$72</f>
        <v>-8056.842975000001</v>
      </c>
      <c r="AQ166" s="125">
        <f>Valores!$C$99</f>
        <v>-280.91</v>
      </c>
      <c r="AR166" s="125">
        <f>IF($F$5=0,Valores!$C$100,(Valores!$C$100+$F$5*(Valores!$C$100)))</f>
        <v>-329</v>
      </c>
      <c r="AS166" s="125">
        <f t="shared" si="24"/>
        <v>150679.69697500003</v>
      </c>
      <c r="AT166" s="125">
        <f t="shared" si="18"/>
        <v>-19694.505050000003</v>
      </c>
      <c r="AU166" s="125">
        <f>AH166*Valores!$C$73</f>
        <v>-4834.105785000002</v>
      </c>
      <c r="AV166" s="125">
        <f>AH166*Valores!$C$74</f>
        <v>-537.1228650000002</v>
      </c>
      <c r="AW166" s="125">
        <f t="shared" si="22"/>
        <v>153975.22130000003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2135.62</v>
      </c>
      <c r="G167" s="192">
        <v>2092</v>
      </c>
      <c r="H167" s="125">
        <f>ROUND(G167*Valores!$C$2,2)</f>
        <v>53828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13993.16</v>
      </c>
      <c r="N167" s="125">
        <f t="shared" si="19"/>
        <v>0</v>
      </c>
      <c r="O167" s="125">
        <f>Valores!$C$16</f>
        <v>22234.39</v>
      </c>
      <c r="P167" s="125">
        <f>Valores!$D$5</f>
        <v>13153.38</v>
      </c>
      <c r="Q167" s="125">
        <v>0</v>
      </c>
      <c r="R167" s="125">
        <f>IF($F$4="NO",Valores!$C$46,Valores!$C$46/2)</f>
        <v>7073.445</v>
      </c>
      <c r="S167" s="125">
        <f>Valores!$C$19</f>
        <v>12239.42</v>
      </c>
      <c r="T167" s="125">
        <f t="shared" si="25"/>
        <v>12239.42</v>
      </c>
      <c r="U167" s="125">
        <v>0</v>
      </c>
      <c r="V167" s="125">
        <v>0</v>
      </c>
      <c r="W167" s="192">
        <v>700</v>
      </c>
      <c r="X167" s="125">
        <f>ROUND(W167*Valores!$C$2,2)</f>
        <v>18011.28</v>
      </c>
      <c r="Y167" s="125">
        <f>ROUND(SUM(J167,H167,F167,R167)*Valores!$C$3,2)</f>
        <v>9455.56</v>
      </c>
      <c r="Z167" s="125">
        <f>Valores!$C$95</f>
        <v>11521.74</v>
      </c>
      <c r="AA167" s="125">
        <f>Valores!$C$25</f>
        <v>537.98</v>
      </c>
      <c r="AB167" s="214">
        <v>0</v>
      </c>
      <c r="AC167" s="125">
        <f t="shared" si="20"/>
        <v>0</v>
      </c>
      <c r="AD167" s="125">
        <f>Valores!$C$26</f>
        <v>537.98</v>
      </c>
      <c r="AE167" s="192">
        <v>94</v>
      </c>
      <c r="AF167" s="125">
        <f>ROUND(AE167*Valores!$C$2,2)</f>
        <v>2418.66</v>
      </c>
      <c r="AG167" s="125">
        <f>ROUND(IF($F$4="NO",Valores!$C$62,Valores!$C$62/2),2)</f>
        <v>3203.47</v>
      </c>
      <c r="AH167" s="125">
        <f t="shared" si="23"/>
        <v>170344.08500000002</v>
      </c>
      <c r="AI167" s="125">
        <f>Valores!$C$31</f>
        <v>0</v>
      </c>
      <c r="AJ167" s="125">
        <f>Valores!$C$88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AH167*Valores!$C$70</f>
        <v>-18737.849350000004</v>
      </c>
      <c r="AO167" s="125">
        <f>AH167*-Valores!$C$71</f>
        <v>0</v>
      </c>
      <c r="AP167" s="125">
        <f>AH167*Valores!$C$72</f>
        <v>-7665.483825</v>
      </c>
      <c r="AQ167" s="125">
        <f>Valores!$C$99</f>
        <v>-280.91</v>
      </c>
      <c r="AR167" s="125">
        <f>IF($F$5=0,Valores!$C$100,(Valores!$C$100+$F$5*(Valores!$C$100)))</f>
        <v>-329</v>
      </c>
      <c r="AS167" s="125">
        <f t="shared" si="24"/>
        <v>143330.841825</v>
      </c>
      <c r="AT167" s="125">
        <f t="shared" si="18"/>
        <v>-18737.849350000004</v>
      </c>
      <c r="AU167" s="125">
        <f>AH167*Valores!$C$73</f>
        <v>-4599.290295000001</v>
      </c>
      <c r="AV167" s="125">
        <f>AH167*Valores!$C$74</f>
        <v>-511.0322550000001</v>
      </c>
      <c r="AW167" s="125">
        <f t="shared" si="22"/>
        <v>146495.9131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2109.89</v>
      </c>
      <c r="G168" s="192">
        <v>1941</v>
      </c>
      <c r="H168" s="125">
        <f>ROUND(G168*Valores!$C$2,2)</f>
        <v>49942.71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13406.51</v>
      </c>
      <c r="N168" s="125">
        <f t="shared" si="19"/>
        <v>0</v>
      </c>
      <c r="O168" s="125">
        <f>Valores!$C$16</f>
        <v>22234.39</v>
      </c>
      <c r="P168" s="125">
        <f>Valores!$D$5</f>
        <v>13153.38</v>
      </c>
      <c r="Q168" s="125">
        <v>0</v>
      </c>
      <c r="R168" s="125">
        <f>IF($F$4="NO",Valores!$C$46,Valores!$C$46/2)</f>
        <v>7073.445</v>
      </c>
      <c r="S168" s="125">
        <f>Valores!$C$19</f>
        <v>12239.42</v>
      </c>
      <c r="T168" s="125">
        <f t="shared" si="25"/>
        <v>12239.42</v>
      </c>
      <c r="U168" s="125">
        <v>0</v>
      </c>
      <c r="V168" s="125">
        <v>0</v>
      </c>
      <c r="W168" s="192">
        <v>700</v>
      </c>
      <c r="X168" s="125">
        <f>ROUND(W168*Valores!$C$2,2)</f>
        <v>18011.28</v>
      </c>
      <c r="Y168" s="125">
        <f>ROUND(SUM(J168,H168,F168,R168)*Valores!$C$3,2)</f>
        <v>8868.91</v>
      </c>
      <c r="Z168" s="125">
        <f>Valores!$C$95</f>
        <v>11521.74</v>
      </c>
      <c r="AA168" s="125">
        <f>Valores!$C$25</f>
        <v>537.98</v>
      </c>
      <c r="AB168" s="214">
        <v>0</v>
      </c>
      <c r="AC168" s="125">
        <f t="shared" si="20"/>
        <v>0</v>
      </c>
      <c r="AD168" s="125">
        <f>Valores!$C$26</f>
        <v>537.98</v>
      </c>
      <c r="AE168" s="192">
        <v>94</v>
      </c>
      <c r="AF168" s="125">
        <f>ROUND(AE168*Valores!$C$2,2)</f>
        <v>2418.66</v>
      </c>
      <c r="AG168" s="125">
        <f>ROUND(IF($F$4="NO",Valores!$C$62,Valores!$C$62/2),2)</f>
        <v>3203.47</v>
      </c>
      <c r="AH168" s="125">
        <f t="shared" si="23"/>
        <v>165259.76500000004</v>
      </c>
      <c r="AI168" s="125">
        <f>Valores!$C$31</f>
        <v>0</v>
      </c>
      <c r="AJ168" s="125">
        <f>Valores!$C$88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AH168*Valores!$C$70</f>
        <v>-18178.574150000004</v>
      </c>
      <c r="AO168" s="125">
        <f>AH168*-Valores!$C$71</f>
        <v>0</v>
      </c>
      <c r="AP168" s="125">
        <f>AH168*Valores!$C$72</f>
        <v>-7436.689425000001</v>
      </c>
      <c r="AQ168" s="125">
        <f>Valores!$C$99</f>
        <v>-280.91</v>
      </c>
      <c r="AR168" s="125">
        <f>IF($F$5=0,Valores!$C$100,(Valores!$C$100+$F$5*(Valores!$C$100)))</f>
        <v>-329</v>
      </c>
      <c r="AS168" s="125">
        <f t="shared" si="24"/>
        <v>139034.59142500005</v>
      </c>
      <c r="AT168" s="125">
        <f t="shared" si="18"/>
        <v>-18178.574150000004</v>
      </c>
      <c r="AU168" s="125">
        <f>AH168*Valores!$C$73</f>
        <v>-4462.013655000002</v>
      </c>
      <c r="AV168" s="125">
        <f>AH168*Valores!$C$74</f>
        <v>-495.77929500000016</v>
      </c>
      <c r="AW168" s="125">
        <f t="shared" si="22"/>
        <v>142123.39790000004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2032.7</v>
      </c>
      <c r="G169" s="192">
        <v>2161</v>
      </c>
      <c r="H169" s="125">
        <f>ROUND(G169*Valores!$C$2,2)</f>
        <v>55603.39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14244.04</v>
      </c>
      <c r="N169" s="125">
        <f t="shared" si="19"/>
        <v>0</v>
      </c>
      <c r="O169" s="125">
        <f>Valores!$C$16</f>
        <v>22234.39</v>
      </c>
      <c r="P169" s="125">
        <f>Valores!$D$5</f>
        <v>13153.38</v>
      </c>
      <c r="Q169" s="125">
        <v>0</v>
      </c>
      <c r="R169" s="125">
        <f>IF($F$4="NO",Valores!$C$46,Valores!$C$46/2)</f>
        <v>7073.445</v>
      </c>
      <c r="S169" s="125">
        <f>Valores!$C$19</f>
        <v>12239.42</v>
      </c>
      <c r="T169" s="125">
        <f t="shared" si="25"/>
        <v>12239.42</v>
      </c>
      <c r="U169" s="125">
        <v>0</v>
      </c>
      <c r="V169" s="125">
        <v>0</v>
      </c>
      <c r="W169" s="192">
        <v>700</v>
      </c>
      <c r="X169" s="125">
        <f>ROUND(W169*Valores!$C$2,2)</f>
        <v>18011.28</v>
      </c>
      <c r="Y169" s="125">
        <f>ROUND(SUM(J169,H169,F169,R169)*Valores!$C$3,2)</f>
        <v>9706.43</v>
      </c>
      <c r="Z169" s="125">
        <f>Valores!$C$95</f>
        <v>11521.74</v>
      </c>
      <c r="AA169" s="125">
        <f>Valores!$C$25</f>
        <v>537.98</v>
      </c>
      <c r="AB169" s="214">
        <v>0</v>
      </c>
      <c r="AC169" s="125">
        <f t="shared" si="20"/>
        <v>0</v>
      </c>
      <c r="AD169" s="125">
        <f>Valores!$C$26</f>
        <v>537.98</v>
      </c>
      <c r="AE169" s="192">
        <v>94</v>
      </c>
      <c r="AF169" s="125">
        <f>ROUND(AE169*Valores!$C$2,2)</f>
        <v>2418.66</v>
      </c>
      <c r="AG169" s="125">
        <f>ROUND(IF($F$4="NO",Valores!$C$62,Valores!$C$62/2),2)</f>
        <v>3203.47</v>
      </c>
      <c r="AH169" s="125">
        <f t="shared" si="23"/>
        <v>172518.305</v>
      </c>
      <c r="AI169" s="125">
        <f>Valores!$C$31</f>
        <v>0</v>
      </c>
      <c r="AJ169" s="125">
        <f>Valores!$C$88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AH169*Valores!$C$70</f>
        <v>-18977.01355</v>
      </c>
      <c r="AO169" s="125">
        <f>AH169*-Valores!$C$71</f>
        <v>0</v>
      </c>
      <c r="AP169" s="125">
        <f>AH169*Valores!$C$72</f>
        <v>-7763.323724999999</v>
      </c>
      <c r="AQ169" s="125">
        <f>Valores!$C$99</f>
        <v>-280.91</v>
      </c>
      <c r="AR169" s="125">
        <f>IF($F$5=0,Valores!$C$100,(Valores!$C$100+$F$5*(Valores!$C$100)))</f>
        <v>-329</v>
      </c>
      <c r="AS169" s="125">
        <f t="shared" si="24"/>
        <v>145168.057725</v>
      </c>
      <c r="AT169" s="125">
        <f t="shared" si="18"/>
        <v>-18977.01355</v>
      </c>
      <c r="AU169" s="125">
        <f>AH169*Valores!$C$73</f>
        <v>-4657.994235</v>
      </c>
      <c r="AV169" s="125">
        <f>AH169*Valores!$C$74</f>
        <v>-517.5549149999999</v>
      </c>
      <c r="AW169" s="125">
        <f t="shared" si="22"/>
        <v>148365.74229999998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2521.58</v>
      </c>
      <c r="G170" s="192">
        <v>2686</v>
      </c>
      <c r="H170" s="125">
        <f>ROUND(G170*Valores!$C$2,2)</f>
        <v>69111.85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16343.64</v>
      </c>
      <c r="N170" s="125">
        <f t="shared" si="19"/>
        <v>0</v>
      </c>
      <c r="O170" s="125">
        <f>Valores!$C$16</f>
        <v>22234.39</v>
      </c>
      <c r="P170" s="125">
        <f>Valores!$D$5</f>
        <v>13153.38</v>
      </c>
      <c r="Q170" s="125">
        <v>0</v>
      </c>
      <c r="R170" s="125">
        <f>IF($F$4="NO",Valores!$C$46,Valores!$C$46/2)</f>
        <v>7073.445</v>
      </c>
      <c r="S170" s="125">
        <f>Valores!$C$19</f>
        <v>12239.42</v>
      </c>
      <c r="T170" s="125">
        <f t="shared" si="25"/>
        <v>12239.42</v>
      </c>
      <c r="U170" s="125">
        <v>0</v>
      </c>
      <c r="V170" s="125">
        <v>0</v>
      </c>
      <c r="W170" s="192">
        <v>700</v>
      </c>
      <c r="X170" s="125">
        <f>ROUND(W170*Valores!$C$2,2)</f>
        <v>18011.28</v>
      </c>
      <c r="Y170" s="125">
        <f>ROUND(SUM(J170,H170,F170,R170)*Valores!$C$3,2)</f>
        <v>11806.03</v>
      </c>
      <c r="Z170" s="125">
        <f>Valores!$C$95</f>
        <v>11521.74</v>
      </c>
      <c r="AA170" s="125">
        <f>Valores!$C$25</f>
        <v>537.98</v>
      </c>
      <c r="AB170" s="214">
        <v>0</v>
      </c>
      <c r="AC170" s="125">
        <f t="shared" si="20"/>
        <v>0</v>
      </c>
      <c r="AD170" s="125">
        <f>Valores!$C$26</f>
        <v>537.98</v>
      </c>
      <c r="AE170" s="192">
        <v>0</v>
      </c>
      <c r="AF170" s="125">
        <f>ROUND(AE170*Valores!$C$2,2)</f>
        <v>0</v>
      </c>
      <c r="AG170" s="125">
        <f>ROUND(IF($F$4="NO",Valores!$C$62,Valores!$C$62/2),2)</f>
        <v>3203.47</v>
      </c>
      <c r="AH170" s="125">
        <f t="shared" si="23"/>
        <v>188296.18500000003</v>
      </c>
      <c r="AI170" s="125">
        <f>Valores!$C$31</f>
        <v>0</v>
      </c>
      <c r="AJ170" s="125">
        <f>Valores!$C$88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AH170*Valores!$C$70</f>
        <v>-20712.580350000004</v>
      </c>
      <c r="AO170" s="125">
        <f>AH170*-Valores!$C$71</f>
        <v>0</v>
      </c>
      <c r="AP170" s="125">
        <f>AH170*Valores!$C$72</f>
        <v>-8473.328325</v>
      </c>
      <c r="AQ170" s="125">
        <f>Valores!$C$99</f>
        <v>-280.91</v>
      </c>
      <c r="AR170" s="125">
        <f>IF($F$5=0,Valores!$C$100,(Valores!$C$100+$F$5*(Valores!$C$100)))</f>
        <v>-329</v>
      </c>
      <c r="AS170" s="125">
        <f t="shared" si="24"/>
        <v>158500.366325</v>
      </c>
      <c r="AT170" s="125">
        <f t="shared" si="18"/>
        <v>-20712.580350000004</v>
      </c>
      <c r="AU170" s="125">
        <f>AH170*Valores!$C$73</f>
        <v>-5083.996995</v>
      </c>
      <c r="AV170" s="125">
        <f>AH170*Valores!$C$74</f>
        <v>-564.8885550000001</v>
      </c>
      <c r="AW170" s="125">
        <f t="shared" si="22"/>
        <v>161934.71910000002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2392.93</v>
      </c>
      <c r="G171" s="192">
        <v>2547</v>
      </c>
      <c r="H171" s="125">
        <f>ROUND(G171*Valores!$C$2,2)</f>
        <v>65535.33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15787.86</v>
      </c>
      <c r="N171" s="125">
        <f t="shared" si="19"/>
        <v>0</v>
      </c>
      <c r="O171" s="125">
        <f>Valores!$C$16</f>
        <v>22234.39</v>
      </c>
      <c r="P171" s="125">
        <f>Valores!$D$5</f>
        <v>13153.38</v>
      </c>
      <c r="Q171" s="125">
        <v>0</v>
      </c>
      <c r="R171" s="125">
        <f>IF($F$4="NO",Valores!$C$46,Valores!$C$46/2)</f>
        <v>7073.445</v>
      </c>
      <c r="S171" s="125">
        <f>Valores!$C$19</f>
        <v>12239.42</v>
      </c>
      <c r="T171" s="125">
        <f t="shared" si="25"/>
        <v>12239.42</v>
      </c>
      <c r="U171" s="125">
        <v>0</v>
      </c>
      <c r="V171" s="125">
        <v>0</v>
      </c>
      <c r="W171" s="192">
        <v>700</v>
      </c>
      <c r="X171" s="125">
        <f>ROUND(W171*Valores!$C$2,2)</f>
        <v>18011.28</v>
      </c>
      <c r="Y171" s="125">
        <f>ROUND(SUM(J171,H171,F171,R171)*Valores!$C$3,2)</f>
        <v>11250.26</v>
      </c>
      <c r="Z171" s="125">
        <f>Valores!$C$95</f>
        <v>11521.74</v>
      </c>
      <c r="AA171" s="125">
        <f>Valores!$C$25</f>
        <v>537.98</v>
      </c>
      <c r="AB171" s="214">
        <v>0</v>
      </c>
      <c r="AC171" s="125">
        <f t="shared" si="20"/>
        <v>0</v>
      </c>
      <c r="AD171" s="125">
        <f>Valores!$C$26</f>
        <v>537.98</v>
      </c>
      <c r="AE171" s="192">
        <v>0</v>
      </c>
      <c r="AF171" s="125">
        <f>ROUND(AE171*Valores!$C$2,2)</f>
        <v>0</v>
      </c>
      <c r="AG171" s="125">
        <f>ROUND(IF($F$4="NO",Valores!$C$62,Valores!$C$62/2),2)</f>
        <v>3203.47</v>
      </c>
      <c r="AH171" s="125">
        <f t="shared" si="23"/>
        <v>183479.46500000003</v>
      </c>
      <c r="AI171" s="125">
        <f>Valores!$C$31</f>
        <v>0</v>
      </c>
      <c r="AJ171" s="125">
        <f>Valores!$C$88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AH171*Valores!$C$70</f>
        <v>-20182.74115</v>
      </c>
      <c r="AO171" s="125">
        <f>AH171*-Valores!$C$71</f>
        <v>0</v>
      </c>
      <c r="AP171" s="125">
        <f>AH171*Valores!$C$72</f>
        <v>-8256.575925000001</v>
      </c>
      <c r="AQ171" s="125">
        <f>Valores!$C$99</f>
        <v>-280.91</v>
      </c>
      <c r="AR171" s="125">
        <f>IF($F$5=0,Valores!$C$100,(Valores!$C$100+$F$5*(Valores!$C$100)))</f>
        <v>-329</v>
      </c>
      <c r="AS171" s="125">
        <f t="shared" si="24"/>
        <v>154430.23792500002</v>
      </c>
      <c r="AT171" s="125">
        <f t="shared" si="18"/>
        <v>-20182.74115</v>
      </c>
      <c r="AU171" s="125">
        <f>AH171*Valores!$C$73</f>
        <v>-4953.945555</v>
      </c>
      <c r="AV171" s="125">
        <f>AH171*Valores!$C$74</f>
        <v>-550.4383950000001</v>
      </c>
      <c r="AW171" s="125">
        <f t="shared" si="22"/>
        <v>157792.33990000002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32883.45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11303.05</v>
      </c>
      <c r="N172" s="125">
        <f t="shared" si="19"/>
        <v>0</v>
      </c>
      <c r="O172" s="125">
        <f>Valores!$C$16</f>
        <v>22234.39</v>
      </c>
      <c r="P172" s="125">
        <f>Valores!$D$5</f>
        <v>13153.38</v>
      </c>
      <c r="Q172" s="125">
        <v>0</v>
      </c>
      <c r="R172" s="125">
        <f>IF($F$4="NO",Valores!$C$46,Valores!$C$46/2)</f>
        <v>7073.445</v>
      </c>
      <c r="S172" s="125">
        <f>Valores!$C$19</f>
        <v>12239.42</v>
      </c>
      <c r="T172" s="125">
        <f t="shared" si="25"/>
        <v>12239.42</v>
      </c>
      <c r="U172" s="125">
        <v>0</v>
      </c>
      <c r="V172" s="125">
        <v>0</v>
      </c>
      <c r="W172" s="192">
        <v>900</v>
      </c>
      <c r="X172" s="125">
        <f>ROUND(W172*Valores!$C$2,2)</f>
        <v>23157.36</v>
      </c>
      <c r="Y172" s="125">
        <f>ROUND(SUM(J172,H172,F172,R172)*Valores!$C$3,2)</f>
        <v>5993.53</v>
      </c>
      <c r="Z172" s="125">
        <f>Valores!$C$95</f>
        <v>11521.74</v>
      </c>
      <c r="AA172" s="125">
        <f>Valores!$C$25</f>
        <v>537.98</v>
      </c>
      <c r="AB172" s="214">
        <v>0</v>
      </c>
      <c r="AC172" s="125">
        <f t="shared" si="20"/>
        <v>0</v>
      </c>
      <c r="AD172" s="125">
        <f>Valores!$C$26</f>
        <v>537.98</v>
      </c>
      <c r="AE172" s="192">
        <v>94</v>
      </c>
      <c r="AF172" s="125">
        <f>ROUND(AE172*Valores!$C$2,2)</f>
        <v>2418.66</v>
      </c>
      <c r="AG172" s="125">
        <f>ROUND(IF($F$4="NO",Valores!$C$62,Valores!$C$62/2),2)</f>
        <v>3203.47</v>
      </c>
      <c r="AH172" s="125">
        <f t="shared" si="23"/>
        <v>146257.855</v>
      </c>
      <c r="AI172" s="125">
        <f>Valores!$C$31</f>
        <v>0</v>
      </c>
      <c r="AJ172" s="125">
        <f>Valores!$C$88</f>
        <v>0</v>
      </c>
      <c r="AK172" s="125">
        <f>Valores!C$38*B172</f>
        <v>0</v>
      </c>
      <c r="AL172" s="125">
        <f>IF($F$3="NO",0,Valores!$C$54)</f>
        <v>327.6</v>
      </c>
      <c r="AM172" s="125">
        <f t="shared" si="21"/>
        <v>327.6</v>
      </c>
      <c r="AN172" s="125">
        <f>AH172*Valores!$C$70</f>
        <v>-16088.364050000002</v>
      </c>
      <c r="AO172" s="125">
        <f>AH172*-Valores!$C$71</f>
        <v>0</v>
      </c>
      <c r="AP172" s="125">
        <f>AH172*Valores!$C$72</f>
        <v>-6581.603475</v>
      </c>
      <c r="AQ172" s="125">
        <f>Valores!$C$99</f>
        <v>-280.91</v>
      </c>
      <c r="AR172" s="125">
        <f>IF($F$5=0,Valores!$C$100,(Valores!$C$100+$F$5*(Valores!$C$100)))</f>
        <v>-329</v>
      </c>
      <c r="AS172" s="125">
        <f t="shared" si="24"/>
        <v>123305.57747500001</v>
      </c>
      <c r="AT172" s="125">
        <f t="shared" si="18"/>
        <v>-16088.364050000002</v>
      </c>
      <c r="AU172" s="125">
        <f>AH172*Valores!$C$73</f>
        <v>-3948.962085</v>
      </c>
      <c r="AV172" s="125">
        <f>AH172*Valores!$C$74</f>
        <v>-438.773565</v>
      </c>
      <c r="AW172" s="125">
        <f t="shared" si="22"/>
        <v>126109.35530000001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5583.5</v>
      </c>
      <c r="G173" s="192">
        <f>2245</f>
        <v>2245</v>
      </c>
      <c r="H173" s="125">
        <f>ROUND(G173*Valores!$C$2,2)</f>
        <v>57764.75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33449.52</v>
      </c>
      <c r="M173" s="125">
        <f>ROUND(IF($H$2=0,IF(AND(A173&lt;&gt;"13-930",A173&lt;&gt;"13-940"),(SUM(F173,H173,J173,L173,X173,T173,R173)*Valores!$C$4),0),0),2)</f>
        <v>17416.6</v>
      </c>
      <c r="N173" s="125">
        <f t="shared" si="19"/>
        <v>0</v>
      </c>
      <c r="O173" s="125">
        <f>Valores!$C$9</f>
        <v>28480.68</v>
      </c>
      <c r="P173" s="125">
        <f>Valores!$D$5</f>
        <v>13153.38</v>
      </c>
      <c r="Q173" s="125">
        <f>Valores!$C$22</f>
        <v>11734.9</v>
      </c>
      <c r="R173" s="125">
        <f>IF($F$4="NO",Valores!$C$46,Valores!$C$46/2)</f>
        <v>7073.445</v>
      </c>
      <c r="S173" s="125">
        <f>Valores!$C$19</f>
        <v>12239.42</v>
      </c>
      <c r="T173" s="125">
        <f t="shared" si="25"/>
        <v>12239.42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Valores!$C$95</f>
        <v>11521.74</v>
      </c>
      <c r="AA173" s="125">
        <f>Valores!$C$25</f>
        <v>537.98</v>
      </c>
      <c r="AB173" s="214">
        <v>0</v>
      </c>
      <c r="AC173" s="125">
        <f t="shared" si="20"/>
        <v>0</v>
      </c>
      <c r="AD173" s="125">
        <f>Valores!$C$26</f>
        <v>537.98</v>
      </c>
      <c r="AE173" s="192">
        <v>0</v>
      </c>
      <c r="AF173" s="125">
        <f>ROUND(AE173*Valores!$C$2,2)</f>
        <v>0</v>
      </c>
      <c r="AG173" s="125">
        <f>ROUND(IF($F$4="NO",Valores!$C$62,Valores!$C$62/2),2)</f>
        <v>3203.47</v>
      </c>
      <c r="AH173" s="125">
        <f t="shared" si="23"/>
        <v>202697.36500000002</v>
      </c>
      <c r="AI173" s="125">
        <f>Valores!$C$31</f>
        <v>0</v>
      </c>
      <c r="AJ173" s="125">
        <f>Valores!$C$88</f>
        <v>0</v>
      </c>
      <c r="AK173" s="125">
        <f>Valores!C$38*B173</f>
        <v>0</v>
      </c>
      <c r="AL173" s="125">
        <f>IF($F$3="NO",0,Valores!$C$54)</f>
        <v>327.6</v>
      </c>
      <c r="AM173" s="125">
        <f t="shared" si="21"/>
        <v>327.6</v>
      </c>
      <c r="AN173" s="125">
        <f>AH173*Valores!$C$70</f>
        <v>-22296.710150000003</v>
      </c>
      <c r="AO173" s="125">
        <f>AH173*-Valores!$C$71</f>
        <v>0</v>
      </c>
      <c r="AP173" s="125">
        <f>AH173*Valores!$C$72</f>
        <v>-9121.381425000001</v>
      </c>
      <c r="AQ173" s="125">
        <f>Valores!$C$99</f>
        <v>-280.91</v>
      </c>
      <c r="AR173" s="125">
        <f>IF($F$5=0,Valores!$C$100,(Valores!$C$100+$F$5*(Valores!$C$100)))</f>
        <v>-329</v>
      </c>
      <c r="AS173" s="125">
        <f t="shared" si="24"/>
        <v>170996.96342500002</v>
      </c>
      <c r="AT173" s="125">
        <f t="shared" si="18"/>
        <v>-22296.710150000003</v>
      </c>
      <c r="AU173" s="125">
        <f>AH173*Valores!$C$73</f>
        <v>-5472.828855000001</v>
      </c>
      <c r="AV173" s="125">
        <f>AH173*Valores!$C$74</f>
        <v>-608.0920950000001</v>
      </c>
      <c r="AW173" s="125">
        <f t="shared" si="22"/>
        <v>174647.33390000003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4760.12</v>
      </c>
      <c r="G174" s="192">
        <f>1835</f>
        <v>1835</v>
      </c>
      <c r="H174" s="125">
        <f>ROUND(G174*Valores!$C$2,2)</f>
        <v>47215.28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33449.52</v>
      </c>
      <c r="M174" s="125">
        <f>ROUND(IF($H$2=0,IF(AND(A174&lt;&gt;"13-930",A174&lt;&gt;"13-940"),(SUM(F174,H174,J174,L174,X174,T174,R174)*Valores!$C$4),0),0),2)</f>
        <v>15710.67</v>
      </c>
      <c r="N174" s="125">
        <f t="shared" si="19"/>
        <v>0</v>
      </c>
      <c r="O174" s="125">
        <f>Valores!$C$9</f>
        <v>28480.68</v>
      </c>
      <c r="P174" s="125">
        <f>Valores!$D$5</f>
        <v>13153.38</v>
      </c>
      <c r="Q174" s="125">
        <f>Valores!$C$22</f>
        <v>11734.9</v>
      </c>
      <c r="R174" s="125">
        <f>IF($F$4="NO",Valores!$C$46,Valores!$C$46/2)</f>
        <v>7073.445</v>
      </c>
      <c r="S174" s="125">
        <f>Valores!$C$19</f>
        <v>12239.42</v>
      </c>
      <c r="T174" s="125">
        <f t="shared" si="25"/>
        <v>12239.42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Valores!$C$95</f>
        <v>11521.74</v>
      </c>
      <c r="AA174" s="125">
        <f>Valores!$C$25</f>
        <v>537.98</v>
      </c>
      <c r="AB174" s="214">
        <v>0</v>
      </c>
      <c r="AC174" s="125">
        <f t="shared" si="20"/>
        <v>0</v>
      </c>
      <c r="AD174" s="125">
        <f>Valores!$C$26</f>
        <v>537.98</v>
      </c>
      <c r="AE174" s="192">
        <v>0</v>
      </c>
      <c r="AF174" s="125">
        <f>ROUND(AE174*Valores!$C$2,2)</f>
        <v>0</v>
      </c>
      <c r="AG174" s="125">
        <f>ROUND(IF($F$4="NO",Valores!$C$62,Valores!$C$62/2),2)</f>
        <v>3203.47</v>
      </c>
      <c r="AH174" s="125">
        <f t="shared" si="23"/>
        <v>189618.58500000002</v>
      </c>
      <c r="AI174" s="125">
        <f>Valores!$C$31</f>
        <v>0</v>
      </c>
      <c r="AJ174" s="125">
        <f>Valores!$C$88</f>
        <v>0</v>
      </c>
      <c r="AK174" s="125">
        <f>Valores!C$38*B174</f>
        <v>0</v>
      </c>
      <c r="AL174" s="125">
        <f>IF($F$3="NO",0,Valores!$C$54)</f>
        <v>327.6</v>
      </c>
      <c r="AM174" s="125">
        <f t="shared" si="21"/>
        <v>327.6</v>
      </c>
      <c r="AN174" s="125">
        <f>AH174*Valores!$C$70</f>
        <v>-20858.044350000004</v>
      </c>
      <c r="AO174" s="125">
        <f>AH174*-Valores!$C$71</f>
        <v>0</v>
      </c>
      <c r="AP174" s="125">
        <f>AH174*Valores!$C$72</f>
        <v>-8532.836325</v>
      </c>
      <c r="AQ174" s="125">
        <f>Valores!$C$99</f>
        <v>-280.91</v>
      </c>
      <c r="AR174" s="125">
        <f>IF($F$5=0,Valores!$C$100,(Valores!$C$100+$F$5*(Valores!$C$100)))</f>
        <v>-329</v>
      </c>
      <c r="AS174" s="125">
        <f t="shared" si="24"/>
        <v>159945.394325</v>
      </c>
      <c r="AT174" s="125">
        <f t="shared" si="18"/>
        <v>-20858.044350000004</v>
      </c>
      <c r="AU174" s="125">
        <f>AH174*Valores!$C$73</f>
        <v>-5119.701795000001</v>
      </c>
      <c r="AV174" s="125">
        <f>AH174*Valores!$C$74</f>
        <v>-568.855755</v>
      </c>
      <c r="AW174" s="125">
        <f t="shared" si="22"/>
        <v>163399.58310000002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4116.86</v>
      </c>
      <c r="G175" s="192">
        <f>1484</f>
        <v>1484</v>
      </c>
      <c r="H175" s="125">
        <f>ROUND(G175*Valores!$C$2,2)</f>
        <v>38183.91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33449.52</v>
      </c>
      <c r="M175" s="125">
        <f>ROUND(IF($H$2=0,IF(AND(A175&lt;&gt;"13-930",A175&lt;&gt;"13-940"),(SUM(F175,H175,J175,L175,X175,T175,R175)*Valores!$C$4),0),0),2)</f>
        <v>14259.47</v>
      </c>
      <c r="N175" s="125">
        <f t="shared" si="19"/>
        <v>0</v>
      </c>
      <c r="O175" s="125">
        <f>Valores!$C$9</f>
        <v>28480.68</v>
      </c>
      <c r="P175" s="125">
        <f>Valores!$D$5</f>
        <v>13153.38</v>
      </c>
      <c r="Q175" s="125">
        <f>Valores!$C$22</f>
        <v>11734.9</v>
      </c>
      <c r="R175" s="125">
        <f>IF($F$4="NO",Valores!$C$46,Valores!$C$46/2)</f>
        <v>7073.445</v>
      </c>
      <c r="S175" s="125">
        <f>Valores!$C$19</f>
        <v>12239.42</v>
      </c>
      <c r="T175" s="125">
        <f t="shared" si="25"/>
        <v>12239.42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Valores!$C$95</f>
        <v>11521.74</v>
      </c>
      <c r="AA175" s="125">
        <f>Valores!$C$25</f>
        <v>537.98</v>
      </c>
      <c r="AB175" s="214">
        <v>0</v>
      </c>
      <c r="AC175" s="125">
        <f t="shared" si="20"/>
        <v>0</v>
      </c>
      <c r="AD175" s="125">
        <f>Valores!$C$26</f>
        <v>537.98</v>
      </c>
      <c r="AE175" s="192">
        <v>0</v>
      </c>
      <c r="AF175" s="125">
        <f>ROUND(AE175*Valores!$C$2,2)</f>
        <v>0</v>
      </c>
      <c r="AG175" s="125">
        <f>ROUND(IF($F$4="NO",Valores!$C$62,Valores!$C$62/2),2)</f>
        <v>3203.47</v>
      </c>
      <c r="AH175" s="125">
        <f t="shared" si="23"/>
        <v>178492.75500000003</v>
      </c>
      <c r="AI175" s="125">
        <f>Valores!$C$31</f>
        <v>0</v>
      </c>
      <c r="AJ175" s="125">
        <f>Valores!$C$88</f>
        <v>0</v>
      </c>
      <c r="AK175" s="125">
        <f>Valores!C$38*B175</f>
        <v>0</v>
      </c>
      <c r="AL175" s="125">
        <f>IF($F$3="NO",0,Valores!$C$54)</f>
        <v>327.6</v>
      </c>
      <c r="AM175" s="125">
        <f t="shared" si="21"/>
        <v>327.6</v>
      </c>
      <c r="AN175" s="125">
        <f>AH175*Valores!$C$70</f>
        <v>-19634.203050000004</v>
      </c>
      <c r="AO175" s="125">
        <f>AH175*-Valores!$C$71</f>
        <v>0</v>
      </c>
      <c r="AP175" s="125">
        <f>AH175*Valores!$C$72</f>
        <v>-8032.1739750000015</v>
      </c>
      <c r="AQ175" s="125">
        <f>Valores!$C$99</f>
        <v>-280.91</v>
      </c>
      <c r="AR175" s="125">
        <f>IF($F$5=0,Valores!$C$100,(Valores!$C$100+$F$5*(Valores!$C$100)))</f>
        <v>-329</v>
      </c>
      <c r="AS175" s="125">
        <f t="shared" si="24"/>
        <v>150544.067975</v>
      </c>
      <c r="AT175" s="125">
        <f t="shared" si="18"/>
        <v>-19634.203050000004</v>
      </c>
      <c r="AU175" s="125">
        <f>AH175*Valores!$C$73</f>
        <v>-4819.304385000001</v>
      </c>
      <c r="AV175" s="125">
        <f>AH175*Valores!$C$74</f>
        <v>-535.4782650000001</v>
      </c>
      <c r="AW175" s="125">
        <f t="shared" si="22"/>
        <v>153831.36930000002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4580.01</v>
      </c>
      <c r="G176" s="192">
        <f>1842</f>
        <v>1842</v>
      </c>
      <c r="H176" s="125">
        <f>ROUND(G176*Valores!$C$2,2)</f>
        <v>47395.4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33449.52</v>
      </c>
      <c r="M176" s="125">
        <f>ROUND(IF($H$2=0,IF(AND(A176&lt;&gt;"13-930",A176&lt;&gt;"13-940"),(SUM(F176,H176,J176,L176,X176,T176,R176)*Valores!$C$4),0),0),2)</f>
        <v>15710.67</v>
      </c>
      <c r="N176" s="125">
        <f t="shared" si="19"/>
        <v>0</v>
      </c>
      <c r="O176" s="125">
        <f>Valores!$C$9</f>
        <v>28480.68</v>
      </c>
      <c r="P176" s="125">
        <f>Valores!$D$5</f>
        <v>13153.38</v>
      </c>
      <c r="Q176" s="125">
        <f>Valores!$C$22</f>
        <v>11734.9</v>
      </c>
      <c r="R176" s="125">
        <f>IF($F$4="NO",Valores!$C$46,Valores!$C$46/2)</f>
        <v>7073.445</v>
      </c>
      <c r="S176" s="125">
        <f>Valores!$C$19</f>
        <v>12239.42</v>
      </c>
      <c r="T176" s="125">
        <f t="shared" si="25"/>
        <v>12239.42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Valores!$C$95</f>
        <v>11521.74</v>
      </c>
      <c r="AA176" s="125">
        <f>Valores!$C$25</f>
        <v>537.98</v>
      </c>
      <c r="AB176" s="214">
        <v>0</v>
      </c>
      <c r="AC176" s="125">
        <f t="shared" si="20"/>
        <v>0</v>
      </c>
      <c r="AD176" s="125">
        <f>Valores!$C$26</f>
        <v>537.98</v>
      </c>
      <c r="AE176" s="192">
        <v>0</v>
      </c>
      <c r="AF176" s="125">
        <f>ROUND(AE176*Valores!$C$2,2)</f>
        <v>0</v>
      </c>
      <c r="AG176" s="125">
        <f>ROUND(IF($F$4="NO",Valores!$C$62,Valores!$C$62/2),2)</f>
        <v>3203.47</v>
      </c>
      <c r="AH176" s="125">
        <f t="shared" si="23"/>
        <v>189618.59500000003</v>
      </c>
      <c r="AI176" s="125">
        <f>Valores!$C$31</f>
        <v>0</v>
      </c>
      <c r="AJ176" s="125">
        <f>Valores!$C$88</f>
        <v>0</v>
      </c>
      <c r="AK176" s="125">
        <f>Valores!C$38*B176</f>
        <v>0</v>
      </c>
      <c r="AL176" s="125">
        <f>IF($F$3="NO",0,Valores!$C$54)</f>
        <v>327.6</v>
      </c>
      <c r="AM176" s="125">
        <f t="shared" si="21"/>
        <v>327.6</v>
      </c>
      <c r="AN176" s="125">
        <f>AH176*Valores!$C$70</f>
        <v>-20858.045450000005</v>
      </c>
      <c r="AO176" s="125">
        <f>AH176*-Valores!$C$71</f>
        <v>0</v>
      </c>
      <c r="AP176" s="125">
        <f>AH176*Valores!$C$72</f>
        <v>-8532.836775000002</v>
      </c>
      <c r="AQ176" s="125">
        <f>Valores!$C$99</f>
        <v>-280.91</v>
      </c>
      <c r="AR176" s="125">
        <f>IF($F$5=0,Valores!$C$100,(Valores!$C$100+$F$5*(Valores!$C$100)))</f>
        <v>-329</v>
      </c>
      <c r="AS176" s="125">
        <f t="shared" si="24"/>
        <v>159945.40277500002</v>
      </c>
      <c r="AT176" s="125">
        <f t="shared" si="18"/>
        <v>-20858.045450000005</v>
      </c>
      <c r="AU176" s="125">
        <f>AH176*Valores!$C$73</f>
        <v>-5119.702065</v>
      </c>
      <c r="AV176" s="125">
        <f>AH176*Valores!$C$74</f>
        <v>-568.8557850000001</v>
      </c>
      <c r="AW176" s="125">
        <f t="shared" si="22"/>
        <v>163399.59170000002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32883.45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30876.48</v>
      </c>
      <c r="M177" s="125">
        <f>ROUND(IF($H$2=0,IF(AND(A177&lt;&gt;"13-930",A177&lt;&gt;"13-940"),(SUM(F177,H177,J177,L177,X177,T177,R177)*Valores!$C$4),0),0),2)</f>
        <v>12460.92</v>
      </c>
      <c r="N177" s="125">
        <f t="shared" si="19"/>
        <v>0</v>
      </c>
      <c r="O177" s="125">
        <f>Valores!$C$16</f>
        <v>22234.39</v>
      </c>
      <c r="P177" s="125">
        <f>Valores!$D$5</f>
        <v>13153.38</v>
      </c>
      <c r="Q177" s="125">
        <f>Valores!$C$22</f>
        <v>11734.9</v>
      </c>
      <c r="R177" s="125">
        <f>IF($F$4="NO",Valores!$C$46,Valores!$C$46/2)</f>
        <v>7073.445</v>
      </c>
      <c r="S177" s="125">
        <f>Valores!$C$19</f>
        <v>12239.42</v>
      </c>
      <c r="T177" s="125">
        <f t="shared" si="25"/>
        <v>12239.42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Valores!$C$95</f>
        <v>11521.74</v>
      </c>
      <c r="AA177" s="125">
        <f>Valores!$C$25</f>
        <v>537.98</v>
      </c>
      <c r="AB177" s="214">
        <v>0</v>
      </c>
      <c r="AC177" s="125">
        <f t="shared" si="20"/>
        <v>0</v>
      </c>
      <c r="AD177" s="125">
        <f>Valores!$C$26</f>
        <v>537.98</v>
      </c>
      <c r="AE177" s="192">
        <v>0</v>
      </c>
      <c r="AF177" s="125">
        <f>ROUND(AE177*Valores!$C$2,2)</f>
        <v>0</v>
      </c>
      <c r="AG177" s="125">
        <f>ROUND(IF($F$4="NO",Valores!$C$62,Valores!$C$62/2),2)</f>
        <v>3203.47</v>
      </c>
      <c r="AH177" s="125">
        <f t="shared" si="23"/>
        <v>158457.55500000002</v>
      </c>
      <c r="AI177" s="125">
        <f>Valores!$C$31</f>
        <v>0</v>
      </c>
      <c r="AJ177" s="125">
        <f>Valores!$C$88</f>
        <v>0</v>
      </c>
      <c r="AK177" s="125">
        <f>Valores!C$38*B177</f>
        <v>0</v>
      </c>
      <c r="AL177" s="125">
        <f>IF($F$3="NO",0,Valores!$C$54)</f>
        <v>327.6</v>
      </c>
      <c r="AM177" s="125">
        <f t="shared" si="21"/>
        <v>327.6</v>
      </c>
      <c r="AN177" s="125">
        <f>AH177*Valores!$C$70</f>
        <v>-17430.331050000004</v>
      </c>
      <c r="AO177" s="125">
        <f>AH177*-Valores!$C$71</f>
        <v>0</v>
      </c>
      <c r="AP177" s="125">
        <f>AH177*Valores!$C$72</f>
        <v>-7130.589975000001</v>
      </c>
      <c r="AQ177" s="125">
        <f>Valores!$C$99</f>
        <v>-280.91</v>
      </c>
      <c r="AR177" s="125">
        <f>IF($F$5=0,Valores!$C$100,(Valores!$C$100+$F$5*(Valores!$C$100)))</f>
        <v>-329</v>
      </c>
      <c r="AS177" s="125">
        <f t="shared" si="24"/>
        <v>133614.323975</v>
      </c>
      <c r="AT177" s="125">
        <f t="shared" si="18"/>
        <v>-17430.331050000004</v>
      </c>
      <c r="AU177" s="125">
        <f>AH177*Valores!$C$73</f>
        <v>-4278.353985000001</v>
      </c>
      <c r="AV177" s="125">
        <f>AH177*Valores!$C$74</f>
        <v>-475.3726650000001</v>
      </c>
      <c r="AW177" s="125">
        <f t="shared" si="22"/>
        <v>136601.09730000002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24984.22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16982.06</v>
      </c>
      <c r="M178" s="125">
        <f>ROUND(IF($H$2=0,IF(AND(A178&lt;&gt;"13-930",A178&lt;&gt;"13-940"),(SUM(F178,H178,J178,L178,X178,T178,R178)*Valores!$C$4),0),0),2)</f>
        <v>9191.87</v>
      </c>
      <c r="N178" s="125">
        <f t="shared" si="19"/>
        <v>0</v>
      </c>
      <c r="O178" s="125">
        <f>Valores!$C$16</f>
        <v>22234.39</v>
      </c>
      <c r="P178" s="125">
        <f>Valores!$D$5</f>
        <v>13153.38</v>
      </c>
      <c r="Q178" s="125">
        <f>Valores!$C$22</f>
        <v>11734.9</v>
      </c>
      <c r="R178" s="125">
        <f>IF($F$4="NO",Valores!$C$46,Valores!$C$46/2)</f>
        <v>7073.445</v>
      </c>
      <c r="S178" s="125">
        <f>Valores!$C$19</f>
        <v>12239.42</v>
      </c>
      <c r="T178" s="125">
        <f t="shared" si="25"/>
        <v>12239.42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Valores!$C$95</f>
        <v>11521.74</v>
      </c>
      <c r="AA178" s="125">
        <f>Valores!$C$25</f>
        <v>537.98</v>
      </c>
      <c r="AB178" s="214">
        <v>0</v>
      </c>
      <c r="AC178" s="125">
        <f t="shared" si="20"/>
        <v>0</v>
      </c>
      <c r="AD178" s="125">
        <f>Valores!$C$26</f>
        <v>537.98</v>
      </c>
      <c r="AE178" s="192">
        <v>0</v>
      </c>
      <c r="AF178" s="125">
        <f>ROUND(AE178*Valores!$C$2,2)</f>
        <v>0</v>
      </c>
      <c r="AG178" s="125">
        <f>ROUND(IF($F$4="NO",Valores!$C$62,Valores!$C$62/2),2)</f>
        <v>3203.47</v>
      </c>
      <c r="AH178" s="125">
        <f t="shared" si="23"/>
        <v>133394.855</v>
      </c>
      <c r="AI178" s="125">
        <f>Valores!$C$31</f>
        <v>0</v>
      </c>
      <c r="AJ178" s="125">
        <f>Valores!$C$88</f>
        <v>0</v>
      </c>
      <c r="AK178" s="125">
        <f>Valores!C$38*B178</f>
        <v>0</v>
      </c>
      <c r="AL178" s="125">
        <f>IF($F$3="NO",0,Valores!$C$54)</f>
        <v>327.6</v>
      </c>
      <c r="AM178" s="125">
        <f t="shared" si="21"/>
        <v>327.6</v>
      </c>
      <c r="AN178" s="125">
        <f>AH178*Valores!$C$70</f>
        <v>-14673.434050000002</v>
      </c>
      <c r="AO178" s="125">
        <f>AH178*-Valores!$C$71</f>
        <v>0</v>
      </c>
      <c r="AP178" s="125">
        <f>AH178*Valores!$C$72</f>
        <v>-6002.768475</v>
      </c>
      <c r="AQ178" s="125">
        <f>Valores!$C$99</f>
        <v>-280.91</v>
      </c>
      <c r="AR178" s="125">
        <f>IF($F$5=0,Valores!$C$100,(Valores!$C$100+$F$5*(Valores!$C$100)))</f>
        <v>-329</v>
      </c>
      <c r="AS178" s="125">
        <f t="shared" si="24"/>
        <v>112436.34247500001</v>
      </c>
      <c r="AT178" s="125">
        <f t="shared" si="18"/>
        <v>-14673.434050000002</v>
      </c>
      <c r="AU178" s="125">
        <f>AH178*Valores!$C$73</f>
        <v>-3601.661085</v>
      </c>
      <c r="AV178" s="125">
        <f>AH178*Valores!$C$74</f>
        <v>-400.184565</v>
      </c>
      <c r="AW178" s="125">
        <f t="shared" si="22"/>
        <v>115047.17530000002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5480.58</v>
      </c>
      <c r="G179" s="192">
        <f>1835</f>
        <v>1835</v>
      </c>
      <c r="H179" s="125">
        <f>ROUND(G179*Valores!$C$2,2)</f>
        <v>47215.28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33449.52</v>
      </c>
      <c r="M179" s="125">
        <f>ROUND(IF($H$2=0,IF(AND(A179&lt;&gt;"13-930",A179&lt;&gt;"13-940"),(SUM(F179,H179,J179,L179,X179,T179,R179)*Valores!$C$4),0),0),2)</f>
        <v>15818.74</v>
      </c>
      <c r="N179" s="125">
        <f t="shared" si="19"/>
        <v>0</v>
      </c>
      <c r="O179" s="125">
        <f>Valores!$C$9</f>
        <v>28480.68</v>
      </c>
      <c r="P179" s="125">
        <f>Valores!$D$5</f>
        <v>13153.38</v>
      </c>
      <c r="Q179" s="125">
        <f>Valores!$C$22</f>
        <v>11734.9</v>
      </c>
      <c r="R179" s="125">
        <f>IF($F$4="NO",Valores!$C$46,Valores!$C$46/2)</f>
        <v>7073.445</v>
      </c>
      <c r="S179" s="125">
        <f>Valores!$C$19</f>
        <v>12239.42</v>
      </c>
      <c r="T179" s="125">
        <f t="shared" si="25"/>
        <v>12239.42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Valores!$C$95</f>
        <v>11521.74</v>
      </c>
      <c r="AA179" s="125">
        <f>Valores!$C$25</f>
        <v>537.98</v>
      </c>
      <c r="AB179" s="214">
        <v>0</v>
      </c>
      <c r="AC179" s="125">
        <f t="shared" si="20"/>
        <v>0</v>
      </c>
      <c r="AD179" s="125">
        <f>Valores!$C$26</f>
        <v>537.98</v>
      </c>
      <c r="AE179" s="192">
        <v>0</v>
      </c>
      <c r="AF179" s="125">
        <f>ROUND(AE179*Valores!$C$2,2)</f>
        <v>0</v>
      </c>
      <c r="AG179" s="125">
        <f>ROUND(IF($F$4="NO",Valores!$C$62,Valores!$C$62/2),2)</f>
        <v>3203.47</v>
      </c>
      <c r="AH179" s="125">
        <f t="shared" si="23"/>
        <v>190447.11500000005</v>
      </c>
      <c r="AI179" s="125">
        <f>Valores!$C$31</f>
        <v>0</v>
      </c>
      <c r="AJ179" s="125">
        <f>Valores!$C$88</f>
        <v>0</v>
      </c>
      <c r="AK179" s="125">
        <f>Valores!C$38*B179</f>
        <v>0</v>
      </c>
      <c r="AL179" s="125">
        <f>IF($F$3="NO",0,Valores!$C$54)</f>
        <v>327.6</v>
      </c>
      <c r="AM179" s="125">
        <f t="shared" si="21"/>
        <v>327.6</v>
      </c>
      <c r="AN179" s="125">
        <f>AH179*Valores!$C$70</f>
        <v>-20949.182650000006</v>
      </c>
      <c r="AO179" s="125">
        <f>AH179*-Valores!$C$71</f>
        <v>0</v>
      </c>
      <c r="AP179" s="125">
        <f>AH179*Valores!$C$72</f>
        <v>-8570.120175000002</v>
      </c>
      <c r="AQ179" s="125">
        <f>Valores!$C$99</f>
        <v>-280.91</v>
      </c>
      <c r="AR179" s="125">
        <f>IF($F$5=0,Valores!$C$100,(Valores!$C$100+$F$5*(Valores!$C$100)))</f>
        <v>-329</v>
      </c>
      <c r="AS179" s="125">
        <f t="shared" si="24"/>
        <v>160645.50217500003</v>
      </c>
      <c r="AT179" s="125">
        <f t="shared" si="18"/>
        <v>-20949.182650000006</v>
      </c>
      <c r="AU179" s="125">
        <f>AH179*Valores!$C$73</f>
        <v>-5142.072105000001</v>
      </c>
      <c r="AV179" s="125">
        <f>AH179*Valores!$C$74</f>
        <v>-571.3413450000002</v>
      </c>
      <c r="AW179" s="125">
        <f t="shared" si="22"/>
        <v>164112.11890000006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4760.12</v>
      </c>
      <c r="G180" s="192">
        <f>1835</f>
        <v>1835</v>
      </c>
      <c r="H180" s="125">
        <f>ROUND(G180*Valores!$C$2,2)</f>
        <v>47215.28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33449.52</v>
      </c>
      <c r="M180" s="125">
        <f>ROUND(IF($H$2=0,IF(AND(A180&lt;&gt;"13-930",A180&lt;&gt;"13-940"),(SUM(F180,H180,J180,L180,X180,T180,R180)*Valores!$C$4),0),0),2)</f>
        <v>15710.67</v>
      </c>
      <c r="N180" s="125">
        <f t="shared" si="19"/>
        <v>0</v>
      </c>
      <c r="O180" s="125">
        <f>Valores!$C$9</f>
        <v>28480.68</v>
      </c>
      <c r="P180" s="125">
        <f>Valores!$D$5</f>
        <v>13153.38</v>
      </c>
      <c r="Q180" s="125">
        <f>Valores!$C$22</f>
        <v>11734.9</v>
      </c>
      <c r="R180" s="125">
        <f>IF($F$4="NO",Valores!$C$46,Valores!$C$46/2)</f>
        <v>7073.445</v>
      </c>
      <c r="S180" s="125">
        <f>Valores!$C$19</f>
        <v>12239.42</v>
      </c>
      <c r="T180" s="125">
        <f t="shared" si="25"/>
        <v>12239.42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Valores!$C$95</f>
        <v>11521.74</v>
      </c>
      <c r="AA180" s="125">
        <f>Valores!$C$25</f>
        <v>537.98</v>
      </c>
      <c r="AB180" s="214">
        <v>0</v>
      </c>
      <c r="AC180" s="125">
        <f t="shared" si="20"/>
        <v>0</v>
      </c>
      <c r="AD180" s="125">
        <f>Valores!$C$26</f>
        <v>537.98</v>
      </c>
      <c r="AE180" s="192">
        <v>0</v>
      </c>
      <c r="AF180" s="125">
        <f>ROUND(AE180*Valores!$C$2,2)</f>
        <v>0</v>
      </c>
      <c r="AG180" s="125">
        <f>ROUND(IF($F$4="NO",Valores!$C$62,Valores!$C$62/2),2)</f>
        <v>3203.47</v>
      </c>
      <c r="AH180" s="125">
        <f t="shared" si="23"/>
        <v>189618.58500000002</v>
      </c>
      <c r="AI180" s="125">
        <f>Valores!$C$31</f>
        <v>0</v>
      </c>
      <c r="AJ180" s="125">
        <f>Valores!$C$88</f>
        <v>0</v>
      </c>
      <c r="AK180" s="125">
        <f>Valores!C$38*B180</f>
        <v>0</v>
      </c>
      <c r="AL180" s="125">
        <f>IF($F$3="NO",0,Valores!$C$54)</f>
        <v>327.6</v>
      </c>
      <c r="AM180" s="125">
        <f t="shared" si="21"/>
        <v>327.6</v>
      </c>
      <c r="AN180" s="125">
        <f>AH180*Valores!$C$70</f>
        <v>-20858.044350000004</v>
      </c>
      <c r="AO180" s="125">
        <f>AH180*-Valores!$C$71</f>
        <v>0</v>
      </c>
      <c r="AP180" s="125">
        <f>AH180*Valores!$C$72</f>
        <v>-8532.836325</v>
      </c>
      <c r="AQ180" s="125">
        <f>Valores!$C$99</f>
        <v>-280.91</v>
      </c>
      <c r="AR180" s="125">
        <f>IF($F$5=0,Valores!$C$100,(Valores!$C$100+$F$5*(Valores!$C$100)))</f>
        <v>-329</v>
      </c>
      <c r="AS180" s="125">
        <f t="shared" si="24"/>
        <v>159945.394325</v>
      </c>
      <c r="AT180" s="125">
        <f t="shared" si="18"/>
        <v>-20858.044350000004</v>
      </c>
      <c r="AU180" s="125">
        <f>AH180*Valores!$C$73</f>
        <v>-5119.701795000001</v>
      </c>
      <c r="AV180" s="125">
        <f>AH180*Valores!$C$74</f>
        <v>-568.855755</v>
      </c>
      <c r="AW180" s="125">
        <f t="shared" si="22"/>
        <v>163399.58310000002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4116.86</v>
      </c>
      <c r="G181" s="192">
        <f>1484</f>
        <v>1484</v>
      </c>
      <c r="H181" s="125">
        <f>ROUND(G181*Valores!$C$2,2)</f>
        <v>38183.91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33449.52</v>
      </c>
      <c r="M181" s="125">
        <f>ROUND(IF($H$2=0,IF(AND(A181&lt;&gt;"13-930",A181&lt;&gt;"13-940"),(SUM(F181,H181,J181,L181,X181,T181,R181)*Valores!$C$4),0),0),2)</f>
        <v>14259.47</v>
      </c>
      <c r="N181" s="125">
        <f t="shared" si="19"/>
        <v>0</v>
      </c>
      <c r="O181" s="125">
        <f>Valores!$C$9</f>
        <v>28480.68</v>
      </c>
      <c r="P181" s="125">
        <f>Valores!$D$5</f>
        <v>13153.38</v>
      </c>
      <c r="Q181" s="125">
        <f>Valores!$C$22</f>
        <v>11734.9</v>
      </c>
      <c r="R181" s="125">
        <f>IF($F$4="NO",Valores!$C$46,Valores!$C$46/2)</f>
        <v>7073.445</v>
      </c>
      <c r="S181" s="125">
        <f>Valores!$C$19</f>
        <v>12239.42</v>
      </c>
      <c r="T181" s="125">
        <f t="shared" si="25"/>
        <v>12239.42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Valores!$C$95</f>
        <v>11521.74</v>
      </c>
      <c r="AA181" s="125">
        <f>Valores!$C$25</f>
        <v>537.98</v>
      </c>
      <c r="AB181" s="214">
        <v>0</v>
      </c>
      <c r="AC181" s="125">
        <f t="shared" si="20"/>
        <v>0</v>
      </c>
      <c r="AD181" s="125">
        <f>Valores!$C$26</f>
        <v>537.98</v>
      </c>
      <c r="AE181" s="192">
        <v>0</v>
      </c>
      <c r="AF181" s="125">
        <f>ROUND(AE181*Valores!$C$2,2)</f>
        <v>0</v>
      </c>
      <c r="AG181" s="125">
        <f>ROUND(IF($F$4="NO",Valores!$C$62,Valores!$C$62/2),2)</f>
        <v>3203.47</v>
      </c>
      <c r="AH181" s="125">
        <f t="shared" si="23"/>
        <v>178492.75500000003</v>
      </c>
      <c r="AI181" s="125">
        <f>Valores!$C$31</f>
        <v>0</v>
      </c>
      <c r="AJ181" s="125">
        <f>Valores!$C$88</f>
        <v>0</v>
      </c>
      <c r="AK181" s="125">
        <f>Valores!C$38*B181</f>
        <v>0</v>
      </c>
      <c r="AL181" s="125">
        <f>IF($F$3="NO",0,Valores!$C$54)</f>
        <v>327.6</v>
      </c>
      <c r="AM181" s="125">
        <f t="shared" si="21"/>
        <v>327.6</v>
      </c>
      <c r="AN181" s="125">
        <f>AH181*Valores!$C$70</f>
        <v>-19634.203050000004</v>
      </c>
      <c r="AO181" s="125">
        <f>AH181*-Valores!$C$71</f>
        <v>0</v>
      </c>
      <c r="AP181" s="125">
        <f>AH181*Valores!$C$72</f>
        <v>-8032.1739750000015</v>
      </c>
      <c r="AQ181" s="125">
        <f>Valores!$C$99</f>
        <v>-280.91</v>
      </c>
      <c r="AR181" s="125">
        <f>IF($F$5=0,Valores!$C$100,(Valores!$C$100+$F$5*(Valores!$C$100)))</f>
        <v>-329</v>
      </c>
      <c r="AS181" s="125">
        <f t="shared" si="24"/>
        <v>150544.067975</v>
      </c>
      <c r="AT181" s="125">
        <f t="shared" si="18"/>
        <v>-19634.203050000004</v>
      </c>
      <c r="AU181" s="125">
        <f>AH181*Valores!$C$73</f>
        <v>-4819.304385000001</v>
      </c>
      <c r="AV181" s="125">
        <f>AH181*Valores!$C$74</f>
        <v>-535.4782650000001</v>
      </c>
      <c r="AW181" s="125">
        <f t="shared" si="22"/>
        <v>153831.36930000002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32883.45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30876.48</v>
      </c>
      <c r="M182" s="125">
        <f>ROUND(IF($H$2=0,IF(AND(A182&lt;&gt;"13-930",A182&lt;&gt;"13-940"),(SUM(F182,H182,J182,L182,X182,T182,R182)*Valores!$C$4),0),0),2)</f>
        <v>12460.92</v>
      </c>
      <c r="N182" s="125">
        <f t="shared" si="19"/>
        <v>0</v>
      </c>
      <c r="O182" s="125">
        <f>Valores!$C$16</f>
        <v>22234.39</v>
      </c>
      <c r="P182" s="125">
        <f>Valores!$D$5</f>
        <v>13153.38</v>
      </c>
      <c r="Q182" s="125">
        <f>Valores!$C$22</f>
        <v>11734.9</v>
      </c>
      <c r="R182" s="125">
        <f>IF($F$4="NO",Valores!$C$46,Valores!$C$46/2)</f>
        <v>7073.445</v>
      </c>
      <c r="S182" s="125">
        <f>Valores!$C$19</f>
        <v>12239.42</v>
      </c>
      <c r="T182" s="125">
        <f t="shared" si="25"/>
        <v>12239.42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Valores!$C$95</f>
        <v>11521.74</v>
      </c>
      <c r="AA182" s="125">
        <f>Valores!$C$25</f>
        <v>537.98</v>
      </c>
      <c r="AB182" s="214">
        <v>0</v>
      </c>
      <c r="AC182" s="125">
        <f t="shared" si="20"/>
        <v>0</v>
      </c>
      <c r="AD182" s="125">
        <f>Valores!$C$26</f>
        <v>537.98</v>
      </c>
      <c r="AE182" s="192">
        <v>0</v>
      </c>
      <c r="AF182" s="125">
        <f>ROUND(AE182*Valores!$C$2,2)</f>
        <v>0</v>
      </c>
      <c r="AG182" s="125">
        <f>ROUND(IF($F$4="NO",Valores!$C$62,Valores!$C$62/2),2)</f>
        <v>3203.47</v>
      </c>
      <c r="AH182" s="125">
        <f t="shared" si="23"/>
        <v>158457.55500000002</v>
      </c>
      <c r="AI182" s="125">
        <f>Valores!$C$31</f>
        <v>0</v>
      </c>
      <c r="AJ182" s="125">
        <f>Valores!$C$88</f>
        <v>0</v>
      </c>
      <c r="AK182" s="125">
        <f>Valores!C$38*B182</f>
        <v>0</v>
      </c>
      <c r="AL182" s="125">
        <f>IF($F$3="NO",0,Valores!$C$54)</f>
        <v>327.6</v>
      </c>
      <c r="AM182" s="125">
        <f t="shared" si="21"/>
        <v>327.6</v>
      </c>
      <c r="AN182" s="125">
        <f>AH182*Valores!$C$70</f>
        <v>-17430.331050000004</v>
      </c>
      <c r="AO182" s="125">
        <f>AH182*-Valores!$C$71</f>
        <v>0</v>
      </c>
      <c r="AP182" s="125">
        <f>AH182*Valores!$C$72</f>
        <v>-7130.589975000001</v>
      </c>
      <c r="AQ182" s="125">
        <f>Valores!$C$99</f>
        <v>-280.91</v>
      </c>
      <c r="AR182" s="125">
        <f>IF($F$5=0,Valores!$C$100,(Valores!$C$100+$F$5*(Valores!$C$100)))</f>
        <v>-329</v>
      </c>
      <c r="AS182" s="125">
        <f t="shared" si="24"/>
        <v>133614.323975</v>
      </c>
      <c r="AT182" s="125">
        <f t="shared" si="18"/>
        <v>-17430.331050000004</v>
      </c>
      <c r="AU182" s="125">
        <f>AH182*Valores!$C$73</f>
        <v>-4278.353985000001</v>
      </c>
      <c r="AV182" s="125">
        <f>AH182*Valores!$C$74</f>
        <v>-475.3726650000001</v>
      </c>
      <c r="AW182" s="125">
        <f t="shared" si="22"/>
        <v>136601.09730000002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24984.22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16982.06</v>
      </c>
      <c r="M183" s="125">
        <f>ROUND(IF($H$2=0,IF(AND(A183&lt;&gt;"13-930",A183&lt;&gt;"13-940"),(SUM(F183,H183,J183,L183,X183,T183,R183)*Valores!$C$4),0),0),2)</f>
        <v>9191.87</v>
      </c>
      <c r="N183" s="125">
        <f t="shared" si="19"/>
        <v>0</v>
      </c>
      <c r="O183" s="125">
        <f>Valores!$C$16</f>
        <v>22234.39</v>
      </c>
      <c r="P183" s="125">
        <f>Valores!$D$5</f>
        <v>13153.38</v>
      </c>
      <c r="Q183" s="125">
        <f>Valores!$C$23</f>
        <v>10922.07</v>
      </c>
      <c r="R183" s="125">
        <f>IF($F$4="NO",Valores!$C$46,Valores!$C$46/2)</f>
        <v>7073.445</v>
      </c>
      <c r="S183" s="125">
        <f>Valores!$C$19</f>
        <v>12239.42</v>
      </c>
      <c r="T183" s="125">
        <f t="shared" si="25"/>
        <v>12239.42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Valores!$C$95</f>
        <v>11521.74</v>
      </c>
      <c r="AA183" s="125">
        <f>Valores!$C$25</f>
        <v>537.98</v>
      </c>
      <c r="AB183" s="214">
        <v>0</v>
      </c>
      <c r="AC183" s="125">
        <f t="shared" si="20"/>
        <v>0</v>
      </c>
      <c r="AD183" s="125">
        <f>Valores!$C$26</f>
        <v>537.98</v>
      </c>
      <c r="AE183" s="192">
        <v>0</v>
      </c>
      <c r="AF183" s="125">
        <f>ROUND(AE183*Valores!$C$2,2)</f>
        <v>0</v>
      </c>
      <c r="AG183" s="125">
        <f>ROUND(IF($F$4="NO",Valores!$C$62,Valores!$C$62/2),2)</f>
        <v>3203.47</v>
      </c>
      <c r="AH183" s="125">
        <f t="shared" si="23"/>
        <v>132582.02500000002</v>
      </c>
      <c r="AI183" s="125">
        <f>Valores!$C$31</f>
        <v>0</v>
      </c>
      <c r="AJ183" s="125">
        <f>Valores!$C$88</f>
        <v>0</v>
      </c>
      <c r="AK183" s="125">
        <f>Valores!C$38*B183</f>
        <v>0</v>
      </c>
      <c r="AL183" s="125">
        <f>IF($F$3="NO",0,Valores!$C$54)</f>
        <v>327.6</v>
      </c>
      <c r="AM183" s="125">
        <f t="shared" si="21"/>
        <v>327.6</v>
      </c>
      <c r="AN183" s="125">
        <f>AH183*Valores!$C$70</f>
        <v>-14584.022750000002</v>
      </c>
      <c r="AO183" s="125">
        <f>AH183*-Valores!$C$71</f>
        <v>0</v>
      </c>
      <c r="AP183" s="125">
        <f>AH183*Valores!$C$72</f>
        <v>-5966.191125000001</v>
      </c>
      <c r="AQ183" s="125">
        <f>Valores!$C$99</f>
        <v>-280.91</v>
      </c>
      <c r="AR183" s="125">
        <f>IF($F$5=0,Valores!$C$100,(Valores!$C$100+$F$5*(Valores!$C$100)))</f>
        <v>-329</v>
      </c>
      <c r="AS183" s="125">
        <f t="shared" si="24"/>
        <v>111749.50112500002</v>
      </c>
      <c r="AT183" s="125">
        <f t="shared" si="18"/>
        <v>-14584.022750000002</v>
      </c>
      <c r="AU183" s="125">
        <f>AH183*Valores!$C$73</f>
        <v>-3579.7146750000006</v>
      </c>
      <c r="AV183" s="125">
        <f>AH183*Valores!$C$74</f>
        <v>-397.7460750000001</v>
      </c>
      <c r="AW183" s="125">
        <f t="shared" si="22"/>
        <v>114348.14150000003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4605.74</v>
      </c>
      <c r="G184" s="192">
        <f>1323</f>
        <v>1323</v>
      </c>
      <c r="H184" s="125">
        <f>ROUND(G184*Valores!$C$2,2)</f>
        <v>34041.32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33449.52</v>
      </c>
      <c r="M184" s="125">
        <f>ROUND(IF($H$2=0,IF(AND(A184&lt;&gt;"13-930",A184&lt;&gt;"13-940"),(SUM(F184,H184,J184,L184,X184,T184,R184)*Valores!$C$4),0),0),2)</f>
        <v>13711.42</v>
      </c>
      <c r="N184" s="125">
        <f t="shared" si="19"/>
        <v>0</v>
      </c>
      <c r="O184" s="125">
        <f>Valores!$C$9</f>
        <v>28480.68</v>
      </c>
      <c r="P184" s="125">
        <f>Valores!$D$5</f>
        <v>13153.38</v>
      </c>
      <c r="Q184" s="125">
        <f>Valores!$C$22</f>
        <v>11734.9</v>
      </c>
      <c r="R184" s="125">
        <f>IF($F$4="NO",Valores!$C$46,Valores!$C$46/2)</f>
        <v>7073.445</v>
      </c>
      <c r="S184" s="125">
        <f>Valores!$C$19</f>
        <v>12239.42</v>
      </c>
      <c r="T184" s="125">
        <f t="shared" si="25"/>
        <v>12239.42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Valores!$C$95</f>
        <v>11521.74</v>
      </c>
      <c r="AA184" s="125">
        <f>Valores!$C$25</f>
        <v>537.98</v>
      </c>
      <c r="AB184" s="214">
        <v>0</v>
      </c>
      <c r="AC184" s="125">
        <f t="shared" si="20"/>
        <v>0</v>
      </c>
      <c r="AD184" s="125">
        <f>Valores!$C$26</f>
        <v>537.98</v>
      </c>
      <c r="AE184" s="192">
        <v>0</v>
      </c>
      <c r="AF184" s="125">
        <f>ROUND(AE184*Valores!$C$2,2)</f>
        <v>0</v>
      </c>
      <c r="AG184" s="125">
        <f>ROUND(IF($F$4="NO",Valores!$C$62,Valores!$C$62/2),2)</f>
        <v>3203.47</v>
      </c>
      <c r="AH184" s="125">
        <f t="shared" si="23"/>
        <v>174290.99500000002</v>
      </c>
      <c r="AI184" s="125">
        <f>Valores!$C$31</f>
        <v>0</v>
      </c>
      <c r="AJ184" s="125">
        <f>Valores!$C$88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AH184*Valores!$C$70</f>
        <v>-19172.00945</v>
      </c>
      <c r="AO184" s="125">
        <f>AH184*-Valores!$C$71</f>
        <v>0</v>
      </c>
      <c r="AP184" s="125">
        <f>AH184*Valores!$C$72</f>
        <v>-7843.0947750000005</v>
      </c>
      <c r="AQ184" s="125">
        <f>Valores!$C$99</f>
        <v>-280.91</v>
      </c>
      <c r="AR184" s="125">
        <f>IF($F$5=0,Valores!$C$100,(Valores!$C$100+$F$5*(Valores!$C$100)))</f>
        <v>-329</v>
      </c>
      <c r="AS184" s="125">
        <f t="shared" si="24"/>
        <v>146665.98077500003</v>
      </c>
      <c r="AT184" s="125">
        <f t="shared" si="18"/>
        <v>-19172.00945</v>
      </c>
      <c r="AU184" s="125">
        <f>AH184*Valores!$C$73</f>
        <v>-4705.856865000001</v>
      </c>
      <c r="AV184" s="125">
        <f>AH184*Valores!$C$74</f>
        <v>-522.8729850000001</v>
      </c>
      <c r="AW184" s="125">
        <f t="shared" si="22"/>
        <v>149890.2557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1646.75</v>
      </c>
      <c r="G185" s="192">
        <v>1354</v>
      </c>
      <c r="H185" s="125">
        <f>ROUND(G185*Valores!$C$2,2)</f>
        <v>34838.96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30876.48</v>
      </c>
      <c r="M185" s="125">
        <f>ROUND(IF($H$2=0,IF(AND(A185&lt;&gt;"13-930",A185&lt;&gt;"13-940"),(SUM(F185,H185,J185,L185,X185,T185,R185)*Valores!$C$4),0),0),2)</f>
        <v>12982.49</v>
      </c>
      <c r="N185" s="125">
        <f t="shared" si="19"/>
        <v>0</v>
      </c>
      <c r="O185" s="125">
        <f>Valores!$C$14</f>
        <v>23734.39</v>
      </c>
      <c r="P185" s="125">
        <f>Valores!$D$5</f>
        <v>13153.38</v>
      </c>
      <c r="Q185" s="125">
        <v>0</v>
      </c>
      <c r="R185" s="125">
        <f>IF($F$4="NO",Valores!$C$46,Valores!$C$46/2)</f>
        <v>7073.445</v>
      </c>
      <c r="S185" s="125">
        <f>Valores!$C$20</f>
        <v>12114.28</v>
      </c>
      <c r="T185" s="125">
        <f t="shared" si="25"/>
        <v>12114.28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Valores!$C$95</f>
        <v>11521.74</v>
      </c>
      <c r="AA185" s="125">
        <f>Valores!$C$25</f>
        <v>537.98</v>
      </c>
      <c r="AB185" s="214">
        <v>0</v>
      </c>
      <c r="AC185" s="125">
        <f t="shared" si="20"/>
        <v>0</v>
      </c>
      <c r="AD185" s="125">
        <f>Valores!$C$26</f>
        <v>537.98</v>
      </c>
      <c r="AE185" s="192">
        <v>0</v>
      </c>
      <c r="AF185" s="125">
        <f>ROUND(AE185*Valores!$C$2,2)</f>
        <v>0</v>
      </c>
      <c r="AG185" s="125">
        <f>ROUND(IF($F$4="NO",Valores!$C$62,Valores!$C$62/2),2)</f>
        <v>3203.47</v>
      </c>
      <c r="AH185" s="125">
        <f t="shared" si="23"/>
        <v>152221.34500000003</v>
      </c>
      <c r="AI185" s="125">
        <f>Valores!$C$31</f>
        <v>0</v>
      </c>
      <c r="AJ185" s="125">
        <f>Valores!$C$88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AH185*Valores!$C$70</f>
        <v>-16744.347950000003</v>
      </c>
      <c r="AO185" s="125">
        <f>AH185*-Valores!$C$71</f>
        <v>0</v>
      </c>
      <c r="AP185" s="125">
        <f>AH185*Valores!$C$72</f>
        <v>-6849.960525000001</v>
      </c>
      <c r="AQ185" s="125">
        <f>Valores!$C$99</f>
        <v>-280.91</v>
      </c>
      <c r="AR185" s="125">
        <f>IF($F$5=0,Valores!$C$100,(Valores!$C$100+$F$5*(Valores!$C$100)))</f>
        <v>-329</v>
      </c>
      <c r="AS185" s="125">
        <f t="shared" si="24"/>
        <v>128017.12652500003</v>
      </c>
      <c r="AT185" s="125">
        <f t="shared" si="18"/>
        <v>-16744.347950000003</v>
      </c>
      <c r="AU185" s="125">
        <f>AH185*Valores!$C$73</f>
        <v>-4109.976315000001</v>
      </c>
      <c r="AV185" s="125">
        <f>AH185*Valores!$C$74</f>
        <v>-456.6640350000001</v>
      </c>
      <c r="AW185" s="125">
        <f t="shared" si="22"/>
        <v>130910.35670000003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1415.17</v>
      </c>
      <c r="G186" s="192">
        <v>1279</v>
      </c>
      <c r="H186" s="125">
        <f>ROUND(G186*Valores!$C$2,2)</f>
        <v>32909.18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30876.48</v>
      </c>
      <c r="M186" s="125">
        <f>ROUND(IF($H$2=0,IF(AND(A186&lt;&gt;"13-930",A186&lt;&gt;"13-940"),(SUM(F186,H186,J186,L186,X186,T186,R186)*Valores!$C$4),0),0),2)</f>
        <v>12677.05</v>
      </c>
      <c r="N186" s="125">
        <f t="shared" si="19"/>
        <v>0</v>
      </c>
      <c r="O186" s="125">
        <f>Valores!$C$16</f>
        <v>22234.39</v>
      </c>
      <c r="P186" s="125">
        <f>Valores!$D$5</f>
        <v>13153.38</v>
      </c>
      <c r="Q186" s="125">
        <v>0</v>
      </c>
      <c r="R186" s="125">
        <f>IF($F$4="NO",Valores!$C$46,Valores!$C$46/2)</f>
        <v>7073.445</v>
      </c>
      <c r="S186" s="125">
        <f>Valores!$C$19</f>
        <v>12239.42</v>
      </c>
      <c r="T186" s="125">
        <f t="shared" si="25"/>
        <v>12239.42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Valores!$C$95</f>
        <v>11521.74</v>
      </c>
      <c r="AA186" s="125">
        <f>Valores!$C$25</f>
        <v>537.98</v>
      </c>
      <c r="AB186" s="214">
        <v>0</v>
      </c>
      <c r="AC186" s="125">
        <f t="shared" si="20"/>
        <v>0</v>
      </c>
      <c r="AD186" s="125">
        <f>Valores!$C$26</f>
        <v>537.98</v>
      </c>
      <c r="AE186" s="192">
        <v>0</v>
      </c>
      <c r="AF186" s="125">
        <f>ROUND(AE186*Valores!$C$2,2)</f>
        <v>0</v>
      </c>
      <c r="AG186" s="125">
        <f>ROUND(IF($F$4="NO",Valores!$C$62,Valores!$C$62/2),2)</f>
        <v>3203.47</v>
      </c>
      <c r="AH186" s="125">
        <f t="shared" si="23"/>
        <v>148379.68500000003</v>
      </c>
      <c r="AI186" s="125">
        <f>Valores!$C$31</f>
        <v>0</v>
      </c>
      <c r="AJ186" s="125">
        <f>Valores!$C$88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AH186*Valores!$C$70</f>
        <v>-16321.765350000003</v>
      </c>
      <c r="AO186" s="125">
        <f>AH186*-Valores!$C$71</f>
        <v>0</v>
      </c>
      <c r="AP186" s="125">
        <f>AH186*Valores!$C$72</f>
        <v>-6677.085825000001</v>
      </c>
      <c r="AQ186" s="125">
        <f>Valores!$C$99</f>
        <v>-280.91</v>
      </c>
      <c r="AR186" s="125">
        <f>IF($F$5=0,Valores!$C$100,(Valores!$C$100+$F$5*(Valores!$C$100)))</f>
        <v>-329</v>
      </c>
      <c r="AS186" s="125">
        <f t="shared" si="24"/>
        <v>124770.92382500002</v>
      </c>
      <c r="AT186" s="125">
        <f t="shared" si="18"/>
        <v>-16321.765350000003</v>
      </c>
      <c r="AU186" s="125">
        <f>AH186*Valores!$C$73</f>
        <v>-4006.251495000001</v>
      </c>
      <c r="AV186" s="125">
        <f>AH186*Valores!$C$74</f>
        <v>-445.1390550000001</v>
      </c>
      <c r="AW186" s="125">
        <f t="shared" si="22"/>
        <v>127606.52910000001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26425.12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30876.48</v>
      </c>
      <c r="M187" s="125">
        <f>ROUND(IF($H$2=0,IF(AND(A187&lt;&gt;"13-930",A187&lt;&gt;"13-940"),(SUM(F187,H187,J187,L187,X187,T187,R187)*Valores!$C$4),0),0),2)</f>
        <v>11473.4</v>
      </c>
      <c r="N187" s="125">
        <f t="shared" si="19"/>
        <v>0</v>
      </c>
      <c r="O187" s="125">
        <f>Valores!$C$16</f>
        <v>22234.39</v>
      </c>
      <c r="P187" s="125">
        <f>Valores!$D$5</f>
        <v>13153.38</v>
      </c>
      <c r="Q187" s="125">
        <v>0</v>
      </c>
      <c r="R187" s="125">
        <f>IF($F$4="NO",Valores!$C$46,Valores!$C$46/2)</f>
        <v>7073.445</v>
      </c>
      <c r="S187" s="125">
        <f>Valores!$C$20</f>
        <v>12114.28</v>
      </c>
      <c r="T187" s="125">
        <f t="shared" si="25"/>
        <v>12114.28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Valores!$C$95</f>
        <v>11521.74</v>
      </c>
      <c r="AA187" s="125">
        <f>Valores!$C$25</f>
        <v>537.98</v>
      </c>
      <c r="AB187" s="214">
        <v>0</v>
      </c>
      <c r="AC187" s="125">
        <f t="shared" si="20"/>
        <v>0</v>
      </c>
      <c r="AD187" s="125">
        <f>Valores!$C$26</f>
        <v>537.98</v>
      </c>
      <c r="AE187" s="192">
        <v>0</v>
      </c>
      <c r="AF187" s="125">
        <f>ROUND(AE187*Valores!$C$2,2)</f>
        <v>0</v>
      </c>
      <c r="AG187" s="125">
        <f>ROUND(IF($F$4="NO",Valores!$C$62,Valores!$C$62/2),2)</f>
        <v>3203.47</v>
      </c>
      <c r="AH187" s="125">
        <f t="shared" si="23"/>
        <v>139151.665</v>
      </c>
      <c r="AI187" s="125">
        <f>Valores!$C$31</f>
        <v>0</v>
      </c>
      <c r="AJ187" s="125">
        <f>Valores!$C$88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AH187*Valores!$C$70</f>
        <v>-15306.68315</v>
      </c>
      <c r="AO187" s="125">
        <f>AH187*-Valores!$C$71</f>
        <v>0</v>
      </c>
      <c r="AP187" s="125">
        <f>AH187*Valores!$C$72</f>
        <v>-6261.824925</v>
      </c>
      <c r="AQ187" s="125">
        <f>Valores!$C$99</f>
        <v>-280.91</v>
      </c>
      <c r="AR187" s="125">
        <f>IF($F$5=0,Valores!$C$100,(Valores!$C$100+$F$5*(Valores!$C$100)))</f>
        <v>-329</v>
      </c>
      <c r="AS187" s="125">
        <f t="shared" si="24"/>
        <v>116973.24692500001</v>
      </c>
      <c r="AT187" s="125">
        <f t="shared" si="18"/>
        <v>-15306.68315</v>
      </c>
      <c r="AU187" s="125">
        <f>AH187*Valores!$C$73</f>
        <v>-3757.094955</v>
      </c>
      <c r="AV187" s="125">
        <f>AH187*Valores!$C$74</f>
        <v>-417.45499500000005</v>
      </c>
      <c r="AW187" s="125">
        <f t="shared" si="22"/>
        <v>119670.43190000001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32883.45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30876.48</v>
      </c>
      <c r="M188" s="125">
        <f>ROUND(IF($H$2=0,IF(AND(A188&lt;&gt;"13-930",A188&lt;&gt;"13-940"),(SUM(F188,H188,J188,L188,X188,T188,R188)*Valores!$C$4),0),0),2)</f>
        <v>12460.92</v>
      </c>
      <c r="N188" s="125">
        <f t="shared" si="19"/>
        <v>0</v>
      </c>
      <c r="O188" s="125">
        <f>Valores!$C$16</f>
        <v>22234.39</v>
      </c>
      <c r="P188" s="125">
        <f>Valores!$D$5</f>
        <v>13153.38</v>
      </c>
      <c r="Q188" s="125">
        <f>Valores!$C$22</f>
        <v>11734.9</v>
      </c>
      <c r="R188" s="125">
        <f>IF($F$4="NO",Valores!$C$46,Valores!$C$46/2)</f>
        <v>7073.445</v>
      </c>
      <c r="S188" s="125">
        <f>Valores!$C$19</f>
        <v>12239.42</v>
      </c>
      <c r="T188" s="125">
        <f t="shared" si="25"/>
        <v>12239.42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Valores!$C$95</f>
        <v>11521.74</v>
      </c>
      <c r="AA188" s="125">
        <f>Valores!$C$25</f>
        <v>537.98</v>
      </c>
      <c r="AB188" s="214">
        <v>0</v>
      </c>
      <c r="AC188" s="125">
        <f t="shared" si="20"/>
        <v>0</v>
      </c>
      <c r="AD188" s="125">
        <f>Valores!$C$26</f>
        <v>537.98</v>
      </c>
      <c r="AE188" s="192">
        <v>0</v>
      </c>
      <c r="AF188" s="125">
        <f>ROUND(AE188*Valores!$C$2,2)</f>
        <v>0</v>
      </c>
      <c r="AG188" s="125">
        <f>ROUND(IF($F$4="NO",Valores!$C$62,Valores!$C$62/2),2)</f>
        <v>3203.47</v>
      </c>
      <c r="AH188" s="125">
        <f t="shared" si="23"/>
        <v>158457.55500000002</v>
      </c>
      <c r="AI188" s="125">
        <f>Valores!$C$31</f>
        <v>0</v>
      </c>
      <c r="AJ188" s="125">
        <f>Valores!$C$88</f>
        <v>0</v>
      </c>
      <c r="AK188" s="125">
        <f>Valores!C$38*B188</f>
        <v>0</v>
      </c>
      <c r="AL188" s="125">
        <f>IF($F$3="NO",0,Valores!$C$54)</f>
        <v>327.6</v>
      </c>
      <c r="AM188" s="125">
        <f t="shared" si="21"/>
        <v>327.6</v>
      </c>
      <c r="AN188" s="125">
        <f>AH188*Valores!$C$70</f>
        <v>-17430.331050000004</v>
      </c>
      <c r="AO188" s="125">
        <f>AH188*-Valores!$C$71</f>
        <v>0</v>
      </c>
      <c r="AP188" s="125">
        <f>AH188*Valores!$C$72</f>
        <v>-7130.589975000001</v>
      </c>
      <c r="AQ188" s="125">
        <f>Valores!$C$99</f>
        <v>-280.91</v>
      </c>
      <c r="AR188" s="125">
        <f>IF($F$5=0,Valores!$C$100,(Valores!$C$100+$F$5*(Valores!$C$100)))</f>
        <v>-329</v>
      </c>
      <c r="AS188" s="125">
        <f t="shared" si="24"/>
        <v>133614.323975</v>
      </c>
      <c r="AT188" s="125">
        <f t="shared" si="18"/>
        <v>-17430.331050000004</v>
      </c>
      <c r="AU188" s="125">
        <f>AH188*Valores!$C$73</f>
        <v>-4278.353985000001</v>
      </c>
      <c r="AV188" s="125">
        <f>AH188*Valores!$C$74</f>
        <v>-475.3726650000001</v>
      </c>
      <c r="AW188" s="125">
        <f t="shared" si="22"/>
        <v>136601.09730000002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27402.88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15438.24</v>
      </c>
      <c r="M189" s="125">
        <f>ROUND(IF($H$2=0,IF(AND(A189&lt;&gt;"13-930",A189&lt;&gt;"13-940"),(SUM(F189,H189,J189,L189,X189,T189,R189)*Valores!$C$4),0),0),2)</f>
        <v>9323.1</v>
      </c>
      <c r="N189" s="125">
        <f t="shared" si="19"/>
        <v>0</v>
      </c>
      <c r="O189" s="125">
        <f>Valores!$C$16</f>
        <v>22234.39</v>
      </c>
      <c r="P189" s="125">
        <f>Valores!$D$5</f>
        <v>13153.38</v>
      </c>
      <c r="Q189" s="125">
        <v>0</v>
      </c>
      <c r="R189" s="125">
        <f>IF($F$4="NO",Valores!$C$46,Valores!$C$46/2)</f>
        <v>7073.445</v>
      </c>
      <c r="S189" s="125">
        <f>Valores!$C$19</f>
        <v>12239.42</v>
      </c>
      <c r="T189" s="125">
        <f t="shared" si="25"/>
        <v>12239.42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Valores!$C$95</f>
        <v>11521.74</v>
      </c>
      <c r="AA189" s="125">
        <f>Valores!$C$25</f>
        <v>537.98</v>
      </c>
      <c r="AB189" s="214">
        <v>0</v>
      </c>
      <c r="AC189" s="125">
        <f t="shared" si="20"/>
        <v>0</v>
      </c>
      <c r="AD189" s="125">
        <f>Valores!$C$26</f>
        <v>537.98</v>
      </c>
      <c r="AE189" s="192">
        <v>0</v>
      </c>
      <c r="AF189" s="125">
        <f>ROUND(AE189*Valores!$C$2,2)</f>
        <v>0</v>
      </c>
      <c r="AG189" s="125">
        <f>ROUND(IF($F$4="NO",Valores!$C$62,Valores!$C$62/2),2)</f>
        <v>3203.47</v>
      </c>
      <c r="AH189" s="125">
        <f t="shared" si="23"/>
        <v>122666.025</v>
      </c>
      <c r="AI189" s="125">
        <f>Valores!$C$31</f>
        <v>0</v>
      </c>
      <c r="AJ189" s="125">
        <f>Valores!$C$88</f>
        <v>0</v>
      </c>
      <c r="AK189" s="125">
        <f>Valores!C$38*B189</f>
        <v>0</v>
      </c>
      <c r="AL189" s="125">
        <f>IF($F$3="NO",0,Valores!$C$54)</f>
        <v>327.6</v>
      </c>
      <c r="AM189" s="125">
        <f t="shared" si="21"/>
        <v>327.6</v>
      </c>
      <c r="AN189" s="125">
        <f>AH189*Valores!$C$70</f>
        <v>-13493.26275</v>
      </c>
      <c r="AO189" s="125">
        <f>AH189*-Valores!$C$71</f>
        <v>0</v>
      </c>
      <c r="AP189" s="125">
        <f>AH189*Valores!$C$72</f>
        <v>-5519.971124999999</v>
      </c>
      <c r="AQ189" s="125">
        <f>Valores!$C$99</f>
        <v>-280.91</v>
      </c>
      <c r="AR189" s="125">
        <f>IF($F$5=0,Valores!$C$100,(Valores!$C$100+$F$5*(Valores!$C$100)))</f>
        <v>-329</v>
      </c>
      <c r="AS189" s="125">
        <f t="shared" si="24"/>
        <v>103370.48112499999</v>
      </c>
      <c r="AT189" s="125">
        <f t="shared" si="18"/>
        <v>-13493.26275</v>
      </c>
      <c r="AU189" s="125">
        <f>AH189*Valores!$C$73</f>
        <v>-3311.9826749999997</v>
      </c>
      <c r="AV189" s="125">
        <f>AH189*Valores!$C$74</f>
        <v>-367.998075</v>
      </c>
      <c r="AW189" s="125">
        <f t="shared" si="22"/>
        <v>105820.3815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24984.22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16982.06</v>
      </c>
      <c r="M190" s="125">
        <f>ROUND(IF($H$2=0,IF(AND(A190&lt;&gt;"13-930",A190&lt;&gt;"13-940"),(SUM(F190,H190,J190,L190,X190,T190,R190)*Valores!$C$4),0),0),2)</f>
        <v>8835.54</v>
      </c>
      <c r="N190" s="125">
        <f t="shared" si="19"/>
        <v>0</v>
      </c>
      <c r="O190" s="125">
        <f>Valores!$C$16</f>
        <v>22234.39</v>
      </c>
      <c r="P190" s="125">
        <f>Valores!$D$5</f>
        <v>13153.38</v>
      </c>
      <c r="Q190" s="125">
        <f>Valores!$C$23</f>
        <v>10922.07</v>
      </c>
      <c r="R190" s="125">
        <f>IF($F$4="NO",Valores!$C$43,Valores!$C$43/2)</f>
        <v>4697.875</v>
      </c>
      <c r="S190" s="125">
        <f>Valores!$C$19</f>
        <v>12239.42</v>
      </c>
      <c r="T190" s="125">
        <f t="shared" si="25"/>
        <v>12239.42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Valores!$C$93</f>
        <v>5760.87</v>
      </c>
      <c r="AA190" s="125">
        <f>Valores!$C$25</f>
        <v>537.98</v>
      </c>
      <c r="AB190" s="214">
        <v>0</v>
      </c>
      <c r="AC190" s="125">
        <f t="shared" si="20"/>
        <v>0</v>
      </c>
      <c r="AD190" s="125">
        <f>Valores!$C$26</f>
        <v>537.98</v>
      </c>
      <c r="AE190" s="192">
        <v>0</v>
      </c>
      <c r="AF190" s="125">
        <f>ROUND(AE190*Valores!$C$2,2)</f>
        <v>0</v>
      </c>
      <c r="AG190" s="125">
        <f>ROUND(IF($F$4="NO",Valores!$C$62,Valores!$C$62/2),2)</f>
        <v>3203.47</v>
      </c>
      <c r="AH190" s="125">
        <f t="shared" si="23"/>
        <v>124089.25499999999</v>
      </c>
      <c r="AI190" s="125">
        <f>Valores!$C$31</f>
        <v>0</v>
      </c>
      <c r="AJ190" s="125">
        <f>Valores!$C$86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AH190*Valores!$C$70</f>
        <v>-13649.81805</v>
      </c>
      <c r="AO190" s="125">
        <f>AH190*-Valores!$C$71</f>
        <v>0</v>
      </c>
      <c r="AP190" s="125">
        <f>AH190*Valores!$C$72</f>
        <v>-5584.016474999999</v>
      </c>
      <c r="AQ190" s="125">
        <f>Valores!$C$99</f>
        <v>-280.91</v>
      </c>
      <c r="AR190" s="125">
        <f>IF($F$5=0,Valores!$C$100,(Valores!$C$100+$F$5*(Valores!$C$100)))</f>
        <v>-329</v>
      </c>
      <c r="AS190" s="125">
        <f t="shared" si="24"/>
        <v>104245.51047499999</v>
      </c>
      <c r="AT190" s="125">
        <f t="shared" si="18"/>
        <v>-13649.81805</v>
      </c>
      <c r="AU190" s="125">
        <f>AH190*Valores!$C$73</f>
        <v>-3350.4098849999996</v>
      </c>
      <c r="AV190" s="125">
        <f>AH190*Valores!$C$74</f>
        <v>-372.267765</v>
      </c>
      <c r="AW190" s="125">
        <f t="shared" si="22"/>
        <v>106716.75929999999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2547.31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458.86</v>
      </c>
      <c r="N191" s="125">
        <f t="shared" si="19"/>
        <v>0</v>
      </c>
      <c r="O191" s="125">
        <f>Valores!$C$7*B191</f>
        <v>872.59</v>
      </c>
      <c r="P191" s="125">
        <f>ROUND(IF(B191&lt;15,(Valores!$E$5*B191),Valores!$D$5),2)</f>
        <v>876.89</v>
      </c>
      <c r="Q191" s="125">
        <v>0</v>
      </c>
      <c r="R191" s="125">
        <f>IF($F$4="NO",Valores!$C$48*B191,Valores!$C$48*B191/2)</f>
        <v>237.275</v>
      </c>
      <c r="S191" s="125">
        <f>Valores!$C$18*B191</f>
        <v>274.45</v>
      </c>
      <c r="T191" s="125">
        <f t="shared" si="25"/>
        <v>274.45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IF(Valores!$C$96*B191&gt;Valores!$C$95,Valores!$C$95,Valores!$C$96*B191)</f>
        <v>279.94</v>
      </c>
      <c r="AA191" s="125">
        <f>IF((Valores!$C$28)*B191&gt;Valores!$F$28,Valores!$F$28,(Valores!$C$28)*B191)</f>
        <v>21.55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17.95</v>
      </c>
      <c r="AE191" s="192">
        <v>0</v>
      </c>
      <c r="AF191" s="125">
        <f>ROUND(AE191*Valores!$C$2,2)</f>
        <v>0</v>
      </c>
      <c r="AG191" s="125">
        <f>IF($F$4="NO",IF(Valores!$D$62*'Escala Docente'!B191&gt;Valores!$F$62,Valores!$F$62,Valores!$D$62*'Escala Docente'!B191),IF(Valores!$D$62*'Escala Docente'!B191&gt;Valores!$F$62,Valores!$F$62,Valores!$D$62*'Escala Docente'!B191)/2)</f>
        <v>213.565</v>
      </c>
      <c r="AH191" s="125">
        <f t="shared" si="23"/>
        <v>5800.379999999999</v>
      </c>
      <c r="AI191" s="125">
        <f>IF(Valores!$C$32*B191&gt;Valores!$F$32,Valores!$F$32,Valores!$C$32*B191)</f>
        <v>0</v>
      </c>
      <c r="AJ191" s="125">
        <f>IF(Valores!$C$89*B191&gt;Valores!$C$88,Valores!$C$88,Valores!$C$89*B191)</f>
        <v>0</v>
      </c>
      <c r="AK191" s="125">
        <f>Valores!C$39*B191</f>
        <v>0</v>
      </c>
      <c r="AL191" s="125">
        <f>IF($F$3="NO",0,IF(Valores!$C$60*B191&gt;Valores!$F$60,Valores!$F$60,Valores!$C$60*B191))</f>
        <v>14.195</v>
      </c>
      <c r="AM191" s="125">
        <f t="shared" si="21"/>
        <v>14.195</v>
      </c>
      <c r="AN191" s="125">
        <f>AH191*Valores!$C$70</f>
        <v>-638.0418</v>
      </c>
      <c r="AO191" s="125">
        <f>AH191*-Valores!$C$71</f>
        <v>0</v>
      </c>
      <c r="AP191" s="125">
        <f>AH191*Valores!$C$72</f>
        <v>-261.01709999999997</v>
      </c>
      <c r="AQ191" s="125">
        <f>Valores!$C$99</f>
        <v>-280.91</v>
      </c>
      <c r="AR191" s="125">
        <f>IF($F$5=0,Valores!$C$100,(Valores!$C$100+$F$5*(Valores!$C$100)))</f>
        <v>-329</v>
      </c>
      <c r="AS191" s="125">
        <f t="shared" si="24"/>
        <v>4305.606099999999</v>
      </c>
      <c r="AT191" s="125">
        <f t="shared" si="18"/>
        <v>-638.0418</v>
      </c>
      <c r="AU191" s="125">
        <f>AH191*Valores!$C$73</f>
        <v>-156.61025999999998</v>
      </c>
      <c r="AV191" s="125">
        <f>AH191*Valores!$C$74</f>
        <v>-17.401139999999998</v>
      </c>
      <c r="AW191" s="125">
        <f t="shared" si="22"/>
        <v>5002.521799999999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5094.62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917.71</v>
      </c>
      <c r="N192" s="125">
        <f t="shared" si="19"/>
        <v>0</v>
      </c>
      <c r="O192" s="125">
        <f>Valores!$C$7*B192</f>
        <v>1745.18</v>
      </c>
      <c r="P192" s="125">
        <f>ROUND(IF(B192&lt;15,(Valores!$E$5*B192),Valores!$D$5),2)</f>
        <v>1753.78</v>
      </c>
      <c r="Q192" s="125">
        <v>0</v>
      </c>
      <c r="R192" s="125">
        <f>IF($F$4="NO",Valores!$C$48*B192,Valores!$C$48*B192/2)</f>
        <v>474.55</v>
      </c>
      <c r="S192" s="125">
        <f>Valores!$C$18*B192</f>
        <v>548.9</v>
      </c>
      <c r="T192" s="125">
        <f t="shared" si="25"/>
        <v>548.9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IF(Valores!$C$96*B192&gt;Valores!$C$95,Valores!$C$95,Valores!$C$96*B192)</f>
        <v>559.88</v>
      </c>
      <c r="AA192" s="125">
        <f>IF((Valores!$C$28)*B192&gt;Valores!$F$28,Valores!$F$28,(Valores!$C$28)*B192)</f>
        <v>43.1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35.9</v>
      </c>
      <c r="AE192" s="192">
        <v>0</v>
      </c>
      <c r="AF192" s="125">
        <f>ROUND(AE192*Valores!$C$2,2)</f>
        <v>0</v>
      </c>
      <c r="AG192" s="125">
        <f>IF($F$4="NO",IF(Valores!$D$62*'Escala Docente'!B192&gt;Valores!$F$62,Valores!$F$62,Valores!$D$62*'Escala Docente'!B192),IF(Valores!$D$62*'Escala Docente'!B192&gt;Valores!$F$62,Valores!$F$62,Valores!$D$62*'Escala Docente'!B192)/2)</f>
        <v>427.13</v>
      </c>
      <c r="AH192" s="125">
        <f t="shared" si="23"/>
        <v>11600.749999999998</v>
      </c>
      <c r="AI192" s="125">
        <f>IF(Valores!$C$32*B192&gt;Valores!$F$32,Valores!$F$32,Valores!$C$32*B192)</f>
        <v>0</v>
      </c>
      <c r="AJ192" s="125">
        <f>IF(Valores!$C$89*B192&gt;Valores!$C$88,Valores!$C$88,Valores!$C$89*B192)</f>
        <v>0</v>
      </c>
      <c r="AK192" s="125">
        <f>Valores!C$39*B192</f>
        <v>0</v>
      </c>
      <c r="AL192" s="125">
        <f>IF($F$3="NO",0,IF(Valores!$C$60*B192&gt;Valores!$F$60,Valores!$F$60,Valores!$C$60*B192))</f>
        <v>28.39</v>
      </c>
      <c r="AM192" s="125">
        <f t="shared" si="21"/>
        <v>28.39</v>
      </c>
      <c r="AN192" s="125">
        <f>AH192*Valores!$C$70</f>
        <v>-1276.0824999999998</v>
      </c>
      <c r="AO192" s="125">
        <f>AH192*-Valores!$C$71</f>
        <v>0</v>
      </c>
      <c r="AP192" s="125">
        <f>AH192*Valores!$C$72</f>
        <v>-522.0337499999999</v>
      </c>
      <c r="AQ192" s="125">
        <f>Valores!$C$99</f>
        <v>-280.91</v>
      </c>
      <c r="AR192" s="125">
        <f>IF($F$5=0,Valores!$C$100,(Valores!$C$100+$F$5*(Valores!$C$100)))</f>
        <v>-329</v>
      </c>
      <c r="AS192" s="125">
        <f t="shared" si="24"/>
        <v>9221.113749999999</v>
      </c>
      <c r="AT192" s="125">
        <f t="shared" si="18"/>
        <v>-1276.0824999999998</v>
      </c>
      <c r="AU192" s="125">
        <f>AH192*Valores!$C$73</f>
        <v>-313.22024999999996</v>
      </c>
      <c r="AV192" s="125">
        <f>AH192*Valores!$C$74</f>
        <v>-34.802249999999994</v>
      </c>
      <c r="AW192" s="125">
        <f t="shared" si="22"/>
        <v>10005.034999999998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7641.93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1376.57</v>
      </c>
      <c r="N193" s="125">
        <f t="shared" si="19"/>
        <v>0</v>
      </c>
      <c r="O193" s="125">
        <f>Valores!$C$7*B193</f>
        <v>2617.77</v>
      </c>
      <c r="P193" s="125">
        <f>ROUND(IF(B193&lt;15,(Valores!$E$5*B193),Valores!$D$5),2)</f>
        <v>2630.67</v>
      </c>
      <c r="Q193" s="125">
        <v>0</v>
      </c>
      <c r="R193" s="125">
        <f>IF($F$4="NO",Valores!$C$48*B193,Valores!$C$48*B193/2)</f>
        <v>711.825</v>
      </c>
      <c r="S193" s="125">
        <f>Valores!$C$18*B193</f>
        <v>823.3499999999999</v>
      </c>
      <c r="T193" s="125">
        <f t="shared" si="25"/>
        <v>823.35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IF(Valores!$C$96*B193&gt;Valores!$C$95,Valores!$C$95,Valores!$C$96*B193)</f>
        <v>839.8199999999999</v>
      </c>
      <c r="AA193" s="125">
        <f>IF((Valores!$C$28)*B193&gt;Valores!$F$28,Valores!$F$28,(Valores!$C$28)*B193)</f>
        <v>64.65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53.849999999999994</v>
      </c>
      <c r="AE193" s="192">
        <v>0</v>
      </c>
      <c r="AF193" s="125">
        <f>ROUND(AE193*Valores!$C$2,2)</f>
        <v>0</v>
      </c>
      <c r="AG193" s="125">
        <f>IF($F$4="NO",IF(Valores!$D$62*'Escala Docente'!B193&gt;Valores!$F$62,Valores!$F$62,Valores!$D$62*'Escala Docente'!B193),IF(Valores!$D$62*'Escala Docente'!B193&gt;Valores!$F$62,Valores!$F$62,Valores!$D$62*'Escala Docente'!B193)/2)</f>
        <v>640.6949999999999</v>
      </c>
      <c r="AH193" s="125">
        <f t="shared" si="23"/>
        <v>17401.13</v>
      </c>
      <c r="AI193" s="125">
        <f>IF(Valores!$C$32*B193&gt;Valores!$F$32,Valores!$F$32,Valores!$C$32*B193)</f>
        <v>0</v>
      </c>
      <c r="AJ193" s="125">
        <f>IF(Valores!$C$89*B193&gt;Valores!$C$88,Valores!$C$88,Valores!$C$89*B193)</f>
        <v>0</v>
      </c>
      <c r="AK193" s="125">
        <f>Valores!C$39*B193</f>
        <v>0</v>
      </c>
      <c r="AL193" s="125">
        <f>IF($F$3="NO",0,IF(Valores!$C$60*B193&gt;Valores!$F$60,Valores!$F$60,Valores!$C$60*B193))</f>
        <v>42.585</v>
      </c>
      <c r="AM193" s="125">
        <f t="shared" si="21"/>
        <v>42.585</v>
      </c>
      <c r="AN193" s="125">
        <f>AH193*Valores!$C$70</f>
        <v>-1914.1243000000002</v>
      </c>
      <c r="AO193" s="125">
        <f>AH193*-Valores!$C$71</f>
        <v>0</v>
      </c>
      <c r="AP193" s="125">
        <f>AH193*Valores!$C$72</f>
        <v>-783.05085</v>
      </c>
      <c r="AQ193" s="125">
        <f>Valores!$C$99</f>
        <v>-280.91</v>
      </c>
      <c r="AR193" s="125">
        <f>IF($F$5=0,Valores!$C$100,(Valores!$C$100+$F$5*(Valores!$C$100)))</f>
        <v>-329</v>
      </c>
      <c r="AS193" s="125">
        <f t="shared" si="24"/>
        <v>14136.629850000001</v>
      </c>
      <c r="AT193" s="125">
        <f t="shared" si="18"/>
        <v>-1914.1243000000002</v>
      </c>
      <c r="AU193" s="125">
        <f>AH193*Valores!$C$73</f>
        <v>-469.83051</v>
      </c>
      <c r="AV193" s="125">
        <f>AH193*Valores!$C$74</f>
        <v>-52.203390000000006</v>
      </c>
      <c r="AW193" s="125">
        <f t="shared" si="22"/>
        <v>15007.5568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10189.24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1835.42</v>
      </c>
      <c r="N194" s="125">
        <f t="shared" si="19"/>
        <v>0</v>
      </c>
      <c r="O194" s="125">
        <f>Valores!$C$7*B194</f>
        <v>3490.36</v>
      </c>
      <c r="P194" s="125">
        <f>ROUND(IF(B194&lt;15,(Valores!$E$5*B194),Valores!$D$5),2)</f>
        <v>3507.56</v>
      </c>
      <c r="Q194" s="125">
        <v>0</v>
      </c>
      <c r="R194" s="125">
        <f>IF($F$4="NO",Valores!$C$48*B194,Valores!$C$48*B194/2)</f>
        <v>949.1</v>
      </c>
      <c r="S194" s="125">
        <f>Valores!$C$18*B194</f>
        <v>1097.8</v>
      </c>
      <c r="T194" s="125">
        <f t="shared" si="25"/>
        <v>1097.8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IF(Valores!$C$96*B194&gt;Valores!$C$95,Valores!$C$95,Valores!$C$96*B194)</f>
        <v>1119.76</v>
      </c>
      <c r="AA194" s="125">
        <f>IF((Valores!$C$28)*B194&gt;Valores!$F$28,Valores!$F$28,(Valores!$C$28)*B194)</f>
        <v>86.2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71.8</v>
      </c>
      <c r="AE194" s="192">
        <v>0</v>
      </c>
      <c r="AF194" s="125">
        <f>ROUND(AE194*Valores!$C$2,2)</f>
        <v>0</v>
      </c>
      <c r="AG194" s="125">
        <f>IF($F$4="NO",IF(Valores!$D$62*'Escala Docente'!B194&gt;Valores!$F$62,Valores!$F$62,Valores!$D$62*'Escala Docente'!B194),IF(Valores!$D$62*'Escala Docente'!B194&gt;Valores!$F$62,Valores!$F$62,Valores!$D$62*'Escala Docente'!B194)/2)</f>
        <v>854.26</v>
      </c>
      <c r="AH194" s="125">
        <f t="shared" si="23"/>
        <v>23201.499999999996</v>
      </c>
      <c r="AI194" s="125">
        <f>IF(Valores!$C$32*B194&gt;Valores!$F$32,Valores!$F$32,Valores!$C$32*B194)</f>
        <v>0</v>
      </c>
      <c r="AJ194" s="125">
        <f>IF(Valores!$C$89*B194&gt;Valores!$C$88,Valores!$C$88,Valores!$C$89*B194)</f>
        <v>0</v>
      </c>
      <c r="AK194" s="125">
        <f>Valores!C$39*B194</f>
        <v>0</v>
      </c>
      <c r="AL194" s="125">
        <f>IF($F$3="NO",0,IF(Valores!$C$60*B194&gt;Valores!$F$60,Valores!$F$60,Valores!$C$60*B194))</f>
        <v>56.78</v>
      </c>
      <c r="AM194" s="125">
        <f t="shared" si="21"/>
        <v>56.78</v>
      </c>
      <c r="AN194" s="125">
        <f>AH194*Valores!$C$70</f>
        <v>-2552.1649999999995</v>
      </c>
      <c r="AO194" s="125">
        <f>AH194*-Valores!$C$71</f>
        <v>0</v>
      </c>
      <c r="AP194" s="125">
        <f>AH194*Valores!$C$72</f>
        <v>-1044.0674999999999</v>
      </c>
      <c r="AQ194" s="125">
        <f>Valores!$C$99</f>
        <v>-280.91</v>
      </c>
      <c r="AR194" s="125">
        <f>IF($F$5=0,Valores!$C$100,(Valores!$C$100+$F$5*(Valores!$C$100)))</f>
        <v>-329</v>
      </c>
      <c r="AS194" s="125">
        <f t="shared" si="24"/>
        <v>19052.137499999997</v>
      </c>
      <c r="AT194" s="125">
        <f t="shared" si="18"/>
        <v>-2552.1649999999995</v>
      </c>
      <c r="AU194" s="125">
        <f>AH194*Valores!$C$73</f>
        <v>-626.4404999999999</v>
      </c>
      <c r="AV194" s="125">
        <f>AH194*Valores!$C$74</f>
        <v>-69.60449999999999</v>
      </c>
      <c r="AW194" s="125">
        <f t="shared" si="22"/>
        <v>20010.069999999996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12736.55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2294.28</v>
      </c>
      <c r="N195" s="125">
        <f t="shared" si="19"/>
        <v>0</v>
      </c>
      <c r="O195" s="125">
        <f>Valores!$C$7*B195</f>
        <v>4362.95</v>
      </c>
      <c r="P195" s="125">
        <f>ROUND(IF(B195&lt;15,(Valores!$E$5*B195),Valores!$D$5),2)</f>
        <v>4384.45</v>
      </c>
      <c r="Q195" s="125">
        <v>0</v>
      </c>
      <c r="R195" s="125">
        <f>IF($F$4="NO",Valores!$C$48*B195,Valores!$C$48*B195/2)</f>
        <v>1186.375</v>
      </c>
      <c r="S195" s="125">
        <f>Valores!$C$18*B195</f>
        <v>1372.25</v>
      </c>
      <c r="T195" s="125">
        <f t="shared" si="25"/>
        <v>1372.25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IF(Valores!$C$96*B195&gt;Valores!$C$95,Valores!$C$95,Valores!$C$96*B195)</f>
        <v>1399.7</v>
      </c>
      <c r="AA195" s="125">
        <f>IF((Valores!$C$28)*B195&gt;Valores!$F$28,Valores!$F$28,(Valores!$C$28)*B195)</f>
        <v>107.75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89.75</v>
      </c>
      <c r="AE195" s="192">
        <v>0</v>
      </c>
      <c r="AF195" s="125">
        <f>ROUND(AE195*Valores!$C$2,2)</f>
        <v>0</v>
      </c>
      <c r="AG195" s="125">
        <f>IF($F$4="NO",IF(Valores!$D$62*'Escala Docente'!B195&gt;Valores!$F$62,Valores!$F$62,Valores!$D$62*'Escala Docente'!B195),IF(Valores!$D$62*'Escala Docente'!B195&gt;Valores!$F$62,Valores!$F$62,Valores!$D$62*'Escala Docente'!B195)/2)</f>
        <v>1067.825</v>
      </c>
      <c r="AH195" s="125">
        <f t="shared" si="23"/>
        <v>29001.88</v>
      </c>
      <c r="AI195" s="125">
        <f>IF(Valores!$C$32*B195&gt;Valores!$F$32,Valores!$F$32,Valores!$C$32*B195)</f>
        <v>0</v>
      </c>
      <c r="AJ195" s="125">
        <f>IF(Valores!$C$89*B195&gt;Valores!$C$88,Valores!$C$88,Valores!$C$89*B195)</f>
        <v>0</v>
      </c>
      <c r="AK195" s="125">
        <f>Valores!C$39*B195</f>
        <v>0</v>
      </c>
      <c r="AL195" s="125">
        <f>IF($F$3="NO",0,IF(Valores!$C$60*B195&gt;Valores!$F$60,Valores!$F$60,Valores!$C$60*B195))</f>
        <v>70.975</v>
      </c>
      <c r="AM195" s="125">
        <f t="shared" si="21"/>
        <v>70.975</v>
      </c>
      <c r="AN195" s="125">
        <f>AH195*Valores!$C$70</f>
        <v>-3190.2068</v>
      </c>
      <c r="AO195" s="125">
        <f>AH195*-Valores!$C$71</f>
        <v>0</v>
      </c>
      <c r="AP195" s="125">
        <f>AH195*Valores!$C$72</f>
        <v>-1305.0846</v>
      </c>
      <c r="AQ195" s="125">
        <f>Valores!$C$99</f>
        <v>-280.91</v>
      </c>
      <c r="AR195" s="125">
        <f>IF($F$5=0,Valores!$C$100,(Valores!$C$100+$F$5*(Valores!$C$100)))</f>
        <v>-329</v>
      </c>
      <c r="AS195" s="125">
        <f t="shared" si="24"/>
        <v>23967.6536</v>
      </c>
      <c r="AT195" s="125">
        <f t="shared" si="18"/>
        <v>-3190.2068</v>
      </c>
      <c r="AU195" s="125">
        <f>AH195*Valores!$C$73</f>
        <v>-783.05076</v>
      </c>
      <c r="AV195" s="125">
        <f>AH195*Valores!$C$74</f>
        <v>-87.00564</v>
      </c>
      <c r="AW195" s="125">
        <f t="shared" si="22"/>
        <v>25012.5918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15283.86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2753.13</v>
      </c>
      <c r="N196" s="125">
        <f t="shared" si="19"/>
        <v>0</v>
      </c>
      <c r="O196" s="125">
        <f>Valores!$C$7*B196</f>
        <v>5235.54</v>
      </c>
      <c r="P196" s="125">
        <f>ROUND(IF(B196&lt;15,(Valores!$E$5*B196),Valores!$D$5),2)</f>
        <v>5261.34</v>
      </c>
      <c r="Q196" s="125">
        <v>0</v>
      </c>
      <c r="R196" s="125">
        <f>IF($F$4="NO",Valores!$C$48*B196,Valores!$C$48*B196/2)</f>
        <v>1423.65</v>
      </c>
      <c r="S196" s="125">
        <f>Valores!$C$18*B196</f>
        <v>1646.6999999999998</v>
      </c>
      <c r="T196" s="125">
        <f t="shared" si="25"/>
        <v>1646.7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IF(Valores!$C$96*B196&gt;Valores!$C$95,Valores!$C$95,Valores!$C$96*B196)</f>
        <v>1679.6399999999999</v>
      </c>
      <c r="AA196" s="125">
        <f>IF((Valores!$C$28)*B196&gt;Valores!$F$28,Valores!$F$28,(Valores!$C$28)*B196)</f>
        <v>129.3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107.69999999999999</v>
      </c>
      <c r="AE196" s="192">
        <v>0</v>
      </c>
      <c r="AF196" s="125">
        <f>ROUND(AE196*Valores!$C$2,2)</f>
        <v>0</v>
      </c>
      <c r="AG196" s="125">
        <f>IF($F$4="NO",IF(Valores!$D$62*'Escala Docente'!B196&gt;Valores!$F$62,Valores!$F$62,Valores!$D$62*'Escala Docente'!B196),IF(Valores!$D$62*'Escala Docente'!B196&gt;Valores!$F$62,Valores!$F$62,Valores!$D$62*'Escala Docente'!B196)/2)</f>
        <v>1281.3899999999999</v>
      </c>
      <c r="AH196" s="125">
        <f t="shared" si="23"/>
        <v>34802.25000000001</v>
      </c>
      <c r="AI196" s="125">
        <f>IF(Valores!$C$32*B196&gt;Valores!$F$32,Valores!$F$32,Valores!$C$32*B196)</f>
        <v>0</v>
      </c>
      <c r="AJ196" s="125">
        <f>IF(Valores!$C$89*B196&gt;Valores!$C$88,Valores!$C$88,Valores!$C$89*B196)</f>
        <v>0</v>
      </c>
      <c r="AK196" s="125">
        <f>Valores!C$39*B196</f>
        <v>0</v>
      </c>
      <c r="AL196" s="125">
        <f>IF($F$3="NO",0,IF(Valores!$C$60*B196&gt;Valores!$F$60,Valores!$F$60,Valores!$C$60*B196))</f>
        <v>85.17</v>
      </c>
      <c r="AM196" s="125">
        <f t="shared" si="21"/>
        <v>85.17</v>
      </c>
      <c r="AN196" s="125">
        <f>AH196*Valores!$C$70</f>
        <v>-3828.247500000001</v>
      </c>
      <c r="AO196" s="125">
        <f>AH196*-Valores!$C$71</f>
        <v>0</v>
      </c>
      <c r="AP196" s="125">
        <f>AH196*Valores!$C$72</f>
        <v>-1566.1012500000002</v>
      </c>
      <c r="AQ196" s="125">
        <f>Valores!$C$99</f>
        <v>-280.91</v>
      </c>
      <c r="AR196" s="125">
        <f>IF($F$5=0,Valores!$C$100,(Valores!$C$100+$F$5*(Valores!$C$100)))</f>
        <v>-329</v>
      </c>
      <c r="AS196" s="125">
        <f t="shared" si="24"/>
        <v>28883.161250000005</v>
      </c>
      <c r="AT196" s="125">
        <f t="shared" si="18"/>
        <v>-3828.247500000001</v>
      </c>
      <c r="AU196" s="125">
        <f>AH196*Valores!$C$73</f>
        <v>-939.6607500000002</v>
      </c>
      <c r="AV196" s="125">
        <f>AH196*Valores!$C$74</f>
        <v>-104.40675000000003</v>
      </c>
      <c r="AW196" s="125">
        <f t="shared" si="22"/>
        <v>30015.105000000003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17831.17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3211.99</v>
      </c>
      <c r="N197" s="125">
        <f t="shared" si="19"/>
        <v>0</v>
      </c>
      <c r="O197" s="125">
        <f>Valores!$C$7*B197</f>
        <v>6108.13</v>
      </c>
      <c r="P197" s="125">
        <f>ROUND(IF(B197&lt;15,(Valores!$E$5*B197),Valores!$D$5),2)</f>
        <v>6138.23</v>
      </c>
      <c r="Q197" s="125">
        <v>0</v>
      </c>
      <c r="R197" s="125">
        <f>IF($F$4="NO",Valores!$C$48*B197,Valores!$C$48*B197/2)</f>
        <v>1660.925</v>
      </c>
      <c r="S197" s="125">
        <f>Valores!$C$18*B197</f>
        <v>1921.1499999999999</v>
      </c>
      <c r="T197" s="125">
        <f t="shared" si="25"/>
        <v>1921.15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IF(Valores!$C$96*B197&gt;Valores!$C$95,Valores!$C$95,Valores!$C$96*B197)</f>
        <v>1959.58</v>
      </c>
      <c r="AA197" s="125">
        <f>IF((Valores!$C$28)*B197&gt;Valores!$F$28,Valores!$F$28,(Valores!$C$28)*B197)</f>
        <v>150.85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125.64999999999999</v>
      </c>
      <c r="AE197" s="192">
        <v>0</v>
      </c>
      <c r="AF197" s="125">
        <f>ROUND(AE197*Valores!$C$2,2)</f>
        <v>0</v>
      </c>
      <c r="AG197" s="125">
        <f>IF($F$4="NO",IF(Valores!$D$62*'Escala Docente'!B197&gt;Valores!$F$62,Valores!$F$62,Valores!$D$62*'Escala Docente'!B197),IF(Valores!$D$62*'Escala Docente'!B197&gt;Valores!$F$62,Valores!$F$62,Valores!$D$62*'Escala Docente'!B197)/2)</f>
        <v>1494.955</v>
      </c>
      <c r="AH197" s="125">
        <f t="shared" si="23"/>
        <v>40602.630000000005</v>
      </c>
      <c r="AI197" s="125">
        <f>IF(Valores!$C$32*B197&gt;Valores!$F$32,Valores!$F$32,Valores!$C$32*B197)</f>
        <v>0</v>
      </c>
      <c r="AJ197" s="125">
        <f>IF(Valores!$C$89*B197&gt;Valores!$C$88,Valores!$C$88,Valores!$C$89*B197)</f>
        <v>0</v>
      </c>
      <c r="AK197" s="125">
        <f>Valores!C$39*B197</f>
        <v>0</v>
      </c>
      <c r="AL197" s="125">
        <f>IF($F$3="NO",0,IF(Valores!$C$60*B197&gt;Valores!$F$60,Valores!$F$60,Valores!$C$60*B197))</f>
        <v>99.36500000000001</v>
      </c>
      <c r="AM197" s="125">
        <f t="shared" si="21"/>
        <v>99.36500000000001</v>
      </c>
      <c r="AN197" s="125">
        <f>AH197*Valores!$C$70</f>
        <v>-4466.2893</v>
      </c>
      <c r="AO197" s="125">
        <f>AH197*-Valores!$C$71</f>
        <v>0</v>
      </c>
      <c r="AP197" s="125">
        <f>AH197*Valores!$C$72</f>
        <v>-1827.1183500000002</v>
      </c>
      <c r="AQ197" s="125">
        <f>Valores!$C$99</f>
        <v>-280.91</v>
      </c>
      <c r="AR197" s="125">
        <f>IF($F$5=0,Valores!$C$100,(Valores!$C$100+$F$5*(Valores!$C$100)))</f>
        <v>-329</v>
      </c>
      <c r="AS197" s="125">
        <f t="shared" si="24"/>
        <v>33798.677350000005</v>
      </c>
      <c r="AT197" s="125">
        <f aca="true" t="shared" si="29" ref="AT197:AT260">AN197</f>
        <v>-4466.2893</v>
      </c>
      <c r="AU197" s="125">
        <f>AH197*Valores!$C$73</f>
        <v>-1096.2710100000002</v>
      </c>
      <c r="AV197" s="125">
        <f>AH197*Valores!$C$74</f>
        <v>-121.80789000000001</v>
      </c>
      <c r="AW197" s="125">
        <f t="shared" si="22"/>
        <v>35017.6268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20378.48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3670.84</v>
      </c>
      <c r="N198" s="125">
        <f t="shared" si="19"/>
        <v>0</v>
      </c>
      <c r="O198" s="125">
        <f>Valores!$C$7*B198</f>
        <v>6980.72</v>
      </c>
      <c r="P198" s="125">
        <f>ROUND(IF(B198&lt;15,(Valores!$E$5*B198),Valores!$D$5),2)</f>
        <v>7015.12</v>
      </c>
      <c r="Q198" s="125">
        <v>0</v>
      </c>
      <c r="R198" s="125">
        <f>IF($F$4="NO",Valores!$C$48*B198,Valores!$C$48*B198/2)</f>
        <v>1898.2</v>
      </c>
      <c r="S198" s="125">
        <f>Valores!$C$18*B198</f>
        <v>2195.6</v>
      </c>
      <c r="T198" s="125">
        <f t="shared" si="25"/>
        <v>2195.6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IF(Valores!$C$96*B198&gt;Valores!$C$95,Valores!$C$95,Valores!$C$96*B198)</f>
        <v>2239.52</v>
      </c>
      <c r="AA198" s="125">
        <f>IF((Valores!$C$28)*B198&gt;Valores!$F$28,Valores!$F$28,(Valores!$C$28)*B198)</f>
        <v>172.4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143.6</v>
      </c>
      <c r="AE198" s="192">
        <v>0</v>
      </c>
      <c r="AF198" s="125">
        <f>ROUND(AE198*Valores!$C$2,2)</f>
        <v>0</v>
      </c>
      <c r="AG198" s="125">
        <f>IF($F$4="NO",IF(Valores!$D$62*'Escala Docente'!B198&gt;Valores!$F$62,Valores!$F$62,Valores!$D$62*'Escala Docente'!B198),IF(Valores!$D$62*'Escala Docente'!B198&gt;Valores!$F$62,Valores!$F$62,Valores!$D$62*'Escala Docente'!B198)/2)</f>
        <v>1708.52</v>
      </c>
      <c r="AH198" s="125">
        <f t="shared" si="23"/>
        <v>46402.99999999999</v>
      </c>
      <c r="AI198" s="125">
        <f>IF(Valores!$C$32*B198&gt;Valores!$F$32,Valores!$F$32,Valores!$C$32*B198)</f>
        <v>0</v>
      </c>
      <c r="AJ198" s="125">
        <f>IF(Valores!$C$89*B198&gt;Valores!$C$88,Valores!$C$88,Valores!$C$89*B198)</f>
        <v>0</v>
      </c>
      <c r="AK198" s="125">
        <f>Valores!C$39*B198</f>
        <v>0</v>
      </c>
      <c r="AL198" s="125">
        <f>IF($F$3="NO",0,IF(Valores!$C$60*B198&gt;Valores!$F$60,Valores!$F$60,Valores!$C$60*B198))</f>
        <v>113.56</v>
      </c>
      <c r="AM198" s="125">
        <f t="shared" si="21"/>
        <v>113.56</v>
      </c>
      <c r="AN198" s="125">
        <f>AH198*Valores!$C$70</f>
        <v>-5104.329999999999</v>
      </c>
      <c r="AO198" s="125">
        <f>AH198*-Valores!$C$71</f>
        <v>0</v>
      </c>
      <c r="AP198" s="125">
        <f>AH198*Valores!$C$72</f>
        <v>-2088.1349999999998</v>
      </c>
      <c r="AQ198" s="125">
        <f>Valores!$C$99</f>
        <v>-280.91</v>
      </c>
      <c r="AR198" s="125">
        <f>IF($F$5=0,Valores!$C$100,(Valores!$C$100+$F$5*(Valores!$C$100)))</f>
        <v>-329</v>
      </c>
      <c r="AS198" s="125">
        <f t="shared" si="24"/>
        <v>38714.185</v>
      </c>
      <c r="AT198" s="125">
        <f t="shared" si="29"/>
        <v>-5104.329999999999</v>
      </c>
      <c r="AU198" s="125">
        <f>AH198*Valores!$C$73</f>
        <v>-1252.8809999999999</v>
      </c>
      <c r="AV198" s="125">
        <f>AH198*Valores!$C$74</f>
        <v>-139.20899999999997</v>
      </c>
      <c r="AW198" s="125">
        <f t="shared" si="22"/>
        <v>40020.13999999999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22925.79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4129.7</v>
      </c>
      <c r="N199" s="125">
        <f t="shared" si="19"/>
        <v>0</v>
      </c>
      <c r="O199" s="125">
        <f>Valores!$C$7*B199</f>
        <v>7853.31</v>
      </c>
      <c r="P199" s="125">
        <f>ROUND(IF(B199&lt;15,(Valores!$E$5*B199),Valores!$D$5),2)</f>
        <v>7892.01</v>
      </c>
      <c r="Q199" s="125">
        <v>0</v>
      </c>
      <c r="R199" s="125">
        <f>IF($F$4="NO",Valores!$C$48*B199,Valores!$C$48*B199/2)</f>
        <v>2135.475</v>
      </c>
      <c r="S199" s="125">
        <f>Valores!$C$18*B199</f>
        <v>2470.0499999999997</v>
      </c>
      <c r="T199" s="125">
        <f t="shared" si="25"/>
        <v>2470.05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IF(Valores!$C$96*B199&gt;Valores!$C$95,Valores!$C$95,Valores!$C$96*B199)</f>
        <v>2519.46</v>
      </c>
      <c r="AA199" s="125">
        <f>IF((Valores!$C$28)*B199&gt;Valores!$F$28,Valores!$F$28,(Valores!$C$28)*B199)</f>
        <v>193.95000000000002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161.54999999999998</v>
      </c>
      <c r="AE199" s="192">
        <v>0</v>
      </c>
      <c r="AF199" s="125">
        <f>ROUND(AE199*Valores!$C$2,2)</f>
        <v>0</v>
      </c>
      <c r="AG199" s="125">
        <f>IF($F$4="NO",IF(Valores!$D$62*'Escala Docente'!B199&gt;Valores!$F$62,Valores!$F$62,Valores!$D$62*'Escala Docente'!B199),IF(Valores!$D$62*'Escala Docente'!B199&gt;Valores!$F$62,Valores!$F$62,Valores!$D$62*'Escala Docente'!B199)/2)</f>
        <v>1922.085</v>
      </c>
      <c r="AH199" s="125">
        <f t="shared" si="23"/>
        <v>52203.380000000005</v>
      </c>
      <c r="AI199" s="125">
        <f>IF(Valores!$C$32*B199&gt;Valores!$F$32,Valores!$F$32,Valores!$C$32*B199)</f>
        <v>0</v>
      </c>
      <c r="AJ199" s="125">
        <f>IF(Valores!$C$89*B199&gt;Valores!$C$88,Valores!$C$88,Valores!$C$89*B199)</f>
        <v>0</v>
      </c>
      <c r="AK199" s="125">
        <f>Valores!C$39*B199</f>
        <v>0</v>
      </c>
      <c r="AL199" s="125">
        <f>IF($F$3="NO",0,IF(Valores!$C$60*B199&gt;Valores!$F$60,Valores!$F$60,Valores!$C$60*B199))</f>
        <v>127.755</v>
      </c>
      <c r="AM199" s="125">
        <f t="shared" si="21"/>
        <v>127.755</v>
      </c>
      <c r="AN199" s="125">
        <f>AH199*Valores!$C$70</f>
        <v>-5742.371800000001</v>
      </c>
      <c r="AO199" s="125">
        <f>AH199*-Valores!$C$71</f>
        <v>0</v>
      </c>
      <c r="AP199" s="125">
        <f>AH199*Valores!$C$72</f>
        <v>-2349.1521000000002</v>
      </c>
      <c r="AQ199" s="125">
        <f>Valores!$C$99</f>
        <v>-280.91</v>
      </c>
      <c r="AR199" s="125">
        <f>IF($F$5=0,Valores!$C$100,(Valores!$C$100+$F$5*(Valores!$C$100)))</f>
        <v>-329</v>
      </c>
      <c r="AS199" s="125">
        <f t="shared" si="24"/>
        <v>43629.701100000006</v>
      </c>
      <c r="AT199" s="125">
        <f t="shared" si="29"/>
        <v>-5742.371800000001</v>
      </c>
      <c r="AU199" s="125">
        <f>AH199*Valores!$C$73</f>
        <v>-1409.49126</v>
      </c>
      <c r="AV199" s="125">
        <f>AH199*Valores!$C$74</f>
        <v>-156.61014000000003</v>
      </c>
      <c r="AW199" s="125">
        <f t="shared" si="22"/>
        <v>45022.6618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25473.1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4588.55</v>
      </c>
      <c r="N200" s="125">
        <f aca="true" t="shared" si="30" ref="N200:N263">ROUND(SUM(F200,H200,J200,L200,X200,R200)*$H$2,2)</f>
        <v>0</v>
      </c>
      <c r="O200" s="125">
        <f>Valores!$C$7*B200</f>
        <v>8725.9</v>
      </c>
      <c r="P200" s="125">
        <f>ROUND(IF(B200&lt;15,(Valores!$E$5*B200),Valores!$D$5),2)</f>
        <v>8768.9</v>
      </c>
      <c r="Q200" s="125">
        <v>0</v>
      </c>
      <c r="R200" s="125">
        <f>IF($F$4="NO",Valores!$C$48*B200,Valores!$C$48*B200/2)</f>
        <v>2372.75</v>
      </c>
      <c r="S200" s="125">
        <f>Valores!$C$18*B200</f>
        <v>2744.5</v>
      </c>
      <c r="T200" s="125">
        <f t="shared" si="25"/>
        <v>2744.5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IF(Valores!$C$96*B200&gt;Valores!$C$95,Valores!$C$95,Valores!$C$96*B200)</f>
        <v>2799.4</v>
      </c>
      <c r="AA200" s="125">
        <f>IF((Valores!$C$28)*B200&gt;Valores!$F$28,Valores!$F$28,(Valores!$C$28)*B200)</f>
        <v>215.5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179.5</v>
      </c>
      <c r="AE200" s="192">
        <v>0</v>
      </c>
      <c r="AF200" s="125">
        <f>ROUND(AE200*Valores!$C$2,2)</f>
        <v>0</v>
      </c>
      <c r="AG200" s="125">
        <f>IF($F$4="NO",IF(Valores!$D$62*'Escala Docente'!B200&gt;Valores!$F$62,Valores!$F$62,Valores!$D$62*'Escala Docente'!B200),IF(Valores!$D$62*'Escala Docente'!B200&gt;Valores!$F$62,Valores!$F$62,Valores!$D$62*'Escala Docente'!B200)/2)</f>
        <v>2135.65</v>
      </c>
      <c r="AH200" s="125">
        <f t="shared" si="23"/>
        <v>58003.75</v>
      </c>
      <c r="AI200" s="125">
        <f>IF(Valores!$C$32*B200&gt;Valores!$F$32,Valores!$F$32,Valores!$C$32*B200)</f>
        <v>0</v>
      </c>
      <c r="AJ200" s="125">
        <f>IF(Valores!$C$89*B200&gt;Valores!$C$88,Valores!$C$88,Valores!$C$89*B200)</f>
        <v>0</v>
      </c>
      <c r="AK200" s="125">
        <f>Valores!C$39*B200</f>
        <v>0</v>
      </c>
      <c r="AL200" s="125">
        <f>IF($F$3="NO",0,IF(Valores!$C$60*B200&gt;Valores!$F$60,Valores!$F$60,Valores!$C$60*B200))</f>
        <v>141.95</v>
      </c>
      <c r="AM200" s="125">
        <f aca="true" t="shared" si="32" ref="AM200:AM263">SUM(AI200:AL200)</f>
        <v>141.95</v>
      </c>
      <c r="AN200" s="125">
        <f>AH200*Valores!$C$70</f>
        <v>-6380.4125</v>
      </c>
      <c r="AO200" s="125">
        <f>AH200*-Valores!$C$71</f>
        <v>0</v>
      </c>
      <c r="AP200" s="125">
        <f>AH200*Valores!$C$72</f>
        <v>-2610.16875</v>
      </c>
      <c r="AQ200" s="125">
        <f>Valores!$C$99</f>
        <v>-280.91</v>
      </c>
      <c r="AR200" s="125">
        <f>IF($F$5=0,Valores!$C$100,(Valores!$C$100+$F$5*(Valores!$C$100)))</f>
        <v>-329</v>
      </c>
      <c r="AS200" s="125">
        <f t="shared" si="24"/>
        <v>48545.20875</v>
      </c>
      <c r="AT200" s="125">
        <f t="shared" si="29"/>
        <v>-6380.4125</v>
      </c>
      <c r="AU200" s="125">
        <f>AH200*Valores!$C$73</f>
        <v>-1566.10125</v>
      </c>
      <c r="AV200" s="125">
        <f>AH200*Valores!$C$74</f>
        <v>-174.01125</v>
      </c>
      <c r="AW200" s="125">
        <f aca="true" t="shared" si="33" ref="AW200:AW263">AH200+AM200+SUM(AT200:AV200)</f>
        <v>50025.174999999996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28020.41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5047.41</v>
      </c>
      <c r="N201" s="125">
        <f t="shared" si="30"/>
        <v>0</v>
      </c>
      <c r="O201" s="125">
        <f>Valores!$C$7*B201</f>
        <v>9598.49</v>
      </c>
      <c r="P201" s="125">
        <f>ROUND(IF(B201&lt;15,(Valores!$E$5*B201),Valores!$D$5),2)</f>
        <v>9645.79</v>
      </c>
      <c r="Q201" s="125">
        <v>0</v>
      </c>
      <c r="R201" s="125">
        <f>IF($F$4="NO",Valores!$C$48*B201,Valores!$C$48*B201/2)</f>
        <v>2610.025</v>
      </c>
      <c r="S201" s="125">
        <f>Valores!$C$18*B201</f>
        <v>3018.95</v>
      </c>
      <c r="T201" s="125">
        <f t="shared" si="25"/>
        <v>3018.95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IF(Valores!$C$96*B201&gt;Valores!$C$95,Valores!$C$95,Valores!$C$96*B201)</f>
        <v>3079.34</v>
      </c>
      <c r="AA201" s="125">
        <f>IF((Valores!$C$28)*B201&gt;Valores!$F$28,Valores!$F$28,(Valores!$C$28)*B201)</f>
        <v>237.05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197.45</v>
      </c>
      <c r="AE201" s="192">
        <v>0</v>
      </c>
      <c r="AF201" s="125">
        <f>ROUND(AE201*Valores!$C$2,2)</f>
        <v>0</v>
      </c>
      <c r="AG201" s="125">
        <f>IF($F$4="NO",IF(Valores!$D$62*'Escala Docente'!B201&gt;Valores!$F$62,Valores!$F$62,Valores!$D$62*'Escala Docente'!B201),IF(Valores!$D$62*'Escala Docente'!B201&gt;Valores!$F$62,Valores!$F$62,Valores!$D$62*'Escala Docente'!B201)/2)</f>
        <v>2349.215</v>
      </c>
      <c r="AH201" s="125">
        <f aca="true" t="shared" si="34" ref="AH201:AH264">SUM(F201,H201,J201,L201,M201,N201,O201,P201,Q201,R201,T201,U201,V201,X201,Y201,Z201,AA201,AC201,AD201,AF201,AG201)</f>
        <v>63804.12999999999</v>
      </c>
      <c r="AI201" s="125">
        <f>IF(Valores!$C$32*B201&gt;Valores!$F$32,Valores!$F$32,Valores!$C$32*B201)</f>
        <v>0</v>
      </c>
      <c r="AJ201" s="125">
        <f>IF(Valores!$C$89*B201&gt;Valores!$C$88,Valores!$C$88,Valores!$C$89*B201)</f>
        <v>0</v>
      </c>
      <c r="AK201" s="125">
        <f>Valores!C$39*B201</f>
        <v>0</v>
      </c>
      <c r="AL201" s="125">
        <f>IF($F$3="NO",0,IF(Valores!$C$60*B201&gt;Valores!$F$60,Valores!$F$60,Valores!$C$60*B201))</f>
        <v>156.145</v>
      </c>
      <c r="AM201" s="125">
        <f t="shared" si="32"/>
        <v>156.145</v>
      </c>
      <c r="AN201" s="125">
        <f>AH201*Valores!$C$70</f>
        <v>-7018.4542999999985</v>
      </c>
      <c r="AO201" s="125">
        <f>AH201*-Valores!$C$71</f>
        <v>0</v>
      </c>
      <c r="AP201" s="125">
        <f>AH201*Valores!$C$72</f>
        <v>-2871.1858499999994</v>
      </c>
      <c r="AQ201" s="125">
        <f>Valores!$C$99</f>
        <v>-280.91</v>
      </c>
      <c r="AR201" s="125">
        <f>IF($F$5=0,Valores!$C$100,(Valores!$C$100+$F$5*(Valores!$C$100)))</f>
        <v>-329</v>
      </c>
      <c r="AS201" s="125">
        <f aca="true" t="shared" si="35" ref="AS201:AS264">AH201+SUM(AM201:AR201)</f>
        <v>53460.72484999999</v>
      </c>
      <c r="AT201" s="125">
        <f t="shared" si="29"/>
        <v>-7018.4542999999985</v>
      </c>
      <c r="AU201" s="125">
        <f>AH201*Valores!$C$73</f>
        <v>-1722.7115099999996</v>
      </c>
      <c r="AV201" s="125">
        <f>AH201*Valores!$C$74</f>
        <v>-191.41239</v>
      </c>
      <c r="AW201" s="125">
        <f t="shared" si="33"/>
        <v>55027.69679999999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30567.72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5506.26</v>
      </c>
      <c r="N202" s="125">
        <f t="shared" si="30"/>
        <v>0</v>
      </c>
      <c r="O202" s="125">
        <f>Valores!$C$7*B202</f>
        <v>10471.08</v>
      </c>
      <c r="P202" s="125">
        <f>ROUND(IF(B202&lt;15,(Valores!$E$5*B202),Valores!$D$5),2)</f>
        <v>10522.68</v>
      </c>
      <c r="Q202" s="125">
        <v>0</v>
      </c>
      <c r="R202" s="125">
        <f>IF($F$4="NO",Valores!$C$48*B202,Valores!$C$48*B202/2)</f>
        <v>2847.3</v>
      </c>
      <c r="S202" s="125">
        <f>Valores!$C$18*B202</f>
        <v>3293.3999999999996</v>
      </c>
      <c r="T202" s="125">
        <f t="shared" si="25"/>
        <v>3293.4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IF(Valores!$C$96*B202&gt;Valores!$C$95,Valores!$C$95,Valores!$C$96*B202)</f>
        <v>3359.2799999999997</v>
      </c>
      <c r="AA202" s="125">
        <f>IF((Valores!$C$28)*B202&gt;Valores!$F$28,Valores!$F$28,(Valores!$C$28)*B202)</f>
        <v>258.6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215.39999999999998</v>
      </c>
      <c r="AE202" s="192">
        <v>0</v>
      </c>
      <c r="AF202" s="125">
        <f>ROUND(AE202*Valores!$C$2,2)</f>
        <v>0</v>
      </c>
      <c r="AG202" s="125">
        <f>IF($F$4="NO",IF(Valores!$D$62*'Escala Docente'!B202&gt;Valores!$F$62,Valores!$F$62,Valores!$D$62*'Escala Docente'!B202),IF(Valores!$D$62*'Escala Docente'!B202&gt;Valores!$F$62,Valores!$F$62,Valores!$D$62*'Escala Docente'!B202)/2)</f>
        <v>2562.7799999999997</v>
      </c>
      <c r="AH202" s="125">
        <f t="shared" si="34"/>
        <v>69604.50000000001</v>
      </c>
      <c r="AI202" s="125">
        <f>IF(Valores!$C$32*B202&gt;Valores!$F$32,Valores!$F$32,Valores!$C$32*B202)</f>
        <v>0</v>
      </c>
      <c r="AJ202" s="125">
        <f>IF(Valores!$C$89*B202&gt;Valores!$C$88,Valores!$C$88,Valores!$C$89*B202)</f>
        <v>0</v>
      </c>
      <c r="AK202" s="125">
        <f>Valores!C$39*B202</f>
        <v>0</v>
      </c>
      <c r="AL202" s="125">
        <f>IF($F$3="NO",0,IF(Valores!$C$60*B202&gt;Valores!$F$60,Valores!$F$60,Valores!$C$60*B202))</f>
        <v>170.34</v>
      </c>
      <c r="AM202" s="125">
        <f t="shared" si="32"/>
        <v>170.34</v>
      </c>
      <c r="AN202" s="125">
        <f>AH202*Valores!$C$70</f>
        <v>-7656.495000000002</v>
      </c>
      <c r="AO202" s="125">
        <f>AH202*-Valores!$C$71</f>
        <v>0</v>
      </c>
      <c r="AP202" s="125">
        <f>AH202*Valores!$C$72</f>
        <v>-3132.2025000000003</v>
      </c>
      <c r="AQ202" s="125">
        <f>Valores!$C$99</f>
        <v>-280.91</v>
      </c>
      <c r="AR202" s="125">
        <f>IF($F$5=0,Valores!$C$100,(Valores!$C$100+$F$5*(Valores!$C$100)))</f>
        <v>-329</v>
      </c>
      <c r="AS202" s="125">
        <f t="shared" si="35"/>
        <v>58376.23250000001</v>
      </c>
      <c r="AT202" s="125">
        <f t="shared" si="29"/>
        <v>-7656.495000000002</v>
      </c>
      <c r="AU202" s="125">
        <f>AH202*Valores!$C$73</f>
        <v>-1879.3215000000005</v>
      </c>
      <c r="AV202" s="125">
        <f>AH202*Valores!$C$74</f>
        <v>-208.81350000000006</v>
      </c>
      <c r="AW202" s="125">
        <f t="shared" si="33"/>
        <v>60030.21000000001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33115.02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5965.12</v>
      </c>
      <c r="N203" s="125">
        <f t="shared" si="30"/>
        <v>0</v>
      </c>
      <c r="O203" s="125">
        <f>Valores!$C$7*B203</f>
        <v>11343.67</v>
      </c>
      <c r="P203" s="125">
        <f>ROUND(IF(B203&lt;15,(Valores!$E$5*B203),Valores!$D$5),2)</f>
        <v>11399.57</v>
      </c>
      <c r="Q203" s="125">
        <v>0</v>
      </c>
      <c r="R203" s="125">
        <f>IF($F$4="NO",Valores!$C$48*B203,Valores!$C$48*B203/2)</f>
        <v>3084.5750000000003</v>
      </c>
      <c r="S203" s="125">
        <f>Valores!$C$18*B203</f>
        <v>3567.85</v>
      </c>
      <c r="T203" s="125">
        <f aca="true" t="shared" si="36" ref="T203:T266">ROUND(S203*(1+$H$2),2)</f>
        <v>3567.85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IF(Valores!$C$96*B203&gt;Valores!$C$95,Valores!$C$95,Valores!$C$96*B203)</f>
        <v>3639.22</v>
      </c>
      <c r="AA203" s="125">
        <f>IF((Valores!$C$28)*B203&gt;Valores!$F$28,Valores!$F$28,(Valores!$C$28)*B203)</f>
        <v>280.15000000000003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233.35</v>
      </c>
      <c r="AE203" s="192">
        <v>0</v>
      </c>
      <c r="AF203" s="125">
        <f>ROUND(AE203*Valores!$C$2,2)</f>
        <v>0</v>
      </c>
      <c r="AG203" s="125">
        <f>IF($F$4="NO",IF(Valores!$D$62*'Escala Docente'!B203&gt;Valores!$F$62,Valores!$F$62,Valores!$D$62*'Escala Docente'!B203),IF(Valores!$D$62*'Escala Docente'!B203&gt;Valores!$F$62,Valores!$F$62,Valores!$D$62*'Escala Docente'!B203)/2)</f>
        <v>2776.345</v>
      </c>
      <c r="AH203" s="125">
        <f t="shared" si="34"/>
        <v>75404.87</v>
      </c>
      <c r="AI203" s="125">
        <f>IF(Valores!$C$32*B203&gt;Valores!$F$32,Valores!$F$32,Valores!$C$32*B203)</f>
        <v>0</v>
      </c>
      <c r="AJ203" s="125">
        <f>IF(Valores!$C$89*B203&gt;Valores!$C$88,Valores!$C$88,Valores!$C$89*B203)</f>
        <v>0</v>
      </c>
      <c r="AK203" s="125">
        <f>Valores!C$39*B203</f>
        <v>0</v>
      </c>
      <c r="AL203" s="125">
        <f>IF($F$3="NO",0,IF(Valores!$C$60*B203&gt;Valores!$F$60,Valores!$F$60,Valores!$C$60*B203))</f>
        <v>184.535</v>
      </c>
      <c r="AM203" s="125">
        <f t="shared" si="32"/>
        <v>184.535</v>
      </c>
      <c r="AN203" s="125">
        <f>AH203*Valores!$C$70</f>
        <v>-8294.5357</v>
      </c>
      <c r="AO203" s="125">
        <f>AH203*-Valores!$C$71</f>
        <v>0</v>
      </c>
      <c r="AP203" s="125">
        <f>AH203*Valores!$C$72</f>
        <v>-3393.2191499999994</v>
      </c>
      <c r="AQ203" s="125">
        <f>Valores!$C$99</f>
        <v>-280.91</v>
      </c>
      <c r="AR203" s="125">
        <f>IF($F$5=0,Valores!$C$100,(Valores!$C$100+$F$5*(Valores!$C$100)))</f>
        <v>-329</v>
      </c>
      <c r="AS203" s="125">
        <f t="shared" si="35"/>
        <v>63291.74015</v>
      </c>
      <c r="AT203" s="125">
        <f t="shared" si="29"/>
        <v>-8294.5357</v>
      </c>
      <c r="AU203" s="125">
        <f>AH203*Valores!$C$73</f>
        <v>-2035.93149</v>
      </c>
      <c r="AV203" s="125">
        <f>AH203*Valores!$C$74</f>
        <v>-226.21461</v>
      </c>
      <c r="AW203" s="125">
        <f t="shared" si="33"/>
        <v>65032.7232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35662.33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6423.97</v>
      </c>
      <c r="N204" s="125">
        <f t="shared" si="30"/>
        <v>0</v>
      </c>
      <c r="O204" s="125">
        <f>Valores!$C$7*B204</f>
        <v>12216.26</v>
      </c>
      <c r="P204" s="125">
        <f>ROUND(IF(B204&lt;15,(Valores!$E$5*B204),Valores!$D$5),2)</f>
        <v>12276.46</v>
      </c>
      <c r="Q204" s="125">
        <v>0</v>
      </c>
      <c r="R204" s="125">
        <f>IF($F$4="NO",Valores!$C$48*B204,Valores!$C$48*B204/2)</f>
        <v>3321.85</v>
      </c>
      <c r="S204" s="125">
        <f>Valores!$C$18*B204</f>
        <v>3842.2999999999997</v>
      </c>
      <c r="T204" s="125">
        <f t="shared" si="36"/>
        <v>3842.3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IF(Valores!$C$96*B204&gt;Valores!$C$95,Valores!$C$95,Valores!$C$96*B204)</f>
        <v>3919.16</v>
      </c>
      <c r="AA204" s="125">
        <f>IF((Valores!$C$28)*B204&gt;Valores!$F$28,Valores!$F$28,(Valores!$C$28)*B204)</f>
        <v>301.7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251.29999999999998</v>
      </c>
      <c r="AE204" s="192">
        <v>0</v>
      </c>
      <c r="AF204" s="125">
        <f>ROUND(AE204*Valores!$C$2,2)</f>
        <v>0</v>
      </c>
      <c r="AG204" s="125">
        <f>IF($F$4="NO",IF(Valores!$D$62*'Escala Docente'!B204&gt;Valores!$F$62,Valores!$F$62,Valores!$D$62*'Escala Docente'!B204),IF(Valores!$D$62*'Escala Docente'!B204&gt;Valores!$F$62,Valores!$F$62,Valores!$D$62*'Escala Docente'!B204)/2)</f>
        <v>2989.91</v>
      </c>
      <c r="AH204" s="125">
        <f t="shared" si="34"/>
        <v>81205.24000000002</v>
      </c>
      <c r="AI204" s="125">
        <f>IF(Valores!$C$32*B204&gt;Valores!$F$32,Valores!$F$32,Valores!$C$32*B204)</f>
        <v>0</v>
      </c>
      <c r="AJ204" s="125">
        <f>IF(Valores!$C$89*B204&gt;Valores!$C$88,Valores!$C$88,Valores!$C$89*B204)</f>
        <v>0</v>
      </c>
      <c r="AK204" s="125">
        <f>Valores!C$39*B204</f>
        <v>0</v>
      </c>
      <c r="AL204" s="125">
        <f>IF($F$3="NO",0,IF(Valores!$C$60*B204&gt;Valores!$F$60,Valores!$F$60,Valores!$C$60*B204))</f>
        <v>198.73000000000002</v>
      </c>
      <c r="AM204" s="125">
        <f t="shared" si="32"/>
        <v>198.73000000000002</v>
      </c>
      <c r="AN204" s="125">
        <f>AH204*Valores!$C$70</f>
        <v>-8932.576400000002</v>
      </c>
      <c r="AO204" s="125">
        <f>AH204*-Valores!$C$71</f>
        <v>0</v>
      </c>
      <c r="AP204" s="125">
        <f>AH204*Valores!$C$72</f>
        <v>-3654.235800000001</v>
      </c>
      <c r="AQ204" s="125">
        <f>Valores!$C$99</f>
        <v>-280.91</v>
      </c>
      <c r="AR204" s="125">
        <f>IF($F$5=0,Valores!$C$100,(Valores!$C$100+$F$5*(Valores!$C$100)))</f>
        <v>-329</v>
      </c>
      <c r="AS204" s="125">
        <f t="shared" si="35"/>
        <v>68207.24780000001</v>
      </c>
      <c r="AT204" s="125">
        <f t="shared" si="29"/>
        <v>-8932.576400000002</v>
      </c>
      <c r="AU204" s="125">
        <f>AH204*Valores!$C$73</f>
        <v>-2192.5414800000003</v>
      </c>
      <c r="AV204" s="125">
        <f>AH204*Valores!$C$74</f>
        <v>-243.61572000000007</v>
      </c>
      <c r="AW204" s="125">
        <f t="shared" si="33"/>
        <v>70035.23640000001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38209.64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6882.83</v>
      </c>
      <c r="N205" s="125">
        <f t="shared" si="30"/>
        <v>0</v>
      </c>
      <c r="O205" s="125">
        <f>Valores!$C$7*B205</f>
        <v>13088.85</v>
      </c>
      <c r="P205" s="125">
        <f>ROUND(IF(B205&lt;15,(Valores!$E$5*B205),Valores!$D$5),2)</f>
        <v>13153.38</v>
      </c>
      <c r="Q205" s="125">
        <v>0</v>
      </c>
      <c r="R205" s="125">
        <f>IF($F$4="NO",Valores!$C$48*B205,Valores!$C$48*B205/2)</f>
        <v>3559.125</v>
      </c>
      <c r="S205" s="125">
        <f>Valores!$C$18*B205</f>
        <v>4116.75</v>
      </c>
      <c r="T205" s="125">
        <f t="shared" si="36"/>
        <v>4116.75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IF(Valores!$C$96*B205&gt;Valores!$C$95,Valores!$C$95,Valores!$C$96*B205)</f>
        <v>4199.1</v>
      </c>
      <c r="AA205" s="125">
        <f>IF((Valores!$C$28)*B205&gt;Valores!$F$28,Valores!$F$28,(Valores!$C$28)*B205)</f>
        <v>323.25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269.25</v>
      </c>
      <c r="AE205" s="192">
        <v>0</v>
      </c>
      <c r="AF205" s="125">
        <f>ROUND(AE205*Valores!$C$2,2)</f>
        <v>0</v>
      </c>
      <c r="AG205" s="125">
        <f>IF($F$4="NO",IF(Valores!$D$62*'Escala Docente'!B205&gt;Valores!$F$62,Valores!$F$62,Valores!$D$62*'Escala Docente'!B205),IF(Valores!$D$62*'Escala Docente'!B205&gt;Valores!$F$62,Valores!$F$62,Valores!$D$62*'Escala Docente'!B205)/2)</f>
        <v>3203.475</v>
      </c>
      <c r="AH205" s="125">
        <f t="shared" si="34"/>
        <v>87005.65000000001</v>
      </c>
      <c r="AI205" s="125">
        <f>IF(Valores!$C$32*B205&gt;Valores!$F$32,Valores!$F$32,Valores!$C$32*B205)</f>
        <v>0</v>
      </c>
      <c r="AJ205" s="125">
        <f>IF(Valores!$C$89*B205&gt;Valores!$C$88,Valores!$C$88,Valores!$C$89*B205)</f>
        <v>0</v>
      </c>
      <c r="AK205" s="125">
        <f>Valores!C$39*B205</f>
        <v>0</v>
      </c>
      <c r="AL205" s="125">
        <f>IF($F$3="NO",0,IF(Valores!$C$60*B205&gt;Valores!$F$60,Valores!$F$60,Valores!$C$60*B205))</f>
        <v>212.925</v>
      </c>
      <c r="AM205" s="125">
        <f t="shared" si="32"/>
        <v>212.925</v>
      </c>
      <c r="AN205" s="125">
        <f>AH205*Valores!$C$70</f>
        <v>-9570.621500000001</v>
      </c>
      <c r="AO205" s="125">
        <f>AH205*-Valores!$C$71</f>
        <v>0</v>
      </c>
      <c r="AP205" s="125">
        <f>AH205*Valores!$C$72</f>
        <v>-3915.2542500000004</v>
      </c>
      <c r="AQ205" s="125">
        <f>Valores!$C$99</f>
        <v>-280.91</v>
      </c>
      <c r="AR205" s="125">
        <f>IF($F$5=0,Valores!$C$100,(Valores!$C$100+$F$5*(Valores!$C$100)))</f>
        <v>-329</v>
      </c>
      <c r="AS205" s="125">
        <f t="shared" si="35"/>
        <v>73122.78925</v>
      </c>
      <c r="AT205" s="125">
        <f t="shared" si="29"/>
        <v>-9570.621500000001</v>
      </c>
      <c r="AU205" s="125">
        <f>AH205*Valores!$C$73</f>
        <v>-2349.1525500000002</v>
      </c>
      <c r="AV205" s="125">
        <f>AH205*Valores!$C$74</f>
        <v>-261.01695</v>
      </c>
      <c r="AW205" s="125">
        <f t="shared" si="33"/>
        <v>75037.78400000001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40756.95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7341.68</v>
      </c>
      <c r="N206" s="125">
        <f t="shared" si="30"/>
        <v>0</v>
      </c>
      <c r="O206" s="125">
        <f>Valores!$C$7*B206</f>
        <v>13961.44</v>
      </c>
      <c r="P206" s="125">
        <f>ROUND(IF(B206&lt;15,(Valores!$E$5*B206),Valores!$D$5),2)</f>
        <v>13153.38</v>
      </c>
      <c r="Q206" s="125">
        <v>0</v>
      </c>
      <c r="R206" s="125">
        <f>IF($F$4="NO",Valores!$C$48*B206,Valores!$C$48*B206/2)</f>
        <v>3796.4</v>
      </c>
      <c r="S206" s="125">
        <f>Valores!$C$18*B206</f>
        <v>4391.2</v>
      </c>
      <c r="T206" s="125">
        <f t="shared" si="36"/>
        <v>4391.2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IF(Valores!$C$96*B206&gt;Valores!$C$95,Valores!$C$95,Valores!$C$96*B206)</f>
        <v>4479.04</v>
      </c>
      <c r="AA206" s="125">
        <f>IF((Valores!$C$28)*B206&gt;Valores!$F$28,Valores!$F$28,(Valores!$C$28)*B206)</f>
        <v>344.8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287.2</v>
      </c>
      <c r="AE206" s="192">
        <v>0</v>
      </c>
      <c r="AF206" s="125">
        <f>ROUND(AE206*Valores!$C$2,2)</f>
        <v>0</v>
      </c>
      <c r="AG206" s="125">
        <f>IF($F$4="NO",IF(Valores!$D$62*'Escala Docente'!B206&gt;Valores!$F$62,Valores!$F$62,Valores!$D$62*'Escala Docente'!B206),IF(Valores!$D$62*'Escala Docente'!B206&gt;Valores!$F$62,Valores!$F$62,Valores!$D$62*'Escala Docente'!B206)/2)</f>
        <v>3417.04</v>
      </c>
      <c r="AH206" s="125">
        <f t="shared" si="34"/>
        <v>91929.12999999998</v>
      </c>
      <c r="AI206" s="125">
        <f>IF(Valores!$C$32*B206&gt;Valores!$F$32,Valores!$F$32,Valores!$C$32*B206)</f>
        <v>0</v>
      </c>
      <c r="AJ206" s="125">
        <f>IF(Valores!$C$89*B206&gt;Valores!$C$88,Valores!$C$88,Valores!$C$89*B206)</f>
        <v>0</v>
      </c>
      <c r="AK206" s="125">
        <f>Valores!C$39*B206</f>
        <v>0</v>
      </c>
      <c r="AL206" s="125">
        <f>IF($F$3="NO",0,IF(Valores!$C$60*B206&gt;Valores!$F$60,Valores!$F$60,Valores!$C$60*B206))</f>
        <v>227.12</v>
      </c>
      <c r="AM206" s="125">
        <f t="shared" si="32"/>
        <v>227.12</v>
      </c>
      <c r="AN206" s="125">
        <f>AH206*Valores!$C$70</f>
        <v>-10112.204299999998</v>
      </c>
      <c r="AO206" s="125">
        <f>AH206*-Valores!$C$71</f>
        <v>0</v>
      </c>
      <c r="AP206" s="125">
        <f>AH206*Valores!$C$72</f>
        <v>-4136.810849999999</v>
      </c>
      <c r="AQ206" s="125">
        <f>Valores!$C$99</f>
        <v>-280.91</v>
      </c>
      <c r="AR206" s="125">
        <f>IF($F$5=0,Valores!$C$100,(Valores!$C$100+$F$5*(Valores!$C$100)))</f>
        <v>-329</v>
      </c>
      <c r="AS206" s="125">
        <f t="shared" si="35"/>
        <v>77297.32484999998</v>
      </c>
      <c r="AT206" s="125">
        <f t="shared" si="29"/>
        <v>-10112.204299999998</v>
      </c>
      <c r="AU206" s="125">
        <f>AH206*Valores!$C$73</f>
        <v>-2482.086509999999</v>
      </c>
      <c r="AV206" s="125">
        <f>AH206*Valores!$C$74</f>
        <v>-275.78738999999996</v>
      </c>
      <c r="AW206" s="125">
        <f t="shared" si="33"/>
        <v>79286.17179999998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43304.26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7800.54</v>
      </c>
      <c r="N207" s="125">
        <f t="shared" si="30"/>
        <v>0</v>
      </c>
      <c r="O207" s="125">
        <f>Valores!$C$7*B207</f>
        <v>14834.03</v>
      </c>
      <c r="P207" s="125">
        <f>ROUND(IF(B207&lt;15,(Valores!$E$5*B207),Valores!$D$5),2)</f>
        <v>13153.38</v>
      </c>
      <c r="Q207" s="125">
        <v>0</v>
      </c>
      <c r="R207" s="125">
        <f>IF($F$4="NO",Valores!$C$48*B207,Valores!$C$48*B207/2)</f>
        <v>4033.675</v>
      </c>
      <c r="S207" s="125">
        <f>Valores!$C$18*B207</f>
        <v>4665.65</v>
      </c>
      <c r="T207" s="125">
        <f t="shared" si="36"/>
        <v>4665.65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IF(Valores!$C$96*B207&gt;Valores!$C$95,Valores!$C$95,Valores!$C$96*B207)</f>
        <v>4758.98</v>
      </c>
      <c r="AA207" s="125">
        <f>IF((Valores!$C$28)*B207&gt;Valores!$F$28,Valores!$F$28,(Valores!$C$28)*B207)</f>
        <v>366.35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305.15</v>
      </c>
      <c r="AE207" s="192">
        <v>0</v>
      </c>
      <c r="AF207" s="125">
        <f>ROUND(AE207*Valores!$C$2,2)</f>
        <v>0</v>
      </c>
      <c r="AG207" s="125">
        <f>IF($F$4="NO",IF(Valores!$D$62*'Escala Docente'!B207&gt;Valores!$F$62,Valores!$F$62,Valores!$D$62*'Escala Docente'!B207),IF(Valores!$D$62*'Escala Docente'!B207&gt;Valores!$F$62,Valores!$F$62,Valores!$D$62*'Escala Docente'!B207)/2)</f>
        <v>3630.605</v>
      </c>
      <c r="AH207" s="125">
        <f t="shared" si="34"/>
        <v>96852.62</v>
      </c>
      <c r="AI207" s="125">
        <f>IF(Valores!$C$32*B207&gt;Valores!$F$32,Valores!$F$32,Valores!$C$32*B207)</f>
        <v>0</v>
      </c>
      <c r="AJ207" s="125">
        <f>IF(Valores!$C$89*B207&gt;Valores!$C$88,Valores!$C$88,Valores!$C$89*B207)</f>
        <v>0</v>
      </c>
      <c r="AK207" s="125">
        <f>Valores!C$39*B207</f>
        <v>0</v>
      </c>
      <c r="AL207" s="125">
        <f>IF($F$3="NO",0,IF(Valores!$C$60*B207&gt;Valores!$F$60,Valores!$F$60,Valores!$C$60*B207))</f>
        <v>241.315</v>
      </c>
      <c r="AM207" s="125">
        <f t="shared" si="32"/>
        <v>241.315</v>
      </c>
      <c r="AN207" s="125">
        <f>AH207*Valores!$C$70</f>
        <v>-10653.788199999999</v>
      </c>
      <c r="AO207" s="125">
        <f>AH207*-Valores!$C$71</f>
        <v>0</v>
      </c>
      <c r="AP207" s="125">
        <f>AH207*Valores!$C$72</f>
        <v>-4358.367899999999</v>
      </c>
      <c r="AQ207" s="125">
        <f>Valores!$C$99</f>
        <v>-280.91</v>
      </c>
      <c r="AR207" s="125">
        <f>IF($F$5=0,Valores!$C$100,(Valores!$C$100+$F$5*(Valores!$C$100)))</f>
        <v>-329</v>
      </c>
      <c r="AS207" s="125">
        <f t="shared" si="35"/>
        <v>81471.8689</v>
      </c>
      <c r="AT207" s="125">
        <f t="shared" si="29"/>
        <v>-10653.788199999999</v>
      </c>
      <c r="AU207" s="125">
        <f>AH207*Valores!$C$73</f>
        <v>-2615.02074</v>
      </c>
      <c r="AV207" s="125">
        <f>AH207*Valores!$C$74</f>
        <v>-290.55786</v>
      </c>
      <c r="AW207" s="125">
        <f t="shared" si="33"/>
        <v>83534.5682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45851.57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8259.39</v>
      </c>
      <c r="N208" s="125">
        <f t="shared" si="30"/>
        <v>0</v>
      </c>
      <c r="O208" s="125">
        <f>Valores!$C$7*B208</f>
        <v>15706.62</v>
      </c>
      <c r="P208" s="125">
        <f>ROUND(IF(B208&lt;15,(Valores!$E$5*B208),Valores!$D$5),2)</f>
        <v>13153.38</v>
      </c>
      <c r="Q208" s="125">
        <v>0</v>
      </c>
      <c r="R208" s="125">
        <f>IF($F$4="NO",Valores!$C$48*B208,Valores!$C$48*B208/2)</f>
        <v>4270.95</v>
      </c>
      <c r="S208" s="125">
        <f>Valores!$C$18*B208</f>
        <v>4940.099999999999</v>
      </c>
      <c r="T208" s="125">
        <f t="shared" si="36"/>
        <v>4940.1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IF(Valores!$C$96*B208&gt;Valores!$C$95,Valores!$C$95,Valores!$C$96*B208)</f>
        <v>5038.92</v>
      </c>
      <c r="AA208" s="125">
        <f>IF((Valores!$C$28)*B208&gt;Valores!$F$28,Valores!$F$28,(Valores!$C$28)*B208)</f>
        <v>387.90000000000003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323.09999999999997</v>
      </c>
      <c r="AE208" s="192">
        <v>0</v>
      </c>
      <c r="AF208" s="125">
        <f>ROUND(AE208*Valores!$C$2,2)</f>
        <v>0</v>
      </c>
      <c r="AG208" s="125">
        <f>IF($F$4="NO",IF(Valores!$D$62*'Escala Docente'!B208&gt;Valores!$F$62,Valores!$F$62,Valores!$D$62*'Escala Docente'!B208),IF(Valores!$D$62*'Escala Docente'!B208&gt;Valores!$F$62,Valores!$F$62,Valores!$D$62*'Escala Docente'!B208)/2)</f>
        <v>3844.17</v>
      </c>
      <c r="AH208" s="125">
        <f t="shared" si="34"/>
        <v>101776.1</v>
      </c>
      <c r="AI208" s="125">
        <f>IF(Valores!$C$32*B208&gt;Valores!$F$32,Valores!$F$32,Valores!$C$32*B208)</f>
        <v>0</v>
      </c>
      <c r="AJ208" s="125">
        <f>IF(Valores!$C$89*B208&gt;Valores!$C$88,Valores!$C$88,Valores!$C$89*B208)</f>
        <v>0</v>
      </c>
      <c r="AK208" s="125">
        <f>Valores!C$39*B208</f>
        <v>0</v>
      </c>
      <c r="AL208" s="125">
        <f>IF($F$3="NO",0,IF(Valores!$C$60*B208&gt;Valores!$F$60,Valores!$F$60,Valores!$C$60*B208))</f>
        <v>255.51</v>
      </c>
      <c r="AM208" s="125">
        <f t="shared" si="32"/>
        <v>255.51</v>
      </c>
      <c r="AN208" s="125">
        <f>AH208*Valores!$C$70</f>
        <v>-11195.371000000001</v>
      </c>
      <c r="AO208" s="125">
        <f>AH208*-Valores!$C$71</f>
        <v>0</v>
      </c>
      <c r="AP208" s="125">
        <f>AH208*Valores!$C$72</f>
        <v>-4579.9245</v>
      </c>
      <c r="AQ208" s="125">
        <f>Valores!$C$99</f>
        <v>-280.91</v>
      </c>
      <c r="AR208" s="125">
        <f>IF($F$5=0,Valores!$C$100,(Valores!$C$100+$F$5*(Valores!$C$100)))</f>
        <v>-329</v>
      </c>
      <c r="AS208" s="125">
        <f t="shared" si="35"/>
        <v>85646.4045</v>
      </c>
      <c r="AT208" s="125">
        <f t="shared" si="29"/>
        <v>-11195.371000000001</v>
      </c>
      <c r="AU208" s="125">
        <f>AH208*Valores!$C$73</f>
        <v>-2747.9547000000002</v>
      </c>
      <c r="AV208" s="125">
        <f>AH208*Valores!$C$74</f>
        <v>-305.3283</v>
      </c>
      <c r="AW208" s="125">
        <f t="shared" si="33"/>
        <v>87782.956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48398.88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8718.25</v>
      </c>
      <c r="N209" s="125">
        <f t="shared" si="30"/>
        <v>0</v>
      </c>
      <c r="O209" s="125">
        <f>Valores!$C$7*B209</f>
        <v>16579.21</v>
      </c>
      <c r="P209" s="125">
        <f>ROUND(IF(B209&lt;15,(Valores!$E$5*B209),Valores!$D$5),2)</f>
        <v>13153.38</v>
      </c>
      <c r="Q209" s="125">
        <v>0</v>
      </c>
      <c r="R209" s="125">
        <f>IF($F$4="NO",Valores!$C$48*B209,Valores!$C$48*B209/2)</f>
        <v>4508.225</v>
      </c>
      <c r="S209" s="125">
        <f>Valores!$C$18*B209</f>
        <v>5214.55</v>
      </c>
      <c r="T209" s="125">
        <f t="shared" si="36"/>
        <v>5214.55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IF(Valores!$C$96*B209&gt;Valores!$C$95,Valores!$C$95,Valores!$C$96*B209)</f>
        <v>5318.86</v>
      </c>
      <c r="AA209" s="125">
        <f>IF((Valores!$C$28)*B209&gt;Valores!$F$28,Valores!$F$28,(Valores!$C$28)*B209)</f>
        <v>409.45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341.05</v>
      </c>
      <c r="AE209" s="192">
        <v>0</v>
      </c>
      <c r="AF209" s="125">
        <f>ROUND(AE209*Valores!$C$2,2)</f>
        <v>0</v>
      </c>
      <c r="AG209" s="125">
        <f>IF($F$4="NO",IF(Valores!$D$62*'Escala Docente'!B209&gt;Valores!$F$62,Valores!$F$62,Valores!$D$62*'Escala Docente'!B209),IF(Valores!$D$62*'Escala Docente'!B209&gt;Valores!$F$62,Valores!$F$62,Valores!$D$62*'Escala Docente'!B209)/2)</f>
        <v>4057.735</v>
      </c>
      <c r="AH209" s="125">
        <f t="shared" si="34"/>
        <v>106699.59000000001</v>
      </c>
      <c r="AI209" s="125">
        <f>IF(Valores!$C$32*B209&gt;Valores!$F$32,Valores!$F$32,Valores!$C$32*B209)</f>
        <v>0</v>
      </c>
      <c r="AJ209" s="125">
        <f>IF(Valores!$C$89*B209&gt;Valores!$C$88,Valores!$C$88,Valores!$C$89*B209)</f>
        <v>0</v>
      </c>
      <c r="AK209" s="125">
        <f>Valores!C$39*B209</f>
        <v>0</v>
      </c>
      <c r="AL209" s="125">
        <f>IF($F$3="NO",0,IF(Valores!$C$60*B209&gt;Valores!$F$60,Valores!$F$60,Valores!$C$60*B209))</f>
        <v>269.705</v>
      </c>
      <c r="AM209" s="125">
        <f t="shared" si="32"/>
        <v>269.705</v>
      </c>
      <c r="AN209" s="125">
        <f>AH209*Valores!$C$70</f>
        <v>-11736.9549</v>
      </c>
      <c r="AO209" s="125">
        <f>AH209*-Valores!$C$71</f>
        <v>0</v>
      </c>
      <c r="AP209" s="125">
        <f>AH209*Valores!$C$72</f>
        <v>-4801.48155</v>
      </c>
      <c r="AQ209" s="125">
        <f>Valores!$C$99</f>
        <v>-280.91</v>
      </c>
      <c r="AR209" s="125">
        <f>IF($F$5=0,Valores!$C$100,(Valores!$C$100+$F$5*(Valores!$C$100)))</f>
        <v>-329</v>
      </c>
      <c r="AS209" s="125">
        <f t="shared" si="35"/>
        <v>89820.94855</v>
      </c>
      <c r="AT209" s="125">
        <f t="shared" si="29"/>
        <v>-11736.9549</v>
      </c>
      <c r="AU209" s="125">
        <f>AH209*Valores!$C$73</f>
        <v>-2880.88893</v>
      </c>
      <c r="AV209" s="125">
        <f>AH209*Valores!$C$74</f>
        <v>-320.09877000000006</v>
      </c>
      <c r="AW209" s="125">
        <f t="shared" si="33"/>
        <v>92031.3524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50946.19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9177.1</v>
      </c>
      <c r="N210" s="125">
        <f t="shared" si="30"/>
        <v>0</v>
      </c>
      <c r="O210" s="125">
        <f>Valores!$C$7*B210</f>
        <v>17451.8</v>
      </c>
      <c r="P210" s="125">
        <f>ROUND(IF(B210&lt;15,(Valores!$E$5*B210),Valores!$D$5),2)</f>
        <v>13153.38</v>
      </c>
      <c r="Q210" s="125">
        <v>0</v>
      </c>
      <c r="R210" s="125">
        <f>IF($F$4="NO",Valores!$C$48*B210,Valores!$C$48*B210/2)</f>
        <v>4745.5</v>
      </c>
      <c r="S210" s="125">
        <f>Valores!$C$18*B210</f>
        <v>5489</v>
      </c>
      <c r="T210" s="125">
        <f t="shared" si="36"/>
        <v>5489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IF(Valores!$C$96*B210&gt;Valores!$C$95,Valores!$C$95,Valores!$C$96*B210)</f>
        <v>5598.8</v>
      </c>
      <c r="AA210" s="125">
        <f>IF((Valores!$C$28)*B210&gt;Valores!$F$28,Valores!$F$28,(Valores!$C$28)*B210)</f>
        <v>431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359</v>
      </c>
      <c r="AE210" s="192">
        <v>0</v>
      </c>
      <c r="AF210" s="125">
        <f>ROUND(AE210*Valores!$C$2,2)</f>
        <v>0</v>
      </c>
      <c r="AG210" s="125">
        <f>IF($F$4="NO",IF(Valores!$D$62*'Escala Docente'!B210&gt;Valores!$F$62,Valores!$F$62,Valores!$D$62*'Escala Docente'!B210),IF(Valores!$D$62*'Escala Docente'!B210&gt;Valores!$F$62,Valores!$F$62,Valores!$D$62*'Escala Docente'!B210)/2)</f>
        <v>4271.3</v>
      </c>
      <c r="AH210" s="125">
        <f t="shared" si="34"/>
        <v>111623.07</v>
      </c>
      <c r="AI210" s="125">
        <f>IF(Valores!$C$32*B210&gt;Valores!$F$32,Valores!$F$32,Valores!$C$32*B210)</f>
        <v>0</v>
      </c>
      <c r="AJ210" s="125">
        <f>IF(Valores!$C$89*B210&gt;Valores!$C$88,Valores!$C$88,Valores!$C$89*B210)</f>
        <v>0</v>
      </c>
      <c r="AK210" s="125">
        <f>Valores!C$39*B210</f>
        <v>0</v>
      </c>
      <c r="AL210" s="125">
        <f>IF($F$3="NO",0,IF(Valores!$C$60*B210&gt;Valores!$F$60,Valores!$F$60,Valores!$C$60*B210))</f>
        <v>283.9</v>
      </c>
      <c r="AM210" s="125">
        <f t="shared" si="32"/>
        <v>283.9</v>
      </c>
      <c r="AN210" s="125">
        <f>AH210*Valores!$C$70</f>
        <v>-12278.5377</v>
      </c>
      <c r="AO210" s="125">
        <f>AH210*-Valores!$C$71</f>
        <v>0</v>
      </c>
      <c r="AP210" s="125">
        <f>AH210*Valores!$C$72</f>
        <v>-5023.03815</v>
      </c>
      <c r="AQ210" s="125">
        <f>Valores!$C$99</f>
        <v>-280.91</v>
      </c>
      <c r="AR210" s="125">
        <f>IF($F$5=0,Valores!$C$100,(Valores!$C$100+$F$5*(Valores!$C$100)))</f>
        <v>-329</v>
      </c>
      <c r="AS210" s="125">
        <f t="shared" si="35"/>
        <v>93995.48415</v>
      </c>
      <c r="AT210" s="125">
        <f t="shared" si="29"/>
        <v>-12278.5377</v>
      </c>
      <c r="AU210" s="125">
        <f>AH210*Valores!$C$73</f>
        <v>-3013.8228900000004</v>
      </c>
      <c r="AV210" s="125">
        <f>AH210*Valores!$C$74</f>
        <v>-334.86921</v>
      </c>
      <c r="AW210" s="125">
        <f t="shared" si="33"/>
        <v>96279.7402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53493.5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9635.96</v>
      </c>
      <c r="N211" s="125">
        <f t="shared" si="30"/>
        <v>0</v>
      </c>
      <c r="O211" s="125">
        <f>Valores!$C$7*B211</f>
        <v>18324.39</v>
      </c>
      <c r="P211" s="125">
        <f>ROUND(IF(B211&lt;15,(Valores!$E$5*B211),Valores!$D$5),2)</f>
        <v>13153.38</v>
      </c>
      <c r="Q211" s="125">
        <v>0</v>
      </c>
      <c r="R211" s="125">
        <f>IF($F$4="NO",Valores!$C$48*B211,Valores!$C$48*B211/2)</f>
        <v>4982.775000000001</v>
      </c>
      <c r="S211" s="125">
        <f>Valores!$C$18*B211</f>
        <v>5763.45</v>
      </c>
      <c r="T211" s="125">
        <f t="shared" si="36"/>
        <v>5763.45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IF(Valores!$C$96*B211&gt;Valores!$C$95,Valores!$C$95,Valores!$C$96*B211)</f>
        <v>5878.74</v>
      </c>
      <c r="AA211" s="125">
        <f>IF((Valores!$C$28)*B211&gt;Valores!$F$28,Valores!$F$28,(Valores!$C$28)*B211)</f>
        <v>452.55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376.95</v>
      </c>
      <c r="AE211" s="192">
        <v>0</v>
      </c>
      <c r="AF211" s="125">
        <f>ROUND(AE211*Valores!$C$2,2)</f>
        <v>0</v>
      </c>
      <c r="AG211" s="125">
        <f>IF($F$4="NO",IF(Valores!$D$62*'Escala Docente'!B211&gt;Valores!$F$62,Valores!$F$62,Valores!$D$62*'Escala Docente'!B211),IF(Valores!$D$62*'Escala Docente'!B211&gt;Valores!$F$62,Valores!$F$62,Valores!$D$62*'Escala Docente'!B211)/2)</f>
        <v>4484.865</v>
      </c>
      <c r="AH211" s="125">
        <f t="shared" si="34"/>
        <v>116546.56000000001</v>
      </c>
      <c r="AI211" s="125">
        <f>IF(Valores!$C$32*B211&gt;Valores!$F$32,Valores!$F$32,Valores!$C$32*B211)</f>
        <v>0</v>
      </c>
      <c r="AJ211" s="125">
        <f>IF(Valores!$C$89*B211&gt;Valores!$C$88,Valores!$C$88,Valores!$C$89*B211)</f>
        <v>0</v>
      </c>
      <c r="AK211" s="125">
        <f>Valores!C$39*B211</f>
        <v>0</v>
      </c>
      <c r="AL211" s="125">
        <f>IF($F$3="NO",0,IF(Valores!$C$60*B211&gt;Valores!$F$60,Valores!$F$60,Valores!$C$60*B211))</f>
        <v>298.095</v>
      </c>
      <c r="AM211" s="125">
        <f t="shared" si="32"/>
        <v>298.095</v>
      </c>
      <c r="AN211" s="125">
        <f>AH211*Valores!$C$70</f>
        <v>-12820.121600000002</v>
      </c>
      <c r="AO211" s="125">
        <f>AH211*-Valores!$C$71</f>
        <v>0</v>
      </c>
      <c r="AP211" s="125">
        <f>AH211*Valores!$C$72</f>
        <v>-5244.595200000001</v>
      </c>
      <c r="AQ211" s="125">
        <f>Valores!$C$99</f>
        <v>-280.91</v>
      </c>
      <c r="AR211" s="125">
        <f>IF($F$5=0,Valores!$C$100,(Valores!$C$100+$F$5*(Valores!$C$100)))</f>
        <v>-329</v>
      </c>
      <c r="AS211" s="125">
        <f t="shared" si="35"/>
        <v>98170.0282</v>
      </c>
      <c r="AT211" s="125">
        <f t="shared" si="29"/>
        <v>-12820.121600000002</v>
      </c>
      <c r="AU211" s="125">
        <f>AH211*Valores!$C$73</f>
        <v>-3146.75712</v>
      </c>
      <c r="AV211" s="125">
        <f>AH211*Valores!$C$74</f>
        <v>-349.63968000000006</v>
      </c>
      <c r="AW211" s="125">
        <f t="shared" si="33"/>
        <v>100528.13660000001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56040.81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10094.81</v>
      </c>
      <c r="N212" s="125">
        <f t="shared" si="30"/>
        <v>0</v>
      </c>
      <c r="O212" s="125">
        <f>Valores!$C$7*B212</f>
        <v>19196.98</v>
      </c>
      <c r="P212" s="125">
        <f>ROUND(IF(B212&lt;15,(Valores!$E$5*B212),Valores!$D$5),2)</f>
        <v>13153.38</v>
      </c>
      <c r="Q212" s="125">
        <v>0</v>
      </c>
      <c r="R212" s="125">
        <f>IF($F$4="NO",Valores!$C$48*B212,Valores!$C$48*B212/2)</f>
        <v>5220.05</v>
      </c>
      <c r="S212" s="125">
        <f>Valores!$C$18*B212</f>
        <v>6037.9</v>
      </c>
      <c r="T212" s="125">
        <f t="shared" si="36"/>
        <v>6037.9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IF(Valores!$C$96*B212&gt;Valores!$C$95,Valores!$C$95,Valores!$C$96*B212)</f>
        <v>6158.68</v>
      </c>
      <c r="AA212" s="125">
        <f>IF((Valores!$C$28)*B212&gt;Valores!$F$28,Valores!$F$28,(Valores!$C$28)*B212)</f>
        <v>474.1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394.9</v>
      </c>
      <c r="AE212" s="192">
        <v>0</v>
      </c>
      <c r="AF212" s="125">
        <f>ROUND(AE212*Valores!$C$2,2)</f>
        <v>0</v>
      </c>
      <c r="AG212" s="125">
        <f>IF($F$4="NO",IF(Valores!$D$62*'Escala Docente'!B212&gt;Valores!$F$62,Valores!$F$62,Valores!$D$62*'Escala Docente'!B212),IF(Valores!$D$62*'Escala Docente'!B212&gt;Valores!$F$62,Valores!$F$62,Valores!$D$62*'Escala Docente'!B212)/2)</f>
        <v>4698.43</v>
      </c>
      <c r="AH212" s="125">
        <f t="shared" si="34"/>
        <v>121470.03999999998</v>
      </c>
      <c r="AI212" s="125">
        <f>IF(Valores!$C$32*B212&gt;Valores!$F$32,Valores!$F$32,Valores!$C$32*B212)</f>
        <v>0</v>
      </c>
      <c r="AJ212" s="125">
        <f>IF(Valores!$C$89*B212&gt;Valores!$C$88,Valores!$C$88,Valores!$C$89*B212)</f>
        <v>0</v>
      </c>
      <c r="AK212" s="125">
        <f>Valores!C$39*B212</f>
        <v>0</v>
      </c>
      <c r="AL212" s="125">
        <f>IF($F$3="NO",0,IF(Valores!$C$60*B212&gt;Valores!$F$60,Valores!$F$60,Valores!$C$60*B212))</f>
        <v>312.29</v>
      </c>
      <c r="AM212" s="125">
        <f t="shared" si="32"/>
        <v>312.29</v>
      </c>
      <c r="AN212" s="125">
        <f>AH212*Valores!$C$70</f>
        <v>-13361.704399999997</v>
      </c>
      <c r="AO212" s="125">
        <f>AH212*-Valores!$C$71</f>
        <v>0</v>
      </c>
      <c r="AP212" s="125">
        <f>AH212*Valores!$C$72</f>
        <v>-5466.151799999999</v>
      </c>
      <c r="AQ212" s="125">
        <f>Valores!$C$99</f>
        <v>-280.91</v>
      </c>
      <c r="AR212" s="125">
        <f>IF($F$5=0,Valores!$C$100,(Valores!$C$100+$F$5*(Valores!$C$100)))</f>
        <v>-329</v>
      </c>
      <c r="AS212" s="125">
        <f t="shared" si="35"/>
        <v>102344.56379999999</v>
      </c>
      <c r="AT212" s="125">
        <f t="shared" si="29"/>
        <v>-13361.704399999997</v>
      </c>
      <c r="AU212" s="125">
        <f>AH212*Valores!$C$73</f>
        <v>-3279.6910799999996</v>
      </c>
      <c r="AV212" s="125">
        <f>AH212*Valores!$C$74</f>
        <v>-364.41011999999995</v>
      </c>
      <c r="AW212" s="125">
        <f t="shared" si="33"/>
        <v>104776.52439999998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58588.12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10553.67</v>
      </c>
      <c r="N213" s="125">
        <f t="shared" si="30"/>
        <v>0</v>
      </c>
      <c r="O213" s="125">
        <f>Valores!$C$7*B213</f>
        <v>20069.57</v>
      </c>
      <c r="P213" s="125">
        <f>ROUND(IF(B213&lt;15,(Valores!$E$5*B213),Valores!$D$5),2)</f>
        <v>13153.38</v>
      </c>
      <c r="Q213" s="125">
        <v>0</v>
      </c>
      <c r="R213" s="125">
        <f>IF($F$4="NO",Valores!$C$48*B213,Valores!$C$48*B213/2)</f>
        <v>5457.325</v>
      </c>
      <c r="S213" s="125">
        <f>Valores!$C$18*B213</f>
        <v>6312.349999999999</v>
      </c>
      <c r="T213" s="125">
        <f t="shared" si="36"/>
        <v>6312.35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IF(Valores!$C$96*B213&gt;Valores!$C$95,Valores!$C$95,Valores!$C$96*B213)</f>
        <v>6438.62</v>
      </c>
      <c r="AA213" s="125">
        <f>IF((Valores!$C$28)*B213&gt;Valores!$F$28,Valores!$F$28,(Valores!$C$28)*B213)</f>
        <v>495.65000000000003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412.84999999999997</v>
      </c>
      <c r="AE213" s="192">
        <v>0</v>
      </c>
      <c r="AF213" s="125">
        <f>ROUND(AE213*Valores!$C$2,2)</f>
        <v>0</v>
      </c>
      <c r="AG213" s="125">
        <f>IF($F$4="NO",IF(Valores!$D$62*'Escala Docente'!B213&gt;Valores!$F$62,Valores!$F$62,Valores!$D$62*'Escala Docente'!B213),IF(Valores!$D$62*'Escala Docente'!B213&gt;Valores!$F$62,Valores!$F$62,Valores!$D$62*'Escala Docente'!B213)/2)</f>
        <v>4911.995</v>
      </c>
      <c r="AH213" s="125">
        <f t="shared" si="34"/>
        <v>126393.53000000001</v>
      </c>
      <c r="AI213" s="125">
        <f>IF(Valores!$C$32*B213&gt;Valores!$F$32,Valores!$F$32,Valores!$C$32*B213)</f>
        <v>0</v>
      </c>
      <c r="AJ213" s="125">
        <f>IF(Valores!$C$89*B213&gt;Valores!$C$88,Valores!$C$88,Valores!$C$89*B213)</f>
        <v>0</v>
      </c>
      <c r="AK213" s="125">
        <f>Valores!C$39*B213</f>
        <v>0</v>
      </c>
      <c r="AL213" s="125">
        <f>IF($F$3="NO",0,IF(Valores!$C$60*B213&gt;Valores!$F$60,Valores!$F$60,Valores!$C$60*B213))</f>
        <v>326.485</v>
      </c>
      <c r="AM213" s="125">
        <f t="shared" si="32"/>
        <v>326.485</v>
      </c>
      <c r="AN213" s="125">
        <f>AH213*Valores!$C$70</f>
        <v>-13903.288300000002</v>
      </c>
      <c r="AO213" s="125">
        <f>AH213*-Valores!$C$71</f>
        <v>0</v>
      </c>
      <c r="AP213" s="125">
        <f>AH213*Valores!$C$72</f>
        <v>-5687.70885</v>
      </c>
      <c r="AQ213" s="125">
        <f>Valores!$C$99</f>
        <v>-280.91</v>
      </c>
      <c r="AR213" s="125">
        <f>IF($F$5=0,Valores!$C$100,(Valores!$C$100+$F$5*(Valores!$C$100)))</f>
        <v>-329</v>
      </c>
      <c r="AS213" s="125">
        <f t="shared" si="35"/>
        <v>106519.10785000001</v>
      </c>
      <c r="AT213" s="125">
        <f t="shared" si="29"/>
        <v>-13903.288300000002</v>
      </c>
      <c r="AU213" s="125">
        <f>AH213*Valores!$C$73</f>
        <v>-3412.6253100000004</v>
      </c>
      <c r="AV213" s="125">
        <f>AH213*Valores!$C$74</f>
        <v>-379.18059000000005</v>
      </c>
      <c r="AW213" s="125">
        <f t="shared" si="33"/>
        <v>109024.9208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61135.43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11012.52</v>
      </c>
      <c r="N214" s="125">
        <f t="shared" si="30"/>
        <v>0</v>
      </c>
      <c r="O214" s="125">
        <f>Valores!$C$7*B214</f>
        <v>20942.16</v>
      </c>
      <c r="P214" s="125">
        <f>ROUND(IF(B214&lt;15,(Valores!$E$5*B214),Valores!$D$5),2)</f>
        <v>13153.38</v>
      </c>
      <c r="Q214" s="125">
        <v>0</v>
      </c>
      <c r="R214" s="125">
        <f>IF($F$4="NO",Valores!$C$48*B214,Valores!$C$48*B214/2)</f>
        <v>5694.6</v>
      </c>
      <c r="S214" s="125">
        <f>Valores!$C$18*B214</f>
        <v>6586.799999999999</v>
      </c>
      <c r="T214" s="125">
        <f t="shared" si="36"/>
        <v>6586.8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IF(Valores!$C$96*B214&gt;Valores!$C$95,Valores!$C$95,Valores!$C$96*B214)</f>
        <v>6718.5599999999995</v>
      </c>
      <c r="AA214" s="125">
        <f>IF((Valores!$C$28)*B214&gt;Valores!$F$28,Valores!$F$28,(Valores!$C$28)*B214)</f>
        <v>517.2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430.79999999999995</v>
      </c>
      <c r="AE214" s="192">
        <v>0</v>
      </c>
      <c r="AF214" s="125">
        <f>ROUND(AE214*Valores!$C$2,2)</f>
        <v>0</v>
      </c>
      <c r="AG214" s="125">
        <f>IF($F$4="NO",IF(Valores!$D$62*'Escala Docente'!B214&gt;Valores!$F$62,Valores!$F$62,Valores!$D$62*'Escala Docente'!B214),IF(Valores!$D$62*'Escala Docente'!B214&gt;Valores!$F$62,Valores!$F$62,Valores!$D$62*'Escala Docente'!B214)/2)</f>
        <v>5125.5599999999995</v>
      </c>
      <c r="AH214" s="125">
        <f t="shared" si="34"/>
        <v>131317.01</v>
      </c>
      <c r="AI214" s="125">
        <f>IF(Valores!$C$32*B214&gt;Valores!$F$32,Valores!$F$32,Valores!$C$32*B214)</f>
        <v>0</v>
      </c>
      <c r="AJ214" s="125">
        <f>IF(Valores!$C$89*B214&gt;Valores!$C$88,Valores!$C$88,Valores!$C$89*B214)</f>
        <v>0</v>
      </c>
      <c r="AK214" s="125">
        <f>Valores!C$39*B214</f>
        <v>0</v>
      </c>
      <c r="AL214" s="125">
        <f>IF($F$3="NO",0,IF(Valores!$C$60*B214&gt;Valores!$F$60,Valores!$F$60,Valores!$C$60*B214))</f>
        <v>327.6</v>
      </c>
      <c r="AM214" s="125">
        <f t="shared" si="32"/>
        <v>327.6</v>
      </c>
      <c r="AN214" s="125">
        <f>AH214*Valores!$C$70</f>
        <v>-14444.8711</v>
      </c>
      <c r="AO214" s="125">
        <f>AH214*-Valores!$C$71</f>
        <v>0</v>
      </c>
      <c r="AP214" s="125">
        <f>AH214*Valores!$C$72</f>
        <v>-5909.26545</v>
      </c>
      <c r="AQ214" s="125">
        <f>Valores!$C$99</f>
        <v>-280.91</v>
      </c>
      <c r="AR214" s="125">
        <f>IF($F$5=0,Valores!$C$100,(Valores!$C$100+$F$5*(Valores!$C$100)))</f>
        <v>-329</v>
      </c>
      <c r="AS214" s="125">
        <f t="shared" si="35"/>
        <v>110680.56345000002</v>
      </c>
      <c r="AT214" s="125">
        <f t="shared" si="29"/>
        <v>-14444.8711</v>
      </c>
      <c r="AU214" s="125">
        <f>AH214*Valores!$C$73</f>
        <v>-3545.55927</v>
      </c>
      <c r="AV214" s="125">
        <f>AH214*Valores!$C$74</f>
        <v>-393.95103000000006</v>
      </c>
      <c r="AW214" s="125">
        <f t="shared" si="33"/>
        <v>113260.22860000002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63682.74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11471.38</v>
      </c>
      <c r="N215" s="125">
        <f t="shared" si="30"/>
        <v>0</v>
      </c>
      <c r="O215" s="125">
        <f>Valores!$C$7*B215</f>
        <v>21814.75</v>
      </c>
      <c r="P215" s="125">
        <f>ROUND(IF(B215&lt;15,(Valores!$E$5*B215),Valores!$D$5),2)</f>
        <v>13153.38</v>
      </c>
      <c r="Q215" s="125">
        <v>0</v>
      </c>
      <c r="R215" s="125">
        <f>IF($F$4="NO",Valores!$C$48*B215,Valores!$C$48*B215/2)</f>
        <v>5931.875</v>
      </c>
      <c r="S215" s="125">
        <f>Valores!$C$18*B215</f>
        <v>6861.25</v>
      </c>
      <c r="T215" s="125">
        <f t="shared" si="36"/>
        <v>6861.25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IF(Valores!$C$96*B215&gt;Valores!$C$95,Valores!$C$95,Valores!$C$96*B215)</f>
        <v>6998.5</v>
      </c>
      <c r="AA215" s="125">
        <f>IF((Valores!$C$28)*B215&gt;Valores!$F$28,Valores!$F$28,(Valores!$C$28)*B215)</f>
        <v>538.75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448.75</v>
      </c>
      <c r="AE215" s="192">
        <v>0</v>
      </c>
      <c r="AF215" s="125">
        <f>ROUND(AE215*Valores!$C$2,2)</f>
        <v>0</v>
      </c>
      <c r="AG215" s="125">
        <f>IF($F$4="NO",IF(Valores!$D$62*'Escala Docente'!B215&gt;Valores!$F$62,Valores!$F$62,Valores!$D$62*'Escala Docente'!B215),IF(Valores!$D$62*'Escala Docente'!B215&gt;Valores!$F$62,Valores!$F$62,Valores!$D$62*'Escala Docente'!B215)/2)</f>
        <v>5339.125</v>
      </c>
      <c r="AH215" s="125">
        <f t="shared" si="34"/>
        <v>136240.5</v>
      </c>
      <c r="AI215" s="125">
        <f>IF(Valores!$C$32*B215&gt;Valores!$F$32,Valores!$F$32,Valores!$C$32*B215)</f>
        <v>0</v>
      </c>
      <c r="AJ215" s="125">
        <f>IF(Valores!$C$89*B215&gt;Valores!$C$88,Valores!$C$88,Valores!$C$89*B215)</f>
        <v>0</v>
      </c>
      <c r="AK215" s="125">
        <f>Valores!C$39*B215</f>
        <v>0</v>
      </c>
      <c r="AL215" s="125">
        <f>IF($F$3="NO",0,IF(Valores!$C$60*B215&gt;Valores!$F$60,Valores!$F$60,Valores!$C$60*B215))</f>
        <v>327.6</v>
      </c>
      <c r="AM215" s="125">
        <f t="shared" si="32"/>
        <v>327.6</v>
      </c>
      <c r="AN215" s="125">
        <f>AH215*Valores!$C$70</f>
        <v>-14986.455</v>
      </c>
      <c r="AO215" s="125">
        <f>AH215*-Valores!$C$71</f>
        <v>0</v>
      </c>
      <c r="AP215" s="125">
        <f>AH215*Valores!$C$72</f>
        <v>-6130.8225</v>
      </c>
      <c r="AQ215" s="125">
        <f>Valores!$C$99</f>
        <v>-280.91</v>
      </c>
      <c r="AR215" s="125">
        <f>IF($F$5=0,Valores!$C$100,(Valores!$C$100+$F$5*(Valores!$C$100)))</f>
        <v>-329</v>
      </c>
      <c r="AS215" s="125">
        <f t="shared" si="35"/>
        <v>114840.9125</v>
      </c>
      <c r="AT215" s="125">
        <f t="shared" si="29"/>
        <v>-14986.455</v>
      </c>
      <c r="AU215" s="125">
        <f>AH215*Valores!$C$73</f>
        <v>-3678.4935</v>
      </c>
      <c r="AV215" s="125">
        <f>AH215*Valores!$C$74</f>
        <v>-408.7215</v>
      </c>
      <c r="AW215" s="125">
        <f t="shared" si="33"/>
        <v>117494.43000000001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66230.05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11930.24</v>
      </c>
      <c r="N216" s="125">
        <f t="shared" si="30"/>
        <v>0</v>
      </c>
      <c r="O216" s="125">
        <f>Valores!$C$7*B216</f>
        <v>22687.34</v>
      </c>
      <c r="P216" s="125">
        <f>ROUND(IF(B216&lt;15,(Valores!$E$5*B216),Valores!$D$5),2)</f>
        <v>13153.38</v>
      </c>
      <c r="Q216" s="125">
        <v>0</v>
      </c>
      <c r="R216" s="125">
        <f>IF($F$4="NO",Valores!$C$48*B216,Valores!$C$48*B216/2)</f>
        <v>6169.150000000001</v>
      </c>
      <c r="S216" s="125">
        <f>Valores!$C$18*B216</f>
        <v>7135.7</v>
      </c>
      <c r="T216" s="125">
        <f t="shared" si="36"/>
        <v>7135.7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IF(Valores!$C$96*B216&gt;Valores!$C$95,Valores!$C$95,Valores!$C$96*B216)</f>
        <v>7278.44</v>
      </c>
      <c r="AA216" s="125">
        <f>IF((Valores!$C$28)*B216&gt;Valores!$F$28,Valores!$F$28,(Valores!$C$28)*B216)</f>
        <v>560.3000000000001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466.7</v>
      </c>
      <c r="AE216" s="192">
        <v>0</v>
      </c>
      <c r="AF216" s="125">
        <f>ROUND(AE216*Valores!$C$2,2)</f>
        <v>0</v>
      </c>
      <c r="AG216" s="125">
        <f>IF($F$4="NO",IF(Valores!$D$62*'Escala Docente'!B216&gt;Valores!$F$62,Valores!$F$62,Valores!$D$62*'Escala Docente'!B216),IF(Valores!$D$62*'Escala Docente'!B216&gt;Valores!$F$62,Valores!$F$62,Valores!$D$62*'Escala Docente'!B216)/2)</f>
        <v>5552.69</v>
      </c>
      <c r="AH216" s="125">
        <f t="shared" si="34"/>
        <v>141163.99</v>
      </c>
      <c r="AI216" s="125">
        <f>IF(Valores!$C$32*B216&gt;Valores!$F$32,Valores!$F$32,Valores!$C$32*B216)</f>
        <v>0</v>
      </c>
      <c r="AJ216" s="125">
        <f>IF(Valores!$C$89*B216&gt;Valores!$C$88,Valores!$C$88,Valores!$C$89*B216)</f>
        <v>0</v>
      </c>
      <c r="AK216" s="125">
        <f>Valores!C$39*B216</f>
        <v>0</v>
      </c>
      <c r="AL216" s="125">
        <f>IF($F$3="NO",0,IF(Valores!$C$60*B216&gt;Valores!$F$60,Valores!$F$60,Valores!$C$60*B216))</f>
        <v>327.6</v>
      </c>
      <c r="AM216" s="125">
        <f t="shared" si="32"/>
        <v>327.6</v>
      </c>
      <c r="AN216" s="125">
        <f>AH216*Valores!$C$70</f>
        <v>-15528.0389</v>
      </c>
      <c r="AO216" s="125">
        <f>AH216*-Valores!$C$71</f>
        <v>0</v>
      </c>
      <c r="AP216" s="125">
        <f>AH216*Valores!$C$72</f>
        <v>-6352.37955</v>
      </c>
      <c r="AQ216" s="125">
        <f>Valores!$C$99</f>
        <v>-280.91</v>
      </c>
      <c r="AR216" s="125">
        <f>IF($F$5=0,Valores!$C$100,(Valores!$C$100+$F$5*(Valores!$C$100)))</f>
        <v>-329</v>
      </c>
      <c r="AS216" s="125">
        <f t="shared" si="35"/>
        <v>119001.26155</v>
      </c>
      <c r="AT216" s="125">
        <f t="shared" si="29"/>
        <v>-15528.0389</v>
      </c>
      <c r="AU216" s="125">
        <f>AH216*Valores!$C$73</f>
        <v>-3811.42773</v>
      </c>
      <c r="AV216" s="125">
        <f>AH216*Valores!$C$74</f>
        <v>-423.49197</v>
      </c>
      <c r="AW216" s="125">
        <f t="shared" si="33"/>
        <v>121728.6314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68777.36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12389.09</v>
      </c>
      <c r="N217" s="125">
        <f t="shared" si="30"/>
        <v>0</v>
      </c>
      <c r="O217" s="125">
        <f>Valores!$C$7*B217</f>
        <v>23559.93</v>
      </c>
      <c r="P217" s="125">
        <f>ROUND(IF(B217&lt;15,(Valores!$E$5*B217),Valores!$D$5),2)</f>
        <v>13153.38</v>
      </c>
      <c r="Q217" s="125">
        <v>0</v>
      </c>
      <c r="R217" s="125">
        <f>IF($F$4="NO",Valores!$C$48*B217,Valores!$C$48*B217/2)</f>
        <v>6406.425</v>
      </c>
      <c r="S217" s="125">
        <f>Valores!$C$18*B217</f>
        <v>7410.15</v>
      </c>
      <c r="T217" s="125">
        <f t="shared" si="36"/>
        <v>7410.15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IF(Valores!$C$96*B217&gt;Valores!$C$95,Valores!$C$95,Valores!$C$96*B217)</f>
        <v>7558.38</v>
      </c>
      <c r="AA217" s="125">
        <f>IF((Valores!$C$28)*B217&gt;Valores!$F$28,Valores!$F$28,(Valores!$C$28)*B217)</f>
        <v>581.85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484.65</v>
      </c>
      <c r="AE217" s="192">
        <v>0</v>
      </c>
      <c r="AF217" s="125">
        <f>ROUND(AE217*Valores!$C$2,2)</f>
        <v>0</v>
      </c>
      <c r="AG217" s="125">
        <f>IF($F$4="NO",IF(Valores!$D$62*'Escala Docente'!B217&gt;Valores!$F$62,Valores!$F$62,Valores!$D$62*'Escala Docente'!B217),IF(Valores!$D$62*'Escala Docente'!B217&gt;Valores!$F$62,Valores!$F$62,Valores!$D$62*'Escala Docente'!B217)/2)</f>
        <v>5766.255</v>
      </c>
      <c r="AH217" s="125">
        <f t="shared" si="34"/>
        <v>146087.47000000003</v>
      </c>
      <c r="AI217" s="125">
        <f>IF(Valores!$C$32*B217&gt;Valores!$F$32,Valores!$F$32,Valores!$C$32*B217)</f>
        <v>0</v>
      </c>
      <c r="AJ217" s="125">
        <f>IF(Valores!$C$89*B217&gt;Valores!$C$88,Valores!$C$88,Valores!$C$89*B217)</f>
        <v>0</v>
      </c>
      <c r="AK217" s="125">
        <f>Valores!C$39*B217</f>
        <v>0</v>
      </c>
      <c r="AL217" s="125">
        <f>IF($F$3="NO",0,IF(Valores!$C$60*B217&gt;Valores!$F$60,Valores!$F$60,Valores!$C$60*B217))</f>
        <v>327.6</v>
      </c>
      <c r="AM217" s="125">
        <f t="shared" si="32"/>
        <v>327.6</v>
      </c>
      <c r="AN217" s="125">
        <f>AH217*Valores!$C$70</f>
        <v>-16069.621700000003</v>
      </c>
      <c r="AO217" s="125">
        <f>AH217*-Valores!$C$71</f>
        <v>0</v>
      </c>
      <c r="AP217" s="125">
        <f>AH217*Valores!$C$72</f>
        <v>-6573.936150000001</v>
      </c>
      <c r="AQ217" s="125">
        <f>Valores!$C$99</f>
        <v>-280.91</v>
      </c>
      <c r="AR217" s="125">
        <f>IF($F$5=0,Valores!$C$100,(Valores!$C$100+$F$5*(Valores!$C$100)))</f>
        <v>-329</v>
      </c>
      <c r="AS217" s="125">
        <f t="shared" si="35"/>
        <v>123161.60215000002</v>
      </c>
      <c r="AT217" s="125">
        <f t="shared" si="29"/>
        <v>-16069.621700000003</v>
      </c>
      <c r="AU217" s="125">
        <f>AH217*Valores!$C$73</f>
        <v>-3944.3616900000006</v>
      </c>
      <c r="AV217" s="125">
        <f>AH217*Valores!$C$74</f>
        <v>-438.2624100000001</v>
      </c>
      <c r="AW217" s="125">
        <f t="shared" si="33"/>
        <v>125962.82420000003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71324.67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12847.95</v>
      </c>
      <c r="N218" s="125">
        <f t="shared" si="30"/>
        <v>0</v>
      </c>
      <c r="O218" s="125">
        <f>Valores!$C$7*B218</f>
        <v>24432.52</v>
      </c>
      <c r="P218" s="125">
        <f>ROUND(IF(B218&lt;15,(Valores!$E$5*B218),Valores!$D$5),2)</f>
        <v>13153.38</v>
      </c>
      <c r="Q218" s="125">
        <v>0</v>
      </c>
      <c r="R218" s="125">
        <f>IF($F$4="NO",Valores!$C$48*B218,Valores!$C$48*B218/2)</f>
        <v>6643.7</v>
      </c>
      <c r="S218" s="125">
        <f>Valores!$C$18*B218</f>
        <v>7684.599999999999</v>
      </c>
      <c r="T218" s="125">
        <f t="shared" si="36"/>
        <v>7684.6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IF(Valores!$C$96*B218&gt;Valores!$C$95,Valores!$C$95,Valores!$C$96*B218)</f>
        <v>7838.32</v>
      </c>
      <c r="AA218" s="125">
        <f>IF((Valores!$C$28)*B218&gt;Valores!$F$28,Valores!$F$28,(Valores!$C$28)*B218)</f>
        <v>603.4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502.59999999999997</v>
      </c>
      <c r="AE218" s="192">
        <v>0</v>
      </c>
      <c r="AF218" s="125">
        <f>ROUND(AE218*Valores!$C$2,2)</f>
        <v>0</v>
      </c>
      <c r="AG218" s="125">
        <f>IF($F$4="NO",IF(Valores!$D$62*'Escala Docente'!B218&gt;Valores!$F$62,Valores!$F$62,Valores!$D$62*'Escala Docente'!B218),IF(Valores!$D$62*'Escala Docente'!B218&gt;Valores!$F$62,Valores!$F$62,Valores!$D$62*'Escala Docente'!B218)/2)</f>
        <v>5979.82</v>
      </c>
      <c r="AH218" s="125">
        <f t="shared" si="34"/>
        <v>151010.96000000002</v>
      </c>
      <c r="AI218" s="125">
        <f>IF(Valores!$C$32*B218&gt;Valores!$F$32,Valores!$F$32,Valores!$C$32*B218)</f>
        <v>0</v>
      </c>
      <c r="AJ218" s="125">
        <f>IF(Valores!$C$89*B218&gt;Valores!$C$88,Valores!$C$88,Valores!$C$89*B218)</f>
        <v>0</v>
      </c>
      <c r="AK218" s="125">
        <f>Valores!C$39*B218</f>
        <v>0</v>
      </c>
      <c r="AL218" s="125">
        <f>IF($F$3="NO",0,IF(Valores!$C$60*B218&gt;Valores!$F$60,Valores!$F$60,Valores!$C$60*B218))</f>
        <v>327.6</v>
      </c>
      <c r="AM218" s="125">
        <f t="shared" si="32"/>
        <v>327.6</v>
      </c>
      <c r="AN218" s="125">
        <f>AH218*Valores!$C$70</f>
        <v>-16611.2056</v>
      </c>
      <c r="AO218" s="125">
        <f>AH218*-Valores!$C$71</f>
        <v>0</v>
      </c>
      <c r="AP218" s="125">
        <f>AH218*Valores!$C$72</f>
        <v>-6795.493200000001</v>
      </c>
      <c r="AQ218" s="125">
        <f>Valores!$C$99</f>
        <v>-280.91</v>
      </c>
      <c r="AR218" s="125">
        <f>IF($F$5=0,Valores!$C$100,(Valores!$C$100+$F$5*(Valores!$C$100)))</f>
        <v>-329</v>
      </c>
      <c r="AS218" s="125">
        <f t="shared" si="35"/>
        <v>127321.95120000002</v>
      </c>
      <c r="AT218" s="125">
        <f t="shared" si="29"/>
        <v>-16611.2056</v>
      </c>
      <c r="AU218" s="125">
        <f>AH218*Valores!$C$73</f>
        <v>-4077.2959200000005</v>
      </c>
      <c r="AV218" s="125">
        <f>AH218*Valores!$C$74</f>
        <v>-453.0328800000001</v>
      </c>
      <c r="AW218" s="125">
        <f t="shared" si="33"/>
        <v>130197.02560000002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73871.98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13306.8</v>
      </c>
      <c r="N219" s="125">
        <f t="shared" si="30"/>
        <v>0</v>
      </c>
      <c r="O219" s="125">
        <f>Valores!$C$7*B219</f>
        <v>25305.11</v>
      </c>
      <c r="P219" s="125">
        <f>ROUND(IF(B219&lt;15,(Valores!$E$5*B219),Valores!$D$5),2)</f>
        <v>13153.38</v>
      </c>
      <c r="Q219" s="125">
        <v>0</v>
      </c>
      <c r="R219" s="125">
        <f>IF($F$4="NO",Valores!$C$48*B219,Valores!$C$48*B219/2)</f>
        <v>6880.975</v>
      </c>
      <c r="S219" s="125">
        <f>Valores!$C$18*B219</f>
        <v>7959.049999999999</v>
      </c>
      <c r="T219" s="125">
        <f t="shared" si="36"/>
        <v>7959.05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IF(Valores!$C$96*B219&gt;Valores!$C$95,Valores!$C$95,Valores!$C$96*B219)</f>
        <v>8118.26</v>
      </c>
      <c r="AA219" s="125">
        <f>IF((Valores!$C$28)*B219&gt;Valores!$F$28,Valores!$F$28,(Valores!$C$28)*B219)</f>
        <v>624.95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520.55</v>
      </c>
      <c r="AE219" s="192">
        <v>0</v>
      </c>
      <c r="AF219" s="125">
        <f>ROUND(AE219*Valores!$C$2,2)</f>
        <v>0</v>
      </c>
      <c r="AG219" s="125">
        <f>IF($F$4="NO",IF(Valores!$D$62*'Escala Docente'!B219&gt;Valores!$F$62,Valores!$F$62,Valores!$D$62*'Escala Docente'!B219),IF(Valores!$D$62*'Escala Docente'!B219&gt;Valores!$F$62,Valores!$F$62,Valores!$D$62*'Escala Docente'!B219)/2)</f>
        <v>6193.385</v>
      </c>
      <c r="AH219" s="125">
        <f t="shared" si="34"/>
        <v>155934.44</v>
      </c>
      <c r="AI219" s="125">
        <f>IF(Valores!$C$32*B219&gt;Valores!$F$32,Valores!$F$32,Valores!$C$32*B219)</f>
        <v>0</v>
      </c>
      <c r="AJ219" s="125">
        <f>IF(Valores!$C$89*B219&gt;Valores!$C$88,Valores!$C$88,Valores!$C$89*B219)</f>
        <v>0</v>
      </c>
      <c r="AK219" s="125">
        <f>Valores!C$39*B219</f>
        <v>0</v>
      </c>
      <c r="AL219" s="125">
        <f>IF($F$3="NO",0,IF(Valores!$C$60*B219&gt;Valores!$F$60,Valores!$F$60,Valores!$C$60*B219))</f>
        <v>327.6</v>
      </c>
      <c r="AM219" s="125">
        <f t="shared" si="32"/>
        <v>327.6</v>
      </c>
      <c r="AN219" s="125">
        <f>AH219*Valores!$C$70</f>
        <v>-17152.7884</v>
      </c>
      <c r="AO219" s="125">
        <f>AH219*-Valores!$C$71</f>
        <v>0</v>
      </c>
      <c r="AP219" s="125">
        <f>AH219*Valores!$C$72</f>
        <v>-7017.0498</v>
      </c>
      <c r="AQ219" s="125">
        <f>Valores!$C$99</f>
        <v>-280.91</v>
      </c>
      <c r="AR219" s="125">
        <f>IF($F$5=0,Valores!$C$100,(Valores!$C$100+$F$5*(Valores!$C$100)))</f>
        <v>-329</v>
      </c>
      <c r="AS219" s="125">
        <f t="shared" si="35"/>
        <v>131482.2918</v>
      </c>
      <c r="AT219" s="125">
        <f t="shared" si="29"/>
        <v>-17152.7884</v>
      </c>
      <c r="AU219" s="125">
        <f>AH219*Valores!$C$73</f>
        <v>-4210.22988</v>
      </c>
      <c r="AV219" s="125">
        <f>AH219*Valores!$C$74</f>
        <v>-467.80332000000004</v>
      </c>
      <c r="AW219" s="125">
        <f t="shared" si="33"/>
        <v>134431.2184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76419.29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13765.66</v>
      </c>
      <c r="N220" s="125">
        <f t="shared" si="30"/>
        <v>0</v>
      </c>
      <c r="O220" s="125">
        <f>Valores!$C$7*B220</f>
        <v>26177.7</v>
      </c>
      <c r="P220" s="125">
        <f>ROUND(IF(B220&lt;15,(Valores!$E$5*B220),Valores!$D$5),2)</f>
        <v>13153.38</v>
      </c>
      <c r="Q220" s="125">
        <v>0</v>
      </c>
      <c r="R220" s="125">
        <f>IF($F$4="NO",Valores!$C$48*B220,Valores!$C$48*B220/2)</f>
        <v>7118.25</v>
      </c>
      <c r="S220" s="125">
        <f>Valores!$C$18*B220</f>
        <v>8233.5</v>
      </c>
      <c r="T220" s="125">
        <f t="shared" si="36"/>
        <v>8233.5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IF(Valores!$C$96*B220&gt;Valores!$C$95,Valores!$C$95,Valores!$C$96*B220)</f>
        <v>8398.2</v>
      </c>
      <c r="AA220" s="125">
        <f>IF((Valores!$C$28)*B220&gt;Valores!$F$28,Valores!$F$28,(Valores!$C$28)*B220)</f>
        <v>646.5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537.98</v>
      </c>
      <c r="AE220" s="192">
        <v>0</v>
      </c>
      <c r="AF220" s="125">
        <f>ROUND(AE220*Valores!$C$2,2)</f>
        <v>0</v>
      </c>
      <c r="AG220" s="125">
        <f>IF($F$4="NO",IF(Valores!$D$62*'Escala Docente'!B220&gt;Valores!$F$62,Valores!$F$62,Valores!$D$62*'Escala Docente'!B220),IF(Valores!$D$62*'Escala Docente'!B220&gt;Valores!$F$62,Valores!$F$62,Valores!$D$62*'Escala Docente'!B220)/2)</f>
        <v>6406.93</v>
      </c>
      <c r="AH220" s="125">
        <f t="shared" si="34"/>
        <v>160857.39</v>
      </c>
      <c r="AI220" s="125">
        <f>IF(Valores!$C$32*B220&gt;Valores!$F$32,Valores!$F$32,Valores!$C$32*B220)</f>
        <v>0</v>
      </c>
      <c r="AJ220" s="125">
        <f>IF(Valores!$C$89*B220&gt;Valores!$C$88,Valores!$C$88,Valores!$C$89*B220)</f>
        <v>0</v>
      </c>
      <c r="AK220" s="125">
        <f>Valores!C$39*B220</f>
        <v>0</v>
      </c>
      <c r="AL220" s="125">
        <f>IF($F$3="NO",0,IF(Valores!$C$60*B220&gt;Valores!$F$60,Valores!$F$60,Valores!$C$60*B220))</f>
        <v>327.6</v>
      </c>
      <c r="AM220" s="125">
        <f t="shared" si="32"/>
        <v>327.6</v>
      </c>
      <c r="AN220" s="125">
        <f>AH220*Valores!$C$70</f>
        <v>-17694.3129</v>
      </c>
      <c r="AO220" s="125">
        <f>AH220*-Valores!$C$71</f>
        <v>0</v>
      </c>
      <c r="AP220" s="125">
        <f>AH220*Valores!$C$72</f>
        <v>-7238.58255</v>
      </c>
      <c r="AQ220" s="125">
        <f>Valores!$C$99</f>
        <v>-280.91</v>
      </c>
      <c r="AR220" s="125">
        <f>IF($F$5=0,Valores!$C$100,(Valores!$C$100+$F$5*(Valores!$C$100)))</f>
        <v>-329</v>
      </c>
      <c r="AS220" s="125">
        <f t="shared" si="35"/>
        <v>135642.18455</v>
      </c>
      <c r="AT220" s="125">
        <f t="shared" si="29"/>
        <v>-17694.3129</v>
      </c>
      <c r="AU220" s="125">
        <f>AH220*Valores!$C$73</f>
        <v>-4343.149530000001</v>
      </c>
      <c r="AV220" s="125">
        <f>AH220*Valores!$C$74</f>
        <v>-482.57217</v>
      </c>
      <c r="AW220" s="125">
        <f t="shared" si="33"/>
        <v>138664.95540000004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78966.6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14224.51</v>
      </c>
      <c r="N221" s="125">
        <f t="shared" si="30"/>
        <v>0</v>
      </c>
      <c r="O221" s="125">
        <f>Valores!$C$7*B221</f>
        <v>27050.29</v>
      </c>
      <c r="P221" s="125">
        <f>ROUND(IF(B221&lt;15,(Valores!$E$5*B221),Valores!$D$5),2)</f>
        <v>13153.38</v>
      </c>
      <c r="Q221" s="125">
        <v>0</v>
      </c>
      <c r="R221" s="125">
        <f>IF($F$4="NO",Valores!$C$48*B221,Valores!$C$48*B221/2)</f>
        <v>7355.525000000001</v>
      </c>
      <c r="S221" s="125">
        <f>Valores!$C$18*B221</f>
        <v>8507.949999999999</v>
      </c>
      <c r="T221" s="125">
        <f t="shared" si="36"/>
        <v>8507.95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IF(Valores!$C$96*B221&gt;Valores!$C$95,Valores!$C$95,Valores!$C$96*B221)</f>
        <v>8678.14</v>
      </c>
      <c r="AA221" s="125">
        <f>IF((Valores!$C$28)*B221&gt;Valores!$F$28,Valores!$F$28,(Valores!$C$28)*B221)</f>
        <v>668.0500000000001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537.98</v>
      </c>
      <c r="AE221" s="192">
        <v>0</v>
      </c>
      <c r="AF221" s="125">
        <f>ROUND(AE221*Valores!$C$2,2)</f>
        <v>0</v>
      </c>
      <c r="AG221" s="125">
        <f>IF($F$4="NO",IF(Valores!$D$62*'Escala Docente'!B221&gt;Valores!$F$62,Valores!$F$62,Valores!$D$62*'Escala Docente'!B221),IF(Valores!$D$62*'Escala Docente'!B221&gt;Valores!$F$62,Valores!$F$62,Valores!$D$62*'Escala Docente'!B221)/2)</f>
        <v>6406.93</v>
      </c>
      <c r="AH221" s="125">
        <f t="shared" si="34"/>
        <v>165549.355</v>
      </c>
      <c r="AI221" s="125">
        <f>IF(Valores!$C$32*B221&gt;Valores!$F$32,Valores!$F$32,Valores!$C$32*B221)</f>
        <v>0</v>
      </c>
      <c r="AJ221" s="125">
        <f>IF(Valores!$C$89*B221&gt;Valores!$C$88,Valores!$C$88,Valores!$C$89*B221)</f>
        <v>0</v>
      </c>
      <c r="AK221" s="125">
        <f>Valores!C$39*B221</f>
        <v>0</v>
      </c>
      <c r="AL221" s="125">
        <f>IF($F$3="NO",0,IF(Valores!$C$60*B221&gt;Valores!$F$60,Valores!$F$60,Valores!$C$60*B221))</f>
        <v>327.6</v>
      </c>
      <c r="AM221" s="125">
        <f t="shared" si="32"/>
        <v>327.6</v>
      </c>
      <c r="AN221" s="125">
        <f>AH221*Valores!$C$70</f>
        <v>-18210.429050000002</v>
      </c>
      <c r="AO221" s="125">
        <f>AH221*-Valores!$C$71</f>
        <v>0</v>
      </c>
      <c r="AP221" s="125">
        <f>AH221*Valores!$C$72</f>
        <v>-7449.720975</v>
      </c>
      <c r="AQ221" s="125">
        <f>Valores!$C$99</f>
        <v>-280.91</v>
      </c>
      <c r="AR221" s="125">
        <f>IF($F$5=0,Valores!$C$100,(Valores!$C$100+$F$5*(Valores!$C$100)))</f>
        <v>-329</v>
      </c>
      <c r="AS221" s="125">
        <f t="shared" si="35"/>
        <v>139606.894975</v>
      </c>
      <c r="AT221" s="125">
        <f t="shared" si="29"/>
        <v>-18210.429050000002</v>
      </c>
      <c r="AU221" s="125">
        <f>AH221*Valores!$C$73</f>
        <v>-4469.832585</v>
      </c>
      <c r="AV221" s="125">
        <f>AH221*Valores!$C$74</f>
        <v>-496.64806500000003</v>
      </c>
      <c r="AW221" s="125">
        <f t="shared" si="33"/>
        <v>142700.0453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81513.91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14683.37</v>
      </c>
      <c r="N222" s="125">
        <f t="shared" si="30"/>
        <v>0</v>
      </c>
      <c r="O222" s="125">
        <f>Valores!$C$7*B222</f>
        <v>27922.88</v>
      </c>
      <c r="P222" s="125">
        <f>ROUND(IF(B222&lt;15,(Valores!$E$5*B222),Valores!$D$5),2)</f>
        <v>13153.38</v>
      </c>
      <c r="Q222" s="125">
        <v>0</v>
      </c>
      <c r="R222" s="125">
        <f>IF($F$4="NO",Valores!$C$48*B222,Valores!$C$48*B222/2)</f>
        <v>7592.8</v>
      </c>
      <c r="S222" s="125">
        <f>Valores!$C$18*B222</f>
        <v>8782.4</v>
      </c>
      <c r="T222" s="125">
        <f t="shared" si="36"/>
        <v>8782.4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IF(Valores!$C$96*B222&gt;Valores!$C$95,Valores!$C$95,Valores!$C$96*B222)</f>
        <v>8958.08</v>
      </c>
      <c r="AA222" s="125">
        <f>IF((Valores!$C$28)*B222&gt;Valores!$F$28,Valores!$F$28,(Valores!$C$28)*B222)</f>
        <v>689.6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537.98</v>
      </c>
      <c r="AE222" s="192">
        <v>0</v>
      </c>
      <c r="AF222" s="125">
        <f>ROUND(AE222*Valores!$C$2,2)</f>
        <v>0</v>
      </c>
      <c r="AG222" s="125">
        <f>IF($F$4="NO",IF(Valores!$D$62*'Escala Docente'!B222&gt;Valores!$F$62,Valores!$F$62,Valores!$D$62*'Escala Docente'!B222),IF(Valores!$D$62*'Escala Docente'!B222&gt;Valores!$F$62,Valores!$F$62,Valores!$D$62*'Escala Docente'!B222)/2)</f>
        <v>6406.93</v>
      </c>
      <c r="AH222" s="125">
        <f t="shared" si="34"/>
        <v>170241.33</v>
      </c>
      <c r="AI222" s="125">
        <f>IF(Valores!$C$32*B222&gt;Valores!$F$32,Valores!$F$32,Valores!$C$32*B222)</f>
        <v>0</v>
      </c>
      <c r="AJ222" s="125">
        <f>IF(Valores!$C$89*B222&gt;Valores!$C$88,Valores!$C$88,Valores!$C$89*B222)</f>
        <v>0</v>
      </c>
      <c r="AK222" s="125">
        <f>Valores!C$39*B222</f>
        <v>0</v>
      </c>
      <c r="AL222" s="125">
        <f>IF($F$3="NO",0,IF(Valores!$C$60*B222&gt;Valores!$F$60,Valores!$F$60,Valores!$C$60*B222))</f>
        <v>327.6</v>
      </c>
      <c r="AM222" s="125">
        <f t="shared" si="32"/>
        <v>327.6</v>
      </c>
      <c r="AN222" s="125">
        <f>AH222*Valores!$C$70</f>
        <v>-18726.546299999998</v>
      </c>
      <c r="AO222" s="125">
        <f>AH222*-Valores!$C$71</f>
        <v>0</v>
      </c>
      <c r="AP222" s="125">
        <f>AH222*Valores!$C$72</f>
        <v>-7660.859849999999</v>
      </c>
      <c r="AQ222" s="125">
        <f>Valores!$C$99</f>
        <v>-280.91</v>
      </c>
      <c r="AR222" s="125">
        <f>IF($F$5=0,Valores!$C$100,(Valores!$C$100+$F$5*(Valores!$C$100)))</f>
        <v>-329</v>
      </c>
      <c r="AS222" s="125">
        <f t="shared" si="35"/>
        <v>143571.61385</v>
      </c>
      <c r="AT222" s="125">
        <f t="shared" si="29"/>
        <v>-18726.546299999998</v>
      </c>
      <c r="AU222" s="125">
        <f>AH222*Valores!$C$73</f>
        <v>-4596.515909999999</v>
      </c>
      <c r="AV222" s="125">
        <f>AH222*Valores!$C$74</f>
        <v>-510.72398999999996</v>
      </c>
      <c r="AW222" s="125">
        <f t="shared" si="33"/>
        <v>146735.1438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84061.22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15142.22</v>
      </c>
      <c r="N223" s="125">
        <f t="shared" si="30"/>
        <v>0</v>
      </c>
      <c r="O223" s="125">
        <f>Valores!$C$7*B223</f>
        <v>28795.47</v>
      </c>
      <c r="P223" s="125">
        <f>ROUND(IF(B223&lt;15,(Valores!$E$5*B223),Valores!$D$5),2)</f>
        <v>13153.38</v>
      </c>
      <c r="Q223" s="125">
        <v>0</v>
      </c>
      <c r="R223" s="125">
        <f>IF($F$4="NO",Valores!$C$48*B223,Valores!$C$48*B223/2)</f>
        <v>7830.075</v>
      </c>
      <c r="S223" s="125">
        <f>Valores!$C$18*B223</f>
        <v>9056.85</v>
      </c>
      <c r="T223" s="125">
        <f t="shared" si="36"/>
        <v>9056.85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IF(Valores!$C$96*B223&gt;Valores!$C$95,Valores!$C$95,Valores!$C$96*B223)</f>
        <v>9238.02</v>
      </c>
      <c r="AA223" s="125">
        <f>IF((Valores!$C$28)*B223&gt;Valores!$F$28,Valores!$F$28,(Valores!$C$28)*B223)</f>
        <v>711.15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537.98</v>
      </c>
      <c r="AE223" s="192">
        <v>0</v>
      </c>
      <c r="AF223" s="125">
        <f>ROUND(AE223*Valores!$C$2,2)</f>
        <v>0</v>
      </c>
      <c r="AG223" s="125">
        <f>IF($F$4="NO",IF(Valores!$D$62*'Escala Docente'!B223&gt;Valores!$F$62,Valores!$F$62,Valores!$D$62*'Escala Docente'!B223),IF(Valores!$D$62*'Escala Docente'!B223&gt;Valores!$F$62,Valores!$F$62,Valores!$D$62*'Escala Docente'!B223)/2)</f>
        <v>6406.93</v>
      </c>
      <c r="AH223" s="125">
        <f t="shared" si="34"/>
        <v>174933.295</v>
      </c>
      <c r="AI223" s="125">
        <f>IF(Valores!$C$32*B223&gt;Valores!$F$32,Valores!$F$32,Valores!$C$32*B223)</f>
        <v>0</v>
      </c>
      <c r="AJ223" s="125">
        <f>IF(Valores!$C$89*B223&gt;Valores!$C$88,Valores!$C$88,Valores!$C$89*B223)</f>
        <v>0</v>
      </c>
      <c r="AK223" s="125">
        <f>Valores!C$39*B223</f>
        <v>0</v>
      </c>
      <c r="AL223" s="125">
        <f>IF($F$3="NO",0,IF(Valores!$C$60*B223&gt;Valores!$F$60,Valores!$F$60,Valores!$C$60*B223))</f>
        <v>327.6</v>
      </c>
      <c r="AM223" s="125">
        <f t="shared" si="32"/>
        <v>327.6</v>
      </c>
      <c r="AN223" s="125">
        <f>AH223*Valores!$C$70</f>
        <v>-19242.66245</v>
      </c>
      <c r="AO223" s="125">
        <f>AH223*-Valores!$C$71</f>
        <v>0</v>
      </c>
      <c r="AP223" s="125">
        <f>AH223*Valores!$C$72</f>
        <v>-7871.998275</v>
      </c>
      <c r="AQ223" s="125">
        <f>Valores!$C$99</f>
        <v>-280.91</v>
      </c>
      <c r="AR223" s="125">
        <f>IF($F$5=0,Valores!$C$100,(Valores!$C$100+$F$5*(Valores!$C$100)))</f>
        <v>-329</v>
      </c>
      <c r="AS223" s="125">
        <f t="shared" si="35"/>
        <v>147536.32427500002</v>
      </c>
      <c r="AT223" s="125">
        <f t="shared" si="29"/>
        <v>-19242.66245</v>
      </c>
      <c r="AU223" s="125">
        <f>AH223*Valores!$C$73</f>
        <v>-4723.1989650000005</v>
      </c>
      <c r="AV223" s="125">
        <f>AH223*Valores!$C$74</f>
        <v>-524.799885</v>
      </c>
      <c r="AW223" s="125">
        <f t="shared" si="33"/>
        <v>150770.2337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86608.53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15601.08</v>
      </c>
      <c r="N224" s="125">
        <f t="shared" si="30"/>
        <v>0</v>
      </c>
      <c r="O224" s="125">
        <f>Valores!$C$7*B224</f>
        <v>29668.06</v>
      </c>
      <c r="P224" s="125">
        <f>ROUND(IF(B224&lt;15,(Valores!$E$5*B224),Valores!$D$5),2)</f>
        <v>13153.38</v>
      </c>
      <c r="Q224" s="125">
        <v>0</v>
      </c>
      <c r="R224" s="125">
        <f>IF($F$4="NO",Valores!$C$48*B224,Valores!$C$48*B224/2)</f>
        <v>8067.35</v>
      </c>
      <c r="S224" s="125">
        <f>Valores!$C$18*B224</f>
        <v>9331.3</v>
      </c>
      <c r="T224" s="125">
        <f t="shared" si="36"/>
        <v>9331.3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IF(Valores!$C$96*B224&gt;Valores!$C$95,Valores!$C$95,Valores!$C$96*B224)</f>
        <v>9517.96</v>
      </c>
      <c r="AA224" s="125">
        <f>IF((Valores!$C$28)*B224&gt;Valores!$F$28,Valores!$F$28,(Valores!$C$28)*B224)</f>
        <v>732.7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537.98</v>
      </c>
      <c r="AE224" s="192">
        <v>0</v>
      </c>
      <c r="AF224" s="125">
        <f>ROUND(AE224*Valores!$C$2,2)</f>
        <v>0</v>
      </c>
      <c r="AG224" s="125">
        <f>IF($F$4="NO",IF(Valores!$D$62*'Escala Docente'!B224&gt;Valores!$F$62,Valores!$F$62,Valores!$D$62*'Escala Docente'!B224),IF(Valores!$D$62*'Escala Docente'!B224&gt;Valores!$F$62,Valores!$F$62,Valores!$D$62*'Escala Docente'!B224)/2)</f>
        <v>6406.93</v>
      </c>
      <c r="AH224" s="125">
        <f t="shared" si="34"/>
        <v>179625.27000000002</v>
      </c>
      <c r="AI224" s="125">
        <f>IF(Valores!$C$32*B224&gt;Valores!$F$32,Valores!$F$32,Valores!$C$32*B224)</f>
        <v>0</v>
      </c>
      <c r="AJ224" s="125">
        <f>IF(Valores!$C$89*B224&gt;Valores!$C$88,Valores!$C$88,Valores!$C$89*B224)</f>
        <v>0</v>
      </c>
      <c r="AK224" s="125">
        <f>Valores!C$39*B224</f>
        <v>0</v>
      </c>
      <c r="AL224" s="125">
        <f>IF($F$3="NO",0,IF(Valores!$C$60*B224&gt;Valores!$F$60,Valores!$F$60,Valores!$C$60*B224))</f>
        <v>327.6</v>
      </c>
      <c r="AM224" s="125">
        <f t="shared" si="32"/>
        <v>327.6</v>
      </c>
      <c r="AN224" s="125">
        <f>AH224*Valores!$C$70</f>
        <v>-19758.779700000003</v>
      </c>
      <c r="AO224" s="125">
        <f>AH224*-Valores!$C$71</f>
        <v>0</v>
      </c>
      <c r="AP224" s="125">
        <f>AH224*Valores!$C$72</f>
        <v>-8083.1371500000005</v>
      </c>
      <c r="AQ224" s="125">
        <f>Valores!$C$99</f>
        <v>-280.91</v>
      </c>
      <c r="AR224" s="125">
        <f>IF($F$5=0,Valores!$C$100,(Valores!$C$100+$F$5*(Valores!$C$100)))</f>
        <v>-329</v>
      </c>
      <c r="AS224" s="125">
        <f t="shared" si="35"/>
        <v>151501.04315</v>
      </c>
      <c r="AT224" s="125">
        <f t="shared" si="29"/>
        <v>-19758.779700000003</v>
      </c>
      <c r="AU224" s="125">
        <f>AH224*Valores!$C$73</f>
        <v>-4849.8822900000005</v>
      </c>
      <c r="AV224" s="125">
        <f>AH224*Valores!$C$74</f>
        <v>-538.8758100000001</v>
      </c>
      <c r="AW224" s="125">
        <f t="shared" si="33"/>
        <v>154805.3322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89155.84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16059.93</v>
      </c>
      <c r="N225" s="125">
        <f t="shared" si="30"/>
        <v>0</v>
      </c>
      <c r="O225" s="125">
        <f>Valores!$C$7*B225</f>
        <v>30540.65</v>
      </c>
      <c r="P225" s="125">
        <f>ROUND(IF(B225&lt;15,(Valores!$E$5*B225),Valores!$D$5),2)</f>
        <v>13153.38</v>
      </c>
      <c r="Q225" s="125">
        <v>0</v>
      </c>
      <c r="R225" s="125">
        <f>IF($F$4="NO",Valores!$C$48*B225,Valores!$C$48*B225/2)</f>
        <v>8304.625</v>
      </c>
      <c r="S225" s="125">
        <f>Valores!$C$18*B225</f>
        <v>9605.75</v>
      </c>
      <c r="T225" s="125">
        <f t="shared" si="36"/>
        <v>9605.75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IF(Valores!$C$96*B225&gt;Valores!$C$95,Valores!$C$95,Valores!$C$96*B225)</f>
        <v>9797.9</v>
      </c>
      <c r="AA225" s="125">
        <f>IF((Valores!$C$28)*B225&gt;Valores!$F$28,Valores!$F$28,(Valores!$C$28)*B225)</f>
        <v>754.25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537.98</v>
      </c>
      <c r="AE225" s="192">
        <v>0</v>
      </c>
      <c r="AF225" s="125">
        <f>ROUND(AE225*Valores!$C$2,2)</f>
        <v>0</v>
      </c>
      <c r="AG225" s="125">
        <f>IF($F$4="NO",IF(Valores!$D$62*'Escala Docente'!B225&gt;Valores!$F$62,Valores!$F$62,Valores!$D$62*'Escala Docente'!B225),IF(Valores!$D$62*'Escala Docente'!B225&gt;Valores!$F$62,Valores!$F$62,Valores!$D$62*'Escala Docente'!B225)/2)</f>
        <v>6406.93</v>
      </c>
      <c r="AH225" s="125">
        <f t="shared" si="34"/>
        <v>184317.235</v>
      </c>
      <c r="AI225" s="125">
        <f>IF(Valores!$C$32*B225&gt;Valores!$F$32,Valores!$F$32,Valores!$C$32*B225)</f>
        <v>0</v>
      </c>
      <c r="AJ225" s="125">
        <f>IF(Valores!$C$89*B225&gt;Valores!$C$88,Valores!$C$88,Valores!$C$89*B225)</f>
        <v>0</v>
      </c>
      <c r="AK225" s="125">
        <f>Valores!C$39*B225</f>
        <v>0</v>
      </c>
      <c r="AL225" s="125">
        <f>IF($F$3="NO",0,IF(Valores!$C$60*B225&gt;Valores!$F$60,Valores!$F$60,Valores!$C$60*B225))</f>
        <v>327.6</v>
      </c>
      <c r="AM225" s="125">
        <f t="shared" si="32"/>
        <v>327.6</v>
      </c>
      <c r="AN225" s="125">
        <f>AH225*Valores!$C$70</f>
        <v>-20274.895849999997</v>
      </c>
      <c r="AO225" s="125">
        <f>AH225*-Valores!$C$71</f>
        <v>0</v>
      </c>
      <c r="AP225" s="125">
        <f>AH225*Valores!$C$72</f>
        <v>-8294.275575</v>
      </c>
      <c r="AQ225" s="125">
        <f>Valores!$C$99</f>
        <v>-280.91</v>
      </c>
      <c r="AR225" s="125">
        <f>IF($F$5=0,Valores!$C$100,(Valores!$C$100+$F$5*(Valores!$C$100)))</f>
        <v>-329</v>
      </c>
      <c r="AS225" s="125">
        <f t="shared" si="35"/>
        <v>155465.75357499998</v>
      </c>
      <c r="AT225" s="125">
        <f t="shared" si="29"/>
        <v>-20274.895849999997</v>
      </c>
      <c r="AU225" s="125">
        <f>AH225*Valores!$C$73</f>
        <v>-4976.565345</v>
      </c>
      <c r="AV225" s="125">
        <f>AH225*Valores!$C$74</f>
        <v>-552.951705</v>
      </c>
      <c r="AW225" s="125">
        <f t="shared" si="33"/>
        <v>158840.4221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91703.15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16518.79</v>
      </c>
      <c r="N226" s="125">
        <f t="shared" si="30"/>
        <v>0</v>
      </c>
      <c r="O226" s="125">
        <f>Valores!$C$7*B226</f>
        <v>31413.24</v>
      </c>
      <c r="P226" s="125">
        <f>ROUND(IF(B226&lt;15,(Valores!$E$5*B226),Valores!$D$5),2)</f>
        <v>13153.38</v>
      </c>
      <c r="Q226" s="125">
        <v>0</v>
      </c>
      <c r="R226" s="125">
        <f>IF($F$4="NO",Valores!$C$48*B226,Valores!$C$48*B226/2)</f>
        <v>8541.9</v>
      </c>
      <c r="S226" s="125">
        <f>Valores!$C$18*B226</f>
        <v>9880.199999999999</v>
      </c>
      <c r="T226" s="125">
        <f t="shared" si="36"/>
        <v>9880.2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IF(Valores!$C$96*B226&gt;Valores!$C$95,Valores!$C$95,Valores!$C$96*B226)</f>
        <v>10077.84</v>
      </c>
      <c r="AA226" s="125">
        <f>IF((Valores!$C$28)*B226&gt;Valores!$F$28,Valores!$F$28,(Valores!$C$28)*B226)</f>
        <v>775.8000000000001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537.98</v>
      </c>
      <c r="AE226" s="192">
        <v>0</v>
      </c>
      <c r="AF226" s="125">
        <f>ROUND(AE226*Valores!$C$2,2)</f>
        <v>0</v>
      </c>
      <c r="AG226" s="125">
        <f>IF($F$4="NO",IF(Valores!$D$62*'Escala Docente'!B226&gt;Valores!$F$62,Valores!$F$62,Valores!$D$62*'Escala Docente'!B226),IF(Valores!$D$62*'Escala Docente'!B226&gt;Valores!$F$62,Valores!$F$62,Valores!$D$62*'Escala Docente'!B226)/2)</f>
        <v>6406.93</v>
      </c>
      <c r="AH226" s="125">
        <f t="shared" si="34"/>
        <v>189009.21</v>
      </c>
      <c r="AI226" s="125">
        <f>IF(Valores!$C$32*B226&gt;Valores!$F$32,Valores!$F$32,Valores!$C$32*B226)</f>
        <v>0</v>
      </c>
      <c r="AJ226" s="125">
        <f>IF(Valores!$C$89*B226&gt;Valores!$C$88,Valores!$C$88,Valores!$C$89*B226)</f>
        <v>0</v>
      </c>
      <c r="AK226" s="125">
        <f>Valores!C$39*B226</f>
        <v>0</v>
      </c>
      <c r="AL226" s="125">
        <f>IF($F$3="NO",0,IF(Valores!$C$60*B226&gt;Valores!$F$60,Valores!$F$60,Valores!$C$60*B226))</f>
        <v>327.6</v>
      </c>
      <c r="AM226" s="125">
        <f t="shared" si="32"/>
        <v>327.6</v>
      </c>
      <c r="AN226" s="125">
        <f>AH226*Valores!$C$70</f>
        <v>-20791.0131</v>
      </c>
      <c r="AO226" s="125">
        <f>AH226*-Valores!$C$71</f>
        <v>0</v>
      </c>
      <c r="AP226" s="125">
        <f>AH226*Valores!$C$72</f>
        <v>-8505.41445</v>
      </c>
      <c r="AQ226" s="125">
        <f>Valores!$C$99</f>
        <v>-280.91</v>
      </c>
      <c r="AR226" s="125">
        <f>IF($F$5=0,Valores!$C$100,(Valores!$C$100+$F$5*(Valores!$C$100)))</f>
        <v>-329</v>
      </c>
      <c r="AS226" s="125">
        <f t="shared" si="35"/>
        <v>159430.47245</v>
      </c>
      <c r="AT226" s="125">
        <f t="shared" si="29"/>
        <v>-20791.0131</v>
      </c>
      <c r="AU226" s="125">
        <f>AH226*Valores!$C$73</f>
        <v>-5103.24867</v>
      </c>
      <c r="AV226" s="125">
        <f>AH226*Valores!$C$74</f>
        <v>-567.0276299999999</v>
      </c>
      <c r="AW226" s="125">
        <f t="shared" si="33"/>
        <v>162875.5206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2032.7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381.66</v>
      </c>
      <c r="N227" s="125">
        <f t="shared" si="30"/>
        <v>0</v>
      </c>
      <c r="O227" s="125">
        <f>Valores!$C$7*B227</f>
        <v>872.59</v>
      </c>
      <c r="P227" s="125">
        <f>ROUND(IF(B227&lt;15,(Valores!$E$5*B227),Valores!$D$5),2)</f>
        <v>876.89</v>
      </c>
      <c r="Q227" s="125">
        <v>0</v>
      </c>
      <c r="R227" s="125">
        <f>IF($F$4="NO",Valores!$C$48*B227,Valores!$C$48*B227/2)</f>
        <v>237.275</v>
      </c>
      <c r="S227" s="125">
        <f>Valores!$C$18*B227</f>
        <v>274.45</v>
      </c>
      <c r="T227" s="125">
        <f t="shared" si="36"/>
        <v>274.45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IF(Valores!$C$96*B227&gt;Valores!$C$95,Valores!$C$95,Valores!$C$96*B227)</f>
        <v>279.94</v>
      </c>
      <c r="AA227" s="125">
        <f>IF((Valores!$C$28)*B227&gt;Valores!$F$28,Valores!$F$28,(Valores!$C$28)*B227)</f>
        <v>21.55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17.95</v>
      </c>
      <c r="AE227" s="192">
        <v>0</v>
      </c>
      <c r="AF227" s="125">
        <f>ROUND(AE227*Valores!$C$2,2)</f>
        <v>0</v>
      </c>
      <c r="AG227" s="125">
        <f>IF($F$4="NO",IF(Valores!$D$62*'Escala Docente'!B227&gt;Valores!$F$62,Valores!$F$62,Valores!$D$62*'Escala Docente'!B227),IF(Valores!$D$62*'Escala Docente'!B227&gt;Valores!$F$62,Valores!$F$62,Valores!$D$62*'Escala Docente'!B227)/2)</f>
        <v>213.565</v>
      </c>
      <c r="AH227" s="125">
        <f t="shared" si="34"/>
        <v>5208.569999999999</v>
      </c>
      <c r="AI227" s="125">
        <f>IF(Valores!$C$32*B227&gt;Valores!$F$32,Valores!$F$32,Valores!$C$32*B227)</f>
        <v>0</v>
      </c>
      <c r="AJ227" s="125">
        <f>IF(Valores!$C$89*B227&gt;Valores!$C$88,Valores!$C$88,Valores!$C$89*B227)</f>
        <v>0</v>
      </c>
      <c r="AK227" s="125">
        <f>Valores!C$39*B227</f>
        <v>0</v>
      </c>
      <c r="AL227" s="125">
        <f>IF($F$3="NO",0,IF(Valores!$C$61*B227&gt;Valores!$F$61,Valores!$F$61,Valores!$C$61*B227))</f>
        <v>11.3559</v>
      </c>
      <c r="AM227" s="125">
        <f t="shared" si="32"/>
        <v>11.3559</v>
      </c>
      <c r="AN227" s="125">
        <f>AH227*Valores!$C$70</f>
        <v>-572.9426999999998</v>
      </c>
      <c r="AO227" s="125">
        <f>AH227*-Valores!$C$71</f>
        <v>0</v>
      </c>
      <c r="AP227" s="125">
        <f>AH227*Valores!$C$72</f>
        <v>-234.38564999999994</v>
      </c>
      <c r="AQ227" s="125">
        <f>Valores!$C$99</f>
        <v>-280.91</v>
      </c>
      <c r="AR227" s="125">
        <f>IF($F$5=0,Valores!$C$100,(Valores!$C$100+$F$5*(Valores!$C$100)))</f>
        <v>-329</v>
      </c>
      <c r="AS227" s="125">
        <f t="shared" si="35"/>
        <v>3802.6875499999987</v>
      </c>
      <c r="AT227" s="125">
        <f t="shared" si="29"/>
        <v>-572.9426999999998</v>
      </c>
      <c r="AU227" s="125">
        <f>AH227*Valores!$C$73</f>
        <v>-140.63138999999995</v>
      </c>
      <c r="AV227" s="125">
        <f>AH227*Valores!$C$74</f>
        <v>-15.625709999999996</v>
      </c>
      <c r="AW227" s="125">
        <f t="shared" si="33"/>
        <v>4490.726099999998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2032.7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381.66</v>
      </c>
      <c r="N228" s="125">
        <f t="shared" si="30"/>
        <v>0</v>
      </c>
      <c r="O228" s="125">
        <f>Valores!$C$7*B228</f>
        <v>872.59</v>
      </c>
      <c r="P228" s="125">
        <f>ROUND(IF(B228&lt;15,(Valores!$E$5*B228),Valores!$D$5),2)</f>
        <v>876.89</v>
      </c>
      <c r="Q228" s="125">
        <v>0</v>
      </c>
      <c r="R228" s="125">
        <f>IF($F$4="NO",Valores!$C$48*B228,Valores!$C$48*B228/2)</f>
        <v>237.275</v>
      </c>
      <c r="S228" s="125">
        <f>Valores!$C$18*B228</f>
        <v>274.45</v>
      </c>
      <c r="T228" s="125">
        <f t="shared" si="36"/>
        <v>274.45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IF(Valores!$C$96*B228&gt;Valores!$C$95,Valores!$C$95,Valores!$C$96*B228)</f>
        <v>279.94</v>
      </c>
      <c r="AA228" s="125">
        <f>IF((Valores!$C$28)*B228&gt;Valores!$F$28,Valores!$F$28,(Valores!$C$28)*B228)</f>
        <v>21.55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17.95</v>
      </c>
      <c r="AE228" s="192">
        <v>94</v>
      </c>
      <c r="AF228" s="125">
        <f>ROUND(AE228*Valores!$C$2,2)</f>
        <v>2418.66</v>
      </c>
      <c r="AG228" s="125">
        <f>IF($F$4="NO",IF(Valores!$D$62*'Escala Docente'!B228&gt;Valores!$F$62,Valores!$F$62,Valores!$D$62*'Escala Docente'!B228),IF(Valores!$D$62*'Escala Docente'!B228&gt;Valores!$F$62,Valores!$F$62,Valores!$D$62*'Escala Docente'!B228)/2)</f>
        <v>213.565</v>
      </c>
      <c r="AH228" s="125">
        <f t="shared" si="34"/>
        <v>7627.229999999999</v>
      </c>
      <c r="AI228" s="125">
        <f>IF(Valores!$C$32*B228&gt;Valores!$F$32,Valores!$F$32,Valores!$C$32*B228)</f>
        <v>0</v>
      </c>
      <c r="AJ228" s="125">
        <f>IF(Valores!$C$89*B228&gt;Valores!$C$88,Valores!$C$88,Valores!$C$89*B228)</f>
        <v>0</v>
      </c>
      <c r="AK228" s="125">
        <f>Valores!C$39*B228</f>
        <v>0</v>
      </c>
      <c r="AL228" s="125">
        <f>IF($F$3="NO",0,IF(Valores!$C$61*B228&gt;Valores!$F$61,Valores!$F$61,Valores!$C$61*B228))</f>
        <v>11.3559</v>
      </c>
      <c r="AM228" s="125">
        <f t="shared" si="32"/>
        <v>11.3559</v>
      </c>
      <c r="AN228" s="125">
        <f>AH228*Valores!$C$70</f>
        <v>-838.9952999999998</v>
      </c>
      <c r="AO228" s="125">
        <f>AH228*-Valores!$C$71</f>
        <v>0</v>
      </c>
      <c r="AP228" s="125">
        <f>AH228*Valores!$C$72</f>
        <v>-343.22534999999993</v>
      </c>
      <c r="AQ228" s="125">
        <f>Valores!$C$99</f>
        <v>-280.91</v>
      </c>
      <c r="AR228" s="125">
        <f>IF($F$5=0,Valores!$C$100,(Valores!$C$100+$F$5*(Valores!$C$100)))</f>
        <v>-329</v>
      </c>
      <c r="AS228" s="125">
        <f t="shared" si="35"/>
        <v>5846.455249999999</v>
      </c>
      <c r="AT228" s="125">
        <f t="shared" si="29"/>
        <v>-838.9952999999998</v>
      </c>
      <c r="AU228" s="125">
        <f>AH228*Valores!$C$73</f>
        <v>-205.93520999999996</v>
      </c>
      <c r="AV228" s="125">
        <f>AH228*Valores!$C$74</f>
        <v>-22.881689999999995</v>
      </c>
      <c r="AW228" s="125">
        <f t="shared" si="33"/>
        <v>6570.773699999999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4065.4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763.33</v>
      </c>
      <c r="N229" s="125">
        <f t="shared" si="30"/>
        <v>0</v>
      </c>
      <c r="O229" s="125">
        <f>Valores!$C$7*B229</f>
        <v>1745.18</v>
      </c>
      <c r="P229" s="125">
        <f>ROUND(IF(B229&lt;15,(Valores!$E$5*B229),Valores!$D$5),2)</f>
        <v>1753.78</v>
      </c>
      <c r="Q229" s="125">
        <v>0</v>
      </c>
      <c r="R229" s="125">
        <f>IF($F$4="NO",Valores!$C$48*B229,Valores!$C$48*B229/2)</f>
        <v>474.55</v>
      </c>
      <c r="S229" s="125">
        <f>Valores!$C$18*B229</f>
        <v>548.9</v>
      </c>
      <c r="T229" s="125">
        <f t="shared" si="36"/>
        <v>548.9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IF(Valores!$C$96*B229&gt;Valores!$C$95,Valores!$C$95,Valores!$C$96*B229)</f>
        <v>559.88</v>
      </c>
      <c r="AA229" s="125">
        <f>IF((Valores!$C$28)*B229&gt;Valores!$F$28,Valores!$F$28,(Valores!$C$28)*B229)</f>
        <v>43.1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35.9</v>
      </c>
      <c r="AE229" s="192">
        <v>0</v>
      </c>
      <c r="AF229" s="125">
        <f>ROUND(AE229*Valores!$C$2,2)</f>
        <v>0</v>
      </c>
      <c r="AG229" s="125">
        <f>IF($F$4="NO",IF(Valores!$D$62*'Escala Docente'!B229&gt;Valores!$F$62,Valores!$F$62,Valores!$D$62*'Escala Docente'!B229),IF(Valores!$D$62*'Escala Docente'!B229&gt;Valores!$F$62,Valores!$F$62,Valores!$D$62*'Escala Docente'!B229)/2)</f>
        <v>427.13</v>
      </c>
      <c r="AH229" s="125">
        <f t="shared" si="34"/>
        <v>10417.149999999998</v>
      </c>
      <c r="AI229" s="125">
        <f>IF(Valores!$C$32*B229&gt;Valores!$F$32,Valores!$F$32,Valores!$C$32*B229)</f>
        <v>0</v>
      </c>
      <c r="AJ229" s="125">
        <f>IF(Valores!$C$89*B229&gt;Valores!$C$88,Valores!$C$88,Valores!$C$89*B229)</f>
        <v>0</v>
      </c>
      <c r="AK229" s="125">
        <f>Valores!C$39*B229</f>
        <v>0</v>
      </c>
      <c r="AL229" s="125">
        <f>IF($F$3="NO",0,IF(Valores!$C$61*B229&gt;Valores!$F$61,Valores!$F$61,Valores!$C$61*B229))</f>
        <v>22.7118</v>
      </c>
      <c r="AM229" s="125">
        <f t="shared" si="32"/>
        <v>22.7118</v>
      </c>
      <c r="AN229" s="125">
        <f>AH229*Valores!$C$70</f>
        <v>-1145.8864999999998</v>
      </c>
      <c r="AO229" s="125">
        <f>AH229*-Valores!$C$71</f>
        <v>0</v>
      </c>
      <c r="AP229" s="125">
        <f>AH229*Valores!$C$72</f>
        <v>-468.7717499999999</v>
      </c>
      <c r="AQ229" s="125">
        <f>Valores!$C$99</f>
        <v>-280.91</v>
      </c>
      <c r="AR229" s="125">
        <f>IF($F$5=0,Valores!$C$100,(Valores!$C$100+$F$5*(Valores!$C$100)))</f>
        <v>-329</v>
      </c>
      <c r="AS229" s="125">
        <f t="shared" si="35"/>
        <v>8215.293549999999</v>
      </c>
      <c r="AT229" s="125">
        <f t="shared" si="29"/>
        <v>-1145.8864999999998</v>
      </c>
      <c r="AU229" s="125">
        <f>AH229*Valores!$C$73</f>
        <v>-281.26304999999996</v>
      </c>
      <c r="AV229" s="125">
        <f>AH229*Valores!$C$74</f>
        <v>-31.251449999999995</v>
      </c>
      <c r="AW229" s="125">
        <f t="shared" si="33"/>
        <v>8981.460799999997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4065.4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763.33</v>
      </c>
      <c r="N230" s="125">
        <f t="shared" si="30"/>
        <v>0</v>
      </c>
      <c r="O230" s="125">
        <f>Valores!$C$7*B230</f>
        <v>1745.18</v>
      </c>
      <c r="P230" s="125">
        <f>ROUND(IF(B230&lt;15,(Valores!$E$5*B230),Valores!$D$5),2)</f>
        <v>1753.78</v>
      </c>
      <c r="Q230" s="125">
        <v>0</v>
      </c>
      <c r="R230" s="125">
        <f>IF($F$4="NO",Valores!$C$48*B230,Valores!$C$48*B230/2)</f>
        <v>474.55</v>
      </c>
      <c r="S230" s="125">
        <f>Valores!$C$18*B230</f>
        <v>548.9</v>
      </c>
      <c r="T230" s="125">
        <f t="shared" si="36"/>
        <v>548.9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IF(Valores!$C$96*B230&gt;Valores!$C$95,Valores!$C$95,Valores!$C$96*B230)</f>
        <v>559.88</v>
      </c>
      <c r="AA230" s="125">
        <f>IF((Valores!$C$28)*B230&gt;Valores!$F$28,Valores!$F$28,(Valores!$C$28)*B230)</f>
        <v>43.1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35.9</v>
      </c>
      <c r="AE230" s="192">
        <v>94</v>
      </c>
      <c r="AF230" s="125">
        <f>ROUND(AE230*Valores!$C$2,2)</f>
        <v>2418.66</v>
      </c>
      <c r="AG230" s="125">
        <f>IF($F$4="NO",IF(Valores!$D$62*'Escala Docente'!B230&gt;Valores!$F$62,Valores!$F$62,Valores!$D$62*'Escala Docente'!B230),IF(Valores!$D$62*'Escala Docente'!B230&gt;Valores!$F$62,Valores!$F$62,Valores!$D$62*'Escala Docente'!B230)/2)</f>
        <v>427.13</v>
      </c>
      <c r="AH230" s="125">
        <f t="shared" si="34"/>
        <v>12835.809999999998</v>
      </c>
      <c r="AI230" s="125">
        <f>IF(Valores!$C$32*B230&gt;Valores!$F$32,Valores!$F$32,Valores!$C$32*B230)</f>
        <v>0</v>
      </c>
      <c r="AJ230" s="125">
        <f>IF(Valores!$C$89*B230&gt;Valores!$C$88,Valores!$C$88,Valores!$C$89*B230)</f>
        <v>0</v>
      </c>
      <c r="AK230" s="125">
        <f>Valores!C$39*B230</f>
        <v>0</v>
      </c>
      <c r="AL230" s="125">
        <f>IF($F$3="NO",0,IF(Valores!$C$61*B230&gt;Valores!$F$61,Valores!$F$61,Valores!$C$61*B230))</f>
        <v>22.7118</v>
      </c>
      <c r="AM230" s="125">
        <f t="shared" si="32"/>
        <v>22.7118</v>
      </c>
      <c r="AN230" s="125">
        <f>AH230*Valores!$C$70</f>
        <v>-1411.9390999999998</v>
      </c>
      <c r="AO230" s="125">
        <f>AH230*-Valores!$C$71</f>
        <v>0</v>
      </c>
      <c r="AP230" s="125">
        <f>AH230*Valores!$C$72</f>
        <v>-577.6114499999999</v>
      </c>
      <c r="AQ230" s="125">
        <f>Valores!$C$99</f>
        <v>-280.91</v>
      </c>
      <c r="AR230" s="125">
        <f>IF($F$5=0,Valores!$C$100,(Valores!$C$100+$F$5*(Valores!$C$100)))</f>
        <v>-329</v>
      </c>
      <c r="AS230" s="125">
        <f t="shared" si="35"/>
        <v>10259.061249999999</v>
      </c>
      <c r="AT230" s="125">
        <f t="shared" si="29"/>
        <v>-1411.9390999999998</v>
      </c>
      <c r="AU230" s="125">
        <f>AH230*Valores!$C$73</f>
        <v>-346.56686999999994</v>
      </c>
      <c r="AV230" s="125">
        <f>AH230*Valores!$C$74</f>
        <v>-38.50742999999999</v>
      </c>
      <c r="AW230" s="125">
        <f t="shared" si="33"/>
        <v>11061.508399999997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6098.1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1144.99</v>
      </c>
      <c r="N231" s="125">
        <f t="shared" si="30"/>
        <v>0</v>
      </c>
      <c r="O231" s="125">
        <f>Valores!$C$7*B231</f>
        <v>2617.77</v>
      </c>
      <c r="P231" s="125">
        <f>ROUND(IF(B231&lt;15,(Valores!$E$5*B231),Valores!$D$5),2)</f>
        <v>2630.67</v>
      </c>
      <c r="Q231" s="125">
        <v>0</v>
      </c>
      <c r="R231" s="125">
        <f>IF($F$4="NO",Valores!$C$48*B231,Valores!$C$48*B231/2)</f>
        <v>711.825</v>
      </c>
      <c r="S231" s="125">
        <f>Valores!$C$18*B231</f>
        <v>823.3499999999999</v>
      </c>
      <c r="T231" s="125">
        <f t="shared" si="36"/>
        <v>823.35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IF(Valores!$C$96*B231&gt;Valores!$C$95,Valores!$C$95,Valores!$C$96*B231)</f>
        <v>839.8199999999999</v>
      </c>
      <c r="AA231" s="125">
        <f>IF((Valores!$C$28)*B231&gt;Valores!$F$28,Valores!$F$28,(Valores!$C$28)*B231)</f>
        <v>64.65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53.849999999999994</v>
      </c>
      <c r="AE231" s="192">
        <v>0</v>
      </c>
      <c r="AF231" s="125">
        <f>ROUND(AE231*Valores!$C$2,2)</f>
        <v>0</v>
      </c>
      <c r="AG231" s="125">
        <f>IF($F$4="NO",IF(Valores!$D$62*'Escala Docente'!B231&gt;Valores!$F$62,Valores!$F$62,Valores!$D$62*'Escala Docente'!B231),IF(Valores!$D$62*'Escala Docente'!B231&gt;Valores!$F$62,Valores!$F$62,Valores!$D$62*'Escala Docente'!B231)/2)</f>
        <v>640.6949999999999</v>
      </c>
      <c r="AH231" s="125">
        <f t="shared" si="34"/>
        <v>15625.720000000001</v>
      </c>
      <c r="AI231" s="125">
        <f>IF(Valores!$C$32*B231&gt;Valores!$F$32,Valores!$F$32,Valores!$C$32*B231)</f>
        <v>0</v>
      </c>
      <c r="AJ231" s="125">
        <f>IF(Valores!$C$89*B231&gt;Valores!$C$88,Valores!$C$88,Valores!$C$89*B231)</f>
        <v>0</v>
      </c>
      <c r="AK231" s="125">
        <f>Valores!C$39*B231</f>
        <v>0</v>
      </c>
      <c r="AL231" s="125">
        <f>IF($F$3="NO",0,IF(Valores!$C$61*B231&gt;Valores!$F$61,Valores!$F$61,Valores!$C$61*B231))</f>
        <v>34.0677</v>
      </c>
      <c r="AM231" s="125">
        <f t="shared" si="32"/>
        <v>34.0677</v>
      </c>
      <c r="AN231" s="125">
        <f>AH231*Valores!$C$70</f>
        <v>-1718.8292000000001</v>
      </c>
      <c r="AO231" s="125">
        <f>AH231*-Valores!$C$71</f>
        <v>0</v>
      </c>
      <c r="AP231" s="125">
        <f>AH231*Valores!$C$72</f>
        <v>-703.1574</v>
      </c>
      <c r="AQ231" s="125">
        <f>Valores!$C$99</f>
        <v>-280.91</v>
      </c>
      <c r="AR231" s="125">
        <f>IF($F$5=0,Valores!$C$100,(Valores!$C$100+$F$5*(Valores!$C$100)))</f>
        <v>-329</v>
      </c>
      <c r="AS231" s="125">
        <f t="shared" si="35"/>
        <v>12627.8911</v>
      </c>
      <c r="AT231" s="125">
        <f t="shared" si="29"/>
        <v>-1718.8292000000001</v>
      </c>
      <c r="AU231" s="125">
        <f>AH231*Valores!$C$73</f>
        <v>-421.89444000000003</v>
      </c>
      <c r="AV231" s="125">
        <f>AH231*Valores!$C$74</f>
        <v>-46.87716</v>
      </c>
      <c r="AW231" s="125">
        <f t="shared" si="33"/>
        <v>13472.1869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6098.1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1144.99</v>
      </c>
      <c r="N232" s="125">
        <f t="shared" si="30"/>
        <v>0</v>
      </c>
      <c r="O232" s="125">
        <f>Valores!$C$7*B232</f>
        <v>2617.77</v>
      </c>
      <c r="P232" s="125">
        <f>ROUND(IF(B232&lt;15,(Valores!$E$5*B232),Valores!$D$5),2)</f>
        <v>2630.67</v>
      </c>
      <c r="Q232" s="125">
        <v>0</v>
      </c>
      <c r="R232" s="125">
        <f>IF($F$4="NO",Valores!$C$48*B232,Valores!$C$48*B232/2)</f>
        <v>711.825</v>
      </c>
      <c r="S232" s="125">
        <f>Valores!$C$18*B232</f>
        <v>823.3499999999999</v>
      </c>
      <c r="T232" s="125">
        <f t="shared" si="36"/>
        <v>823.35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IF(Valores!$C$96*B232&gt;Valores!$C$95,Valores!$C$95,Valores!$C$96*B232)</f>
        <v>839.8199999999999</v>
      </c>
      <c r="AA232" s="125">
        <f>IF((Valores!$C$28)*B232&gt;Valores!$F$28,Valores!$F$28,(Valores!$C$28)*B232)</f>
        <v>64.65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53.849999999999994</v>
      </c>
      <c r="AE232" s="192">
        <v>94</v>
      </c>
      <c r="AF232" s="125">
        <f>ROUND(AE232*Valores!$C$2,2)</f>
        <v>2418.66</v>
      </c>
      <c r="AG232" s="125">
        <f>IF($F$4="NO",IF(Valores!$D$62*'Escala Docente'!B232&gt;Valores!$F$62,Valores!$F$62,Valores!$D$62*'Escala Docente'!B232),IF(Valores!$D$62*'Escala Docente'!B232&gt;Valores!$F$62,Valores!$F$62,Valores!$D$62*'Escala Docente'!B232)/2)</f>
        <v>640.6949999999999</v>
      </c>
      <c r="AH232" s="125">
        <f t="shared" si="34"/>
        <v>18044.38</v>
      </c>
      <c r="AI232" s="125">
        <f>IF(Valores!$C$32*B232&gt;Valores!$F$32,Valores!$F$32,Valores!$C$32*B232)</f>
        <v>0</v>
      </c>
      <c r="AJ232" s="125">
        <f>IF(Valores!$C$89*B232&gt;Valores!$C$88,Valores!$C$88,Valores!$C$89*B232)</f>
        <v>0</v>
      </c>
      <c r="AK232" s="125">
        <f>Valores!C$39*B232</f>
        <v>0</v>
      </c>
      <c r="AL232" s="125">
        <f>IF($F$3="NO",0,IF(Valores!$C$61*B232&gt;Valores!$F$61,Valores!$F$61,Valores!$C$61*B232))</f>
        <v>34.0677</v>
      </c>
      <c r="AM232" s="125">
        <f t="shared" si="32"/>
        <v>34.0677</v>
      </c>
      <c r="AN232" s="125">
        <f>AH232*Valores!$C$70</f>
        <v>-1984.8818</v>
      </c>
      <c r="AO232" s="125">
        <f>AH232*-Valores!$C$71</f>
        <v>0</v>
      </c>
      <c r="AP232" s="125">
        <f>AH232*Valores!$C$72</f>
        <v>-811.9971</v>
      </c>
      <c r="AQ232" s="125">
        <f>Valores!$C$99</f>
        <v>-280.91</v>
      </c>
      <c r="AR232" s="125">
        <f>IF($F$5=0,Valores!$C$100,(Valores!$C$100+$F$5*(Valores!$C$100)))</f>
        <v>-329</v>
      </c>
      <c r="AS232" s="125">
        <f t="shared" si="35"/>
        <v>14671.658800000001</v>
      </c>
      <c r="AT232" s="125">
        <f t="shared" si="29"/>
        <v>-1984.8818</v>
      </c>
      <c r="AU232" s="125">
        <f>AH232*Valores!$C$73</f>
        <v>-487.19826</v>
      </c>
      <c r="AV232" s="125">
        <f>AH232*Valores!$C$74</f>
        <v>-54.133140000000004</v>
      </c>
      <c r="AW232" s="125">
        <f t="shared" si="33"/>
        <v>15552.2345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8130.81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1526.66</v>
      </c>
      <c r="N233" s="125">
        <f t="shared" si="30"/>
        <v>0</v>
      </c>
      <c r="O233" s="125">
        <f>Valores!$C$7*B233</f>
        <v>3490.36</v>
      </c>
      <c r="P233" s="125">
        <f>ROUND(IF(B233&lt;15,(Valores!$E$5*B233),Valores!$D$5),2)</f>
        <v>3507.56</v>
      </c>
      <c r="Q233" s="125">
        <v>0</v>
      </c>
      <c r="R233" s="125">
        <f>IF($F$4="NO",Valores!$C$48*B233,Valores!$C$48*B233/2)</f>
        <v>949.1</v>
      </c>
      <c r="S233" s="125">
        <f>Valores!$C$18*B233</f>
        <v>1097.8</v>
      </c>
      <c r="T233" s="125">
        <f t="shared" si="36"/>
        <v>1097.8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IF(Valores!$C$96*B233&gt;Valores!$C$95,Valores!$C$95,Valores!$C$96*B233)</f>
        <v>1119.76</v>
      </c>
      <c r="AA233" s="125">
        <f>IF((Valores!$C$28)*B233&gt;Valores!$F$28,Valores!$F$28,(Valores!$C$28)*B233)</f>
        <v>86.2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71.8</v>
      </c>
      <c r="AE233" s="192">
        <v>0</v>
      </c>
      <c r="AF233" s="125">
        <f>ROUND(AE233*Valores!$C$2,2)</f>
        <v>0</v>
      </c>
      <c r="AG233" s="125">
        <f>IF($F$4="NO",IF(Valores!$D$62*'Escala Docente'!B233&gt;Valores!$F$62,Valores!$F$62,Valores!$D$62*'Escala Docente'!B233),IF(Valores!$D$62*'Escala Docente'!B233&gt;Valores!$F$62,Valores!$F$62,Valores!$D$62*'Escala Docente'!B233)/2)</f>
        <v>854.26</v>
      </c>
      <c r="AH233" s="125">
        <f t="shared" si="34"/>
        <v>20834.309999999998</v>
      </c>
      <c r="AI233" s="125">
        <f>IF(Valores!$C$32*B233&gt;Valores!$F$32,Valores!$F$32,Valores!$C$32*B233)</f>
        <v>0</v>
      </c>
      <c r="AJ233" s="125">
        <f>IF(Valores!$C$89*B233&gt;Valores!$C$88,Valores!$C$88,Valores!$C$89*B233)</f>
        <v>0</v>
      </c>
      <c r="AK233" s="125">
        <f>Valores!C$39*B233</f>
        <v>0</v>
      </c>
      <c r="AL233" s="125">
        <f>IF($F$3="NO",0,IF(Valores!$C$61*B233&gt;Valores!$F$61,Valores!$F$61,Valores!$C$61*B233))</f>
        <v>45.4236</v>
      </c>
      <c r="AM233" s="125">
        <f t="shared" si="32"/>
        <v>45.4236</v>
      </c>
      <c r="AN233" s="125">
        <f>AH233*Valores!$C$70</f>
        <v>-2291.7740999999996</v>
      </c>
      <c r="AO233" s="125">
        <f>AH233*-Valores!$C$71</f>
        <v>0</v>
      </c>
      <c r="AP233" s="125">
        <f>AH233*Valores!$C$72</f>
        <v>-937.5439499999999</v>
      </c>
      <c r="AQ233" s="125">
        <f>Valores!$C$99</f>
        <v>-280.91</v>
      </c>
      <c r="AR233" s="125">
        <f>IF($F$5=0,Valores!$C$100,(Valores!$C$100+$F$5*(Valores!$C$100)))</f>
        <v>-329</v>
      </c>
      <c r="AS233" s="125">
        <f t="shared" si="35"/>
        <v>17040.505549999998</v>
      </c>
      <c r="AT233" s="125">
        <f t="shared" si="29"/>
        <v>-2291.7740999999996</v>
      </c>
      <c r="AU233" s="125">
        <f>AH233*Valores!$C$73</f>
        <v>-562.5263699999999</v>
      </c>
      <c r="AV233" s="125">
        <f>AH233*Valores!$C$74</f>
        <v>-62.50292999999999</v>
      </c>
      <c r="AW233" s="125">
        <f t="shared" si="33"/>
        <v>17962.930199999995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8130.81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1526.66</v>
      </c>
      <c r="N234" s="125">
        <f t="shared" si="30"/>
        <v>0</v>
      </c>
      <c r="O234" s="125">
        <f>Valores!$C$7*B234</f>
        <v>3490.36</v>
      </c>
      <c r="P234" s="125">
        <f>ROUND(IF(B234&lt;15,(Valores!$E$5*B234),Valores!$D$5),2)</f>
        <v>3507.56</v>
      </c>
      <c r="Q234" s="125">
        <v>0</v>
      </c>
      <c r="R234" s="125">
        <f>IF($F$4="NO",Valores!$C$48*B234,Valores!$C$48*B234/2)</f>
        <v>949.1</v>
      </c>
      <c r="S234" s="125">
        <f>Valores!$C$18*B234</f>
        <v>1097.8</v>
      </c>
      <c r="T234" s="125">
        <f t="shared" si="36"/>
        <v>1097.8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IF(Valores!$C$96*B234&gt;Valores!$C$95,Valores!$C$95,Valores!$C$96*B234)</f>
        <v>1119.76</v>
      </c>
      <c r="AA234" s="125">
        <f>IF((Valores!$C$28)*B234&gt;Valores!$F$28,Valores!$F$28,(Valores!$C$28)*B234)</f>
        <v>86.2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71.8</v>
      </c>
      <c r="AE234" s="192">
        <v>94</v>
      </c>
      <c r="AF234" s="125">
        <f>ROUND(AE234*Valores!$C$2,2)</f>
        <v>2418.66</v>
      </c>
      <c r="AG234" s="125">
        <f>IF($F$4="NO",IF(Valores!$D$62*'Escala Docente'!B234&gt;Valores!$F$62,Valores!$F$62,Valores!$D$62*'Escala Docente'!B234),IF(Valores!$D$62*'Escala Docente'!B234&gt;Valores!$F$62,Valores!$F$62,Valores!$D$62*'Escala Docente'!B234)/2)</f>
        <v>854.26</v>
      </c>
      <c r="AH234" s="125">
        <f t="shared" si="34"/>
        <v>23252.969999999998</v>
      </c>
      <c r="AI234" s="125">
        <f>IF(Valores!$C$32*B234&gt;Valores!$F$32,Valores!$F$32,Valores!$C$32*B234)</f>
        <v>0</v>
      </c>
      <c r="AJ234" s="125">
        <f>IF(Valores!$C$89*B234&gt;Valores!$C$88,Valores!$C$88,Valores!$C$89*B234)</f>
        <v>0</v>
      </c>
      <c r="AK234" s="125">
        <f>Valores!C$39*B234</f>
        <v>0</v>
      </c>
      <c r="AL234" s="125">
        <f>IF($F$3="NO",0,IF(Valores!$C$61*B234&gt;Valores!$F$61,Valores!$F$61,Valores!$C$61*B234))</f>
        <v>45.4236</v>
      </c>
      <c r="AM234" s="125">
        <f t="shared" si="32"/>
        <v>45.4236</v>
      </c>
      <c r="AN234" s="125">
        <f>AH234*Valores!$C$70</f>
        <v>-2557.8266999999996</v>
      </c>
      <c r="AO234" s="125">
        <f>AH234*-Valores!$C$71</f>
        <v>0</v>
      </c>
      <c r="AP234" s="125">
        <f>AH234*Valores!$C$72</f>
        <v>-1046.3836499999998</v>
      </c>
      <c r="AQ234" s="125">
        <f>Valores!$C$99</f>
        <v>-280.91</v>
      </c>
      <c r="AR234" s="125">
        <f>IF($F$5=0,Valores!$C$100,(Valores!$C$100+$F$5*(Valores!$C$100)))</f>
        <v>-329</v>
      </c>
      <c r="AS234" s="125">
        <f t="shared" si="35"/>
        <v>19084.27325</v>
      </c>
      <c r="AT234" s="125">
        <f t="shared" si="29"/>
        <v>-2557.8266999999996</v>
      </c>
      <c r="AU234" s="125">
        <f>AH234*Valores!$C$73</f>
        <v>-627.8301899999999</v>
      </c>
      <c r="AV234" s="125">
        <f>AH234*Valores!$C$74</f>
        <v>-69.75891</v>
      </c>
      <c r="AW234" s="125">
        <f t="shared" si="33"/>
        <v>20042.977799999997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10163.51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1908.32</v>
      </c>
      <c r="N235" s="125">
        <f t="shared" si="30"/>
        <v>0</v>
      </c>
      <c r="O235" s="125">
        <f>Valores!$C$7*B235</f>
        <v>4362.95</v>
      </c>
      <c r="P235" s="125">
        <f>ROUND(IF(B235&lt;15,(Valores!$E$5*B235),Valores!$D$5),2)</f>
        <v>4384.45</v>
      </c>
      <c r="Q235" s="125">
        <v>0</v>
      </c>
      <c r="R235" s="125">
        <f>IF($F$4="NO",Valores!$C$48*B235,Valores!$C$48*B235/2)</f>
        <v>1186.375</v>
      </c>
      <c r="S235" s="125">
        <f>Valores!$C$18*B235</f>
        <v>1372.25</v>
      </c>
      <c r="T235" s="125">
        <f t="shared" si="36"/>
        <v>1372.25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IF(Valores!$C$96*B235&gt;Valores!$C$95,Valores!$C$95,Valores!$C$96*B235)</f>
        <v>1399.7</v>
      </c>
      <c r="AA235" s="125">
        <f>IF((Valores!$C$28)*B235&gt;Valores!$F$28,Valores!$F$28,(Valores!$C$28)*B235)</f>
        <v>107.75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89.75</v>
      </c>
      <c r="AE235" s="192">
        <v>0</v>
      </c>
      <c r="AF235" s="125">
        <f>ROUND(AE235*Valores!$C$2,2)</f>
        <v>0</v>
      </c>
      <c r="AG235" s="125">
        <f>IF($F$4="NO",IF(Valores!$D$62*'Escala Docente'!B235&gt;Valores!$F$62,Valores!$F$62,Valores!$D$62*'Escala Docente'!B235),IF(Valores!$D$62*'Escala Docente'!B235&gt;Valores!$F$62,Valores!$F$62,Valores!$D$62*'Escala Docente'!B235)/2)</f>
        <v>1067.825</v>
      </c>
      <c r="AH235" s="125">
        <f t="shared" si="34"/>
        <v>26042.88</v>
      </c>
      <c r="AI235" s="125">
        <f>IF(Valores!$C$32*B235&gt;Valores!$F$32,Valores!$F$32,Valores!$C$32*B235)</f>
        <v>0</v>
      </c>
      <c r="AJ235" s="125">
        <f>IF(Valores!$C$89*B235&gt;Valores!$C$88,Valores!$C$88,Valores!$C$89*B235)</f>
        <v>0</v>
      </c>
      <c r="AK235" s="125">
        <f>Valores!C$39*B235</f>
        <v>0</v>
      </c>
      <c r="AL235" s="125">
        <f>IF($F$3="NO",0,IF(Valores!$C$61*B235&gt;Valores!$F$61,Valores!$F$61,Valores!$C$61*B235))</f>
        <v>56.7795</v>
      </c>
      <c r="AM235" s="125">
        <f t="shared" si="32"/>
        <v>56.7795</v>
      </c>
      <c r="AN235" s="125">
        <f>AH235*Valores!$C$70</f>
        <v>-2864.7168</v>
      </c>
      <c r="AO235" s="125">
        <f>AH235*-Valores!$C$71</f>
        <v>0</v>
      </c>
      <c r="AP235" s="125">
        <f>AH235*Valores!$C$72</f>
        <v>-1171.9296</v>
      </c>
      <c r="AQ235" s="125">
        <f>Valores!$C$99</f>
        <v>-280.91</v>
      </c>
      <c r="AR235" s="125">
        <f>IF($F$5=0,Valores!$C$100,(Valores!$C$100+$F$5*(Valores!$C$100)))</f>
        <v>-329</v>
      </c>
      <c r="AS235" s="125">
        <f t="shared" si="35"/>
        <v>21453.1031</v>
      </c>
      <c r="AT235" s="125">
        <f t="shared" si="29"/>
        <v>-2864.7168</v>
      </c>
      <c r="AU235" s="125">
        <f>AH235*Valores!$C$73</f>
        <v>-703.15776</v>
      </c>
      <c r="AV235" s="125">
        <f>AH235*Valores!$C$74</f>
        <v>-78.12864</v>
      </c>
      <c r="AW235" s="125">
        <f t="shared" si="33"/>
        <v>22453.656300000002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10163.51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1908.32</v>
      </c>
      <c r="N236" s="125">
        <f t="shared" si="30"/>
        <v>0</v>
      </c>
      <c r="O236" s="125">
        <f>Valores!$C$7*B236</f>
        <v>4362.95</v>
      </c>
      <c r="P236" s="125">
        <f>ROUND(IF(B236&lt;15,(Valores!$E$5*B236),Valores!$D$5),2)</f>
        <v>4384.45</v>
      </c>
      <c r="Q236" s="125">
        <v>0</v>
      </c>
      <c r="R236" s="125">
        <f>IF($F$4="NO",Valores!$C$48*B236,Valores!$C$48*B236/2)</f>
        <v>1186.375</v>
      </c>
      <c r="S236" s="125">
        <f>Valores!$C$18*B236</f>
        <v>1372.25</v>
      </c>
      <c r="T236" s="125">
        <f t="shared" si="36"/>
        <v>1372.25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IF(Valores!$C$96*B236&gt;Valores!$C$95,Valores!$C$95,Valores!$C$96*B236)</f>
        <v>1399.7</v>
      </c>
      <c r="AA236" s="125">
        <f>IF((Valores!$C$28)*B236&gt;Valores!$F$28,Valores!$F$28,(Valores!$C$28)*B236)</f>
        <v>107.75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89.75</v>
      </c>
      <c r="AE236" s="192">
        <v>94</v>
      </c>
      <c r="AF236" s="125">
        <f>ROUND(AE236*Valores!$C$2,2)</f>
        <v>2418.66</v>
      </c>
      <c r="AG236" s="125">
        <f>IF($F$4="NO",IF(Valores!$D$62*'Escala Docente'!B236&gt;Valores!$F$62,Valores!$F$62,Valores!$D$62*'Escala Docente'!B236),IF(Valores!$D$62*'Escala Docente'!B236&gt;Valores!$F$62,Valores!$F$62,Valores!$D$62*'Escala Docente'!B236)/2)</f>
        <v>1067.825</v>
      </c>
      <c r="AH236" s="125">
        <f t="shared" si="34"/>
        <v>28461.54</v>
      </c>
      <c r="AI236" s="125">
        <f>IF(Valores!$C$32*B236&gt;Valores!$F$32,Valores!$F$32,Valores!$C$32*B236)</f>
        <v>0</v>
      </c>
      <c r="AJ236" s="125">
        <f>IF(Valores!$C$89*B236&gt;Valores!$C$88,Valores!$C$88,Valores!$C$89*B236)</f>
        <v>0</v>
      </c>
      <c r="AK236" s="125">
        <f>Valores!C$39*B236</f>
        <v>0</v>
      </c>
      <c r="AL236" s="125">
        <f>IF($F$3="NO",0,IF(Valores!$C$61*B236&gt;Valores!$F$61,Valores!$F$61,Valores!$C$61*B236))</f>
        <v>56.7795</v>
      </c>
      <c r="AM236" s="125">
        <f t="shared" si="32"/>
        <v>56.7795</v>
      </c>
      <c r="AN236" s="125">
        <f>AH236*Valores!$C$70</f>
        <v>-3130.7694</v>
      </c>
      <c r="AO236" s="125">
        <f>AH236*-Valores!$C$71</f>
        <v>0</v>
      </c>
      <c r="AP236" s="125">
        <f>AH236*Valores!$C$72</f>
        <v>-1280.7693</v>
      </c>
      <c r="AQ236" s="125">
        <f>Valores!$C$99</f>
        <v>-280.91</v>
      </c>
      <c r="AR236" s="125">
        <f>IF($F$5=0,Valores!$C$100,(Valores!$C$100+$F$5*(Valores!$C$100)))</f>
        <v>-329</v>
      </c>
      <c r="AS236" s="125">
        <f t="shared" si="35"/>
        <v>23496.8708</v>
      </c>
      <c r="AT236" s="125">
        <f t="shared" si="29"/>
        <v>-3130.7694</v>
      </c>
      <c r="AU236" s="125">
        <f>AH236*Valores!$C$73</f>
        <v>-768.46158</v>
      </c>
      <c r="AV236" s="125">
        <f>AH236*Valores!$C$74</f>
        <v>-85.38462</v>
      </c>
      <c r="AW236" s="125">
        <f t="shared" si="33"/>
        <v>24533.7039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12196.21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2289.98</v>
      </c>
      <c r="N237" s="125">
        <f t="shared" si="30"/>
        <v>0</v>
      </c>
      <c r="O237" s="125">
        <f>Valores!$C$7*B237</f>
        <v>5235.54</v>
      </c>
      <c r="P237" s="125">
        <f>ROUND(IF(B237&lt;15,(Valores!$E$5*B237),Valores!$D$5),2)</f>
        <v>5261.34</v>
      </c>
      <c r="Q237" s="125">
        <v>0</v>
      </c>
      <c r="R237" s="125">
        <f>IF($F$4="NO",Valores!$C$48*B237,Valores!$C$48*B237/2)</f>
        <v>1423.65</v>
      </c>
      <c r="S237" s="125">
        <f>Valores!$C$18*B237</f>
        <v>1646.6999999999998</v>
      </c>
      <c r="T237" s="125">
        <f t="shared" si="36"/>
        <v>1646.7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IF(Valores!$C$96*B237&gt;Valores!$C$95,Valores!$C$95,Valores!$C$96*B237)</f>
        <v>1679.6399999999999</v>
      </c>
      <c r="AA237" s="125">
        <f>IF((Valores!$C$28)*B237&gt;Valores!$F$28,Valores!$F$28,(Valores!$C$28)*B237)</f>
        <v>129.3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107.69999999999999</v>
      </c>
      <c r="AE237" s="192">
        <v>0</v>
      </c>
      <c r="AF237" s="125">
        <f>ROUND(AE237*Valores!$C$2,2)</f>
        <v>0</v>
      </c>
      <c r="AG237" s="125">
        <f>IF($F$4="NO",IF(Valores!$D$62*'Escala Docente'!B237&gt;Valores!$F$62,Valores!$F$62,Valores!$D$62*'Escala Docente'!B237),IF(Valores!$D$62*'Escala Docente'!B237&gt;Valores!$F$62,Valores!$F$62,Valores!$D$62*'Escala Docente'!B237)/2)</f>
        <v>1281.3899999999999</v>
      </c>
      <c r="AH237" s="125">
        <f t="shared" si="34"/>
        <v>31251.45</v>
      </c>
      <c r="AI237" s="125">
        <f>IF(Valores!$C$32*B237&gt;Valores!$F$32,Valores!$F$32,Valores!$C$32*B237)</f>
        <v>0</v>
      </c>
      <c r="AJ237" s="125">
        <f>IF(Valores!$C$89*B237&gt;Valores!$C$88,Valores!$C$88,Valores!$C$89*B237)</f>
        <v>0</v>
      </c>
      <c r="AK237" s="125">
        <f>Valores!C$39*B237</f>
        <v>0</v>
      </c>
      <c r="AL237" s="125">
        <f>IF($F$3="NO",0,IF(Valores!$C$61*B237&gt;Valores!$F$61,Valores!$F$61,Valores!$C$61*B237))</f>
        <v>68.1354</v>
      </c>
      <c r="AM237" s="125">
        <f t="shared" si="32"/>
        <v>68.1354</v>
      </c>
      <c r="AN237" s="125">
        <f>AH237*Valores!$C$70</f>
        <v>-3437.6595</v>
      </c>
      <c r="AO237" s="125">
        <f>AH237*-Valores!$C$71</f>
        <v>0</v>
      </c>
      <c r="AP237" s="125">
        <f>AH237*Valores!$C$72</f>
        <v>-1406.3152499999999</v>
      </c>
      <c r="AQ237" s="125">
        <f>Valores!$C$99</f>
        <v>-280.91</v>
      </c>
      <c r="AR237" s="125">
        <f>IF($F$5=0,Valores!$C$100,(Valores!$C$100+$F$5*(Valores!$C$100)))</f>
        <v>-329</v>
      </c>
      <c r="AS237" s="125">
        <f t="shared" si="35"/>
        <v>25865.70065</v>
      </c>
      <c r="AT237" s="125">
        <f t="shared" si="29"/>
        <v>-3437.6595</v>
      </c>
      <c r="AU237" s="125">
        <f>AH237*Valores!$C$73</f>
        <v>-843.7891500000001</v>
      </c>
      <c r="AV237" s="125">
        <f>AH237*Valores!$C$74</f>
        <v>-93.75435</v>
      </c>
      <c r="AW237" s="125">
        <f t="shared" si="33"/>
        <v>26944.3824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12196.21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2289.98</v>
      </c>
      <c r="N238" s="125">
        <f t="shared" si="30"/>
        <v>0</v>
      </c>
      <c r="O238" s="125">
        <f>Valores!$C$7*B238</f>
        <v>5235.54</v>
      </c>
      <c r="P238" s="125">
        <f>ROUND(IF(B238&lt;15,(Valores!$E$5*B238),Valores!$D$5),2)</f>
        <v>5261.34</v>
      </c>
      <c r="Q238" s="125">
        <v>0</v>
      </c>
      <c r="R238" s="125">
        <f>IF($F$4="NO",Valores!$C$48*B238,Valores!$C$48*B238/2)</f>
        <v>1423.65</v>
      </c>
      <c r="S238" s="125">
        <f>Valores!$C$18*B238</f>
        <v>1646.6999999999998</v>
      </c>
      <c r="T238" s="125">
        <f t="shared" si="36"/>
        <v>1646.7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IF(Valores!$C$96*B238&gt;Valores!$C$95,Valores!$C$95,Valores!$C$96*B238)</f>
        <v>1679.6399999999999</v>
      </c>
      <c r="AA238" s="125">
        <f>IF((Valores!$C$28)*B238&gt;Valores!$F$28,Valores!$F$28,(Valores!$C$28)*B238)</f>
        <v>129.3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107.69999999999999</v>
      </c>
      <c r="AE238" s="192">
        <v>94</v>
      </c>
      <c r="AF238" s="125">
        <f>ROUND(AE238*Valores!$C$2,2)</f>
        <v>2418.66</v>
      </c>
      <c r="AG238" s="125">
        <f>IF($F$4="NO",IF(Valores!$D$62*'Escala Docente'!B238&gt;Valores!$F$62,Valores!$F$62,Valores!$D$62*'Escala Docente'!B238),IF(Valores!$D$62*'Escala Docente'!B238&gt;Valores!$F$62,Valores!$F$62,Valores!$D$62*'Escala Docente'!B238)/2)</f>
        <v>1281.3899999999999</v>
      </c>
      <c r="AH238" s="125">
        <f t="shared" si="34"/>
        <v>33670.11</v>
      </c>
      <c r="AI238" s="125">
        <f>IF(Valores!$C$32*B238&gt;Valores!$F$32,Valores!$F$32,Valores!$C$32*B238)</f>
        <v>0</v>
      </c>
      <c r="AJ238" s="125">
        <f>IF(Valores!$C$89*B238&gt;Valores!$C$88,Valores!$C$88,Valores!$C$89*B238)</f>
        <v>0</v>
      </c>
      <c r="AK238" s="125">
        <f>Valores!C$39*B238</f>
        <v>0</v>
      </c>
      <c r="AL238" s="125">
        <f>IF($F$3="NO",0,IF(Valores!$C$61*B238&gt;Valores!$F$61,Valores!$F$61,Valores!$C$61*B238))</f>
        <v>68.1354</v>
      </c>
      <c r="AM238" s="125">
        <f t="shared" si="32"/>
        <v>68.1354</v>
      </c>
      <c r="AN238" s="125">
        <f>AH238*Valores!$C$70</f>
        <v>-3703.7121</v>
      </c>
      <c r="AO238" s="125">
        <f>AH238*-Valores!$C$71</f>
        <v>0</v>
      </c>
      <c r="AP238" s="125">
        <f>AH238*Valores!$C$72</f>
        <v>-1515.1549499999999</v>
      </c>
      <c r="AQ238" s="125">
        <f>Valores!$C$99</f>
        <v>-280.91</v>
      </c>
      <c r="AR238" s="125">
        <f>IF($F$5=0,Valores!$C$100,(Valores!$C$100+$F$5*(Valores!$C$100)))</f>
        <v>-329</v>
      </c>
      <c r="AS238" s="125">
        <f t="shared" si="35"/>
        <v>27909.468350000003</v>
      </c>
      <c r="AT238" s="125">
        <f t="shared" si="29"/>
        <v>-3703.7121</v>
      </c>
      <c r="AU238" s="125">
        <f>AH238*Valores!$C$73</f>
        <v>-909.09297</v>
      </c>
      <c r="AV238" s="125">
        <f>AH238*Valores!$C$74</f>
        <v>-101.01033000000001</v>
      </c>
      <c r="AW238" s="125">
        <f t="shared" si="33"/>
        <v>29024.43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14228.91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2671.65</v>
      </c>
      <c r="N239" s="125">
        <f t="shared" si="30"/>
        <v>0</v>
      </c>
      <c r="O239" s="125">
        <f>Valores!$C$7*B239</f>
        <v>6108.13</v>
      </c>
      <c r="P239" s="125">
        <f>ROUND(IF(B239&lt;15,(Valores!$E$5*B239),Valores!$D$5),2)</f>
        <v>6138.23</v>
      </c>
      <c r="Q239" s="125">
        <v>0</v>
      </c>
      <c r="R239" s="125">
        <f>IF($F$4="NO",Valores!$C$48*B239,Valores!$C$48*B239/2)</f>
        <v>1660.925</v>
      </c>
      <c r="S239" s="125">
        <f>Valores!$C$18*B239</f>
        <v>1921.1499999999999</v>
      </c>
      <c r="T239" s="125">
        <f t="shared" si="36"/>
        <v>1921.15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IF(Valores!$C$96*B239&gt;Valores!$C$95,Valores!$C$95,Valores!$C$96*B239)</f>
        <v>1959.58</v>
      </c>
      <c r="AA239" s="125">
        <f>IF((Valores!$C$28)*B239&gt;Valores!$F$28,Valores!$F$28,(Valores!$C$28)*B239)</f>
        <v>150.85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125.64999999999999</v>
      </c>
      <c r="AE239" s="192">
        <v>0</v>
      </c>
      <c r="AF239" s="125">
        <f>ROUND(AE239*Valores!$C$2,2)</f>
        <v>0</v>
      </c>
      <c r="AG239" s="125">
        <f>IF($F$4="NO",IF(Valores!$D$62*'Escala Docente'!B239&gt;Valores!$F$62,Valores!$F$62,Valores!$D$62*'Escala Docente'!B239),IF(Valores!$D$62*'Escala Docente'!B239&gt;Valores!$F$62,Valores!$F$62,Valores!$D$62*'Escala Docente'!B239)/2)</f>
        <v>1494.955</v>
      </c>
      <c r="AH239" s="125">
        <f t="shared" si="34"/>
        <v>36460.030000000006</v>
      </c>
      <c r="AI239" s="125">
        <f>IF(Valores!$C$32*B239&gt;Valores!$F$32,Valores!$F$32,Valores!$C$32*B239)</f>
        <v>0</v>
      </c>
      <c r="AJ239" s="125">
        <f>IF(Valores!$C$89*B239&gt;Valores!$C$88,Valores!$C$88,Valores!$C$89*B239)</f>
        <v>0</v>
      </c>
      <c r="AK239" s="125">
        <f>Valores!C$39*B239</f>
        <v>0</v>
      </c>
      <c r="AL239" s="125">
        <f>IF($F$3="NO",0,IF(Valores!$C$61*B239&gt;Valores!$F$61,Valores!$F$61,Valores!$C$61*B239))</f>
        <v>79.4913</v>
      </c>
      <c r="AM239" s="125">
        <f t="shared" si="32"/>
        <v>79.4913</v>
      </c>
      <c r="AN239" s="125">
        <f>AH239*Valores!$C$70</f>
        <v>-4010.6033000000007</v>
      </c>
      <c r="AO239" s="125">
        <f>AH239*-Valores!$C$71</f>
        <v>0</v>
      </c>
      <c r="AP239" s="125">
        <f>AH239*Valores!$C$72</f>
        <v>-1640.7013500000003</v>
      </c>
      <c r="AQ239" s="125">
        <f>Valores!$C$99</f>
        <v>-280.91</v>
      </c>
      <c r="AR239" s="125">
        <f>IF($F$5=0,Valores!$C$100,(Valores!$C$100+$F$5*(Valores!$C$100)))</f>
        <v>-329</v>
      </c>
      <c r="AS239" s="125">
        <f t="shared" si="35"/>
        <v>30278.306650000006</v>
      </c>
      <c r="AT239" s="125">
        <f t="shared" si="29"/>
        <v>-4010.6033000000007</v>
      </c>
      <c r="AU239" s="125">
        <f>AH239*Valores!$C$73</f>
        <v>-984.4208100000002</v>
      </c>
      <c r="AV239" s="125">
        <f>AH239*Valores!$C$74</f>
        <v>-109.38009000000002</v>
      </c>
      <c r="AW239" s="125">
        <f t="shared" si="33"/>
        <v>31435.117100000007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14228.91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2671.65</v>
      </c>
      <c r="N240" s="125">
        <f t="shared" si="30"/>
        <v>0</v>
      </c>
      <c r="O240" s="125">
        <f>Valores!$C$7*B240</f>
        <v>6108.13</v>
      </c>
      <c r="P240" s="125">
        <f>ROUND(IF(B240&lt;15,(Valores!$E$5*B240),Valores!$D$5),2)</f>
        <v>6138.23</v>
      </c>
      <c r="Q240" s="125">
        <v>0</v>
      </c>
      <c r="R240" s="125">
        <f>IF($F$4="NO",Valores!$C$48*B240,Valores!$C$48*B240/2)</f>
        <v>1660.925</v>
      </c>
      <c r="S240" s="125">
        <f>Valores!$C$18*B240</f>
        <v>1921.1499999999999</v>
      </c>
      <c r="T240" s="125">
        <f t="shared" si="36"/>
        <v>1921.15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IF(Valores!$C$96*B240&gt;Valores!$C$95,Valores!$C$95,Valores!$C$96*B240)</f>
        <v>1959.58</v>
      </c>
      <c r="AA240" s="125">
        <f>IF((Valores!$C$28)*B240&gt;Valores!$F$28,Valores!$F$28,(Valores!$C$28)*B240)</f>
        <v>150.85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125.64999999999999</v>
      </c>
      <c r="AE240" s="192">
        <v>94</v>
      </c>
      <c r="AF240" s="125">
        <f>ROUND(AE240*Valores!$C$2,2)</f>
        <v>2418.66</v>
      </c>
      <c r="AG240" s="125">
        <f>IF($F$4="NO",IF(Valores!$D$62*'Escala Docente'!B240&gt;Valores!$F$62,Valores!$F$62,Valores!$D$62*'Escala Docente'!B240),IF(Valores!$D$62*'Escala Docente'!B240&gt;Valores!$F$62,Valores!$F$62,Valores!$D$62*'Escala Docente'!B240)/2)</f>
        <v>1494.955</v>
      </c>
      <c r="AH240" s="125">
        <f t="shared" si="34"/>
        <v>38878.69</v>
      </c>
      <c r="AI240" s="125">
        <f>IF(Valores!$C$32*B240&gt;Valores!$F$32,Valores!$F$32,Valores!$C$32*B240)</f>
        <v>0</v>
      </c>
      <c r="AJ240" s="125">
        <f>IF(Valores!$C$89*B240&gt;Valores!$C$88,Valores!$C$88,Valores!$C$89*B240)</f>
        <v>0</v>
      </c>
      <c r="AK240" s="125">
        <f>Valores!C$39*B240</f>
        <v>0</v>
      </c>
      <c r="AL240" s="125">
        <f>IF($F$3="NO",0,IF(Valores!$C$61*B240&gt;Valores!$F$61,Valores!$F$61,Valores!$C$61*B240))</f>
        <v>79.4913</v>
      </c>
      <c r="AM240" s="125">
        <f t="shared" si="32"/>
        <v>79.4913</v>
      </c>
      <c r="AN240" s="125">
        <f>AH240*Valores!$C$70</f>
        <v>-4276.655900000001</v>
      </c>
      <c r="AO240" s="125">
        <f>AH240*-Valores!$C$71</f>
        <v>0</v>
      </c>
      <c r="AP240" s="125">
        <f>AH240*Valores!$C$72</f>
        <v>-1749.54105</v>
      </c>
      <c r="AQ240" s="125">
        <f>Valores!$C$99</f>
        <v>-280.91</v>
      </c>
      <c r="AR240" s="125">
        <f>IF($F$5=0,Valores!$C$100,(Valores!$C$100+$F$5*(Valores!$C$100)))</f>
        <v>-329</v>
      </c>
      <c r="AS240" s="125">
        <f t="shared" si="35"/>
        <v>32322.074350000003</v>
      </c>
      <c r="AT240" s="125">
        <f t="shared" si="29"/>
        <v>-4276.655900000001</v>
      </c>
      <c r="AU240" s="125">
        <f>AH240*Valores!$C$73</f>
        <v>-1049.7246300000002</v>
      </c>
      <c r="AV240" s="125">
        <f>AH240*Valores!$C$74</f>
        <v>-116.63607</v>
      </c>
      <c r="AW240" s="125">
        <f t="shared" si="33"/>
        <v>33515.1647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16261.61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3053.31</v>
      </c>
      <c r="N241" s="125">
        <f t="shared" si="30"/>
        <v>0</v>
      </c>
      <c r="O241" s="125">
        <f>Valores!$C$7*B241</f>
        <v>6980.72</v>
      </c>
      <c r="P241" s="125">
        <f>ROUND(IF(B241&lt;15,(Valores!$E$5*B241),Valores!$D$5),2)</f>
        <v>7015.12</v>
      </c>
      <c r="Q241" s="125">
        <v>0</v>
      </c>
      <c r="R241" s="125">
        <f>IF($F$4="NO",Valores!$C$48*B241,Valores!$C$48*B241/2)</f>
        <v>1898.2</v>
      </c>
      <c r="S241" s="125">
        <f>Valores!$C$18*B241</f>
        <v>2195.6</v>
      </c>
      <c r="T241" s="125">
        <f t="shared" si="36"/>
        <v>2195.6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IF(Valores!$C$96*B241&gt;Valores!$C$95,Valores!$C$95,Valores!$C$96*B241)</f>
        <v>2239.52</v>
      </c>
      <c r="AA241" s="125">
        <f>IF((Valores!$C$28)*B241&gt;Valores!$F$28,Valores!$F$28,(Valores!$C$28)*B241)</f>
        <v>172.4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143.6</v>
      </c>
      <c r="AE241" s="192">
        <v>0</v>
      </c>
      <c r="AF241" s="125">
        <f>ROUND(AE241*Valores!$C$2,2)</f>
        <v>0</v>
      </c>
      <c r="AG241" s="125">
        <f>IF($F$4="NO",IF(Valores!$D$62*'Escala Docente'!B241&gt;Valores!$F$62,Valores!$F$62,Valores!$D$62*'Escala Docente'!B241),IF(Valores!$D$62*'Escala Docente'!B241&gt;Valores!$F$62,Valores!$F$62,Valores!$D$62*'Escala Docente'!B241)/2)</f>
        <v>1708.52</v>
      </c>
      <c r="AH241" s="125">
        <f t="shared" si="34"/>
        <v>41668.59999999999</v>
      </c>
      <c r="AI241" s="125">
        <f>IF(Valores!$C$32*B241&gt;Valores!$F$32,Valores!$F$32,Valores!$C$32*B241)</f>
        <v>0</v>
      </c>
      <c r="AJ241" s="125">
        <f>IF(Valores!$C$89*B241&gt;Valores!$C$88,Valores!$C$88,Valores!$C$89*B241)</f>
        <v>0</v>
      </c>
      <c r="AK241" s="125">
        <f>Valores!C$39*B241</f>
        <v>0</v>
      </c>
      <c r="AL241" s="125">
        <f>IF($F$3="NO",0,IF(Valores!$C$61*B241&gt;Valores!$F$61,Valores!$F$61,Valores!$C$61*B241))</f>
        <v>90.8472</v>
      </c>
      <c r="AM241" s="125">
        <f t="shared" si="32"/>
        <v>90.8472</v>
      </c>
      <c r="AN241" s="125">
        <f>AH241*Valores!$C$70</f>
        <v>-4583.545999999999</v>
      </c>
      <c r="AO241" s="125">
        <f>AH241*-Valores!$C$71</f>
        <v>0</v>
      </c>
      <c r="AP241" s="125">
        <f>AH241*Valores!$C$72</f>
        <v>-1875.0869999999995</v>
      </c>
      <c r="AQ241" s="125">
        <f>Valores!$C$99</f>
        <v>-280.91</v>
      </c>
      <c r="AR241" s="125">
        <f>IF($F$5=0,Valores!$C$100,(Valores!$C$100+$F$5*(Valores!$C$100)))</f>
        <v>-329</v>
      </c>
      <c r="AS241" s="125">
        <f t="shared" si="35"/>
        <v>34690.90419999999</v>
      </c>
      <c r="AT241" s="125">
        <f t="shared" si="29"/>
        <v>-4583.545999999999</v>
      </c>
      <c r="AU241" s="125">
        <f>AH241*Valores!$C$73</f>
        <v>-1125.0521999999999</v>
      </c>
      <c r="AV241" s="125">
        <f>AH241*Valores!$C$74</f>
        <v>-125.00579999999998</v>
      </c>
      <c r="AW241" s="125">
        <f t="shared" si="33"/>
        <v>35925.84319999999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16261.61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3053.31</v>
      </c>
      <c r="N242" s="125">
        <f t="shared" si="30"/>
        <v>0</v>
      </c>
      <c r="O242" s="125">
        <f>Valores!$C$7*B242</f>
        <v>6980.72</v>
      </c>
      <c r="P242" s="125">
        <f>ROUND(IF(B242&lt;15,(Valores!$E$5*B242),Valores!$D$5),2)</f>
        <v>7015.12</v>
      </c>
      <c r="Q242" s="125">
        <v>0</v>
      </c>
      <c r="R242" s="125">
        <f>IF($F$4="NO",Valores!$C$48*B242,Valores!$C$48*B242/2)</f>
        <v>1898.2</v>
      </c>
      <c r="S242" s="125">
        <f>Valores!$C$18*B242</f>
        <v>2195.6</v>
      </c>
      <c r="T242" s="125">
        <f t="shared" si="36"/>
        <v>2195.6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IF(Valores!$C$96*B242&gt;Valores!$C$95,Valores!$C$95,Valores!$C$96*B242)</f>
        <v>2239.52</v>
      </c>
      <c r="AA242" s="125">
        <f>IF((Valores!$C$28)*B242&gt;Valores!$F$28,Valores!$F$28,(Valores!$C$28)*B242)</f>
        <v>172.4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143.6</v>
      </c>
      <c r="AE242" s="192">
        <v>94</v>
      </c>
      <c r="AF242" s="125">
        <f>ROUND(AE242*Valores!$C$2,2)</f>
        <v>2418.66</v>
      </c>
      <c r="AG242" s="125">
        <f>IF($F$4="NO",IF(Valores!$D$62*'Escala Docente'!B242&gt;Valores!$F$62,Valores!$F$62,Valores!$D$62*'Escala Docente'!B242),IF(Valores!$D$62*'Escala Docente'!B242&gt;Valores!$F$62,Valores!$F$62,Valores!$D$62*'Escala Docente'!B242)/2)</f>
        <v>1708.52</v>
      </c>
      <c r="AH242" s="125">
        <f t="shared" si="34"/>
        <v>44087.25999999999</v>
      </c>
      <c r="AI242" s="125">
        <f>IF(Valores!$C$32*B242&gt;Valores!$F$32,Valores!$F$32,Valores!$C$32*B242)</f>
        <v>0</v>
      </c>
      <c r="AJ242" s="125">
        <f>IF(Valores!$C$89*B242&gt;Valores!$C$88,Valores!$C$88,Valores!$C$89*B242)</f>
        <v>0</v>
      </c>
      <c r="AK242" s="125">
        <f>Valores!C$39*B242</f>
        <v>0</v>
      </c>
      <c r="AL242" s="125">
        <f>IF($F$3="NO",0,IF(Valores!$C$61*B242&gt;Valores!$F$61,Valores!$F$61,Valores!$C$61*B242))</f>
        <v>90.8472</v>
      </c>
      <c r="AM242" s="125">
        <f t="shared" si="32"/>
        <v>90.8472</v>
      </c>
      <c r="AN242" s="125">
        <f>AH242*Valores!$C$70</f>
        <v>-4849.598599999998</v>
      </c>
      <c r="AO242" s="125">
        <f>AH242*-Valores!$C$71</f>
        <v>0</v>
      </c>
      <c r="AP242" s="125">
        <f>AH242*Valores!$C$72</f>
        <v>-1983.9266999999993</v>
      </c>
      <c r="AQ242" s="125">
        <f>Valores!$C$99</f>
        <v>-280.91</v>
      </c>
      <c r="AR242" s="125">
        <f>IF($F$5=0,Valores!$C$100,(Valores!$C$100+$F$5*(Valores!$C$100)))</f>
        <v>-329</v>
      </c>
      <c r="AS242" s="125">
        <f t="shared" si="35"/>
        <v>36734.67189999999</v>
      </c>
      <c r="AT242" s="125">
        <f t="shared" si="29"/>
        <v>-4849.598599999998</v>
      </c>
      <c r="AU242" s="125">
        <f>AH242*Valores!$C$73</f>
        <v>-1190.3560199999997</v>
      </c>
      <c r="AV242" s="125">
        <f>AH242*Valores!$C$74</f>
        <v>-132.26177999999996</v>
      </c>
      <c r="AW242" s="125">
        <f t="shared" si="33"/>
        <v>38005.89079999999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18294.31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3434.98</v>
      </c>
      <c r="N243" s="125">
        <f t="shared" si="30"/>
        <v>0</v>
      </c>
      <c r="O243" s="125">
        <f>Valores!$C$7*B243</f>
        <v>7853.31</v>
      </c>
      <c r="P243" s="125">
        <f>ROUND(IF(B243&lt;15,(Valores!$E$5*B243),Valores!$D$5),2)</f>
        <v>7892.01</v>
      </c>
      <c r="Q243" s="125">
        <v>0</v>
      </c>
      <c r="R243" s="125">
        <f>IF($F$4="NO",Valores!$C$48*B243,Valores!$C$48*B243/2)</f>
        <v>2135.475</v>
      </c>
      <c r="S243" s="125">
        <f>Valores!$C$18*B243</f>
        <v>2470.0499999999997</v>
      </c>
      <c r="T243" s="125">
        <f t="shared" si="36"/>
        <v>2470.05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IF(Valores!$C$96*B243&gt;Valores!$C$95,Valores!$C$95,Valores!$C$96*B243)</f>
        <v>2519.46</v>
      </c>
      <c r="AA243" s="125">
        <f>IF((Valores!$C$28)*B243&gt;Valores!$F$28,Valores!$F$28,(Valores!$C$28)*B243)</f>
        <v>193.95000000000002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161.54999999999998</v>
      </c>
      <c r="AE243" s="192">
        <v>0</v>
      </c>
      <c r="AF243" s="125">
        <f>ROUND(AE243*Valores!$C$2,2)</f>
        <v>0</v>
      </c>
      <c r="AG243" s="125">
        <f>IF($F$4="NO",IF(Valores!$D$62*'Escala Docente'!B243&gt;Valores!$F$62,Valores!$F$62,Valores!$D$62*'Escala Docente'!B243),IF(Valores!$D$62*'Escala Docente'!B243&gt;Valores!$F$62,Valores!$F$62,Valores!$D$62*'Escala Docente'!B243)/2)</f>
        <v>1922.085</v>
      </c>
      <c r="AH243" s="125">
        <f t="shared" si="34"/>
        <v>46877.18</v>
      </c>
      <c r="AI243" s="125">
        <f>IF(Valores!$C$32*B243&gt;Valores!$F$32,Valores!$F$32,Valores!$C$32*B243)</f>
        <v>0</v>
      </c>
      <c r="AJ243" s="125">
        <f>IF(Valores!$C$89*B243&gt;Valores!$C$88,Valores!$C$88,Valores!$C$89*B243)</f>
        <v>0</v>
      </c>
      <c r="AK243" s="125">
        <f>Valores!C$39*B243</f>
        <v>0</v>
      </c>
      <c r="AL243" s="125">
        <f>IF($F$3="NO",0,IF(Valores!$C$61*B243&gt;Valores!$F$61,Valores!$F$61,Valores!$C$61*B243))</f>
        <v>102.2031</v>
      </c>
      <c r="AM243" s="125">
        <f t="shared" si="32"/>
        <v>102.2031</v>
      </c>
      <c r="AN243" s="125">
        <f>AH243*Valores!$C$70</f>
        <v>-5156.4898</v>
      </c>
      <c r="AO243" s="125">
        <f>AH243*-Valores!$C$71</f>
        <v>0</v>
      </c>
      <c r="AP243" s="125">
        <f>AH243*Valores!$C$72</f>
        <v>-2109.4731</v>
      </c>
      <c r="AQ243" s="125">
        <f>Valores!$C$99</f>
        <v>-280.91</v>
      </c>
      <c r="AR243" s="125">
        <f>IF($F$5=0,Valores!$C$100,(Valores!$C$100+$F$5*(Valores!$C$100)))</f>
        <v>-329</v>
      </c>
      <c r="AS243" s="125">
        <f t="shared" si="35"/>
        <v>39103.5102</v>
      </c>
      <c r="AT243" s="125">
        <f t="shared" si="29"/>
        <v>-5156.4898</v>
      </c>
      <c r="AU243" s="125">
        <f>AH243*Valores!$C$73</f>
        <v>-1265.68386</v>
      </c>
      <c r="AV243" s="125">
        <f>AH243*Valores!$C$74</f>
        <v>-140.63154</v>
      </c>
      <c r="AW243" s="125">
        <f t="shared" si="33"/>
        <v>40416.5779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18294.31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3434.98</v>
      </c>
      <c r="N244" s="125">
        <f t="shared" si="30"/>
        <v>0</v>
      </c>
      <c r="O244" s="125">
        <f>Valores!$C$7*B244</f>
        <v>7853.31</v>
      </c>
      <c r="P244" s="125">
        <f>ROUND(IF(B244&lt;15,(Valores!$E$5*B244),Valores!$D$5),2)</f>
        <v>7892.01</v>
      </c>
      <c r="Q244" s="125">
        <v>0</v>
      </c>
      <c r="R244" s="125">
        <f>IF($F$4="NO",Valores!$C$48*B244,Valores!$C$48*B244/2)</f>
        <v>2135.475</v>
      </c>
      <c r="S244" s="125">
        <f>Valores!$C$18*B244</f>
        <v>2470.0499999999997</v>
      </c>
      <c r="T244" s="125">
        <f t="shared" si="36"/>
        <v>2470.05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IF(Valores!$C$96*B244&gt;Valores!$C$95,Valores!$C$95,Valores!$C$96*B244)</f>
        <v>2519.46</v>
      </c>
      <c r="AA244" s="125">
        <f>IF((Valores!$C$28)*B244&gt;Valores!$F$28,Valores!$F$28,(Valores!$C$28)*B244)</f>
        <v>193.95000000000002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161.54999999999998</v>
      </c>
      <c r="AE244" s="192">
        <v>94</v>
      </c>
      <c r="AF244" s="125">
        <f>ROUND(AE244*Valores!$C$2,2)</f>
        <v>2418.66</v>
      </c>
      <c r="AG244" s="125">
        <f>IF($F$4="NO",IF(Valores!$D$62*'Escala Docente'!B244&gt;Valores!$F$62,Valores!$F$62,Valores!$D$62*'Escala Docente'!B244),IF(Valores!$D$62*'Escala Docente'!B244&gt;Valores!$F$62,Valores!$F$62,Valores!$D$62*'Escala Docente'!B244)/2)</f>
        <v>1922.085</v>
      </c>
      <c r="AH244" s="125">
        <f t="shared" si="34"/>
        <v>49295.840000000004</v>
      </c>
      <c r="AI244" s="125">
        <f>IF(Valores!$C$32*B244&gt;Valores!$F$32,Valores!$F$32,Valores!$C$32*B244)</f>
        <v>0</v>
      </c>
      <c r="AJ244" s="125">
        <f>IF(Valores!$C$89*B244&gt;Valores!$C$88,Valores!$C$88,Valores!$C$89*B244)</f>
        <v>0</v>
      </c>
      <c r="AK244" s="125">
        <f>Valores!C$39*B244</f>
        <v>0</v>
      </c>
      <c r="AL244" s="125">
        <f>IF($F$3="NO",0,IF(Valores!$C$61*B244&gt;Valores!$F$61,Valores!$F$61,Valores!$C$61*B244))</f>
        <v>102.2031</v>
      </c>
      <c r="AM244" s="125">
        <f t="shared" si="32"/>
        <v>102.2031</v>
      </c>
      <c r="AN244" s="125">
        <f>AH244*Valores!$C$70</f>
        <v>-5422.5424</v>
      </c>
      <c r="AO244" s="125">
        <f>AH244*-Valores!$C$71</f>
        <v>0</v>
      </c>
      <c r="AP244" s="125">
        <f>AH244*Valores!$C$72</f>
        <v>-2218.3128</v>
      </c>
      <c r="AQ244" s="125">
        <f>Valores!$C$99</f>
        <v>-280.91</v>
      </c>
      <c r="AR244" s="125">
        <f>IF($F$5=0,Valores!$C$100,(Valores!$C$100+$F$5*(Valores!$C$100)))</f>
        <v>-329</v>
      </c>
      <c r="AS244" s="125">
        <f t="shared" si="35"/>
        <v>41147.2779</v>
      </c>
      <c r="AT244" s="125">
        <f t="shared" si="29"/>
        <v>-5422.5424</v>
      </c>
      <c r="AU244" s="125">
        <f>AH244*Valores!$C$73</f>
        <v>-1330.9876800000002</v>
      </c>
      <c r="AV244" s="125">
        <f>AH244*Valores!$C$74</f>
        <v>-147.88752000000002</v>
      </c>
      <c r="AW244" s="125">
        <f t="shared" si="33"/>
        <v>42496.6255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20327.02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3816.64</v>
      </c>
      <c r="N245" s="125">
        <f t="shared" si="30"/>
        <v>0</v>
      </c>
      <c r="O245" s="125">
        <f>Valores!$C$7*B245</f>
        <v>8725.9</v>
      </c>
      <c r="P245" s="125">
        <f>ROUND(IF(B245&lt;15,(Valores!$E$5*B245),Valores!$D$5),2)</f>
        <v>8768.9</v>
      </c>
      <c r="Q245" s="125">
        <v>0</v>
      </c>
      <c r="R245" s="125">
        <f>IF($F$4="NO",Valores!$C$48*B245,Valores!$C$48*B245/2)</f>
        <v>2372.75</v>
      </c>
      <c r="S245" s="125">
        <f>Valores!$C$18*B245</f>
        <v>2744.5</v>
      </c>
      <c r="T245" s="125">
        <f t="shared" si="36"/>
        <v>2744.5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IF(Valores!$C$96*B245&gt;Valores!$C$95,Valores!$C$95,Valores!$C$96*B245)</f>
        <v>2799.4</v>
      </c>
      <c r="AA245" s="125">
        <f>IF((Valores!$C$28)*B245&gt;Valores!$F$28,Valores!$F$28,(Valores!$C$28)*B245)</f>
        <v>215.5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179.5</v>
      </c>
      <c r="AE245" s="192">
        <v>0</v>
      </c>
      <c r="AF245" s="125">
        <f>ROUND(AE245*Valores!$C$2,2)</f>
        <v>0</v>
      </c>
      <c r="AG245" s="125">
        <f>IF($F$4="NO",IF(Valores!$D$62*'Escala Docente'!B245&gt;Valores!$F$62,Valores!$F$62,Valores!$D$62*'Escala Docente'!B245),IF(Valores!$D$62*'Escala Docente'!B245&gt;Valores!$F$62,Valores!$F$62,Valores!$D$62*'Escala Docente'!B245)/2)</f>
        <v>2135.65</v>
      </c>
      <c r="AH245" s="125">
        <f t="shared" si="34"/>
        <v>52085.76</v>
      </c>
      <c r="AI245" s="125">
        <f>IF(Valores!$C$32*B245&gt;Valores!$F$32,Valores!$F$32,Valores!$C$32*B245)</f>
        <v>0</v>
      </c>
      <c r="AJ245" s="125">
        <f>IF(Valores!$C$89*B245&gt;Valores!$C$88,Valores!$C$88,Valores!$C$89*B245)</f>
        <v>0</v>
      </c>
      <c r="AK245" s="125">
        <f>Valores!C$39*B245</f>
        <v>0</v>
      </c>
      <c r="AL245" s="125">
        <f>IF($F$3="NO",0,IF(Valores!$C$61*B245&gt;Valores!$F$61,Valores!$F$61,Valores!$C$61*B245))</f>
        <v>113.559</v>
      </c>
      <c r="AM245" s="125">
        <f t="shared" si="32"/>
        <v>113.559</v>
      </c>
      <c r="AN245" s="125">
        <f>AH245*Valores!$C$70</f>
        <v>-5729.4336</v>
      </c>
      <c r="AO245" s="125">
        <f>AH245*-Valores!$C$71</f>
        <v>0</v>
      </c>
      <c r="AP245" s="125">
        <f>AH245*Valores!$C$72</f>
        <v>-2343.8592</v>
      </c>
      <c r="AQ245" s="125">
        <f>Valores!$C$99</f>
        <v>-280.91</v>
      </c>
      <c r="AR245" s="125">
        <f>IF($F$5=0,Valores!$C$100,(Valores!$C$100+$F$5*(Valores!$C$100)))</f>
        <v>-329</v>
      </c>
      <c r="AS245" s="125">
        <f t="shared" si="35"/>
        <v>43516.116200000004</v>
      </c>
      <c r="AT245" s="125">
        <f t="shared" si="29"/>
        <v>-5729.4336</v>
      </c>
      <c r="AU245" s="125">
        <f>AH245*Valores!$C$73</f>
        <v>-1406.31552</v>
      </c>
      <c r="AV245" s="125">
        <f>AH245*Valores!$C$74</f>
        <v>-156.25728</v>
      </c>
      <c r="AW245" s="125">
        <f t="shared" si="33"/>
        <v>44907.312600000005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20327.02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3816.64</v>
      </c>
      <c r="N246" s="125">
        <f t="shared" si="30"/>
        <v>0</v>
      </c>
      <c r="O246" s="125">
        <f>Valores!$C$7*B246</f>
        <v>8725.9</v>
      </c>
      <c r="P246" s="125">
        <f>ROUND(IF(B246&lt;15,(Valores!$E$5*B246),Valores!$D$5),2)</f>
        <v>8768.9</v>
      </c>
      <c r="Q246" s="125">
        <v>0</v>
      </c>
      <c r="R246" s="125">
        <f>IF($F$4="NO",Valores!$C$48*B246,Valores!$C$48*B246/2)</f>
        <v>2372.75</v>
      </c>
      <c r="S246" s="125">
        <f>Valores!$C$18*B246</f>
        <v>2744.5</v>
      </c>
      <c r="T246" s="125">
        <f t="shared" si="36"/>
        <v>2744.5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IF(Valores!$C$96*B246&gt;Valores!$C$95,Valores!$C$95,Valores!$C$96*B246)</f>
        <v>2799.4</v>
      </c>
      <c r="AA246" s="125">
        <f>IF((Valores!$C$28)*B246&gt;Valores!$F$28,Valores!$F$28,(Valores!$C$28)*B246)</f>
        <v>215.5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179.5</v>
      </c>
      <c r="AE246" s="192">
        <v>94</v>
      </c>
      <c r="AF246" s="125">
        <f>ROUND(AE246*Valores!$C$2,2)</f>
        <v>2418.66</v>
      </c>
      <c r="AG246" s="125">
        <f>IF($F$4="NO",IF(Valores!$D$62*'Escala Docente'!B246&gt;Valores!$F$62,Valores!$F$62,Valores!$D$62*'Escala Docente'!B246),IF(Valores!$D$62*'Escala Docente'!B246&gt;Valores!$F$62,Valores!$F$62,Valores!$D$62*'Escala Docente'!B246)/2)</f>
        <v>2135.65</v>
      </c>
      <c r="AH246" s="125">
        <f t="shared" si="34"/>
        <v>54504.420000000006</v>
      </c>
      <c r="AI246" s="125">
        <f>IF(Valores!$C$32*B246&gt;Valores!$F$32,Valores!$F$32,Valores!$C$32*B246)</f>
        <v>0</v>
      </c>
      <c r="AJ246" s="125">
        <f>IF(Valores!$C$89*B246&gt;Valores!$C$88,Valores!$C$88,Valores!$C$89*B246)</f>
        <v>0</v>
      </c>
      <c r="AK246" s="125">
        <f>Valores!C$39*B246</f>
        <v>0</v>
      </c>
      <c r="AL246" s="125">
        <f>IF($F$3="NO",0,IF(Valores!$C$61*B246&gt;Valores!$F$61,Valores!$F$61,Valores!$C$61*B246))</f>
        <v>113.559</v>
      </c>
      <c r="AM246" s="125">
        <f t="shared" si="32"/>
        <v>113.559</v>
      </c>
      <c r="AN246" s="125">
        <f>AH246*Valores!$C$70</f>
        <v>-5995.4862</v>
      </c>
      <c r="AO246" s="125">
        <f>AH246*-Valores!$C$71</f>
        <v>0</v>
      </c>
      <c r="AP246" s="125">
        <f>AH246*Valores!$C$72</f>
        <v>-2452.6989000000003</v>
      </c>
      <c r="AQ246" s="125">
        <f>Valores!$C$99</f>
        <v>-280.91</v>
      </c>
      <c r="AR246" s="125">
        <f>IF($F$5=0,Valores!$C$100,(Valores!$C$100+$F$5*(Valores!$C$100)))</f>
        <v>-329</v>
      </c>
      <c r="AS246" s="125">
        <f t="shared" si="35"/>
        <v>45559.8839</v>
      </c>
      <c r="AT246" s="125">
        <f t="shared" si="29"/>
        <v>-5995.4862</v>
      </c>
      <c r="AU246" s="125">
        <f>AH246*Valores!$C$73</f>
        <v>-1471.6193400000002</v>
      </c>
      <c r="AV246" s="125">
        <f>AH246*Valores!$C$74</f>
        <v>-163.51326000000003</v>
      </c>
      <c r="AW246" s="125">
        <f t="shared" si="33"/>
        <v>46987.36020000001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22359.72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4198.3</v>
      </c>
      <c r="N247" s="125">
        <f t="shared" si="30"/>
        <v>0</v>
      </c>
      <c r="O247" s="125">
        <f>Valores!$C$7*B247</f>
        <v>9598.49</v>
      </c>
      <c r="P247" s="125">
        <f>ROUND(IF(B247&lt;15,(Valores!$E$5*B247),Valores!$D$5),2)</f>
        <v>9645.79</v>
      </c>
      <c r="Q247" s="125">
        <v>0</v>
      </c>
      <c r="R247" s="125">
        <f>IF($F$4="NO",Valores!$C$48*B247,Valores!$C$48*B247/2)</f>
        <v>2610.025</v>
      </c>
      <c r="S247" s="125">
        <f>Valores!$C$18*B247</f>
        <v>3018.95</v>
      </c>
      <c r="T247" s="125">
        <f t="shared" si="36"/>
        <v>3018.95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IF(Valores!$C$96*B247&gt;Valores!$C$95,Valores!$C$95,Valores!$C$96*B247)</f>
        <v>3079.34</v>
      </c>
      <c r="AA247" s="125">
        <f>IF((Valores!$C$28)*B247&gt;Valores!$F$28,Valores!$F$28,(Valores!$C$28)*B247)</f>
        <v>237.05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197.45</v>
      </c>
      <c r="AE247" s="192">
        <v>0</v>
      </c>
      <c r="AF247" s="125">
        <f>ROUND(AE247*Valores!$C$2,2)</f>
        <v>0</v>
      </c>
      <c r="AG247" s="125">
        <f>IF($F$4="NO",IF(Valores!$D$62*'Escala Docente'!B247&gt;Valores!$F$62,Valores!$F$62,Valores!$D$62*'Escala Docente'!B247),IF(Valores!$D$62*'Escala Docente'!B247&gt;Valores!$F$62,Valores!$F$62,Valores!$D$62*'Escala Docente'!B247)/2)</f>
        <v>2349.215</v>
      </c>
      <c r="AH247" s="125">
        <f t="shared" si="34"/>
        <v>57294.33</v>
      </c>
      <c r="AI247" s="125">
        <f>IF(Valores!$C$32*B247&gt;Valores!$F$32,Valores!$F$32,Valores!$C$32*B247)</f>
        <v>0</v>
      </c>
      <c r="AJ247" s="125">
        <f>IF(Valores!$C$89*B247&gt;Valores!$C$88,Valores!$C$88,Valores!$C$89*B247)</f>
        <v>0</v>
      </c>
      <c r="AK247" s="125">
        <f>Valores!C$39*B247</f>
        <v>0</v>
      </c>
      <c r="AL247" s="125">
        <f>IF($F$3="NO",0,IF(Valores!$C$61*B247&gt;Valores!$F$61,Valores!$F$61,Valores!$C$61*B247))</f>
        <v>124.9149</v>
      </c>
      <c r="AM247" s="125">
        <f t="shared" si="32"/>
        <v>124.9149</v>
      </c>
      <c r="AN247" s="125">
        <f>AH247*Valores!$C$70</f>
        <v>-6302.3763</v>
      </c>
      <c r="AO247" s="125">
        <f>AH247*-Valores!$C$71</f>
        <v>0</v>
      </c>
      <c r="AP247" s="125">
        <f>AH247*Valores!$C$72</f>
        <v>-2578.24485</v>
      </c>
      <c r="AQ247" s="125">
        <f>Valores!$C$99</f>
        <v>-280.91</v>
      </c>
      <c r="AR247" s="125">
        <f>IF($F$5=0,Valores!$C$100,(Valores!$C$100+$F$5*(Valores!$C$100)))</f>
        <v>-329</v>
      </c>
      <c r="AS247" s="125">
        <f t="shared" si="35"/>
        <v>47928.71375</v>
      </c>
      <c r="AT247" s="125">
        <f t="shared" si="29"/>
        <v>-6302.3763</v>
      </c>
      <c r="AU247" s="125">
        <f>AH247*Valores!$C$73</f>
        <v>-1546.9469100000001</v>
      </c>
      <c r="AV247" s="125">
        <f>AH247*Valores!$C$74</f>
        <v>-171.88299</v>
      </c>
      <c r="AW247" s="125">
        <f t="shared" si="33"/>
        <v>49398.038700000005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22359.72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4198.3</v>
      </c>
      <c r="N248" s="125">
        <f t="shared" si="30"/>
        <v>0</v>
      </c>
      <c r="O248" s="125">
        <f>Valores!$C$7*B248</f>
        <v>9598.49</v>
      </c>
      <c r="P248" s="125">
        <f>ROUND(IF(B248&lt;15,(Valores!$E$5*B248),Valores!$D$5),2)</f>
        <v>9645.79</v>
      </c>
      <c r="Q248" s="125">
        <v>0</v>
      </c>
      <c r="R248" s="125">
        <f>IF($F$4="NO",Valores!$C$48*B248,Valores!$C$48*B248/2)</f>
        <v>2610.025</v>
      </c>
      <c r="S248" s="125">
        <f>Valores!$C$18*B248</f>
        <v>3018.95</v>
      </c>
      <c r="T248" s="125">
        <f t="shared" si="36"/>
        <v>3018.95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IF(Valores!$C$96*B248&gt;Valores!$C$95,Valores!$C$95,Valores!$C$96*B248)</f>
        <v>3079.34</v>
      </c>
      <c r="AA248" s="125">
        <f>IF((Valores!$C$28)*B248&gt;Valores!$F$28,Valores!$F$28,(Valores!$C$28)*B248)</f>
        <v>237.05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197.45</v>
      </c>
      <c r="AE248" s="192">
        <v>94</v>
      </c>
      <c r="AF248" s="125">
        <f>ROUND(AE248*Valores!$C$2,2)</f>
        <v>2418.66</v>
      </c>
      <c r="AG248" s="125">
        <f>IF($F$4="NO",IF(Valores!$D$62*'Escala Docente'!B248&gt;Valores!$F$62,Valores!$F$62,Valores!$D$62*'Escala Docente'!B248),IF(Valores!$D$62*'Escala Docente'!B248&gt;Valores!$F$62,Valores!$F$62,Valores!$D$62*'Escala Docente'!B248)/2)</f>
        <v>2349.215</v>
      </c>
      <c r="AH248" s="125">
        <f t="shared" si="34"/>
        <v>59712.990000000005</v>
      </c>
      <c r="AI248" s="125">
        <f>IF(Valores!$C$32*B248&gt;Valores!$F$32,Valores!$F$32,Valores!$C$32*B248)</f>
        <v>0</v>
      </c>
      <c r="AJ248" s="125">
        <f>IF(Valores!$C$89*B248&gt;Valores!$C$88,Valores!$C$88,Valores!$C$89*B248)</f>
        <v>0</v>
      </c>
      <c r="AK248" s="125">
        <f>Valores!C$39*B248</f>
        <v>0</v>
      </c>
      <c r="AL248" s="125">
        <f>IF($F$3="NO",0,IF(Valores!$C$61*B248&gt;Valores!$F$61,Valores!$F$61,Valores!$C$61*B248))</f>
        <v>124.9149</v>
      </c>
      <c r="AM248" s="125">
        <f t="shared" si="32"/>
        <v>124.9149</v>
      </c>
      <c r="AN248" s="125">
        <f>AH248*Valores!$C$70</f>
        <v>-6568.428900000001</v>
      </c>
      <c r="AO248" s="125">
        <f>AH248*-Valores!$C$71</f>
        <v>0</v>
      </c>
      <c r="AP248" s="125">
        <f>AH248*Valores!$C$72</f>
        <v>-2687.08455</v>
      </c>
      <c r="AQ248" s="125">
        <f>Valores!$C$99</f>
        <v>-280.91</v>
      </c>
      <c r="AR248" s="125">
        <f>IF($F$5=0,Valores!$C$100,(Valores!$C$100+$F$5*(Valores!$C$100)))</f>
        <v>-329</v>
      </c>
      <c r="AS248" s="125">
        <f t="shared" si="35"/>
        <v>49972.48145000001</v>
      </c>
      <c r="AT248" s="125">
        <f t="shared" si="29"/>
        <v>-6568.428900000001</v>
      </c>
      <c r="AU248" s="125">
        <f>AH248*Valores!$C$73</f>
        <v>-1612.2507300000002</v>
      </c>
      <c r="AV248" s="125">
        <f>AH248*Valores!$C$74</f>
        <v>-179.13897000000003</v>
      </c>
      <c r="AW248" s="125">
        <f t="shared" si="33"/>
        <v>51478.08630000001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24392.42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4579.97</v>
      </c>
      <c r="N249" s="125">
        <f t="shared" si="30"/>
        <v>0</v>
      </c>
      <c r="O249" s="125">
        <f>Valores!$C$7*B249</f>
        <v>10471.08</v>
      </c>
      <c r="P249" s="125">
        <f>ROUND(IF(B249&lt;15,(Valores!$E$5*B249),Valores!$D$5),2)</f>
        <v>10522.68</v>
      </c>
      <c r="Q249" s="125">
        <v>0</v>
      </c>
      <c r="R249" s="125">
        <f>IF($F$4="NO",Valores!$C$48*B249,Valores!$C$48*B249/2)</f>
        <v>2847.3</v>
      </c>
      <c r="S249" s="125">
        <f>Valores!$C$18*B249</f>
        <v>3293.3999999999996</v>
      </c>
      <c r="T249" s="125">
        <f t="shared" si="36"/>
        <v>3293.4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IF(Valores!$C$96*B249&gt;Valores!$C$95,Valores!$C$95,Valores!$C$96*B249)</f>
        <v>3359.2799999999997</v>
      </c>
      <c r="AA249" s="125">
        <f>IF((Valores!$C$28)*B249&gt;Valores!$F$28,Valores!$F$28,(Valores!$C$28)*B249)</f>
        <v>258.6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215.39999999999998</v>
      </c>
      <c r="AE249" s="192">
        <v>0</v>
      </c>
      <c r="AF249" s="125">
        <f>ROUND(AE249*Valores!$C$2,2)</f>
        <v>0</v>
      </c>
      <c r="AG249" s="125">
        <f>IF($F$4="NO",IF(Valores!$D$62*'Escala Docente'!B249&gt;Valores!$F$62,Valores!$F$62,Valores!$D$62*'Escala Docente'!B249),IF(Valores!$D$62*'Escala Docente'!B249&gt;Valores!$F$62,Valores!$F$62,Valores!$D$62*'Escala Docente'!B249)/2)</f>
        <v>2562.7799999999997</v>
      </c>
      <c r="AH249" s="125">
        <f t="shared" si="34"/>
        <v>62502.91</v>
      </c>
      <c r="AI249" s="125">
        <f>IF(Valores!$C$32*B249&gt;Valores!$F$32,Valores!$F$32,Valores!$C$32*B249)</f>
        <v>0</v>
      </c>
      <c r="AJ249" s="125">
        <f>IF(Valores!$C$89*B249&gt;Valores!$C$88,Valores!$C$88,Valores!$C$89*B249)</f>
        <v>0</v>
      </c>
      <c r="AK249" s="125">
        <f>Valores!C$39*B249</f>
        <v>0</v>
      </c>
      <c r="AL249" s="125">
        <f>IF($F$3="NO",0,IF(Valores!$C$61*B249&gt;Valores!$F$61,Valores!$F$61,Valores!$C$61*B249))</f>
        <v>136.2708</v>
      </c>
      <c r="AM249" s="125">
        <f t="shared" si="32"/>
        <v>136.2708</v>
      </c>
      <c r="AN249" s="125">
        <f>AH249*Valores!$C$70</f>
        <v>-6875.320100000001</v>
      </c>
      <c r="AO249" s="125">
        <f>AH249*-Valores!$C$71</f>
        <v>0</v>
      </c>
      <c r="AP249" s="125">
        <f>AH249*Valores!$C$72</f>
        <v>-2812.63095</v>
      </c>
      <c r="AQ249" s="125">
        <f>Valores!$C$99</f>
        <v>-280.91</v>
      </c>
      <c r="AR249" s="125">
        <f>IF($F$5=0,Valores!$C$100,(Valores!$C$100+$F$5*(Valores!$C$100)))</f>
        <v>-329</v>
      </c>
      <c r="AS249" s="125">
        <f t="shared" si="35"/>
        <v>52341.31975</v>
      </c>
      <c r="AT249" s="125">
        <f t="shared" si="29"/>
        <v>-6875.320100000001</v>
      </c>
      <c r="AU249" s="125">
        <f>AH249*Valores!$C$73</f>
        <v>-1687.5785700000001</v>
      </c>
      <c r="AV249" s="125">
        <f>AH249*Valores!$C$74</f>
        <v>-187.50873</v>
      </c>
      <c r="AW249" s="125">
        <f t="shared" si="33"/>
        <v>53888.773400000005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24392.42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4579.97</v>
      </c>
      <c r="N250" s="125">
        <f t="shared" si="30"/>
        <v>0</v>
      </c>
      <c r="O250" s="125">
        <f>Valores!$C$7*B250</f>
        <v>10471.08</v>
      </c>
      <c r="P250" s="125">
        <f>ROUND(IF(B250&lt;15,(Valores!$E$5*B250),Valores!$D$5),2)</f>
        <v>10522.68</v>
      </c>
      <c r="Q250" s="125">
        <v>0</v>
      </c>
      <c r="R250" s="125">
        <f>IF($F$4="NO",Valores!$C$48*B250,Valores!$C$48*B250/2)</f>
        <v>2847.3</v>
      </c>
      <c r="S250" s="125">
        <f>Valores!$C$18*B250</f>
        <v>3293.3999999999996</v>
      </c>
      <c r="T250" s="125">
        <f t="shared" si="36"/>
        <v>3293.4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IF(Valores!$C$96*B250&gt;Valores!$C$95,Valores!$C$95,Valores!$C$96*B250)</f>
        <v>3359.2799999999997</v>
      </c>
      <c r="AA250" s="125">
        <f>IF((Valores!$C$28)*B250&gt;Valores!$F$28,Valores!$F$28,(Valores!$C$28)*B250)</f>
        <v>258.6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215.39999999999998</v>
      </c>
      <c r="AE250" s="192">
        <v>94</v>
      </c>
      <c r="AF250" s="125">
        <f>ROUND(AE250*Valores!$C$2,2)</f>
        <v>2418.66</v>
      </c>
      <c r="AG250" s="125">
        <f>IF($F$4="NO",IF(Valores!$D$62*'Escala Docente'!B250&gt;Valores!$F$62,Valores!$F$62,Valores!$D$62*'Escala Docente'!B250),IF(Valores!$D$62*'Escala Docente'!B250&gt;Valores!$F$62,Valores!$F$62,Valores!$D$62*'Escala Docente'!B250)/2)</f>
        <v>2562.7799999999997</v>
      </c>
      <c r="AH250" s="125">
        <f t="shared" si="34"/>
        <v>64921.57000000001</v>
      </c>
      <c r="AI250" s="125">
        <f>IF(Valores!$C$32*B250&gt;Valores!$F$32,Valores!$F$32,Valores!$C$32*B250)</f>
        <v>0</v>
      </c>
      <c r="AJ250" s="125">
        <f>IF(Valores!$C$89*B250&gt;Valores!$C$88,Valores!$C$88,Valores!$C$89*B250)</f>
        <v>0</v>
      </c>
      <c r="AK250" s="125">
        <f>Valores!C$39*B250</f>
        <v>0</v>
      </c>
      <c r="AL250" s="125">
        <f>IF($F$3="NO",0,IF(Valores!$C$61*B250&gt;Valores!$F$61,Valores!$F$61,Valores!$C$61*B250))</f>
        <v>136.2708</v>
      </c>
      <c r="AM250" s="125">
        <f t="shared" si="32"/>
        <v>136.2708</v>
      </c>
      <c r="AN250" s="125">
        <f>AH250*Valores!$C$70</f>
        <v>-7141.372700000001</v>
      </c>
      <c r="AO250" s="125">
        <f>AH250*-Valores!$C$71</f>
        <v>0</v>
      </c>
      <c r="AP250" s="125">
        <f>AH250*Valores!$C$72</f>
        <v>-2921.47065</v>
      </c>
      <c r="AQ250" s="125">
        <f>Valores!$C$99</f>
        <v>-280.91</v>
      </c>
      <c r="AR250" s="125">
        <f>IF($F$5=0,Valores!$C$100,(Valores!$C$100+$F$5*(Valores!$C$100)))</f>
        <v>-329</v>
      </c>
      <c r="AS250" s="125">
        <f t="shared" si="35"/>
        <v>54385.087450000006</v>
      </c>
      <c r="AT250" s="125">
        <f t="shared" si="29"/>
        <v>-7141.372700000001</v>
      </c>
      <c r="AU250" s="125">
        <f>AH250*Valores!$C$73</f>
        <v>-1752.8823900000002</v>
      </c>
      <c r="AV250" s="125">
        <f>AH250*Valores!$C$74</f>
        <v>-194.76471000000004</v>
      </c>
      <c r="AW250" s="125">
        <f t="shared" si="33"/>
        <v>55968.821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26425.12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4961.63</v>
      </c>
      <c r="N251" s="125">
        <f t="shared" si="30"/>
        <v>0</v>
      </c>
      <c r="O251" s="125">
        <f>Valores!$C$7*B251</f>
        <v>11343.67</v>
      </c>
      <c r="P251" s="125">
        <f>ROUND(IF(B251&lt;15,(Valores!$E$5*B251),Valores!$D$5),2)</f>
        <v>11399.57</v>
      </c>
      <c r="Q251" s="125">
        <v>0</v>
      </c>
      <c r="R251" s="125">
        <f>IF($F$4="NO",Valores!$C$48*B251,Valores!$C$48*B251/2)</f>
        <v>3084.5750000000003</v>
      </c>
      <c r="S251" s="125">
        <f>Valores!$C$18*B251</f>
        <v>3567.85</v>
      </c>
      <c r="T251" s="125">
        <f t="shared" si="36"/>
        <v>3567.85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IF(Valores!$C$96*B251&gt;Valores!$C$95,Valores!$C$95,Valores!$C$96*B251)</f>
        <v>3639.22</v>
      </c>
      <c r="AA251" s="125">
        <f>IF((Valores!$C$28)*B251&gt;Valores!$F$28,Valores!$F$28,(Valores!$C$28)*B251)</f>
        <v>280.15000000000003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233.35</v>
      </c>
      <c r="AE251" s="192">
        <v>0</v>
      </c>
      <c r="AF251" s="125">
        <f>ROUND(AE251*Valores!$C$2,2)</f>
        <v>0</v>
      </c>
      <c r="AG251" s="125">
        <f>IF($F$4="NO",IF(Valores!$D$62*'Escala Docente'!B251&gt;Valores!$F$62,Valores!$F$62,Valores!$D$62*'Escala Docente'!B251),IF(Valores!$D$62*'Escala Docente'!B251&gt;Valores!$F$62,Valores!$F$62,Valores!$D$62*'Escala Docente'!B251)/2)</f>
        <v>2776.345</v>
      </c>
      <c r="AH251" s="125">
        <f t="shared" si="34"/>
        <v>67711.48</v>
      </c>
      <c r="AI251" s="125">
        <f>IF(Valores!$C$32*B251&gt;Valores!$F$32,Valores!$F$32,Valores!$C$32*B251)</f>
        <v>0</v>
      </c>
      <c r="AJ251" s="125">
        <f>IF(Valores!$C$89*B251&gt;Valores!$C$88,Valores!$C$88,Valores!$C$89*B251)</f>
        <v>0</v>
      </c>
      <c r="AK251" s="125">
        <f>Valores!C$39*B251</f>
        <v>0</v>
      </c>
      <c r="AL251" s="125">
        <f>IF($F$3="NO",0,IF(Valores!$C$61*B251&gt;Valores!$F$61,Valores!$F$61,Valores!$C$61*B251))</f>
        <v>147.6267</v>
      </c>
      <c r="AM251" s="125">
        <f t="shared" si="32"/>
        <v>147.6267</v>
      </c>
      <c r="AN251" s="125">
        <f>AH251*Valores!$C$70</f>
        <v>-7448.2627999999995</v>
      </c>
      <c r="AO251" s="125">
        <f>AH251*-Valores!$C$71</f>
        <v>0</v>
      </c>
      <c r="AP251" s="125">
        <f>AH251*Valores!$C$72</f>
        <v>-3047.0166</v>
      </c>
      <c r="AQ251" s="125">
        <f>Valores!$C$99</f>
        <v>-280.91</v>
      </c>
      <c r="AR251" s="125">
        <f>IF($F$5=0,Valores!$C$100,(Valores!$C$100+$F$5*(Valores!$C$100)))</f>
        <v>-329</v>
      </c>
      <c r="AS251" s="125">
        <f t="shared" si="35"/>
        <v>56753.9173</v>
      </c>
      <c r="AT251" s="125">
        <f t="shared" si="29"/>
        <v>-7448.2627999999995</v>
      </c>
      <c r="AU251" s="125">
        <f>AH251*Valores!$C$73</f>
        <v>-1828.20996</v>
      </c>
      <c r="AV251" s="125">
        <f>AH251*Valores!$C$74</f>
        <v>-203.13443999999998</v>
      </c>
      <c r="AW251" s="125">
        <f t="shared" si="33"/>
        <v>58379.49949999999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26425.12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4961.63</v>
      </c>
      <c r="N252" s="125">
        <f t="shared" si="30"/>
        <v>0</v>
      </c>
      <c r="O252" s="125">
        <f>Valores!$C$7*B252</f>
        <v>11343.67</v>
      </c>
      <c r="P252" s="125">
        <f>ROUND(IF(B252&lt;15,(Valores!$E$5*B252),Valores!$D$5),2)</f>
        <v>11399.57</v>
      </c>
      <c r="Q252" s="125">
        <v>0</v>
      </c>
      <c r="R252" s="125">
        <f>IF($F$4="NO",Valores!$C$48*B252,Valores!$C$48*B252/2)</f>
        <v>3084.5750000000003</v>
      </c>
      <c r="S252" s="125">
        <f>Valores!$C$18*B252</f>
        <v>3567.85</v>
      </c>
      <c r="T252" s="125">
        <f t="shared" si="36"/>
        <v>3567.85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IF(Valores!$C$96*B252&gt;Valores!$C$95,Valores!$C$95,Valores!$C$96*B252)</f>
        <v>3639.22</v>
      </c>
      <c r="AA252" s="125">
        <f>IF((Valores!$C$28)*B252&gt;Valores!$F$28,Valores!$F$28,(Valores!$C$28)*B252)</f>
        <v>280.15000000000003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233.35</v>
      </c>
      <c r="AE252" s="192">
        <v>94</v>
      </c>
      <c r="AF252" s="125">
        <f>ROUND(AE252*Valores!$C$2,2)</f>
        <v>2418.66</v>
      </c>
      <c r="AG252" s="125">
        <f>IF($F$4="NO",IF(Valores!$D$62*'Escala Docente'!B252&gt;Valores!$F$62,Valores!$F$62,Valores!$D$62*'Escala Docente'!B252),IF(Valores!$D$62*'Escala Docente'!B252&gt;Valores!$F$62,Valores!$F$62,Valores!$D$62*'Escala Docente'!B252)/2)</f>
        <v>2776.345</v>
      </c>
      <c r="AH252" s="125">
        <f t="shared" si="34"/>
        <v>70130.14</v>
      </c>
      <c r="AI252" s="125">
        <f>IF(Valores!$C$32*B252&gt;Valores!$F$32,Valores!$F$32,Valores!$C$32*B252)</f>
        <v>0</v>
      </c>
      <c r="AJ252" s="125">
        <f>IF(Valores!$C$89*B252&gt;Valores!$C$88,Valores!$C$88,Valores!$C$89*B252)</f>
        <v>0</v>
      </c>
      <c r="AK252" s="125">
        <f>Valores!C$39*B252</f>
        <v>0</v>
      </c>
      <c r="AL252" s="125">
        <f>IF($F$3="NO",0,IF(Valores!$C$61*B252&gt;Valores!$F$61,Valores!$F$61,Valores!$C$61*B252))</f>
        <v>147.6267</v>
      </c>
      <c r="AM252" s="125">
        <f t="shared" si="32"/>
        <v>147.6267</v>
      </c>
      <c r="AN252" s="125">
        <f>AH252*Valores!$C$70</f>
        <v>-7714.3154</v>
      </c>
      <c r="AO252" s="125">
        <f>AH252*-Valores!$C$71</f>
        <v>0</v>
      </c>
      <c r="AP252" s="125">
        <f>AH252*Valores!$C$72</f>
        <v>-3155.8563</v>
      </c>
      <c r="AQ252" s="125">
        <f>Valores!$C$99</f>
        <v>-280.91</v>
      </c>
      <c r="AR252" s="125">
        <f>IF($F$5=0,Valores!$C$100,(Valores!$C$100+$F$5*(Valores!$C$100)))</f>
        <v>-329</v>
      </c>
      <c r="AS252" s="125">
        <f t="shared" si="35"/>
        <v>58797.685</v>
      </c>
      <c r="AT252" s="125">
        <f t="shared" si="29"/>
        <v>-7714.3154</v>
      </c>
      <c r="AU252" s="125">
        <f>AH252*Valores!$C$73</f>
        <v>-1893.51378</v>
      </c>
      <c r="AV252" s="125">
        <f>AH252*Valores!$C$74</f>
        <v>-210.39042</v>
      </c>
      <c r="AW252" s="125">
        <f t="shared" si="33"/>
        <v>60459.547099999996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28457.82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5343.3</v>
      </c>
      <c r="N253" s="125">
        <f t="shared" si="30"/>
        <v>0</v>
      </c>
      <c r="O253" s="125">
        <f>Valores!$C$7*B253</f>
        <v>12216.26</v>
      </c>
      <c r="P253" s="125">
        <f>ROUND(IF(B253&lt;15,(Valores!$E$5*B253),Valores!$D$5),2)</f>
        <v>12276.46</v>
      </c>
      <c r="Q253" s="125">
        <v>0</v>
      </c>
      <c r="R253" s="125">
        <f>IF($F$4="NO",Valores!$C$48*B253,Valores!$C$48*B253/2)</f>
        <v>3321.85</v>
      </c>
      <c r="S253" s="125">
        <f>Valores!$C$18*B253</f>
        <v>3842.2999999999997</v>
      </c>
      <c r="T253" s="125">
        <f t="shared" si="36"/>
        <v>3842.3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IF(Valores!$C$96*B253&gt;Valores!$C$95,Valores!$C$95,Valores!$C$96*B253)</f>
        <v>3919.16</v>
      </c>
      <c r="AA253" s="125">
        <f>IF((Valores!$C$28)*B253&gt;Valores!$F$28,Valores!$F$28,(Valores!$C$28)*B253)</f>
        <v>301.7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251.29999999999998</v>
      </c>
      <c r="AE253" s="192">
        <v>0</v>
      </c>
      <c r="AF253" s="125">
        <f>ROUND(AE253*Valores!$C$2,2)</f>
        <v>0</v>
      </c>
      <c r="AG253" s="125">
        <f>IF($F$4="NO",IF(Valores!$D$62*'Escala Docente'!B253&gt;Valores!$F$62,Valores!$F$62,Valores!$D$62*'Escala Docente'!B253),IF(Valores!$D$62*'Escala Docente'!B253&gt;Valores!$F$62,Valores!$F$62,Valores!$D$62*'Escala Docente'!B253)/2)</f>
        <v>2989.91</v>
      </c>
      <c r="AH253" s="125">
        <f t="shared" si="34"/>
        <v>72920.06000000001</v>
      </c>
      <c r="AI253" s="125">
        <f>IF(Valores!$C$32*B253&gt;Valores!$F$32,Valores!$F$32,Valores!$C$32*B253)</f>
        <v>0</v>
      </c>
      <c r="AJ253" s="125">
        <f>IF(Valores!$C$89*B253&gt;Valores!$C$88,Valores!$C$88,Valores!$C$89*B253)</f>
        <v>0</v>
      </c>
      <c r="AK253" s="125">
        <f>Valores!C$39*B253</f>
        <v>0</v>
      </c>
      <c r="AL253" s="125">
        <f>IF($F$3="NO",0,IF(Valores!$C$61*B253&gt;Valores!$F$61,Valores!$F$61,Valores!$C$61*B253))</f>
        <v>158.9826</v>
      </c>
      <c r="AM253" s="125">
        <f t="shared" si="32"/>
        <v>158.9826</v>
      </c>
      <c r="AN253" s="125">
        <f>AH253*Valores!$C$70</f>
        <v>-8021.206600000001</v>
      </c>
      <c r="AO253" s="125">
        <f>AH253*-Valores!$C$71</f>
        <v>0</v>
      </c>
      <c r="AP253" s="125">
        <f>AH253*Valores!$C$72</f>
        <v>-3281.4027000000006</v>
      </c>
      <c r="AQ253" s="125">
        <f>Valores!$C$99</f>
        <v>-280.91</v>
      </c>
      <c r="AR253" s="125">
        <f>IF($F$5=0,Valores!$C$100,(Valores!$C$100+$F$5*(Valores!$C$100)))</f>
        <v>-329</v>
      </c>
      <c r="AS253" s="125">
        <f t="shared" si="35"/>
        <v>61166.523300000015</v>
      </c>
      <c r="AT253" s="125">
        <f t="shared" si="29"/>
        <v>-8021.206600000001</v>
      </c>
      <c r="AU253" s="125">
        <f>AH253*Valores!$C$73</f>
        <v>-1968.8416200000004</v>
      </c>
      <c r="AV253" s="125">
        <f>AH253*Valores!$C$74</f>
        <v>-218.76018000000005</v>
      </c>
      <c r="AW253" s="125">
        <f t="shared" si="33"/>
        <v>62870.23420000001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28457.82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5343.3</v>
      </c>
      <c r="N254" s="125">
        <f t="shared" si="30"/>
        <v>0</v>
      </c>
      <c r="O254" s="125">
        <f>Valores!$C$7*B254</f>
        <v>12216.26</v>
      </c>
      <c r="P254" s="125">
        <f>ROUND(IF(B254&lt;15,(Valores!$E$5*B254),Valores!$D$5),2)</f>
        <v>12276.46</v>
      </c>
      <c r="Q254" s="125">
        <v>0</v>
      </c>
      <c r="R254" s="125">
        <f>IF($F$4="NO",Valores!$C$48*B254,Valores!$C$48*B254/2)</f>
        <v>3321.85</v>
      </c>
      <c r="S254" s="125">
        <f>Valores!$C$18*B254</f>
        <v>3842.2999999999997</v>
      </c>
      <c r="T254" s="125">
        <f t="shared" si="36"/>
        <v>3842.3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IF(Valores!$C$96*B254&gt;Valores!$C$95,Valores!$C$95,Valores!$C$96*B254)</f>
        <v>3919.16</v>
      </c>
      <c r="AA254" s="125">
        <f>IF((Valores!$C$28)*B254&gt;Valores!$F$28,Valores!$F$28,(Valores!$C$28)*B254)</f>
        <v>301.7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251.29999999999998</v>
      </c>
      <c r="AE254" s="192">
        <v>94</v>
      </c>
      <c r="AF254" s="125">
        <f>ROUND(AE254*Valores!$C$2,2)</f>
        <v>2418.66</v>
      </c>
      <c r="AG254" s="125">
        <f>IF($F$4="NO",IF(Valores!$D$62*'Escala Docente'!B254&gt;Valores!$F$62,Valores!$F$62,Valores!$D$62*'Escala Docente'!B254),IF(Valores!$D$62*'Escala Docente'!B254&gt;Valores!$F$62,Valores!$F$62,Valores!$D$62*'Escala Docente'!B254)/2)</f>
        <v>2989.91</v>
      </c>
      <c r="AH254" s="125">
        <f t="shared" si="34"/>
        <v>75338.72000000002</v>
      </c>
      <c r="AI254" s="125">
        <f>IF(Valores!$C$32*B254&gt;Valores!$F$32,Valores!$F$32,Valores!$C$32*B254)</f>
        <v>0</v>
      </c>
      <c r="AJ254" s="125">
        <f>IF(Valores!$C$89*B254&gt;Valores!$C$88,Valores!$C$88,Valores!$C$89*B254)</f>
        <v>0</v>
      </c>
      <c r="AK254" s="125">
        <f>Valores!C$39*B254</f>
        <v>0</v>
      </c>
      <c r="AL254" s="125">
        <f>IF($F$3="NO",0,IF(Valores!$C$61*B254&gt;Valores!$F$61,Valores!$F$61,Valores!$C$61*B254))</f>
        <v>158.9826</v>
      </c>
      <c r="AM254" s="125">
        <f t="shared" si="32"/>
        <v>158.9826</v>
      </c>
      <c r="AN254" s="125">
        <f>AH254*Valores!$C$70</f>
        <v>-8287.259200000002</v>
      </c>
      <c r="AO254" s="125">
        <f>AH254*-Valores!$C$71</f>
        <v>0</v>
      </c>
      <c r="AP254" s="125">
        <f>AH254*Valores!$C$72</f>
        <v>-3390.2424000000005</v>
      </c>
      <c r="AQ254" s="125">
        <f>Valores!$C$99</f>
        <v>-280.91</v>
      </c>
      <c r="AR254" s="125">
        <f>IF($F$5=0,Valores!$C$100,(Valores!$C$100+$F$5*(Valores!$C$100)))</f>
        <v>-329</v>
      </c>
      <c r="AS254" s="125">
        <f t="shared" si="35"/>
        <v>63210.29100000001</v>
      </c>
      <c r="AT254" s="125">
        <f t="shared" si="29"/>
        <v>-8287.259200000002</v>
      </c>
      <c r="AU254" s="125">
        <f>AH254*Valores!$C$73</f>
        <v>-2034.1454400000005</v>
      </c>
      <c r="AV254" s="125">
        <f>AH254*Valores!$C$74</f>
        <v>-226.01616000000004</v>
      </c>
      <c r="AW254" s="125">
        <f t="shared" si="33"/>
        <v>64950.28180000002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30490.52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5724.96</v>
      </c>
      <c r="N255" s="125">
        <f t="shared" si="30"/>
        <v>0</v>
      </c>
      <c r="O255" s="125">
        <f>Valores!$C$7*B255</f>
        <v>13088.85</v>
      </c>
      <c r="P255" s="125">
        <f>ROUND(IF(B255&lt;15,(Valores!$E$5*B255),Valores!$D$5),2)</f>
        <v>13153.38</v>
      </c>
      <c r="Q255" s="125">
        <v>0</v>
      </c>
      <c r="R255" s="125">
        <f>IF($F$4="NO",Valores!$C$48*B255,Valores!$C$48*B255/2)</f>
        <v>3559.125</v>
      </c>
      <c r="S255" s="125">
        <f>Valores!$C$18*B255</f>
        <v>4116.75</v>
      </c>
      <c r="T255" s="125">
        <f t="shared" si="36"/>
        <v>4116.75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IF(Valores!$C$96*B255&gt;Valores!$C$95,Valores!$C$95,Valores!$C$96*B255)</f>
        <v>4199.1</v>
      </c>
      <c r="AA255" s="125">
        <f>IF((Valores!$C$28)*B255&gt;Valores!$F$28,Valores!$F$28,(Valores!$C$28)*B255)</f>
        <v>323.25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269.25</v>
      </c>
      <c r="AE255" s="192">
        <v>0</v>
      </c>
      <c r="AF255" s="125">
        <f>ROUND(AE255*Valores!$C$2,2)</f>
        <v>0</v>
      </c>
      <c r="AG255" s="125">
        <f>IF($F$4="NO",IF(Valores!$D$62*'Escala Docente'!B255&gt;Valores!$F$62,Valores!$F$62,Valores!$D$62*'Escala Docente'!B255),IF(Valores!$D$62*'Escala Docente'!B255&gt;Valores!$F$62,Valores!$F$62,Valores!$D$62*'Escala Docente'!B255)/2)</f>
        <v>3203.475</v>
      </c>
      <c r="AH255" s="125">
        <f t="shared" si="34"/>
        <v>78128.66</v>
      </c>
      <c r="AI255" s="125">
        <f>IF(Valores!$C$32*B255&gt;Valores!$F$32,Valores!$F$32,Valores!$C$32*B255)</f>
        <v>0</v>
      </c>
      <c r="AJ255" s="125">
        <f>IF(Valores!$C$89*B255&gt;Valores!$C$88,Valores!$C$88,Valores!$C$89*B255)</f>
        <v>0</v>
      </c>
      <c r="AK255" s="125">
        <f>Valores!C$39*B255</f>
        <v>0</v>
      </c>
      <c r="AL255" s="125">
        <f>IF($F$3="NO",0,IF(Valores!$C$61*B255&gt;Valores!$F$61,Valores!$F$61,Valores!$C$61*B255))</f>
        <v>170.3385</v>
      </c>
      <c r="AM255" s="125">
        <f t="shared" si="32"/>
        <v>170.3385</v>
      </c>
      <c r="AN255" s="125">
        <f>AH255*Valores!$C$70</f>
        <v>-8594.152600000001</v>
      </c>
      <c r="AO255" s="125">
        <f>AH255*-Valores!$C$71</f>
        <v>0</v>
      </c>
      <c r="AP255" s="125">
        <f>AH255*Valores!$C$72</f>
        <v>-3515.7897</v>
      </c>
      <c r="AQ255" s="125">
        <f>Valores!$C$99</f>
        <v>-280.91</v>
      </c>
      <c r="AR255" s="125">
        <f>IF($F$5=0,Valores!$C$100,(Valores!$C$100+$F$5*(Valores!$C$100)))</f>
        <v>-329</v>
      </c>
      <c r="AS255" s="125">
        <f t="shared" si="35"/>
        <v>65579.1462</v>
      </c>
      <c r="AT255" s="125">
        <f t="shared" si="29"/>
        <v>-8594.152600000001</v>
      </c>
      <c r="AU255" s="125">
        <f>AH255*Valores!$C$73</f>
        <v>-2109.47382</v>
      </c>
      <c r="AV255" s="125">
        <f>AH255*Valores!$C$74</f>
        <v>-234.38598000000002</v>
      </c>
      <c r="AW255" s="125">
        <f t="shared" si="33"/>
        <v>67360.98610000001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30490.52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5724.96</v>
      </c>
      <c r="N256" s="125">
        <f t="shared" si="30"/>
        <v>0</v>
      </c>
      <c r="O256" s="125">
        <f>Valores!$C$7*B256</f>
        <v>13088.85</v>
      </c>
      <c r="P256" s="125">
        <f>ROUND(IF(B256&lt;15,(Valores!$E$5*B256),Valores!$D$5),2)</f>
        <v>13153.38</v>
      </c>
      <c r="Q256" s="125">
        <v>0</v>
      </c>
      <c r="R256" s="125">
        <f>IF($F$4="NO",Valores!$C$48*B256,Valores!$C$48*B256/2)</f>
        <v>3559.125</v>
      </c>
      <c r="S256" s="125">
        <f>Valores!$C$18*B256</f>
        <v>4116.75</v>
      </c>
      <c r="T256" s="125">
        <f t="shared" si="36"/>
        <v>4116.75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IF(Valores!$C$96*B256&gt;Valores!$C$95,Valores!$C$95,Valores!$C$96*B256)</f>
        <v>4199.1</v>
      </c>
      <c r="AA256" s="125">
        <f>IF((Valores!$C$28)*B256&gt;Valores!$F$28,Valores!$F$28,(Valores!$C$28)*B256)</f>
        <v>323.25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269.25</v>
      </c>
      <c r="AE256" s="192">
        <v>94</v>
      </c>
      <c r="AF256" s="125">
        <f>ROUND(AE256*Valores!$C$2,2)</f>
        <v>2418.66</v>
      </c>
      <c r="AG256" s="125">
        <f>IF($F$4="NO",IF(Valores!$D$62*'Escala Docente'!B256&gt;Valores!$F$62,Valores!$F$62,Valores!$D$62*'Escala Docente'!B256),IF(Valores!$D$62*'Escala Docente'!B256&gt;Valores!$F$62,Valores!$F$62,Valores!$D$62*'Escala Docente'!B256)/2)</f>
        <v>3203.475</v>
      </c>
      <c r="AH256" s="125">
        <f t="shared" si="34"/>
        <v>80547.32</v>
      </c>
      <c r="AI256" s="125">
        <f>IF(Valores!$C$32*B256&gt;Valores!$F$32,Valores!$F$32,Valores!$C$32*B256)</f>
        <v>0</v>
      </c>
      <c r="AJ256" s="125">
        <f>IF(Valores!$C$89*B256&gt;Valores!$C$88,Valores!$C$88,Valores!$C$89*B256)</f>
        <v>0</v>
      </c>
      <c r="AK256" s="125">
        <f>Valores!C$39*B256</f>
        <v>0</v>
      </c>
      <c r="AL256" s="125">
        <f>IF($F$3="NO",0,IF(Valores!$C$61*B256&gt;Valores!$F$61,Valores!$F$61,Valores!$C$61*B256))</f>
        <v>170.3385</v>
      </c>
      <c r="AM256" s="125">
        <f t="shared" si="32"/>
        <v>170.3385</v>
      </c>
      <c r="AN256" s="125">
        <f>AH256*Valores!$C$70</f>
        <v>-8860.2052</v>
      </c>
      <c r="AO256" s="125">
        <f>AH256*-Valores!$C$71</f>
        <v>0</v>
      </c>
      <c r="AP256" s="125">
        <f>AH256*Valores!$C$72</f>
        <v>-3624.6294000000003</v>
      </c>
      <c r="AQ256" s="125">
        <f>Valores!$C$99</f>
        <v>-280.91</v>
      </c>
      <c r="AR256" s="125">
        <f>IF($F$5=0,Valores!$C$100,(Valores!$C$100+$F$5*(Valores!$C$100)))</f>
        <v>-329</v>
      </c>
      <c r="AS256" s="125">
        <f t="shared" si="35"/>
        <v>67622.91390000001</v>
      </c>
      <c r="AT256" s="125">
        <f t="shared" si="29"/>
        <v>-8860.2052</v>
      </c>
      <c r="AU256" s="125">
        <f>AH256*Valores!$C$73</f>
        <v>-2174.7776400000002</v>
      </c>
      <c r="AV256" s="125">
        <f>AH256*Valores!$C$74</f>
        <v>-241.64196000000004</v>
      </c>
      <c r="AW256" s="125">
        <f t="shared" si="33"/>
        <v>69441.0337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32523.23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6106.62</v>
      </c>
      <c r="N257" s="125">
        <f t="shared" si="30"/>
        <v>0</v>
      </c>
      <c r="O257" s="125">
        <f>Valores!$C$7*B257</f>
        <v>13961.44</v>
      </c>
      <c r="P257" s="125">
        <f>ROUND(IF(B257&lt;15,(Valores!$E$5*B257),Valores!$D$5),2)</f>
        <v>13153.38</v>
      </c>
      <c r="Q257" s="125">
        <v>0</v>
      </c>
      <c r="R257" s="125">
        <f>IF($F$4="NO",Valores!$C$48*B257,Valores!$C$48*B257/2)</f>
        <v>3796.4</v>
      </c>
      <c r="S257" s="125">
        <f>Valores!$C$18*B257</f>
        <v>4391.2</v>
      </c>
      <c r="T257" s="125">
        <f t="shared" si="36"/>
        <v>4391.2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IF(Valores!$C$96*B257&gt;Valores!$C$95,Valores!$C$95,Valores!$C$96*B257)</f>
        <v>4479.04</v>
      </c>
      <c r="AA257" s="125">
        <f>IF((Valores!$C$28)*B257&gt;Valores!$F$28,Valores!$F$28,(Valores!$C$28)*B257)</f>
        <v>344.8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287.2</v>
      </c>
      <c r="AE257" s="192">
        <v>0</v>
      </c>
      <c r="AF257" s="125">
        <f>ROUND(AE257*Valores!$C$2,2)</f>
        <v>0</v>
      </c>
      <c r="AG257" s="125">
        <f>IF($F$4="NO",IF(Valores!$D$62*'Escala Docente'!B257&gt;Valores!$F$62,Valores!$F$62,Valores!$D$62*'Escala Docente'!B257),IF(Valores!$D$62*'Escala Docente'!B257&gt;Valores!$F$62,Valores!$F$62,Valores!$D$62*'Escala Docente'!B257)/2)</f>
        <v>3417.04</v>
      </c>
      <c r="AH257" s="125">
        <f t="shared" si="34"/>
        <v>82460.34999999998</v>
      </c>
      <c r="AI257" s="125">
        <f>IF(Valores!$C$32*B257&gt;Valores!$F$32,Valores!$F$32,Valores!$C$32*B257)</f>
        <v>0</v>
      </c>
      <c r="AJ257" s="125">
        <f>IF(Valores!$C$89*B257&gt;Valores!$C$88,Valores!$C$88,Valores!$C$89*B257)</f>
        <v>0</v>
      </c>
      <c r="AK257" s="125">
        <f>Valores!C$39*B257</f>
        <v>0</v>
      </c>
      <c r="AL257" s="125">
        <f>IF($F$3="NO",0,IF(Valores!$C$61*B257&gt;Valores!$F$61,Valores!$F$61,Valores!$C$61*B257))</f>
        <v>181.6944</v>
      </c>
      <c r="AM257" s="125">
        <f t="shared" si="32"/>
        <v>181.6944</v>
      </c>
      <c r="AN257" s="125">
        <f>AH257*Valores!$C$70</f>
        <v>-9070.638499999997</v>
      </c>
      <c r="AO257" s="125">
        <f>AH257*-Valores!$C$71</f>
        <v>0</v>
      </c>
      <c r="AP257" s="125">
        <f>AH257*Valores!$C$72</f>
        <v>-3710.715749999999</v>
      </c>
      <c r="AQ257" s="125">
        <f>Valores!$C$99</f>
        <v>-280.91</v>
      </c>
      <c r="AR257" s="125">
        <f>IF($F$5=0,Valores!$C$100,(Valores!$C$100+$F$5*(Valores!$C$100)))</f>
        <v>-329</v>
      </c>
      <c r="AS257" s="125">
        <f t="shared" si="35"/>
        <v>69250.78014999998</v>
      </c>
      <c r="AT257" s="125">
        <f t="shared" si="29"/>
        <v>-9070.638499999997</v>
      </c>
      <c r="AU257" s="125">
        <f>AH257*Valores!$C$73</f>
        <v>-2226.429449999999</v>
      </c>
      <c r="AV257" s="125">
        <f>AH257*Valores!$C$74</f>
        <v>-247.38104999999993</v>
      </c>
      <c r="AW257" s="125">
        <f t="shared" si="33"/>
        <v>71097.59539999998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32523.23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6106.62</v>
      </c>
      <c r="N258" s="125">
        <f t="shared" si="30"/>
        <v>0</v>
      </c>
      <c r="O258" s="125">
        <f>Valores!$C$7*B258</f>
        <v>13961.44</v>
      </c>
      <c r="P258" s="125">
        <f>ROUND(IF(B258&lt;15,(Valores!$E$5*B258),Valores!$D$5),2)</f>
        <v>13153.38</v>
      </c>
      <c r="Q258" s="125">
        <v>0</v>
      </c>
      <c r="R258" s="125">
        <f>IF($F$4="NO",Valores!$C$48*B258,Valores!$C$48*B258/2)</f>
        <v>3796.4</v>
      </c>
      <c r="S258" s="125">
        <f>Valores!$C$18*B258</f>
        <v>4391.2</v>
      </c>
      <c r="T258" s="125">
        <f t="shared" si="36"/>
        <v>4391.2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IF(Valores!$C$96*B258&gt;Valores!$C$95,Valores!$C$95,Valores!$C$96*B258)</f>
        <v>4479.04</v>
      </c>
      <c r="AA258" s="125">
        <f>IF((Valores!$C$28)*B258&gt;Valores!$F$28,Valores!$F$28,(Valores!$C$28)*B258)</f>
        <v>344.8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287.2</v>
      </c>
      <c r="AE258" s="192">
        <v>94</v>
      </c>
      <c r="AF258" s="125">
        <f>ROUND(AE258*Valores!$C$2,2)</f>
        <v>2418.66</v>
      </c>
      <c r="AG258" s="125">
        <f>IF($F$4="NO",IF(Valores!$D$62*'Escala Docente'!B258&gt;Valores!$F$62,Valores!$F$62,Valores!$D$62*'Escala Docente'!B258),IF(Valores!$D$62*'Escala Docente'!B258&gt;Valores!$F$62,Valores!$F$62,Valores!$D$62*'Escala Docente'!B258)/2)</f>
        <v>3417.04</v>
      </c>
      <c r="AH258" s="125">
        <f t="shared" si="34"/>
        <v>84879.00999999998</v>
      </c>
      <c r="AI258" s="125">
        <f>IF(Valores!$C$32*B258&gt;Valores!$F$32,Valores!$F$32,Valores!$C$32*B258)</f>
        <v>0</v>
      </c>
      <c r="AJ258" s="125">
        <f>IF(Valores!$C$89*B258&gt;Valores!$C$88,Valores!$C$88,Valores!$C$89*B258)</f>
        <v>0</v>
      </c>
      <c r="AK258" s="125">
        <f>Valores!C$39*B258</f>
        <v>0</v>
      </c>
      <c r="AL258" s="125">
        <f>IF($F$3="NO",0,IF(Valores!$C$61*B258&gt;Valores!$F$61,Valores!$F$61,Valores!$C$61*B258))</f>
        <v>181.6944</v>
      </c>
      <c r="AM258" s="125">
        <f t="shared" si="32"/>
        <v>181.6944</v>
      </c>
      <c r="AN258" s="125">
        <f>AH258*Valores!$C$70</f>
        <v>-9336.691099999998</v>
      </c>
      <c r="AO258" s="125">
        <f>AH258*-Valores!$C$71</f>
        <v>0</v>
      </c>
      <c r="AP258" s="125">
        <f>AH258*Valores!$C$72</f>
        <v>-3819.555449999999</v>
      </c>
      <c r="AQ258" s="125">
        <f>Valores!$C$99</f>
        <v>-280.91</v>
      </c>
      <c r="AR258" s="125">
        <f>IF($F$5=0,Valores!$C$100,(Valores!$C$100+$F$5*(Valores!$C$100)))</f>
        <v>-329</v>
      </c>
      <c r="AS258" s="125">
        <f t="shared" si="35"/>
        <v>71294.54784999999</v>
      </c>
      <c r="AT258" s="125">
        <f t="shared" si="29"/>
        <v>-9336.691099999998</v>
      </c>
      <c r="AU258" s="125">
        <f>AH258*Valores!$C$73</f>
        <v>-2291.7332699999993</v>
      </c>
      <c r="AV258" s="125">
        <f>AH258*Valores!$C$74</f>
        <v>-254.63702999999995</v>
      </c>
      <c r="AW258" s="125">
        <f t="shared" si="33"/>
        <v>73177.64299999998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34555.93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6488.29</v>
      </c>
      <c r="N259" s="125">
        <f t="shared" si="30"/>
        <v>0</v>
      </c>
      <c r="O259" s="125">
        <f>Valores!$C$7*B259</f>
        <v>14834.03</v>
      </c>
      <c r="P259" s="125">
        <f>ROUND(IF(B259&lt;15,(Valores!$E$5*B259),Valores!$D$5),2)</f>
        <v>13153.38</v>
      </c>
      <c r="Q259" s="125">
        <v>0</v>
      </c>
      <c r="R259" s="125">
        <f>IF($F$4="NO",Valores!$C$48*B259,Valores!$C$48*B259/2)</f>
        <v>4033.675</v>
      </c>
      <c r="S259" s="125">
        <f>Valores!$C$18*B259</f>
        <v>4665.65</v>
      </c>
      <c r="T259" s="125">
        <f t="shared" si="36"/>
        <v>4665.65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IF(Valores!$C$96*B259&gt;Valores!$C$95,Valores!$C$95,Valores!$C$96*B259)</f>
        <v>4758.98</v>
      </c>
      <c r="AA259" s="125">
        <f>IF((Valores!$C$28)*B259&gt;Valores!$F$28,Valores!$F$28,(Valores!$C$28)*B259)</f>
        <v>366.35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305.15</v>
      </c>
      <c r="AE259" s="192">
        <v>0</v>
      </c>
      <c r="AF259" s="125">
        <f>ROUND(AE259*Valores!$C$2,2)</f>
        <v>0</v>
      </c>
      <c r="AG259" s="125">
        <f>IF($F$4="NO",IF(Valores!$D$62*'Escala Docente'!B259&gt;Valores!$F$62,Valores!$F$62,Valores!$D$62*'Escala Docente'!B259),IF(Valores!$D$62*'Escala Docente'!B259&gt;Valores!$F$62,Valores!$F$62,Valores!$D$62*'Escala Docente'!B259)/2)</f>
        <v>3630.605</v>
      </c>
      <c r="AH259" s="125">
        <f t="shared" si="34"/>
        <v>86792.04</v>
      </c>
      <c r="AI259" s="125">
        <f>IF(Valores!$C$32*B259&gt;Valores!$F$32,Valores!$F$32,Valores!$C$32*B259)</f>
        <v>0</v>
      </c>
      <c r="AJ259" s="125">
        <f>IF(Valores!$C$89*B259&gt;Valores!$C$88,Valores!$C$88,Valores!$C$89*B259)</f>
        <v>0</v>
      </c>
      <c r="AK259" s="125">
        <f>Valores!C$39*B259</f>
        <v>0</v>
      </c>
      <c r="AL259" s="125">
        <f>IF($F$3="NO",0,IF(Valores!$C$61*B259&gt;Valores!$F$61,Valores!$F$61,Valores!$C$61*B259))</f>
        <v>193.0503</v>
      </c>
      <c r="AM259" s="125">
        <f t="shared" si="32"/>
        <v>193.0503</v>
      </c>
      <c r="AN259" s="125">
        <f>AH259*Valores!$C$70</f>
        <v>-9547.124399999999</v>
      </c>
      <c r="AO259" s="125">
        <f>AH259*-Valores!$C$71</f>
        <v>0</v>
      </c>
      <c r="AP259" s="125">
        <f>AH259*Valores!$C$72</f>
        <v>-3905.6417999999994</v>
      </c>
      <c r="AQ259" s="125">
        <f>Valores!$C$99</f>
        <v>-280.91</v>
      </c>
      <c r="AR259" s="125">
        <f>IF($F$5=0,Valores!$C$100,(Valores!$C$100+$F$5*(Valores!$C$100)))</f>
        <v>-329</v>
      </c>
      <c r="AS259" s="125">
        <f t="shared" si="35"/>
        <v>72922.4141</v>
      </c>
      <c r="AT259" s="125">
        <f t="shared" si="29"/>
        <v>-9547.124399999999</v>
      </c>
      <c r="AU259" s="125">
        <f>AH259*Valores!$C$73</f>
        <v>-2343.38508</v>
      </c>
      <c r="AV259" s="125">
        <f>AH259*Valores!$C$74</f>
        <v>-260.37612</v>
      </c>
      <c r="AW259" s="125">
        <f t="shared" si="33"/>
        <v>74834.2047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34555.93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6488.29</v>
      </c>
      <c r="N260" s="125">
        <f t="shared" si="30"/>
        <v>0</v>
      </c>
      <c r="O260" s="125">
        <f>Valores!$C$7*B260</f>
        <v>14834.03</v>
      </c>
      <c r="P260" s="125">
        <f>ROUND(IF(B260&lt;15,(Valores!$E$5*B260),Valores!$D$5),2)</f>
        <v>13153.38</v>
      </c>
      <c r="Q260" s="125">
        <v>0</v>
      </c>
      <c r="R260" s="125">
        <f>IF($F$4="NO",Valores!$C$48*B260,Valores!$C$48*B260/2)</f>
        <v>4033.675</v>
      </c>
      <c r="S260" s="125">
        <f>Valores!$C$18*B260</f>
        <v>4665.65</v>
      </c>
      <c r="T260" s="125">
        <f t="shared" si="36"/>
        <v>4665.65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IF(Valores!$C$96*B260&gt;Valores!$C$95,Valores!$C$95,Valores!$C$96*B260)</f>
        <v>4758.98</v>
      </c>
      <c r="AA260" s="125">
        <f>IF((Valores!$C$28)*B260&gt;Valores!$F$28,Valores!$F$28,(Valores!$C$28)*B260)</f>
        <v>366.35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305.15</v>
      </c>
      <c r="AE260" s="192">
        <v>94</v>
      </c>
      <c r="AF260" s="125">
        <f>ROUND(AE260*Valores!$C$2,2)</f>
        <v>2418.66</v>
      </c>
      <c r="AG260" s="125">
        <f>IF($F$4="NO",IF(Valores!$D$62*'Escala Docente'!B260&gt;Valores!$F$62,Valores!$F$62,Valores!$D$62*'Escala Docente'!B260),IF(Valores!$D$62*'Escala Docente'!B260&gt;Valores!$F$62,Valores!$F$62,Valores!$D$62*'Escala Docente'!B260)/2)</f>
        <v>3630.605</v>
      </c>
      <c r="AH260" s="125">
        <f t="shared" si="34"/>
        <v>89210.7</v>
      </c>
      <c r="AI260" s="125">
        <f>IF(Valores!$C$32*B260&gt;Valores!$F$32,Valores!$F$32,Valores!$C$32*B260)</f>
        <v>0</v>
      </c>
      <c r="AJ260" s="125">
        <f>IF(Valores!$C$89*B260&gt;Valores!$C$88,Valores!$C$88,Valores!$C$89*B260)</f>
        <v>0</v>
      </c>
      <c r="AK260" s="125">
        <f>Valores!C$39*B260</f>
        <v>0</v>
      </c>
      <c r="AL260" s="125">
        <f>IF($F$3="NO",0,IF(Valores!$C$61*B260&gt;Valores!$F$61,Valores!$F$61,Valores!$C$61*B260))</f>
        <v>193.0503</v>
      </c>
      <c r="AM260" s="125">
        <f t="shared" si="32"/>
        <v>193.0503</v>
      </c>
      <c r="AN260" s="125">
        <f>AH260*Valores!$C$70</f>
        <v>-9813.177</v>
      </c>
      <c r="AO260" s="125">
        <f>AH260*-Valores!$C$71</f>
        <v>0</v>
      </c>
      <c r="AP260" s="125">
        <f>AH260*Valores!$C$72</f>
        <v>-4014.4815</v>
      </c>
      <c r="AQ260" s="125">
        <f>Valores!$C$99</f>
        <v>-280.91</v>
      </c>
      <c r="AR260" s="125">
        <f>IF($F$5=0,Valores!$C$100,(Valores!$C$100+$F$5*(Valores!$C$100)))</f>
        <v>-329</v>
      </c>
      <c r="AS260" s="125">
        <f t="shared" si="35"/>
        <v>74966.18179999999</v>
      </c>
      <c r="AT260" s="125">
        <f t="shared" si="29"/>
        <v>-9813.177</v>
      </c>
      <c r="AU260" s="125">
        <f>AH260*Valores!$C$73</f>
        <v>-2408.6889</v>
      </c>
      <c r="AV260" s="125">
        <f>AH260*Valores!$C$74</f>
        <v>-267.6321</v>
      </c>
      <c r="AW260" s="125">
        <f t="shared" si="33"/>
        <v>76914.2523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36588.63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6869.95</v>
      </c>
      <c r="N261" s="125">
        <f t="shared" si="30"/>
        <v>0</v>
      </c>
      <c r="O261" s="125">
        <f>Valores!$C$7*B261</f>
        <v>15706.62</v>
      </c>
      <c r="P261" s="125">
        <f>ROUND(IF(B261&lt;15,(Valores!$E$5*B261),Valores!$D$5),2)</f>
        <v>13153.38</v>
      </c>
      <c r="Q261" s="125">
        <v>0</v>
      </c>
      <c r="R261" s="125">
        <f>IF($F$4="NO",Valores!$C$48*B261,Valores!$C$48*B261/2)</f>
        <v>4270.95</v>
      </c>
      <c r="S261" s="125">
        <f>Valores!$C$18*B261</f>
        <v>4940.099999999999</v>
      </c>
      <c r="T261" s="125">
        <f t="shared" si="36"/>
        <v>4940.1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IF(Valores!$C$96*B261&gt;Valores!$C$95,Valores!$C$95,Valores!$C$96*B261)</f>
        <v>5038.92</v>
      </c>
      <c r="AA261" s="125">
        <f>IF((Valores!$C$28)*B261&gt;Valores!$F$28,Valores!$F$28,(Valores!$C$28)*B261)</f>
        <v>387.90000000000003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323.09999999999997</v>
      </c>
      <c r="AE261" s="192">
        <v>0</v>
      </c>
      <c r="AF261" s="125">
        <f>ROUND(AE261*Valores!$C$2,2)</f>
        <v>0</v>
      </c>
      <c r="AG261" s="125">
        <f>IF($F$4="NO",IF(Valores!$D$62*'Escala Docente'!B261&gt;Valores!$F$62,Valores!$F$62,Valores!$D$62*'Escala Docente'!B261),IF(Valores!$D$62*'Escala Docente'!B261&gt;Valores!$F$62,Valores!$F$62,Valores!$D$62*'Escala Docente'!B261)/2)</f>
        <v>3844.17</v>
      </c>
      <c r="AH261" s="125">
        <f t="shared" si="34"/>
        <v>91123.72</v>
      </c>
      <c r="AI261" s="125">
        <f>IF(Valores!$C$32*B261&gt;Valores!$F$32,Valores!$F$32,Valores!$C$32*B261)</f>
        <v>0</v>
      </c>
      <c r="AJ261" s="125">
        <f>IF(Valores!$C$89*B261&gt;Valores!$C$88,Valores!$C$88,Valores!$C$89*B261)</f>
        <v>0</v>
      </c>
      <c r="AK261" s="125">
        <f>Valores!C$39*B261</f>
        <v>0</v>
      </c>
      <c r="AL261" s="125">
        <f>IF($F$3="NO",0,IF(Valores!$C$61*B261&gt;Valores!$F$61,Valores!$F$61,Valores!$C$61*B261))</f>
        <v>204.4062</v>
      </c>
      <c r="AM261" s="125">
        <f t="shared" si="32"/>
        <v>204.4062</v>
      </c>
      <c r="AN261" s="125">
        <f>AH261*Valores!$C$70</f>
        <v>-10023.6092</v>
      </c>
      <c r="AO261" s="125">
        <f>AH261*-Valores!$C$71</f>
        <v>0</v>
      </c>
      <c r="AP261" s="125">
        <f>AH261*Valores!$C$72</f>
        <v>-4100.5674</v>
      </c>
      <c r="AQ261" s="125">
        <f>Valores!$C$99</f>
        <v>-280.91</v>
      </c>
      <c r="AR261" s="125">
        <f>IF($F$5=0,Valores!$C$100,(Valores!$C$100+$F$5*(Valores!$C$100)))</f>
        <v>-329</v>
      </c>
      <c r="AS261" s="125">
        <f t="shared" si="35"/>
        <v>76594.0396</v>
      </c>
      <c r="AT261" s="125">
        <f aca="true" t="shared" si="41" ref="AT261:AT325">AN261</f>
        <v>-10023.6092</v>
      </c>
      <c r="AU261" s="125">
        <f>AH261*Valores!$C$73</f>
        <v>-2460.34044</v>
      </c>
      <c r="AV261" s="125">
        <f>AH261*Valores!$C$74</f>
        <v>-273.37116000000003</v>
      </c>
      <c r="AW261" s="125">
        <f t="shared" si="33"/>
        <v>78570.8054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36588.63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6869.95</v>
      </c>
      <c r="N262" s="125">
        <f t="shared" si="30"/>
        <v>0</v>
      </c>
      <c r="O262" s="125">
        <f>Valores!$C$7*B262</f>
        <v>15706.62</v>
      </c>
      <c r="P262" s="125">
        <f>ROUND(IF(B262&lt;15,(Valores!$E$5*B262),Valores!$D$5),2)</f>
        <v>13153.38</v>
      </c>
      <c r="Q262" s="125">
        <v>0</v>
      </c>
      <c r="R262" s="125">
        <f>IF($F$4="NO",Valores!$C$48*B262,Valores!$C$48*B262/2)</f>
        <v>4270.95</v>
      </c>
      <c r="S262" s="125">
        <f>Valores!$C$18*B262</f>
        <v>4940.099999999999</v>
      </c>
      <c r="T262" s="125">
        <f t="shared" si="36"/>
        <v>4940.1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IF(Valores!$C$96*B262&gt;Valores!$C$95,Valores!$C$95,Valores!$C$96*B262)</f>
        <v>5038.92</v>
      </c>
      <c r="AA262" s="125">
        <f>IF((Valores!$C$28)*B262&gt;Valores!$F$28,Valores!$F$28,(Valores!$C$28)*B262)</f>
        <v>387.90000000000003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323.09999999999997</v>
      </c>
      <c r="AE262" s="192">
        <v>94</v>
      </c>
      <c r="AF262" s="125">
        <f>ROUND(AE262*Valores!$C$2,2)</f>
        <v>2418.66</v>
      </c>
      <c r="AG262" s="125">
        <f>IF($F$4="NO",IF(Valores!$D$62*'Escala Docente'!B262&gt;Valores!$F$62,Valores!$F$62,Valores!$D$62*'Escala Docente'!B262),IF(Valores!$D$62*'Escala Docente'!B262&gt;Valores!$F$62,Valores!$F$62,Valores!$D$62*'Escala Docente'!B262)/2)</f>
        <v>3844.17</v>
      </c>
      <c r="AH262" s="125">
        <f t="shared" si="34"/>
        <v>93542.38</v>
      </c>
      <c r="AI262" s="125">
        <f>IF(Valores!$C$32*B262&gt;Valores!$F$32,Valores!$F$32,Valores!$C$32*B262)</f>
        <v>0</v>
      </c>
      <c r="AJ262" s="125">
        <f>IF(Valores!$C$89*B262&gt;Valores!$C$88,Valores!$C$88,Valores!$C$89*B262)</f>
        <v>0</v>
      </c>
      <c r="AK262" s="125">
        <f>Valores!C$39*B262</f>
        <v>0</v>
      </c>
      <c r="AL262" s="125">
        <f>IF($F$3="NO",0,IF(Valores!$C$61*B262&gt;Valores!$F$61,Valores!$F$61,Valores!$C$61*B262))</f>
        <v>204.4062</v>
      </c>
      <c r="AM262" s="125">
        <f t="shared" si="32"/>
        <v>204.4062</v>
      </c>
      <c r="AN262" s="125">
        <f>AH262*Valores!$C$70</f>
        <v>-10289.6618</v>
      </c>
      <c r="AO262" s="125">
        <f>AH262*-Valores!$C$71</f>
        <v>0</v>
      </c>
      <c r="AP262" s="125">
        <f>AH262*Valores!$C$72</f>
        <v>-4209.4071</v>
      </c>
      <c r="AQ262" s="125">
        <f>Valores!$C$99</f>
        <v>-280.91</v>
      </c>
      <c r="AR262" s="125">
        <f>IF($F$5=0,Valores!$C$100,(Valores!$C$100+$F$5*(Valores!$C$100)))</f>
        <v>-329</v>
      </c>
      <c r="AS262" s="125">
        <f t="shared" si="35"/>
        <v>78637.8073</v>
      </c>
      <c r="AT262" s="125">
        <f t="shared" si="41"/>
        <v>-10289.6618</v>
      </c>
      <c r="AU262" s="125">
        <f>AH262*Valores!$C$73</f>
        <v>-2525.64426</v>
      </c>
      <c r="AV262" s="125">
        <f>AH262*Valores!$C$74</f>
        <v>-280.62714</v>
      </c>
      <c r="AW262" s="125">
        <f t="shared" si="33"/>
        <v>80650.853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38621.33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7251.62</v>
      </c>
      <c r="N263" s="125">
        <f t="shared" si="30"/>
        <v>0</v>
      </c>
      <c r="O263" s="125">
        <f>Valores!$C$7*B263</f>
        <v>16579.21</v>
      </c>
      <c r="P263" s="125">
        <f>ROUND(IF(B263&lt;15,(Valores!$E$5*B263),Valores!$D$5),2)</f>
        <v>13153.38</v>
      </c>
      <c r="Q263" s="125">
        <v>0</v>
      </c>
      <c r="R263" s="125">
        <f>IF($F$4="NO",Valores!$C$48*B263,Valores!$C$48*B263/2)</f>
        <v>4508.225</v>
      </c>
      <c r="S263" s="125">
        <f>Valores!$C$18*B263</f>
        <v>5214.55</v>
      </c>
      <c r="T263" s="125">
        <f t="shared" si="36"/>
        <v>5214.55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IF(Valores!$C$96*B263&gt;Valores!$C$95,Valores!$C$95,Valores!$C$96*B263)</f>
        <v>5318.86</v>
      </c>
      <c r="AA263" s="125">
        <f>IF((Valores!$C$28)*B263&gt;Valores!$F$28,Valores!$F$28,(Valores!$C$28)*B263)</f>
        <v>409.45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341.05</v>
      </c>
      <c r="AE263" s="192">
        <v>0</v>
      </c>
      <c r="AF263" s="125">
        <f>ROUND(AE263*Valores!$C$2,2)</f>
        <v>0</v>
      </c>
      <c r="AG263" s="125">
        <f>IF($F$4="NO",IF(Valores!$D$62*'Escala Docente'!B263&gt;Valores!$F$62,Valores!$F$62,Valores!$D$62*'Escala Docente'!B263),IF(Valores!$D$62*'Escala Docente'!B263&gt;Valores!$F$62,Valores!$F$62,Valores!$D$62*'Escala Docente'!B263)/2)</f>
        <v>4057.735</v>
      </c>
      <c r="AH263" s="125">
        <f t="shared" si="34"/>
        <v>95455.41000000002</v>
      </c>
      <c r="AI263" s="125">
        <f>IF(Valores!$C$32*B263&gt;Valores!$F$32,Valores!$F$32,Valores!$C$32*B263)</f>
        <v>0</v>
      </c>
      <c r="AJ263" s="125">
        <f>IF(Valores!$C$89*B263&gt;Valores!$C$88,Valores!$C$88,Valores!$C$89*B263)</f>
        <v>0</v>
      </c>
      <c r="AK263" s="125">
        <f>Valores!C$39*B263</f>
        <v>0</v>
      </c>
      <c r="AL263" s="125">
        <f>IF($F$3="NO",0,IF(Valores!$C$61*B263&gt;Valores!$F$61,Valores!$F$61,Valores!$C$61*B263))</f>
        <v>215.7621</v>
      </c>
      <c r="AM263" s="125">
        <f t="shared" si="32"/>
        <v>215.7621</v>
      </c>
      <c r="AN263" s="125">
        <f>AH263*Valores!$C$70</f>
        <v>-10500.095100000002</v>
      </c>
      <c r="AO263" s="125">
        <f>AH263*-Valores!$C$71</f>
        <v>0</v>
      </c>
      <c r="AP263" s="125">
        <f>AH263*Valores!$C$72</f>
        <v>-4295.493450000001</v>
      </c>
      <c r="AQ263" s="125">
        <f>Valores!$C$99</f>
        <v>-280.91</v>
      </c>
      <c r="AR263" s="125">
        <f>IF($F$5=0,Valores!$C$100,(Valores!$C$100+$F$5*(Valores!$C$100)))</f>
        <v>-329</v>
      </c>
      <c r="AS263" s="125">
        <f t="shared" si="35"/>
        <v>80265.67355</v>
      </c>
      <c r="AT263" s="125">
        <f t="shared" si="41"/>
        <v>-10500.095100000002</v>
      </c>
      <c r="AU263" s="125">
        <f>AH263*Valores!$C$73</f>
        <v>-2577.2960700000003</v>
      </c>
      <c r="AV263" s="125">
        <f>AH263*Valores!$C$74</f>
        <v>-286.3662300000001</v>
      </c>
      <c r="AW263" s="125">
        <f t="shared" si="33"/>
        <v>82307.41470000002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38621.33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7251.62</v>
      </c>
      <c r="N264" s="125">
        <f aca="true" t="shared" si="42" ref="N264:N326">ROUND(SUM(F264,H264,J264,L264,X264,R264)*$H$2,2)</f>
        <v>0</v>
      </c>
      <c r="O264" s="125">
        <f>Valores!$C$7*B264</f>
        <v>16579.21</v>
      </c>
      <c r="P264" s="125">
        <f>ROUND(IF(B264&lt;15,(Valores!$E$5*B264),Valores!$D$5),2)</f>
        <v>13153.38</v>
      </c>
      <c r="Q264" s="125">
        <v>0</v>
      </c>
      <c r="R264" s="125">
        <f>IF($F$4="NO",Valores!$C$48*B264,Valores!$C$48*B264/2)</f>
        <v>4508.225</v>
      </c>
      <c r="S264" s="125">
        <f>Valores!$C$18*B264</f>
        <v>5214.55</v>
      </c>
      <c r="T264" s="125">
        <f t="shared" si="36"/>
        <v>5214.55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IF(Valores!$C$96*B264&gt;Valores!$C$95,Valores!$C$95,Valores!$C$96*B264)</f>
        <v>5318.86</v>
      </c>
      <c r="AA264" s="125">
        <f>IF((Valores!$C$28)*B264&gt;Valores!$F$28,Valores!$F$28,(Valores!$C$28)*B264)</f>
        <v>409.45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341.05</v>
      </c>
      <c r="AE264" s="192">
        <v>94</v>
      </c>
      <c r="AF264" s="125">
        <f>ROUND(AE264*Valores!$C$2,2)</f>
        <v>2418.66</v>
      </c>
      <c r="AG264" s="125">
        <f>IF($F$4="NO",IF(Valores!$D$62*'Escala Docente'!B264&gt;Valores!$F$62,Valores!$F$62,Valores!$D$62*'Escala Docente'!B264),IF(Valores!$D$62*'Escala Docente'!B264&gt;Valores!$F$62,Valores!$F$62,Valores!$D$62*'Escala Docente'!B264)/2)</f>
        <v>4057.735</v>
      </c>
      <c r="AH264" s="125">
        <f t="shared" si="34"/>
        <v>97874.07000000002</v>
      </c>
      <c r="AI264" s="125">
        <f>IF(Valores!$C$32*B264&gt;Valores!$F$32,Valores!$F$32,Valores!$C$32*B264)</f>
        <v>0</v>
      </c>
      <c r="AJ264" s="125">
        <f>IF(Valores!$C$89*B264&gt;Valores!$C$88,Valores!$C$88,Valores!$C$89*B264)</f>
        <v>0</v>
      </c>
      <c r="AK264" s="125">
        <f>Valores!C$39*B264</f>
        <v>0</v>
      </c>
      <c r="AL264" s="125">
        <f>IF($F$3="NO",0,IF(Valores!$C$61*B264&gt;Valores!$F$61,Valores!$F$61,Valores!$C$61*B264))</f>
        <v>215.7621</v>
      </c>
      <c r="AM264" s="125">
        <f aca="true" t="shared" si="44" ref="AM264:AM326">SUM(AI264:AL264)</f>
        <v>215.7621</v>
      </c>
      <c r="AN264" s="125">
        <f>AH264*Valores!$C$70</f>
        <v>-10766.147700000003</v>
      </c>
      <c r="AO264" s="125">
        <f>AH264*-Valores!$C$71</f>
        <v>0</v>
      </c>
      <c r="AP264" s="125">
        <f>AH264*Valores!$C$72</f>
        <v>-4404.33315</v>
      </c>
      <c r="AQ264" s="125">
        <f>Valores!$C$99</f>
        <v>-280.91</v>
      </c>
      <c r="AR264" s="125">
        <f>IF($F$5=0,Valores!$C$100,(Valores!$C$100+$F$5*(Valores!$C$100)))</f>
        <v>-329</v>
      </c>
      <c r="AS264" s="125">
        <f t="shared" si="35"/>
        <v>82309.44125000002</v>
      </c>
      <c r="AT264" s="125">
        <f t="shared" si="41"/>
        <v>-10766.147700000003</v>
      </c>
      <c r="AU264" s="125">
        <f>AH264*Valores!$C$73</f>
        <v>-2642.5998900000004</v>
      </c>
      <c r="AV264" s="125">
        <f>AH264*Valores!$C$74</f>
        <v>-293.62221000000005</v>
      </c>
      <c r="AW264" s="125">
        <f aca="true" t="shared" si="45" ref="AW264:AW326">AH264+AM264+SUM(AT264:AV264)</f>
        <v>84387.46230000003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40654.03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7633.28</v>
      </c>
      <c r="N265" s="125">
        <f t="shared" si="42"/>
        <v>0</v>
      </c>
      <c r="O265" s="125">
        <f>Valores!$C$7*B265</f>
        <v>17451.8</v>
      </c>
      <c r="P265" s="125">
        <f>ROUND(IF(B265&lt;15,(Valores!$E$5*B265),Valores!$D$5),2)</f>
        <v>13153.38</v>
      </c>
      <c r="Q265" s="125">
        <v>0</v>
      </c>
      <c r="R265" s="125">
        <f>IF($F$4="NO",Valores!$C$48*B265,Valores!$C$48*B265/2)</f>
        <v>4745.5</v>
      </c>
      <c r="S265" s="125">
        <f>Valores!$C$18*B265</f>
        <v>5489</v>
      </c>
      <c r="T265" s="125">
        <f t="shared" si="36"/>
        <v>5489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IF(Valores!$C$96*B265&gt;Valores!$C$95,Valores!$C$95,Valores!$C$96*B265)</f>
        <v>5598.8</v>
      </c>
      <c r="AA265" s="125">
        <f>IF((Valores!$C$28)*B265&gt;Valores!$F$28,Valores!$F$28,(Valores!$C$28)*B265)</f>
        <v>431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359</v>
      </c>
      <c r="AE265" s="192">
        <v>0</v>
      </c>
      <c r="AF265" s="125">
        <f>ROUND(AE265*Valores!$C$2,2)</f>
        <v>0</v>
      </c>
      <c r="AG265" s="125">
        <f>IF($F$4="NO",IF(Valores!$D$62*'Escala Docente'!B265&gt;Valores!$F$62,Valores!$F$62,Valores!$D$62*'Escala Docente'!B265),IF(Valores!$D$62*'Escala Docente'!B265&gt;Valores!$F$62,Valores!$F$62,Valores!$D$62*'Escala Docente'!B265)/2)</f>
        <v>4271.3</v>
      </c>
      <c r="AH265" s="125">
        <f aca="true" t="shared" si="46" ref="AH265:AH326">SUM(F265,H265,J265,L265,M265,N265,O265,P265,Q265,R265,T265,U265,V265,X265,Y265,Z265,AA265,AC265,AD265,AF265,AG265)</f>
        <v>99787.09000000001</v>
      </c>
      <c r="AI265" s="125">
        <f>IF(Valores!$C$32*B265&gt;Valores!$F$32,Valores!$F$32,Valores!$C$32*B265)</f>
        <v>0</v>
      </c>
      <c r="AJ265" s="125">
        <f>IF(Valores!$C$89*B265&gt;Valores!$C$88,Valores!$C$88,Valores!$C$89*B265)</f>
        <v>0</v>
      </c>
      <c r="AK265" s="125">
        <f>Valores!C$39*B265</f>
        <v>0</v>
      </c>
      <c r="AL265" s="125">
        <f>IF($F$3="NO",0,IF(Valores!$C$61*B265&gt;Valores!$F$61,Valores!$F$61,Valores!$C$61*B265))</f>
        <v>227.118</v>
      </c>
      <c r="AM265" s="125">
        <f t="shared" si="44"/>
        <v>227.118</v>
      </c>
      <c r="AN265" s="125">
        <f>AH265*Valores!$C$70</f>
        <v>-10976.5799</v>
      </c>
      <c r="AO265" s="125">
        <f>AH265*-Valores!$C$71</f>
        <v>0</v>
      </c>
      <c r="AP265" s="125">
        <f>AH265*Valores!$C$72</f>
        <v>-4490.41905</v>
      </c>
      <c r="AQ265" s="125">
        <f>Valores!$C$99</f>
        <v>-280.91</v>
      </c>
      <c r="AR265" s="125">
        <f>IF($F$5=0,Valores!$C$100,(Valores!$C$100+$F$5*(Valores!$C$100)))</f>
        <v>-329</v>
      </c>
      <c r="AS265" s="125">
        <f aca="true" t="shared" si="47" ref="AS265:AS326">AH265+SUM(AM265:AR265)</f>
        <v>83937.29905000002</v>
      </c>
      <c r="AT265" s="125">
        <f t="shared" si="41"/>
        <v>-10976.5799</v>
      </c>
      <c r="AU265" s="125">
        <f>AH265*Valores!$C$73</f>
        <v>-2694.2514300000003</v>
      </c>
      <c r="AV265" s="125">
        <f>AH265*Valores!$C$74</f>
        <v>-299.36127000000005</v>
      </c>
      <c r="AW265" s="125">
        <f t="shared" si="45"/>
        <v>86044.01540000002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40654.03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7633.28</v>
      </c>
      <c r="N266" s="125">
        <f t="shared" si="42"/>
        <v>0</v>
      </c>
      <c r="O266" s="125">
        <f>Valores!$C$7*B266</f>
        <v>17451.8</v>
      </c>
      <c r="P266" s="125">
        <f>ROUND(IF(B266&lt;15,(Valores!$E$5*B266),Valores!$D$5),2)</f>
        <v>13153.38</v>
      </c>
      <c r="Q266" s="125">
        <v>0</v>
      </c>
      <c r="R266" s="125">
        <f>IF($F$4="NO",Valores!$C$48*B266,Valores!$C$48*B266/2)</f>
        <v>4745.5</v>
      </c>
      <c r="S266" s="125">
        <f>Valores!$C$18*B266</f>
        <v>5489</v>
      </c>
      <c r="T266" s="125">
        <f t="shared" si="36"/>
        <v>5489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IF(Valores!$C$96*B266&gt;Valores!$C$95,Valores!$C$95,Valores!$C$96*B266)</f>
        <v>5598.8</v>
      </c>
      <c r="AA266" s="125">
        <f>IF((Valores!$C$28)*B266&gt;Valores!$F$28,Valores!$F$28,(Valores!$C$28)*B266)</f>
        <v>431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359</v>
      </c>
      <c r="AE266" s="192">
        <v>94</v>
      </c>
      <c r="AF266" s="125">
        <f>ROUND(AE266*Valores!$C$2,2)</f>
        <v>2418.66</v>
      </c>
      <c r="AG266" s="125">
        <f>IF($F$4="NO",IF(Valores!$D$62*'Escala Docente'!B266&gt;Valores!$F$62,Valores!$F$62,Valores!$D$62*'Escala Docente'!B266),IF(Valores!$D$62*'Escala Docente'!B266&gt;Valores!$F$62,Valores!$F$62,Valores!$D$62*'Escala Docente'!B266)/2)</f>
        <v>4271.3</v>
      </c>
      <c r="AH266" s="125">
        <f t="shared" si="46"/>
        <v>102205.75000000001</v>
      </c>
      <c r="AI266" s="125">
        <f>IF(Valores!$C$32*B266&gt;Valores!$F$32,Valores!$F$32,Valores!$C$32*B266)</f>
        <v>0</v>
      </c>
      <c r="AJ266" s="125">
        <f>IF(Valores!$C$89*B266&gt;Valores!$C$88,Valores!$C$88,Valores!$C$89*B266)</f>
        <v>0</v>
      </c>
      <c r="AK266" s="125">
        <f>Valores!C$39*B266</f>
        <v>0</v>
      </c>
      <c r="AL266" s="125">
        <f>IF($F$3="NO",0,IF(Valores!$C$61*B266&gt;Valores!$F$61,Valores!$F$61,Valores!$C$61*B266))</f>
        <v>227.118</v>
      </c>
      <c r="AM266" s="125">
        <f t="shared" si="44"/>
        <v>227.118</v>
      </c>
      <c r="AN266" s="125">
        <f>AH266*Valores!$C$70</f>
        <v>-11242.632500000002</v>
      </c>
      <c r="AO266" s="125">
        <f>AH266*-Valores!$C$71</f>
        <v>0</v>
      </c>
      <c r="AP266" s="125">
        <f>AH266*Valores!$C$72</f>
        <v>-4599.258750000001</v>
      </c>
      <c r="AQ266" s="125">
        <f>Valores!$C$99</f>
        <v>-280.91</v>
      </c>
      <c r="AR266" s="125">
        <f>IF($F$5=0,Valores!$C$100,(Valores!$C$100+$F$5*(Valores!$C$100)))</f>
        <v>-329</v>
      </c>
      <c r="AS266" s="125">
        <f t="shared" si="47"/>
        <v>85981.06675000001</v>
      </c>
      <c r="AT266" s="125">
        <f t="shared" si="41"/>
        <v>-11242.632500000002</v>
      </c>
      <c r="AU266" s="125">
        <f>AH266*Valores!$C$73</f>
        <v>-2759.5552500000003</v>
      </c>
      <c r="AV266" s="125">
        <f>AH266*Valores!$C$74</f>
        <v>-306.61725000000007</v>
      </c>
      <c r="AW266" s="125">
        <f t="shared" si="45"/>
        <v>88124.06300000002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42686.73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8014.94</v>
      </c>
      <c r="N267" s="125">
        <f t="shared" si="42"/>
        <v>0</v>
      </c>
      <c r="O267" s="125">
        <f>Valores!$C$7*B267</f>
        <v>18324.39</v>
      </c>
      <c r="P267" s="125">
        <f>ROUND(IF(B267&lt;15,(Valores!$E$5*B267),Valores!$D$5),2)</f>
        <v>13153.38</v>
      </c>
      <c r="Q267" s="125">
        <v>0</v>
      </c>
      <c r="R267" s="125">
        <f>IF($F$4="NO",Valores!$C$48*B267,Valores!$C$48*B267/2)</f>
        <v>4982.775000000001</v>
      </c>
      <c r="S267" s="125">
        <f>Valores!$C$18*B267</f>
        <v>5763.45</v>
      </c>
      <c r="T267" s="125">
        <f aca="true" t="shared" si="48" ref="T267:T299">ROUND(S267*(1+$H$2),2)</f>
        <v>5763.45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IF(Valores!$C$96*B267&gt;Valores!$C$95,Valores!$C$95,Valores!$C$96*B267)</f>
        <v>5878.74</v>
      </c>
      <c r="AA267" s="125">
        <f>IF((Valores!$C$28)*B267&gt;Valores!$F$28,Valores!$F$28,(Valores!$C$28)*B267)</f>
        <v>452.55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376.95</v>
      </c>
      <c r="AE267" s="192">
        <v>0</v>
      </c>
      <c r="AF267" s="125">
        <f>ROUND(AE267*Valores!$C$2,2)</f>
        <v>0</v>
      </c>
      <c r="AG267" s="125">
        <f>IF($F$4="NO",IF(Valores!$D$62*'Escala Docente'!B267&gt;Valores!$F$62,Valores!$F$62,Valores!$D$62*'Escala Docente'!B267),IF(Valores!$D$62*'Escala Docente'!B267&gt;Valores!$F$62,Valores!$F$62,Valores!$D$62*'Escala Docente'!B267)/2)</f>
        <v>4484.865</v>
      </c>
      <c r="AH267" s="125">
        <f t="shared" si="46"/>
        <v>104118.77</v>
      </c>
      <c r="AI267" s="125">
        <f>IF(Valores!$C$32*B267&gt;Valores!$F$32,Valores!$F$32,Valores!$C$32*B267)</f>
        <v>0</v>
      </c>
      <c r="AJ267" s="125">
        <f>IF(Valores!$C$89*B267&gt;Valores!$C$88,Valores!$C$88,Valores!$C$89*B267)</f>
        <v>0</v>
      </c>
      <c r="AK267" s="125">
        <f>Valores!C$39*B267</f>
        <v>0</v>
      </c>
      <c r="AL267" s="125">
        <f>IF($F$3="NO",0,IF(Valores!$C$61*B267&gt;Valores!$F$61,Valores!$F$61,Valores!$C$61*B267))</f>
        <v>238.47390000000001</v>
      </c>
      <c r="AM267" s="125">
        <f t="shared" si="44"/>
        <v>238.47390000000001</v>
      </c>
      <c r="AN267" s="125">
        <f>AH267*Valores!$C$70</f>
        <v>-11453.0647</v>
      </c>
      <c r="AO267" s="125">
        <f>AH267*-Valores!$C$71</f>
        <v>0</v>
      </c>
      <c r="AP267" s="125">
        <f>AH267*Valores!$C$72</f>
        <v>-4685.34465</v>
      </c>
      <c r="AQ267" s="125">
        <f>Valores!$C$99</f>
        <v>-280.91</v>
      </c>
      <c r="AR267" s="125">
        <f>IF($F$5=0,Valores!$C$100,(Valores!$C$100+$F$5*(Valores!$C$100)))</f>
        <v>-329</v>
      </c>
      <c r="AS267" s="125">
        <f t="shared" si="47"/>
        <v>87608.92455</v>
      </c>
      <c r="AT267" s="125">
        <f t="shared" si="41"/>
        <v>-11453.0647</v>
      </c>
      <c r="AU267" s="125">
        <f>AH267*Valores!$C$73</f>
        <v>-2811.20679</v>
      </c>
      <c r="AV267" s="125">
        <f>AH267*Valores!$C$74</f>
        <v>-312.35631</v>
      </c>
      <c r="AW267" s="125">
        <f t="shared" si="45"/>
        <v>89780.6161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42686.73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8014.94</v>
      </c>
      <c r="N268" s="125">
        <f t="shared" si="42"/>
        <v>0</v>
      </c>
      <c r="O268" s="125">
        <f>Valores!$C$7*B268</f>
        <v>18324.39</v>
      </c>
      <c r="P268" s="125">
        <f>ROUND(IF(B268&lt;15,(Valores!$E$5*B268),Valores!$D$5),2)</f>
        <v>13153.38</v>
      </c>
      <c r="Q268" s="125">
        <v>0</v>
      </c>
      <c r="R268" s="125">
        <f>IF($F$4="NO",Valores!$C$48*B268,Valores!$C$48*B268/2)</f>
        <v>4982.775000000001</v>
      </c>
      <c r="S268" s="125">
        <f>Valores!$C$18*B268</f>
        <v>5763.45</v>
      </c>
      <c r="T268" s="125">
        <f t="shared" si="48"/>
        <v>5763.45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IF(Valores!$C$96*B268&gt;Valores!$C$95,Valores!$C$95,Valores!$C$96*B268)</f>
        <v>5878.74</v>
      </c>
      <c r="AA268" s="125">
        <f>IF((Valores!$C$28)*B268&gt;Valores!$F$28,Valores!$F$28,(Valores!$C$28)*B268)</f>
        <v>452.55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376.95</v>
      </c>
      <c r="AE268" s="192">
        <v>94</v>
      </c>
      <c r="AF268" s="125">
        <f>ROUND(AE268*Valores!$C$2,2)</f>
        <v>2418.66</v>
      </c>
      <c r="AG268" s="125">
        <f>IF($F$4="NO",IF(Valores!$D$62*'Escala Docente'!B268&gt;Valores!$F$62,Valores!$F$62,Valores!$D$62*'Escala Docente'!B268),IF(Valores!$D$62*'Escala Docente'!B268&gt;Valores!$F$62,Valores!$F$62,Valores!$D$62*'Escala Docente'!B268)/2)</f>
        <v>4484.865</v>
      </c>
      <c r="AH268" s="125">
        <f t="shared" si="46"/>
        <v>106537.43000000001</v>
      </c>
      <c r="AI268" s="125">
        <f>IF(Valores!$C$32*B268&gt;Valores!$F$32,Valores!$F$32,Valores!$C$32*B268)</f>
        <v>0</v>
      </c>
      <c r="AJ268" s="125">
        <f>IF(Valores!$C$89*B268&gt;Valores!$C$88,Valores!$C$88,Valores!$C$89*B268)</f>
        <v>0</v>
      </c>
      <c r="AK268" s="125">
        <f>Valores!C$39*B268</f>
        <v>0</v>
      </c>
      <c r="AL268" s="125">
        <f>IF($F$3="NO",0,IF(Valores!$C$61*B268&gt;Valores!$F$61,Valores!$F$61,Valores!$C$61*B268))</f>
        <v>238.47390000000001</v>
      </c>
      <c r="AM268" s="125">
        <f t="shared" si="44"/>
        <v>238.47390000000001</v>
      </c>
      <c r="AN268" s="125">
        <f>AH268*Valores!$C$70</f>
        <v>-11719.117300000002</v>
      </c>
      <c r="AO268" s="125">
        <f>AH268*-Valores!$C$71</f>
        <v>0</v>
      </c>
      <c r="AP268" s="125">
        <f>AH268*Valores!$C$72</f>
        <v>-4794.18435</v>
      </c>
      <c r="AQ268" s="125">
        <f>Valores!$C$99</f>
        <v>-280.91</v>
      </c>
      <c r="AR268" s="125">
        <f>IF($F$5=0,Valores!$C$100,(Valores!$C$100+$F$5*(Valores!$C$100)))</f>
        <v>-329</v>
      </c>
      <c r="AS268" s="125">
        <f t="shared" si="47"/>
        <v>89652.69225000001</v>
      </c>
      <c r="AT268" s="125">
        <f t="shared" si="41"/>
        <v>-11719.117300000002</v>
      </c>
      <c r="AU268" s="125">
        <f>AH268*Valores!$C$73</f>
        <v>-2876.5106100000003</v>
      </c>
      <c r="AV268" s="125">
        <f>AH268*Valores!$C$74</f>
        <v>-319.61229000000003</v>
      </c>
      <c r="AW268" s="125">
        <f t="shared" si="45"/>
        <v>91860.6637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44719.44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8396.61</v>
      </c>
      <c r="N269" s="125">
        <f t="shared" si="42"/>
        <v>0</v>
      </c>
      <c r="O269" s="125">
        <f>Valores!$C$7*B269</f>
        <v>19196.98</v>
      </c>
      <c r="P269" s="125">
        <f>ROUND(IF(B269&lt;15,(Valores!$E$5*B269),Valores!$D$5),2)</f>
        <v>13153.38</v>
      </c>
      <c r="Q269" s="125">
        <v>0</v>
      </c>
      <c r="R269" s="125">
        <f>IF($F$4="NO",Valores!$C$48*B269,Valores!$C$48*B269/2)</f>
        <v>5220.05</v>
      </c>
      <c r="S269" s="125">
        <f>Valores!$C$18*B269</f>
        <v>6037.9</v>
      </c>
      <c r="T269" s="125">
        <f t="shared" si="48"/>
        <v>6037.9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IF(Valores!$C$96*B269&gt;Valores!$C$95,Valores!$C$95,Valores!$C$96*B269)</f>
        <v>6158.68</v>
      </c>
      <c r="AA269" s="125">
        <f>IF((Valores!$C$28)*B269&gt;Valores!$F$28,Valores!$F$28,(Valores!$C$28)*B269)</f>
        <v>474.1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394.9</v>
      </c>
      <c r="AE269" s="192">
        <v>0</v>
      </c>
      <c r="AF269" s="125">
        <f>ROUND(AE269*Valores!$C$2,2)</f>
        <v>0</v>
      </c>
      <c r="AG269" s="125">
        <f>IF($F$4="NO",IF(Valores!$D$62*'Escala Docente'!B269&gt;Valores!$F$62,Valores!$F$62,Valores!$D$62*'Escala Docente'!B269),IF(Valores!$D$62*'Escala Docente'!B269&gt;Valores!$F$62,Valores!$F$62,Valores!$D$62*'Escala Docente'!B269)/2)</f>
        <v>4698.43</v>
      </c>
      <c r="AH269" s="125">
        <f t="shared" si="46"/>
        <v>108450.47</v>
      </c>
      <c r="AI269" s="125">
        <f>IF(Valores!$C$32*B269&gt;Valores!$F$32,Valores!$F$32,Valores!$C$32*B269)</f>
        <v>0</v>
      </c>
      <c r="AJ269" s="125">
        <f>IF(Valores!$C$89*B269&gt;Valores!$C$88,Valores!$C$88,Valores!$C$89*B269)</f>
        <v>0</v>
      </c>
      <c r="AK269" s="125">
        <f>Valores!C$39*B269</f>
        <v>0</v>
      </c>
      <c r="AL269" s="125">
        <f>IF($F$3="NO",0,IF(Valores!$C$61*B269&gt;Valores!$F$61,Valores!$F$61,Valores!$C$61*B269))</f>
        <v>249.8298</v>
      </c>
      <c r="AM269" s="125">
        <f t="shared" si="44"/>
        <v>249.8298</v>
      </c>
      <c r="AN269" s="125">
        <f>AH269*Valores!$C$70</f>
        <v>-11929.5517</v>
      </c>
      <c r="AO269" s="125">
        <f>AH269*-Valores!$C$71</f>
        <v>0</v>
      </c>
      <c r="AP269" s="125">
        <f>AH269*Valores!$C$72</f>
        <v>-4880.27115</v>
      </c>
      <c r="AQ269" s="125">
        <f>Valores!$C$99</f>
        <v>-280.91</v>
      </c>
      <c r="AR269" s="125">
        <f>IF($F$5=0,Valores!$C$100,(Valores!$C$100+$F$5*(Valores!$C$100)))</f>
        <v>-329</v>
      </c>
      <c r="AS269" s="125">
        <f t="shared" si="47"/>
        <v>91280.56695000001</v>
      </c>
      <c r="AT269" s="125">
        <f t="shared" si="41"/>
        <v>-11929.5517</v>
      </c>
      <c r="AU269" s="125">
        <f>AH269*Valores!$C$73</f>
        <v>-2928.16269</v>
      </c>
      <c r="AV269" s="125">
        <f>AH269*Valores!$C$74</f>
        <v>-325.35141</v>
      </c>
      <c r="AW269" s="125">
        <f t="shared" si="45"/>
        <v>93517.23400000001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44719.44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8396.61</v>
      </c>
      <c r="N270" s="125">
        <f t="shared" si="42"/>
        <v>0</v>
      </c>
      <c r="O270" s="125">
        <f>Valores!$C$7*B270</f>
        <v>19196.98</v>
      </c>
      <c r="P270" s="125">
        <f>ROUND(IF(B270&lt;15,(Valores!$E$5*B270),Valores!$D$5),2)</f>
        <v>13153.38</v>
      </c>
      <c r="Q270" s="125">
        <v>0</v>
      </c>
      <c r="R270" s="125">
        <f>IF($F$4="NO",Valores!$C$48*B270,Valores!$C$48*B270/2)</f>
        <v>5220.05</v>
      </c>
      <c r="S270" s="125">
        <f>Valores!$C$18*B270</f>
        <v>6037.9</v>
      </c>
      <c r="T270" s="125">
        <f t="shared" si="48"/>
        <v>6037.9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IF(Valores!$C$96*B270&gt;Valores!$C$95,Valores!$C$95,Valores!$C$96*B270)</f>
        <v>6158.68</v>
      </c>
      <c r="AA270" s="125">
        <f>IF((Valores!$C$28)*B270&gt;Valores!$F$28,Valores!$F$28,(Valores!$C$28)*B270)</f>
        <v>474.1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394.9</v>
      </c>
      <c r="AE270" s="192">
        <v>94</v>
      </c>
      <c r="AF270" s="125">
        <f>ROUND(AE270*Valores!$C$2,2)</f>
        <v>2418.66</v>
      </c>
      <c r="AG270" s="125">
        <f>IF($F$4="NO",IF(Valores!$D$62*'Escala Docente'!B270&gt;Valores!$F$62,Valores!$F$62,Valores!$D$62*'Escala Docente'!B270),IF(Valores!$D$62*'Escala Docente'!B270&gt;Valores!$F$62,Valores!$F$62,Valores!$D$62*'Escala Docente'!B270)/2)</f>
        <v>4698.43</v>
      </c>
      <c r="AH270" s="125">
        <f t="shared" si="46"/>
        <v>110869.13</v>
      </c>
      <c r="AI270" s="125">
        <f>IF(Valores!$C$32*B270&gt;Valores!$F$32,Valores!$F$32,Valores!$C$32*B270)</f>
        <v>0</v>
      </c>
      <c r="AJ270" s="125">
        <f>IF(Valores!$C$89*B270&gt;Valores!$C$88,Valores!$C$88,Valores!$C$89*B270)</f>
        <v>0</v>
      </c>
      <c r="AK270" s="125">
        <f>Valores!C$39*B270</f>
        <v>0</v>
      </c>
      <c r="AL270" s="125">
        <f>IF($F$3="NO",0,IF(Valores!$C$61*B270&gt;Valores!$F$61,Valores!$F$61,Valores!$C$61*B270))</f>
        <v>249.8298</v>
      </c>
      <c r="AM270" s="125">
        <f t="shared" si="44"/>
        <v>249.8298</v>
      </c>
      <c r="AN270" s="125">
        <f>AH270*Valores!$C$70</f>
        <v>-12195.6043</v>
      </c>
      <c r="AO270" s="125">
        <f>AH270*-Valores!$C$71</f>
        <v>0</v>
      </c>
      <c r="AP270" s="125">
        <f>AH270*Valores!$C$72</f>
        <v>-4989.11085</v>
      </c>
      <c r="AQ270" s="125">
        <f>Valores!$C$99</f>
        <v>-280.91</v>
      </c>
      <c r="AR270" s="125">
        <f>IF($F$5=0,Valores!$C$100,(Valores!$C$100+$F$5*(Valores!$C$100)))</f>
        <v>-329</v>
      </c>
      <c r="AS270" s="125">
        <f t="shared" si="47"/>
        <v>93324.33465</v>
      </c>
      <c r="AT270" s="125">
        <f t="shared" si="41"/>
        <v>-12195.6043</v>
      </c>
      <c r="AU270" s="125">
        <f>AH270*Valores!$C$73</f>
        <v>-2993.46651</v>
      </c>
      <c r="AV270" s="125">
        <f>AH270*Valores!$C$74</f>
        <v>-332.60739</v>
      </c>
      <c r="AW270" s="125">
        <f t="shared" si="45"/>
        <v>95597.28160000002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46752.14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8778.27</v>
      </c>
      <c r="N271" s="125">
        <f t="shared" si="42"/>
        <v>0</v>
      </c>
      <c r="O271" s="125">
        <f>Valores!$C$7*B271</f>
        <v>20069.57</v>
      </c>
      <c r="P271" s="125">
        <f>ROUND(IF(B271&lt;15,(Valores!$E$5*B271),Valores!$D$5),2)</f>
        <v>13153.38</v>
      </c>
      <c r="Q271" s="125">
        <v>0</v>
      </c>
      <c r="R271" s="125">
        <f>IF($F$4="NO",Valores!$C$48*B271,Valores!$C$48*B271/2)</f>
        <v>5457.325</v>
      </c>
      <c r="S271" s="125">
        <f>Valores!$C$18*B271</f>
        <v>6312.349999999999</v>
      </c>
      <c r="T271" s="125">
        <f t="shared" si="48"/>
        <v>6312.35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IF(Valores!$C$96*B271&gt;Valores!$C$95,Valores!$C$95,Valores!$C$96*B271)</f>
        <v>6438.62</v>
      </c>
      <c r="AA271" s="125">
        <f>IF((Valores!$C$28)*B271&gt;Valores!$F$28,Valores!$F$28,(Valores!$C$28)*B271)</f>
        <v>495.65000000000003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412.84999999999997</v>
      </c>
      <c r="AE271" s="192">
        <v>0</v>
      </c>
      <c r="AF271" s="125">
        <f>ROUND(AE271*Valores!$C$2,2)</f>
        <v>0</v>
      </c>
      <c r="AG271" s="125">
        <f>IF($F$4="NO",IF(Valores!$D$62*'Escala Docente'!B271&gt;Valores!$F$62,Valores!$F$62,Valores!$D$62*'Escala Docente'!B271),IF(Valores!$D$62*'Escala Docente'!B271&gt;Valores!$F$62,Valores!$F$62,Valores!$D$62*'Escala Docente'!B271)/2)</f>
        <v>4911.995</v>
      </c>
      <c r="AH271" s="125">
        <f t="shared" si="46"/>
        <v>112782.15000000001</v>
      </c>
      <c r="AI271" s="125">
        <f>IF(Valores!$C$32*B271&gt;Valores!$F$32,Valores!$F$32,Valores!$C$32*B271)</f>
        <v>0</v>
      </c>
      <c r="AJ271" s="125">
        <f>IF(Valores!$C$89*B271&gt;Valores!$C$88,Valores!$C$88,Valores!$C$89*B271)</f>
        <v>0</v>
      </c>
      <c r="AK271" s="125">
        <f>Valores!C$39*B271</f>
        <v>0</v>
      </c>
      <c r="AL271" s="125">
        <f>IF($F$3="NO",0,IF(Valores!$C$61*B271&gt;Valores!$F$61,Valores!$F$61,Valores!$C$61*B271))</f>
        <v>261.1857</v>
      </c>
      <c r="AM271" s="125">
        <f t="shared" si="44"/>
        <v>261.1857</v>
      </c>
      <c r="AN271" s="125">
        <f>AH271*Valores!$C$70</f>
        <v>-12406.0365</v>
      </c>
      <c r="AO271" s="125">
        <f>AH271*-Valores!$C$71</f>
        <v>0</v>
      </c>
      <c r="AP271" s="125">
        <f>AH271*Valores!$C$72</f>
        <v>-5075.19675</v>
      </c>
      <c r="AQ271" s="125">
        <f>Valores!$C$99</f>
        <v>-280.91</v>
      </c>
      <c r="AR271" s="125">
        <f>IF($F$5=0,Valores!$C$100,(Valores!$C$100+$F$5*(Valores!$C$100)))</f>
        <v>-329</v>
      </c>
      <c r="AS271" s="125">
        <f t="shared" si="47"/>
        <v>94952.19245</v>
      </c>
      <c r="AT271" s="125">
        <f t="shared" si="41"/>
        <v>-12406.0365</v>
      </c>
      <c r="AU271" s="125">
        <f>AH271*Valores!$C$73</f>
        <v>-3045.11805</v>
      </c>
      <c r="AV271" s="125">
        <f>AH271*Valores!$C$74</f>
        <v>-338.34645000000006</v>
      </c>
      <c r="AW271" s="125">
        <f t="shared" si="45"/>
        <v>97253.8347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46752.14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8778.27</v>
      </c>
      <c r="N272" s="125">
        <f t="shared" si="42"/>
        <v>0</v>
      </c>
      <c r="O272" s="125">
        <f>Valores!$C$7*B272</f>
        <v>20069.57</v>
      </c>
      <c r="P272" s="125">
        <f>ROUND(IF(B272&lt;15,(Valores!$E$5*B272),Valores!$D$5),2)</f>
        <v>13153.38</v>
      </c>
      <c r="Q272" s="125">
        <v>0</v>
      </c>
      <c r="R272" s="125">
        <f>IF($F$4="NO",Valores!$C$48*B272,Valores!$C$48*B272/2)</f>
        <v>5457.325</v>
      </c>
      <c r="S272" s="125">
        <f>Valores!$C$18*B272</f>
        <v>6312.349999999999</v>
      </c>
      <c r="T272" s="125">
        <f t="shared" si="48"/>
        <v>6312.35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IF(Valores!$C$96*B272&gt;Valores!$C$95,Valores!$C$95,Valores!$C$96*B272)</f>
        <v>6438.62</v>
      </c>
      <c r="AA272" s="125">
        <f>IF((Valores!$C$28)*B272&gt;Valores!$F$28,Valores!$F$28,(Valores!$C$28)*B272)</f>
        <v>495.65000000000003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412.84999999999997</v>
      </c>
      <c r="AE272" s="192">
        <v>94</v>
      </c>
      <c r="AF272" s="125">
        <f>ROUND(AE272*Valores!$C$2,2)</f>
        <v>2418.66</v>
      </c>
      <c r="AG272" s="125">
        <f>IF($F$4="NO",IF(Valores!$D$62*'Escala Docente'!B272&gt;Valores!$F$62,Valores!$F$62,Valores!$D$62*'Escala Docente'!B272),IF(Valores!$D$62*'Escala Docente'!B272&gt;Valores!$F$62,Valores!$F$62,Valores!$D$62*'Escala Docente'!B272)/2)</f>
        <v>4911.995</v>
      </c>
      <c r="AH272" s="125">
        <f t="shared" si="46"/>
        <v>115200.81000000001</v>
      </c>
      <c r="AI272" s="125">
        <f>IF(Valores!$C$32*B272&gt;Valores!$F$32,Valores!$F$32,Valores!$C$32*B272)</f>
        <v>0</v>
      </c>
      <c r="AJ272" s="125">
        <f>IF(Valores!$C$89*B272&gt;Valores!$C$88,Valores!$C$88,Valores!$C$89*B272)</f>
        <v>0</v>
      </c>
      <c r="AK272" s="125">
        <f>Valores!C$39*B272</f>
        <v>0</v>
      </c>
      <c r="AL272" s="125">
        <f>IF($F$3="NO",0,IF(Valores!$C$61*B272&gt;Valores!$F$61,Valores!$F$61,Valores!$C$61*B272))</f>
        <v>261.1857</v>
      </c>
      <c r="AM272" s="125">
        <f t="shared" si="44"/>
        <v>261.1857</v>
      </c>
      <c r="AN272" s="125">
        <f>AH272*Valores!$C$70</f>
        <v>-12672.089100000001</v>
      </c>
      <c r="AO272" s="125">
        <f>AH272*-Valores!$C$71</f>
        <v>0</v>
      </c>
      <c r="AP272" s="125">
        <f>AH272*Valores!$C$72</f>
        <v>-5184.0364500000005</v>
      </c>
      <c r="AQ272" s="125">
        <f>Valores!$C$99</f>
        <v>-280.91</v>
      </c>
      <c r="AR272" s="125">
        <f>IF($F$5=0,Valores!$C$100,(Valores!$C$100+$F$5*(Valores!$C$100)))</f>
        <v>-329</v>
      </c>
      <c r="AS272" s="125">
        <f t="shared" si="47"/>
        <v>96995.96015000001</v>
      </c>
      <c r="AT272" s="125">
        <f t="shared" si="41"/>
        <v>-12672.089100000001</v>
      </c>
      <c r="AU272" s="125">
        <f>AH272*Valores!$C$73</f>
        <v>-3110.42187</v>
      </c>
      <c r="AV272" s="125">
        <f>AH272*Valores!$C$74</f>
        <v>-345.60243</v>
      </c>
      <c r="AW272" s="125">
        <f t="shared" si="45"/>
        <v>99333.88230000001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48784.84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9159.94</v>
      </c>
      <c r="N273" s="125">
        <f t="shared" si="42"/>
        <v>0</v>
      </c>
      <c r="O273" s="125">
        <f>Valores!$C$7*B273</f>
        <v>20942.16</v>
      </c>
      <c r="P273" s="125">
        <f>ROUND(IF(B273&lt;15,(Valores!$E$5*B273),Valores!$D$5),2)</f>
        <v>13153.38</v>
      </c>
      <c r="Q273" s="125">
        <v>0</v>
      </c>
      <c r="R273" s="125">
        <f>IF($F$4="NO",Valores!$C$48*B273,Valores!$C$48*B273/2)</f>
        <v>5694.6</v>
      </c>
      <c r="S273" s="125">
        <f>Valores!$C$18*B273</f>
        <v>6586.799999999999</v>
      </c>
      <c r="T273" s="125">
        <f t="shared" si="48"/>
        <v>6586.8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IF(Valores!$C$96*B273&gt;Valores!$C$95,Valores!$C$95,Valores!$C$96*B273)</f>
        <v>6718.5599999999995</v>
      </c>
      <c r="AA273" s="125">
        <f>IF((Valores!$C$28)*B273&gt;Valores!$F$28,Valores!$F$28,(Valores!$C$28)*B273)</f>
        <v>517.2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430.79999999999995</v>
      </c>
      <c r="AE273" s="192">
        <v>0</v>
      </c>
      <c r="AF273" s="125">
        <f>ROUND(AE273*Valores!$C$2,2)</f>
        <v>0</v>
      </c>
      <c r="AG273" s="125">
        <f>IF($F$4="NO",IF(Valores!$D$62*'Escala Docente'!B273&gt;Valores!$F$62,Valores!$F$62,Valores!$D$62*'Escala Docente'!B273),IF(Valores!$D$62*'Escala Docente'!B273&gt;Valores!$F$62,Valores!$F$62,Valores!$D$62*'Escala Docente'!B273)/2)</f>
        <v>5125.5599999999995</v>
      </c>
      <c r="AH273" s="125">
        <f t="shared" si="46"/>
        <v>117113.84000000001</v>
      </c>
      <c r="AI273" s="125">
        <f>IF(Valores!$C$32*B273&gt;Valores!$F$32,Valores!$F$32,Valores!$C$32*B273)</f>
        <v>0</v>
      </c>
      <c r="AJ273" s="125">
        <f>IF(Valores!$C$89*B273&gt;Valores!$C$88,Valores!$C$88,Valores!$C$89*B273)</f>
        <v>0</v>
      </c>
      <c r="AK273" s="125">
        <f>Valores!C$39*B273</f>
        <v>0</v>
      </c>
      <c r="AL273" s="125">
        <f>IF($F$3="NO",0,IF(Valores!$C$61*B273&gt;Valores!$F$61,Valores!$F$61,Valores!$C$61*B273))</f>
        <v>272.5416</v>
      </c>
      <c r="AM273" s="125">
        <f t="shared" si="44"/>
        <v>272.5416</v>
      </c>
      <c r="AN273" s="125">
        <f>AH273*Valores!$C$70</f>
        <v>-12882.522400000002</v>
      </c>
      <c r="AO273" s="125">
        <f>AH273*-Valores!$C$71</f>
        <v>0</v>
      </c>
      <c r="AP273" s="125">
        <f>AH273*Valores!$C$72</f>
        <v>-5270.1228</v>
      </c>
      <c r="AQ273" s="125">
        <f>Valores!$C$99</f>
        <v>-280.91</v>
      </c>
      <c r="AR273" s="125">
        <f>IF($F$5=0,Valores!$C$100,(Valores!$C$100+$F$5*(Valores!$C$100)))</f>
        <v>-329</v>
      </c>
      <c r="AS273" s="125">
        <f t="shared" si="47"/>
        <v>98623.8264</v>
      </c>
      <c r="AT273" s="125">
        <f t="shared" si="41"/>
        <v>-12882.522400000002</v>
      </c>
      <c r="AU273" s="125">
        <f>AH273*Valores!$C$73</f>
        <v>-3162.0736800000004</v>
      </c>
      <c r="AV273" s="125">
        <f>AH273*Valores!$C$74</f>
        <v>-351.34152000000006</v>
      </c>
      <c r="AW273" s="125">
        <f t="shared" si="45"/>
        <v>100990.444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48784.84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9159.94</v>
      </c>
      <c r="N274" s="125">
        <f t="shared" si="42"/>
        <v>0</v>
      </c>
      <c r="O274" s="125">
        <f>Valores!$C$7*B274</f>
        <v>20942.16</v>
      </c>
      <c r="P274" s="125">
        <f>ROUND(IF(B274&lt;15,(Valores!$E$5*B274),Valores!$D$5),2)</f>
        <v>13153.38</v>
      </c>
      <c r="Q274" s="125">
        <v>0</v>
      </c>
      <c r="R274" s="125">
        <f>IF($F$4="NO",Valores!$C$48*B274,Valores!$C$48*B274/2)</f>
        <v>5694.6</v>
      </c>
      <c r="S274" s="125">
        <f>Valores!$C$18*B274</f>
        <v>6586.799999999999</v>
      </c>
      <c r="T274" s="125">
        <f t="shared" si="48"/>
        <v>6586.8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IF(Valores!$C$96*B274&gt;Valores!$C$95,Valores!$C$95,Valores!$C$96*B274)</f>
        <v>6718.5599999999995</v>
      </c>
      <c r="AA274" s="125">
        <f>IF((Valores!$C$28)*B274&gt;Valores!$F$28,Valores!$F$28,(Valores!$C$28)*B274)</f>
        <v>517.2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430.79999999999995</v>
      </c>
      <c r="AE274" s="192">
        <v>94</v>
      </c>
      <c r="AF274" s="125">
        <f>ROUND(AE274*Valores!$C$2,2)</f>
        <v>2418.66</v>
      </c>
      <c r="AG274" s="125">
        <f>IF($F$4="NO",IF(Valores!$D$62*'Escala Docente'!B274&gt;Valores!$F$62,Valores!$F$62,Valores!$D$62*'Escala Docente'!B274),IF(Valores!$D$62*'Escala Docente'!B274&gt;Valores!$F$62,Valores!$F$62,Valores!$D$62*'Escala Docente'!B274)/2)</f>
        <v>5125.5599999999995</v>
      </c>
      <c r="AH274" s="125">
        <f t="shared" si="46"/>
        <v>119532.50000000001</v>
      </c>
      <c r="AI274" s="125">
        <f>IF(Valores!$C$32*B274&gt;Valores!$F$32,Valores!$F$32,Valores!$C$32*B274)</f>
        <v>0</v>
      </c>
      <c r="AJ274" s="125">
        <f>IF(Valores!$C$89*B274&gt;Valores!$C$88,Valores!$C$88,Valores!$C$89*B274)</f>
        <v>0</v>
      </c>
      <c r="AK274" s="125">
        <f>Valores!C$39*B274</f>
        <v>0</v>
      </c>
      <c r="AL274" s="125">
        <f>IF($F$3="NO",0,IF(Valores!$C$61*B274&gt;Valores!$F$61,Valores!$F$61,Valores!$C$61*B274))</f>
        <v>272.5416</v>
      </c>
      <c r="AM274" s="125">
        <f t="shared" si="44"/>
        <v>272.5416</v>
      </c>
      <c r="AN274" s="125">
        <f>AH274*Valores!$C$70</f>
        <v>-13148.575000000003</v>
      </c>
      <c r="AO274" s="125">
        <f>AH274*-Valores!$C$71</f>
        <v>0</v>
      </c>
      <c r="AP274" s="125">
        <f>AH274*Valores!$C$72</f>
        <v>-5378.962500000001</v>
      </c>
      <c r="AQ274" s="125">
        <f>Valores!$C$99</f>
        <v>-280.91</v>
      </c>
      <c r="AR274" s="125">
        <f>IF($F$5=0,Valores!$C$100,(Valores!$C$100+$F$5*(Valores!$C$100)))</f>
        <v>-329</v>
      </c>
      <c r="AS274" s="125">
        <f t="shared" si="47"/>
        <v>100667.59410000002</v>
      </c>
      <c r="AT274" s="125">
        <f t="shared" si="41"/>
        <v>-13148.575000000003</v>
      </c>
      <c r="AU274" s="125">
        <f>AH274*Valores!$C$73</f>
        <v>-3227.3775000000005</v>
      </c>
      <c r="AV274" s="125">
        <f>AH274*Valores!$C$74</f>
        <v>-358.5975</v>
      </c>
      <c r="AW274" s="125">
        <f t="shared" si="45"/>
        <v>103070.49160000001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50817.54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9541.6</v>
      </c>
      <c r="N275" s="125">
        <f t="shared" si="42"/>
        <v>0</v>
      </c>
      <c r="O275" s="125">
        <f>Valores!$C$7*B275</f>
        <v>21814.75</v>
      </c>
      <c r="P275" s="125">
        <f>ROUND(IF(B275&lt;15,(Valores!$E$5*B275),Valores!$D$5),2)</f>
        <v>13153.38</v>
      </c>
      <c r="Q275" s="125">
        <v>0</v>
      </c>
      <c r="R275" s="125">
        <f>IF($F$4="NO",Valores!$C$48*B275,Valores!$C$48*B275/2)</f>
        <v>5931.875</v>
      </c>
      <c r="S275" s="125">
        <f>Valores!$C$18*B275</f>
        <v>6861.25</v>
      </c>
      <c r="T275" s="125">
        <f t="shared" si="48"/>
        <v>6861.25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IF(Valores!$C$96*B275&gt;Valores!$C$95,Valores!$C$95,Valores!$C$96*B275)</f>
        <v>6998.5</v>
      </c>
      <c r="AA275" s="125">
        <f>IF((Valores!$C$28)*B275&gt;Valores!$F$28,Valores!$F$28,(Valores!$C$28)*B275)</f>
        <v>538.75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448.75</v>
      </c>
      <c r="AE275" s="192">
        <v>0</v>
      </c>
      <c r="AF275" s="125">
        <f>ROUND(AE275*Valores!$C$2,2)</f>
        <v>0</v>
      </c>
      <c r="AG275" s="125">
        <f>IF($F$4="NO",IF(Valores!$D$62*'Escala Docente'!B275&gt;Valores!$F$62,Valores!$F$62,Valores!$D$62*'Escala Docente'!B275),IF(Valores!$D$62*'Escala Docente'!B275&gt;Valores!$F$62,Valores!$F$62,Valores!$D$62*'Escala Docente'!B275)/2)</f>
        <v>5339.125</v>
      </c>
      <c r="AH275" s="125">
        <f t="shared" si="46"/>
        <v>121445.52</v>
      </c>
      <c r="AI275" s="125">
        <f>IF(Valores!$C$32*B275&gt;Valores!$F$32,Valores!$F$32,Valores!$C$32*B275)</f>
        <v>0</v>
      </c>
      <c r="AJ275" s="125">
        <f>IF(Valores!$C$89*B275&gt;Valores!$C$88,Valores!$C$88,Valores!$C$89*B275)</f>
        <v>0</v>
      </c>
      <c r="AK275" s="125">
        <f>Valores!C$39*B275</f>
        <v>0</v>
      </c>
      <c r="AL275" s="125">
        <f>IF($F$3="NO",0,IF(Valores!$C$61*B275&gt;Valores!$F$61,Valores!$F$61,Valores!$C$61*B275))</f>
        <v>283.8975</v>
      </c>
      <c r="AM275" s="125">
        <f t="shared" si="44"/>
        <v>283.8975</v>
      </c>
      <c r="AN275" s="125">
        <f>AH275*Valores!$C$70</f>
        <v>-13359.0072</v>
      </c>
      <c r="AO275" s="125">
        <f>AH275*-Valores!$C$71</f>
        <v>0</v>
      </c>
      <c r="AP275" s="125">
        <f>AH275*Valores!$C$72</f>
        <v>-5465.0484</v>
      </c>
      <c r="AQ275" s="125">
        <f>Valores!$C$99</f>
        <v>-280.91</v>
      </c>
      <c r="AR275" s="125">
        <f>IF($F$5=0,Valores!$C$100,(Valores!$C$100+$F$5*(Valores!$C$100)))</f>
        <v>-329</v>
      </c>
      <c r="AS275" s="125">
        <f t="shared" si="47"/>
        <v>102295.4519</v>
      </c>
      <c r="AT275" s="125">
        <f t="shared" si="41"/>
        <v>-13359.0072</v>
      </c>
      <c r="AU275" s="125">
        <f>AH275*Valores!$C$73</f>
        <v>-3279.02904</v>
      </c>
      <c r="AV275" s="125">
        <f>AH275*Valores!$C$74</f>
        <v>-364.33656</v>
      </c>
      <c r="AW275" s="125">
        <f t="shared" si="45"/>
        <v>104727.04470000001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50817.54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9541.6</v>
      </c>
      <c r="N276" s="125">
        <f t="shared" si="42"/>
        <v>0</v>
      </c>
      <c r="O276" s="125">
        <f>Valores!$C$7*B276</f>
        <v>21814.75</v>
      </c>
      <c r="P276" s="125">
        <f>ROUND(IF(B276&lt;15,(Valores!$E$5*B276),Valores!$D$5),2)</f>
        <v>13153.38</v>
      </c>
      <c r="Q276" s="125">
        <v>0</v>
      </c>
      <c r="R276" s="125">
        <f>IF($F$4="NO",Valores!$C$48*B276,Valores!$C$48*B276/2)</f>
        <v>5931.875</v>
      </c>
      <c r="S276" s="125">
        <f>Valores!$C$18*B276</f>
        <v>6861.25</v>
      </c>
      <c r="T276" s="125">
        <f t="shared" si="48"/>
        <v>6861.25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IF(Valores!$C$96*B276&gt;Valores!$C$95,Valores!$C$95,Valores!$C$96*B276)</f>
        <v>6998.5</v>
      </c>
      <c r="AA276" s="125">
        <f>IF((Valores!$C$28)*B276&gt;Valores!$F$28,Valores!$F$28,(Valores!$C$28)*B276)</f>
        <v>538.75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448.75</v>
      </c>
      <c r="AE276" s="192">
        <v>94</v>
      </c>
      <c r="AF276" s="125">
        <f>ROUND(AE276*Valores!$C$2,2)</f>
        <v>2418.66</v>
      </c>
      <c r="AG276" s="125">
        <f>IF($F$4="NO",IF(Valores!$D$62*'Escala Docente'!B276&gt;Valores!$F$62,Valores!$F$62,Valores!$D$62*'Escala Docente'!B276),IF(Valores!$D$62*'Escala Docente'!B276&gt;Valores!$F$62,Valores!$F$62,Valores!$D$62*'Escala Docente'!B276)/2)</f>
        <v>5339.125</v>
      </c>
      <c r="AH276" s="125">
        <f t="shared" si="46"/>
        <v>123864.18000000001</v>
      </c>
      <c r="AI276" s="125">
        <f>IF(Valores!$C$32*B276&gt;Valores!$F$32,Valores!$F$32,Valores!$C$32*B276)</f>
        <v>0</v>
      </c>
      <c r="AJ276" s="125">
        <f>IF(Valores!$C$89*B276&gt;Valores!$C$88,Valores!$C$88,Valores!$C$89*B276)</f>
        <v>0</v>
      </c>
      <c r="AK276" s="125">
        <f>Valores!C$39*B276</f>
        <v>0</v>
      </c>
      <c r="AL276" s="125">
        <f>IF($F$3="NO",0,IF(Valores!$C$61*B276&gt;Valores!$F$61,Valores!$F$61,Valores!$C$61*B276))</f>
        <v>283.8975</v>
      </c>
      <c r="AM276" s="125">
        <f t="shared" si="44"/>
        <v>283.8975</v>
      </c>
      <c r="AN276" s="125">
        <f>AH276*Valores!$C$70</f>
        <v>-13625.0598</v>
      </c>
      <c r="AO276" s="125">
        <f>AH276*-Valores!$C$71</f>
        <v>0</v>
      </c>
      <c r="AP276" s="125">
        <f>AH276*Valores!$C$72</f>
        <v>-5573.8881</v>
      </c>
      <c r="AQ276" s="125">
        <f>Valores!$C$99</f>
        <v>-280.91</v>
      </c>
      <c r="AR276" s="125">
        <f>IF($F$5=0,Valores!$C$100,(Valores!$C$100+$F$5*(Valores!$C$100)))</f>
        <v>-329</v>
      </c>
      <c r="AS276" s="125">
        <f t="shared" si="47"/>
        <v>104339.21960000001</v>
      </c>
      <c r="AT276" s="125">
        <f t="shared" si="41"/>
        <v>-13625.0598</v>
      </c>
      <c r="AU276" s="125">
        <f>AH276*Valores!$C$73</f>
        <v>-3344.33286</v>
      </c>
      <c r="AV276" s="125">
        <f>AH276*Valores!$C$74</f>
        <v>-371.59254000000004</v>
      </c>
      <c r="AW276" s="125">
        <f t="shared" si="45"/>
        <v>106807.09230000002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52850.24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9923.26</v>
      </c>
      <c r="N277" s="125">
        <f t="shared" si="42"/>
        <v>0</v>
      </c>
      <c r="O277" s="125">
        <f>Valores!$C$7*B277</f>
        <v>22687.34</v>
      </c>
      <c r="P277" s="125">
        <f>ROUND(IF(B277&lt;15,(Valores!$E$5*B277),Valores!$D$5),2)</f>
        <v>13153.38</v>
      </c>
      <c r="Q277" s="125">
        <v>0</v>
      </c>
      <c r="R277" s="125">
        <f>IF($F$4="NO",Valores!$C$48*B277,Valores!$C$48*B277/2)</f>
        <v>6169.150000000001</v>
      </c>
      <c r="S277" s="125">
        <f>Valores!$C$18*B277</f>
        <v>7135.7</v>
      </c>
      <c r="T277" s="125">
        <f t="shared" si="48"/>
        <v>7135.7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IF(Valores!$C$96*B277&gt;Valores!$C$95,Valores!$C$95,Valores!$C$96*B277)</f>
        <v>7278.44</v>
      </c>
      <c r="AA277" s="125">
        <f>IF((Valores!$C$28)*B277&gt;Valores!$F$28,Valores!$F$28,(Valores!$C$28)*B277)</f>
        <v>560.3000000000001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466.7</v>
      </c>
      <c r="AE277" s="192">
        <v>0</v>
      </c>
      <c r="AF277" s="125">
        <f>ROUND(AE277*Valores!$C$2,2)</f>
        <v>0</v>
      </c>
      <c r="AG277" s="125">
        <f>IF($F$4="NO",IF(Valores!$D$62*'Escala Docente'!B277&gt;Valores!$F$62,Valores!$F$62,Valores!$D$62*'Escala Docente'!B277),IF(Valores!$D$62*'Escala Docente'!B277&gt;Valores!$F$62,Valores!$F$62,Valores!$D$62*'Escala Docente'!B277)/2)</f>
        <v>5552.69</v>
      </c>
      <c r="AH277" s="125">
        <f t="shared" si="46"/>
        <v>125777.2</v>
      </c>
      <c r="AI277" s="125">
        <f>IF(Valores!$C$32*B277&gt;Valores!$F$32,Valores!$F$32,Valores!$C$32*B277)</f>
        <v>0</v>
      </c>
      <c r="AJ277" s="125">
        <f>IF(Valores!$C$89*B277&gt;Valores!$C$88,Valores!$C$88,Valores!$C$89*B277)</f>
        <v>0</v>
      </c>
      <c r="AK277" s="125">
        <f>Valores!C$39*B277</f>
        <v>0</v>
      </c>
      <c r="AL277" s="125">
        <f>IF($F$3="NO",0,IF(Valores!$C$61*B277&gt;Valores!$F$61,Valores!$F$61,Valores!$C$61*B277))</f>
        <v>295.2534</v>
      </c>
      <c r="AM277" s="125">
        <f t="shared" si="44"/>
        <v>295.2534</v>
      </c>
      <c r="AN277" s="125">
        <f>AH277*Valores!$C$70</f>
        <v>-13835.492</v>
      </c>
      <c r="AO277" s="125">
        <f>AH277*-Valores!$C$71</f>
        <v>0</v>
      </c>
      <c r="AP277" s="125">
        <f>AH277*Valores!$C$72</f>
        <v>-5659.973999999999</v>
      </c>
      <c r="AQ277" s="125">
        <f>Valores!$C$99</f>
        <v>-280.91</v>
      </c>
      <c r="AR277" s="125">
        <f>IF($F$5=0,Valores!$C$100,(Valores!$C$100+$F$5*(Valores!$C$100)))</f>
        <v>-329</v>
      </c>
      <c r="AS277" s="125">
        <f t="shared" si="47"/>
        <v>105967.0774</v>
      </c>
      <c r="AT277" s="125">
        <f t="shared" si="41"/>
        <v>-13835.492</v>
      </c>
      <c r="AU277" s="125">
        <f>AH277*Valores!$C$73</f>
        <v>-3395.9844</v>
      </c>
      <c r="AV277" s="125">
        <f>AH277*Valores!$C$74</f>
        <v>-377.3316</v>
      </c>
      <c r="AW277" s="125">
        <f t="shared" si="45"/>
        <v>108463.6454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52850.24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9923.26</v>
      </c>
      <c r="N278" s="125">
        <f t="shared" si="42"/>
        <v>0</v>
      </c>
      <c r="O278" s="125">
        <f>Valores!$C$7*B278</f>
        <v>22687.34</v>
      </c>
      <c r="P278" s="125">
        <f>ROUND(IF(B278&lt;15,(Valores!$E$5*B278),Valores!$D$5),2)</f>
        <v>13153.38</v>
      </c>
      <c r="Q278" s="125">
        <v>0</v>
      </c>
      <c r="R278" s="125">
        <f>IF($F$4="NO",Valores!$C$48*B278,Valores!$C$48*B278/2)</f>
        <v>6169.150000000001</v>
      </c>
      <c r="S278" s="125">
        <f>Valores!$C$18*B278</f>
        <v>7135.7</v>
      </c>
      <c r="T278" s="125">
        <f t="shared" si="48"/>
        <v>7135.7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IF(Valores!$C$96*B278&gt;Valores!$C$95,Valores!$C$95,Valores!$C$96*B278)</f>
        <v>7278.44</v>
      </c>
      <c r="AA278" s="125">
        <f>IF((Valores!$C$28)*B278&gt;Valores!$F$28,Valores!$F$28,(Valores!$C$28)*B278)</f>
        <v>560.3000000000001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466.7</v>
      </c>
      <c r="AE278" s="192">
        <v>94</v>
      </c>
      <c r="AF278" s="125">
        <f>ROUND(AE278*Valores!$C$2,2)</f>
        <v>2418.66</v>
      </c>
      <c r="AG278" s="125">
        <f>IF($F$4="NO",IF(Valores!$D$62*'Escala Docente'!B278&gt;Valores!$F$62,Valores!$F$62,Valores!$D$62*'Escala Docente'!B278),IF(Valores!$D$62*'Escala Docente'!B278&gt;Valores!$F$62,Valores!$F$62,Valores!$D$62*'Escala Docente'!B278)/2)</f>
        <v>5552.69</v>
      </c>
      <c r="AH278" s="125">
        <f t="shared" si="46"/>
        <v>128195.86</v>
      </c>
      <c r="AI278" s="125">
        <f>IF(Valores!$C$32*B278&gt;Valores!$F$32,Valores!$F$32,Valores!$C$32*B278)</f>
        <v>0</v>
      </c>
      <c r="AJ278" s="125">
        <f>IF(Valores!$C$89*B278&gt;Valores!$C$88,Valores!$C$88,Valores!$C$89*B278)</f>
        <v>0</v>
      </c>
      <c r="AK278" s="125">
        <f>Valores!C$39*B278</f>
        <v>0</v>
      </c>
      <c r="AL278" s="125">
        <f>IF($F$3="NO",0,IF(Valores!$C$61*B278&gt;Valores!$F$61,Valores!$F$61,Valores!$C$61*B278))</f>
        <v>295.2534</v>
      </c>
      <c r="AM278" s="125">
        <f t="shared" si="44"/>
        <v>295.2534</v>
      </c>
      <c r="AN278" s="125">
        <f>AH278*Valores!$C$70</f>
        <v>-14101.5446</v>
      </c>
      <c r="AO278" s="125">
        <f>AH278*-Valores!$C$71</f>
        <v>0</v>
      </c>
      <c r="AP278" s="125">
        <f>AH278*Valores!$C$72</f>
        <v>-5768.8137</v>
      </c>
      <c r="AQ278" s="125">
        <f>Valores!$C$99</f>
        <v>-280.91</v>
      </c>
      <c r="AR278" s="125">
        <f>IF($F$5=0,Valores!$C$100,(Valores!$C$100+$F$5*(Valores!$C$100)))</f>
        <v>-329</v>
      </c>
      <c r="AS278" s="125">
        <f t="shared" si="47"/>
        <v>108010.8451</v>
      </c>
      <c r="AT278" s="125">
        <f t="shared" si="41"/>
        <v>-14101.5446</v>
      </c>
      <c r="AU278" s="125">
        <f>AH278*Valores!$C$73</f>
        <v>-3461.28822</v>
      </c>
      <c r="AV278" s="125">
        <f>AH278*Valores!$C$74</f>
        <v>-384.58758</v>
      </c>
      <c r="AW278" s="125">
        <f t="shared" si="45"/>
        <v>110543.693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54882.94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10304.93</v>
      </c>
      <c r="N279" s="125">
        <f t="shared" si="42"/>
        <v>0</v>
      </c>
      <c r="O279" s="125">
        <f>Valores!$C$7*B279</f>
        <v>23559.93</v>
      </c>
      <c r="P279" s="125">
        <f>ROUND(IF(B279&lt;15,(Valores!$E$5*B279),Valores!$D$5),2)</f>
        <v>13153.38</v>
      </c>
      <c r="Q279" s="125">
        <v>0</v>
      </c>
      <c r="R279" s="125">
        <f>IF($F$4="NO",Valores!$C$48*B279,Valores!$C$48*B279/2)</f>
        <v>6406.425</v>
      </c>
      <c r="S279" s="125">
        <f>Valores!$C$18*B279</f>
        <v>7410.15</v>
      </c>
      <c r="T279" s="125">
        <f t="shared" si="48"/>
        <v>7410.15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IF(Valores!$C$96*B279&gt;Valores!$C$95,Valores!$C$95,Valores!$C$96*B279)</f>
        <v>7558.38</v>
      </c>
      <c r="AA279" s="125">
        <f>IF((Valores!$C$28)*B279&gt;Valores!$F$28,Valores!$F$28,(Valores!$C$28)*B279)</f>
        <v>581.85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484.65</v>
      </c>
      <c r="AE279" s="192">
        <v>0</v>
      </c>
      <c r="AF279" s="125">
        <f>ROUND(AE279*Valores!$C$2,2)</f>
        <v>0</v>
      </c>
      <c r="AG279" s="125">
        <f>IF($F$4="NO",IF(Valores!$D$62*'Escala Docente'!B279&gt;Valores!$F$62,Valores!$F$62,Valores!$D$62*'Escala Docente'!B279),IF(Valores!$D$62*'Escala Docente'!B279&gt;Valores!$F$62,Valores!$F$62,Valores!$D$62*'Escala Docente'!B279)/2)</f>
        <v>5766.255</v>
      </c>
      <c r="AH279" s="125">
        <f t="shared" si="46"/>
        <v>130108.89000000001</v>
      </c>
      <c r="AI279" s="125">
        <f>IF(Valores!$C$32*B279&gt;Valores!$F$32,Valores!$F$32,Valores!$C$32*B279)</f>
        <v>0</v>
      </c>
      <c r="AJ279" s="125">
        <f>IF(Valores!$C$89*B279&gt;Valores!$C$88,Valores!$C$88,Valores!$C$89*B279)</f>
        <v>0</v>
      </c>
      <c r="AK279" s="125">
        <f>Valores!C$39*B279</f>
        <v>0</v>
      </c>
      <c r="AL279" s="125">
        <f>IF($F$3="NO",0,IF(Valores!$C$61*B279&gt;Valores!$F$61,Valores!$F$61,Valores!$C$61*B279))</f>
        <v>306.6093</v>
      </c>
      <c r="AM279" s="125">
        <f t="shared" si="44"/>
        <v>306.6093</v>
      </c>
      <c r="AN279" s="125">
        <f>AH279*Valores!$C$70</f>
        <v>-14311.977900000002</v>
      </c>
      <c r="AO279" s="125">
        <f>AH279*-Valores!$C$71</f>
        <v>0</v>
      </c>
      <c r="AP279" s="125">
        <f>AH279*Valores!$C$72</f>
        <v>-5854.90005</v>
      </c>
      <c r="AQ279" s="125">
        <f>Valores!$C$99</f>
        <v>-280.91</v>
      </c>
      <c r="AR279" s="125">
        <f>IF($F$5=0,Valores!$C$100,(Valores!$C$100+$F$5*(Valores!$C$100)))</f>
        <v>-329</v>
      </c>
      <c r="AS279" s="125">
        <f t="shared" si="47"/>
        <v>109638.71135000001</v>
      </c>
      <c r="AT279" s="125">
        <f t="shared" si="41"/>
        <v>-14311.977900000002</v>
      </c>
      <c r="AU279" s="125">
        <f>AH279*Valores!$C$73</f>
        <v>-3512.94003</v>
      </c>
      <c r="AV279" s="125">
        <f>AH279*Valores!$C$74</f>
        <v>-390.32667000000004</v>
      </c>
      <c r="AW279" s="125">
        <f t="shared" si="45"/>
        <v>112200.2547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54882.94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10304.93</v>
      </c>
      <c r="N280" s="125">
        <f t="shared" si="42"/>
        <v>0</v>
      </c>
      <c r="O280" s="125">
        <f>Valores!$C$7*B280</f>
        <v>23559.93</v>
      </c>
      <c r="P280" s="125">
        <f>ROUND(IF(B280&lt;15,(Valores!$E$5*B280),Valores!$D$5),2)</f>
        <v>13153.38</v>
      </c>
      <c r="Q280" s="125">
        <v>0</v>
      </c>
      <c r="R280" s="125">
        <f>IF($F$4="NO",Valores!$C$48*B280,Valores!$C$48*B280/2)</f>
        <v>6406.425</v>
      </c>
      <c r="S280" s="125">
        <f>Valores!$C$18*B280</f>
        <v>7410.15</v>
      </c>
      <c r="T280" s="125">
        <f t="shared" si="48"/>
        <v>7410.15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IF(Valores!$C$96*B280&gt;Valores!$C$95,Valores!$C$95,Valores!$C$96*B280)</f>
        <v>7558.38</v>
      </c>
      <c r="AA280" s="125">
        <f>IF((Valores!$C$28)*B280&gt;Valores!$F$28,Valores!$F$28,(Valores!$C$28)*B280)</f>
        <v>581.85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484.65</v>
      </c>
      <c r="AE280" s="192">
        <v>94</v>
      </c>
      <c r="AF280" s="125">
        <f>ROUND(AE280*Valores!$C$2,2)</f>
        <v>2418.66</v>
      </c>
      <c r="AG280" s="125">
        <f>IF($F$4="NO",IF(Valores!$D$62*'Escala Docente'!B280&gt;Valores!$F$62,Valores!$F$62,Valores!$D$62*'Escala Docente'!B280),IF(Valores!$D$62*'Escala Docente'!B280&gt;Valores!$F$62,Valores!$F$62,Valores!$D$62*'Escala Docente'!B280)/2)</f>
        <v>5766.255</v>
      </c>
      <c r="AH280" s="125">
        <f t="shared" si="46"/>
        <v>132527.55000000002</v>
      </c>
      <c r="AI280" s="125">
        <f>IF(Valores!$C$32*B280&gt;Valores!$F$32,Valores!$F$32,Valores!$C$32*B280)</f>
        <v>0</v>
      </c>
      <c r="AJ280" s="125">
        <f>IF(Valores!$C$89*B280&gt;Valores!$C$88,Valores!$C$88,Valores!$C$89*B280)</f>
        <v>0</v>
      </c>
      <c r="AK280" s="125">
        <f>Valores!C$39*B280</f>
        <v>0</v>
      </c>
      <c r="AL280" s="125">
        <f>IF($F$3="NO",0,IF(Valores!$C$61*B280&gt;Valores!$F$61,Valores!$F$61,Valores!$C$61*B280))</f>
        <v>306.6093</v>
      </c>
      <c r="AM280" s="125">
        <f t="shared" si="44"/>
        <v>306.6093</v>
      </c>
      <c r="AN280" s="125">
        <f>AH280*Valores!$C$70</f>
        <v>-14578.030500000003</v>
      </c>
      <c r="AO280" s="125">
        <f>AH280*-Valores!$C$71</f>
        <v>0</v>
      </c>
      <c r="AP280" s="125">
        <f>AH280*Valores!$C$72</f>
        <v>-5963.739750000001</v>
      </c>
      <c r="AQ280" s="125">
        <f>Valores!$C$99</f>
        <v>-280.91</v>
      </c>
      <c r="AR280" s="125">
        <f>IF($F$5=0,Valores!$C$100,(Valores!$C$100+$F$5*(Valores!$C$100)))</f>
        <v>-329</v>
      </c>
      <c r="AS280" s="125">
        <f t="shared" si="47"/>
        <v>111682.47905000001</v>
      </c>
      <c r="AT280" s="125">
        <f t="shared" si="41"/>
        <v>-14578.030500000003</v>
      </c>
      <c r="AU280" s="125">
        <f>AH280*Valores!$C$73</f>
        <v>-3578.2438500000003</v>
      </c>
      <c r="AV280" s="125">
        <f>AH280*Valores!$C$74</f>
        <v>-397.58265000000006</v>
      </c>
      <c r="AW280" s="125">
        <f t="shared" si="45"/>
        <v>114280.30230000002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56915.64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10686.59</v>
      </c>
      <c r="N281" s="125">
        <f t="shared" si="42"/>
        <v>0</v>
      </c>
      <c r="O281" s="125">
        <f>Valores!$C$7*B281</f>
        <v>24432.52</v>
      </c>
      <c r="P281" s="125">
        <f>ROUND(IF(B281&lt;15,(Valores!$E$5*B281),Valores!$D$5),2)</f>
        <v>13153.38</v>
      </c>
      <c r="Q281" s="125">
        <v>0</v>
      </c>
      <c r="R281" s="125">
        <f>IF($F$4="NO",Valores!$C$48*B281,Valores!$C$48*B281/2)</f>
        <v>6643.7</v>
      </c>
      <c r="S281" s="125">
        <f>Valores!$C$18*B281</f>
        <v>7684.599999999999</v>
      </c>
      <c r="T281" s="125">
        <f t="shared" si="48"/>
        <v>7684.6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IF(Valores!$C$96*B281&gt;Valores!$C$95,Valores!$C$95,Valores!$C$96*B281)</f>
        <v>7838.32</v>
      </c>
      <c r="AA281" s="125">
        <f>IF((Valores!$C$28)*B281&gt;Valores!$F$28,Valores!$F$28,(Valores!$C$28)*B281)</f>
        <v>603.4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502.59999999999997</v>
      </c>
      <c r="AE281" s="192">
        <v>0</v>
      </c>
      <c r="AF281" s="125">
        <f>ROUND(AE281*Valores!$C$2,2)</f>
        <v>0</v>
      </c>
      <c r="AG281" s="125">
        <f>IF($F$4="NO",IF(Valores!$D$62*'Escala Docente'!B281&gt;Valores!$F$62,Valores!$F$62,Valores!$D$62*'Escala Docente'!B281),IF(Valores!$D$62*'Escala Docente'!B281&gt;Valores!$F$62,Valores!$F$62,Valores!$D$62*'Escala Docente'!B281)/2)</f>
        <v>5979.82</v>
      </c>
      <c r="AH281" s="125">
        <f t="shared" si="46"/>
        <v>134440.57</v>
      </c>
      <c r="AI281" s="125">
        <f>IF(Valores!$C$32*B281&gt;Valores!$F$32,Valores!$F$32,Valores!$C$32*B281)</f>
        <v>0</v>
      </c>
      <c r="AJ281" s="125">
        <f>IF(Valores!$C$89*B281&gt;Valores!$C$88,Valores!$C$88,Valores!$C$89*B281)</f>
        <v>0</v>
      </c>
      <c r="AK281" s="125">
        <f>Valores!C$39*B281</f>
        <v>0</v>
      </c>
      <c r="AL281" s="125">
        <f>IF($F$3="NO",0,IF(Valores!$C$61*B281&gt;Valores!$F$61,Valores!$F$61,Valores!$C$61*B281))</f>
        <v>317.9652</v>
      </c>
      <c r="AM281" s="125">
        <f t="shared" si="44"/>
        <v>317.9652</v>
      </c>
      <c r="AN281" s="125">
        <f>AH281*Valores!$C$70</f>
        <v>-14788.4627</v>
      </c>
      <c r="AO281" s="125">
        <f>AH281*-Valores!$C$71</f>
        <v>0</v>
      </c>
      <c r="AP281" s="125">
        <f>AH281*Valores!$C$72</f>
        <v>-6049.82565</v>
      </c>
      <c r="AQ281" s="125">
        <f>Valores!$C$99</f>
        <v>-280.91</v>
      </c>
      <c r="AR281" s="125">
        <f>IF($F$5=0,Valores!$C$100,(Valores!$C$100+$F$5*(Valores!$C$100)))</f>
        <v>-329</v>
      </c>
      <c r="AS281" s="125">
        <f t="shared" si="47"/>
        <v>113310.33685</v>
      </c>
      <c r="AT281" s="125">
        <f t="shared" si="41"/>
        <v>-14788.4627</v>
      </c>
      <c r="AU281" s="125">
        <f>AH281*Valores!$C$73</f>
        <v>-3629.89539</v>
      </c>
      <c r="AV281" s="125">
        <f>AH281*Valores!$C$74</f>
        <v>-403.32171000000005</v>
      </c>
      <c r="AW281" s="125">
        <f t="shared" si="45"/>
        <v>115936.85540000001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56915.64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10686.59</v>
      </c>
      <c r="N282" s="125">
        <f t="shared" si="42"/>
        <v>0</v>
      </c>
      <c r="O282" s="125">
        <f>Valores!$C$7*B282</f>
        <v>24432.52</v>
      </c>
      <c r="P282" s="125">
        <f>ROUND(IF(B282&lt;15,(Valores!$E$5*B282),Valores!$D$5),2)</f>
        <v>13153.38</v>
      </c>
      <c r="Q282" s="125">
        <v>0</v>
      </c>
      <c r="R282" s="125">
        <f>IF($F$4="NO",Valores!$C$48*B282,Valores!$C$48*B282/2)</f>
        <v>6643.7</v>
      </c>
      <c r="S282" s="125">
        <f>Valores!$C$18*B282</f>
        <v>7684.599999999999</v>
      </c>
      <c r="T282" s="125">
        <f t="shared" si="48"/>
        <v>7684.6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IF(Valores!$C$96*B282&gt;Valores!$C$95,Valores!$C$95,Valores!$C$96*B282)</f>
        <v>7838.32</v>
      </c>
      <c r="AA282" s="125">
        <f>IF((Valores!$C$28)*B282&gt;Valores!$F$28,Valores!$F$28,(Valores!$C$28)*B282)</f>
        <v>603.4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502.59999999999997</v>
      </c>
      <c r="AE282" s="192">
        <v>94</v>
      </c>
      <c r="AF282" s="125">
        <f>ROUND(AE282*Valores!$C$2,2)</f>
        <v>2418.66</v>
      </c>
      <c r="AG282" s="125">
        <f>IF($F$4="NO",IF(Valores!$D$62*'Escala Docente'!B282&gt;Valores!$F$62,Valores!$F$62,Valores!$D$62*'Escala Docente'!B282),IF(Valores!$D$62*'Escala Docente'!B282&gt;Valores!$F$62,Valores!$F$62,Valores!$D$62*'Escala Docente'!B282)/2)</f>
        <v>5979.82</v>
      </c>
      <c r="AH282" s="125">
        <f t="shared" si="46"/>
        <v>136859.23</v>
      </c>
      <c r="AI282" s="125">
        <f>IF(Valores!$C$32*B282&gt;Valores!$F$32,Valores!$F$32,Valores!$C$32*B282)</f>
        <v>0</v>
      </c>
      <c r="AJ282" s="125">
        <f>IF(Valores!$C$89*B282&gt;Valores!$C$88,Valores!$C$88,Valores!$C$89*B282)</f>
        <v>0</v>
      </c>
      <c r="AK282" s="125">
        <f>Valores!C$39*B282</f>
        <v>0</v>
      </c>
      <c r="AL282" s="125">
        <f>IF($F$3="NO",0,IF(Valores!$C$61*B282&gt;Valores!$F$61,Valores!$F$61,Valores!$C$61*B282))</f>
        <v>317.9652</v>
      </c>
      <c r="AM282" s="125">
        <f t="shared" si="44"/>
        <v>317.9652</v>
      </c>
      <c r="AN282" s="125">
        <f>AH282*Valores!$C$70</f>
        <v>-15054.515300000001</v>
      </c>
      <c r="AO282" s="125">
        <f>AH282*-Valores!$C$71</f>
        <v>0</v>
      </c>
      <c r="AP282" s="125">
        <f>AH282*Valores!$C$72</f>
        <v>-6158.66535</v>
      </c>
      <c r="AQ282" s="125">
        <f>Valores!$C$99</f>
        <v>-280.91</v>
      </c>
      <c r="AR282" s="125">
        <f>IF($F$5=0,Valores!$C$100,(Valores!$C$100+$F$5*(Valores!$C$100)))</f>
        <v>-329</v>
      </c>
      <c r="AS282" s="125">
        <f t="shared" si="47"/>
        <v>115354.10455000002</v>
      </c>
      <c r="AT282" s="125">
        <f t="shared" si="41"/>
        <v>-15054.515300000001</v>
      </c>
      <c r="AU282" s="125">
        <f>AH282*Valores!$C$73</f>
        <v>-3695.19921</v>
      </c>
      <c r="AV282" s="125">
        <f>AH282*Valores!$C$74</f>
        <v>-410.57769</v>
      </c>
      <c r="AW282" s="125">
        <f t="shared" si="45"/>
        <v>118016.90300000002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58948.35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11068.26</v>
      </c>
      <c r="N283" s="125">
        <f t="shared" si="42"/>
        <v>0</v>
      </c>
      <c r="O283" s="125">
        <f>Valores!$C$7*B283</f>
        <v>25305.11</v>
      </c>
      <c r="P283" s="125">
        <f>ROUND(IF(B283&lt;15,(Valores!$E$5*B283),Valores!$D$5),2)</f>
        <v>13153.38</v>
      </c>
      <c r="Q283" s="125">
        <v>0</v>
      </c>
      <c r="R283" s="125">
        <f>IF($F$4="NO",Valores!$C$48*B283,Valores!$C$48*B283/2)</f>
        <v>6880.975</v>
      </c>
      <c r="S283" s="125">
        <f>Valores!$C$18*B283</f>
        <v>7959.049999999999</v>
      </c>
      <c r="T283" s="125">
        <f t="shared" si="48"/>
        <v>7959.05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IF(Valores!$C$96*B283&gt;Valores!$C$95,Valores!$C$95,Valores!$C$96*B283)</f>
        <v>8118.26</v>
      </c>
      <c r="AA283" s="125">
        <f>IF((Valores!$C$28)*B283&gt;Valores!$F$28,Valores!$F$28,(Valores!$C$28)*B283)</f>
        <v>624.95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520.55</v>
      </c>
      <c r="AE283" s="192">
        <v>0</v>
      </c>
      <c r="AF283" s="125">
        <f>ROUND(AE283*Valores!$C$2,2)</f>
        <v>0</v>
      </c>
      <c r="AG283" s="125">
        <f>IF($F$4="NO",IF(Valores!$D$62*'Escala Docente'!B283&gt;Valores!$F$62,Valores!$F$62,Valores!$D$62*'Escala Docente'!B283),IF(Valores!$D$62*'Escala Docente'!B283&gt;Valores!$F$62,Valores!$F$62,Valores!$D$62*'Escala Docente'!B283)/2)</f>
        <v>6193.385</v>
      </c>
      <c r="AH283" s="125">
        <f t="shared" si="46"/>
        <v>138772.27000000002</v>
      </c>
      <c r="AI283" s="125">
        <f>IF(Valores!$C$32*B283&gt;Valores!$F$32,Valores!$F$32,Valores!$C$32*B283)</f>
        <v>0</v>
      </c>
      <c r="AJ283" s="125">
        <f>IF(Valores!$C$89*B283&gt;Valores!$C$88,Valores!$C$88,Valores!$C$89*B283)</f>
        <v>0</v>
      </c>
      <c r="AK283" s="125">
        <f>Valores!C$39*B283</f>
        <v>0</v>
      </c>
      <c r="AL283" s="125">
        <f>IF($F$3="NO",0,IF(Valores!$C$61*B283&gt;Valores!$F$61,Valores!$F$61,Valores!$C$61*B283))</f>
        <v>327.6</v>
      </c>
      <c r="AM283" s="125">
        <f t="shared" si="44"/>
        <v>327.6</v>
      </c>
      <c r="AN283" s="125">
        <f>AH283*Valores!$C$70</f>
        <v>-15264.949700000003</v>
      </c>
      <c r="AO283" s="125">
        <f>AH283*-Valores!$C$71</f>
        <v>0</v>
      </c>
      <c r="AP283" s="125">
        <f>AH283*Valores!$C$72</f>
        <v>-6244.75215</v>
      </c>
      <c r="AQ283" s="125">
        <f>Valores!$C$99</f>
        <v>-280.91</v>
      </c>
      <c r="AR283" s="125">
        <f>IF($F$5=0,Valores!$C$100,(Valores!$C$100+$F$5*(Valores!$C$100)))</f>
        <v>-329</v>
      </c>
      <c r="AS283" s="125">
        <f t="shared" si="47"/>
        <v>116980.25815000001</v>
      </c>
      <c r="AT283" s="125">
        <f t="shared" si="41"/>
        <v>-15264.949700000003</v>
      </c>
      <c r="AU283" s="125">
        <f>AH283*Valores!$C$73</f>
        <v>-3746.8512900000005</v>
      </c>
      <c r="AV283" s="125">
        <f>AH283*Valores!$C$74</f>
        <v>-416.3168100000001</v>
      </c>
      <c r="AW283" s="125">
        <f t="shared" si="45"/>
        <v>119671.75220000002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58948.35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11068.26</v>
      </c>
      <c r="N284" s="125">
        <f t="shared" si="42"/>
        <v>0</v>
      </c>
      <c r="O284" s="125">
        <f>Valores!$C$7*B284</f>
        <v>25305.11</v>
      </c>
      <c r="P284" s="125">
        <f>ROUND(IF(B284&lt;15,(Valores!$E$5*B284),Valores!$D$5),2)</f>
        <v>13153.38</v>
      </c>
      <c r="Q284" s="125">
        <v>0</v>
      </c>
      <c r="R284" s="125">
        <f>IF($F$4="NO",Valores!$C$48*B284,Valores!$C$48*B284/2)</f>
        <v>6880.975</v>
      </c>
      <c r="S284" s="125">
        <f>Valores!$C$18*B284</f>
        <v>7959.049999999999</v>
      </c>
      <c r="T284" s="125">
        <f t="shared" si="48"/>
        <v>7959.05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IF(Valores!$C$96*B284&gt;Valores!$C$95,Valores!$C$95,Valores!$C$96*B284)</f>
        <v>8118.26</v>
      </c>
      <c r="AA284" s="125">
        <f>IF((Valores!$C$28)*B284&gt;Valores!$F$28,Valores!$F$28,(Valores!$C$28)*B284)</f>
        <v>624.95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520.55</v>
      </c>
      <c r="AE284" s="192">
        <v>94</v>
      </c>
      <c r="AF284" s="125">
        <f>ROUND(AE284*Valores!$C$2,2)</f>
        <v>2418.66</v>
      </c>
      <c r="AG284" s="125">
        <f>IF($F$4="NO",IF(Valores!$D$62*'Escala Docente'!B284&gt;Valores!$F$62,Valores!$F$62,Valores!$D$62*'Escala Docente'!B284),IF(Valores!$D$62*'Escala Docente'!B284&gt;Valores!$F$62,Valores!$F$62,Valores!$D$62*'Escala Docente'!B284)/2)</f>
        <v>6193.385</v>
      </c>
      <c r="AH284" s="125">
        <f t="shared" si="46"/>
        <v>141190.93000000002</v>
      </c>
      <c r="AI284" s="125">
        <f>IF(Valores!$C$32*B284&gt;Valores!$F$32,Valores!$F$32,Valores!$C$32*B284)</f>
        <v>0</v>
      </c>
      <c r="AJ284" s="125">
        <f>IF(Valores!$C$89*B284&gt;Valores!$C$88,Valores!$C$88,Valores!$C$89*B284)</f>
        <v>0</v>
      </c>
      <c r="AK284" s="125">
        <f>Valores!C$39*B284</f>
        <v>0</v>
      </c>
      <c r="AL284" s="125">
        <f>IF($F$3="NO",0,IF(Valores!$C$61*B284&gt;Valores!$F$61,Valores!$F$61,Valores!$C$61*B284))</f>
        <v>327.6</v>
      </c>
      <c r="AM284" s="125">
        <f t="shared" si="44"/>
        <v>327.6</v>
      </c>
      <c r="AN284" s="125">
        <f>AH284*Valores!$C$70</f>
        <v>-15531.002300000002</v>
      </c>
      <c r="AO284" s="125">
        <f>AH284*-Valores!$C$71</f>
        <v>0</v>
      </c>
      <c r="AP284" s="125">
        <f>AH284*Valores!$C$72</f>
        <v>-6353.591850000001</v>
      </c>
      <c r="AQ284" s="125">
        <f>Valores!$C$99</f>
        <v>-280.91</v>
      </c>
      <c r="AR284" s="125">
        <f>IF($F$5=0,Valores!$C$100,(Valores!$C$100+$F$5*(Valores!$C$100)))</f>
        <v>-329</v>
      </c>
      <c r="AS284" s="125">
        <f t="shared" si="47"/>
        <v>119024.02585000002</v>
      </c>
      <c r="AT284" s="125">
        <f t="shared" si="41"/>
        <v>-15531.002300000002</v>
      </c>
      <c r="AU284" s="125">
        <f>AH284*Valores!$C$73</f>
        <v>-3812.1551100000006</v>
      </c>
      <c r="AV284" s="125">
        <f>AH284*Valores!$C$74</f>
        <v>-423.57279000000005</v>
      </c>
      <c r="AW284" s="125">
        <f t="shared" si="45"/>
        <v>121751.79980000002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60981.05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11449.92</v>
      </c>
      <c r="N285" s="125">
        <f t="shared" si="42"/>
        <v>0</v>
      </c>
      <c r="O285" s="125">
        <f>Valores!$C$7*B285</f>
        <v>26177.7</v>
      </c>
      <c r="P285" s="125">
        <f>ROUND(IF(B285&lt;15,(Valores!$E$5*B285),Valores!$D$5),2)</f>
        <v>13153.38</v>
      </c>
      <c r="Q285" s="125">
        <v>0</v>
      </c>
      <c r="R285" s="125">
        <f>IF($F$4="NO",Valores!$C$48*B285,Valores!$C$48*B285/2)</f>
        <v>7118.25</v>
      </c>
      <c r="S285" s="125">
        <f>Valores!$C$18*B285</f>
        <v>8233.5</v>
      </c>
      <c r="T285" s="125">
        <f t="shared" si="48"/>
        <v>8233.5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IF(Valores!$C$96*B285&gt;Valores!$C$95,Valores!$C$95,Valores!$C$96*B285)</f>
        <v>8398.2</v>
      </c>
      <c r="AA285" s="125">
        <f>IF((Valores!$C$28)*B285&gt;Valores!$F$28,Valores!$F$28,(Valores!$C$28)*B285)</f>
        <v>646.5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537.98</v>
      </c>
      <c r="AE285" s="192">
        <v>0</v>
      </c>
      <c r="AF285" s="125">
        <f>ROUND(AE285*Valores!$C$2,2)</f>
        <v>0</v>
      </c>
      <c r="AG285" s="125">
        <f>IF($F$4="NO",IF(Valores!$D$62*'Escala Docente'!B285&gt;Valores!$F$62,Valores!$F$62,Valores!$D$62*'Escala Docente'!B285),IF(Valores!$D$62*'Escala Docente'!B285&gt;Valores!$F$62,Valores!$F$62,Valores!$D$62*'Escala Docente'!B285)/2)</f>
        <v>6406.93</v>
      </c>
      <c r="AH285" s="125">
        <f t="shared" si="46"/>
        <v>143103.41</v>
      </c>
      <c r="AI285" s="125">
        <f>IF(Valores!$C$32*B285&gt;Valores!$F$32,Valores!$F$32,Valores!$C$32*B285)</f>
        <v>0</v>
      </c>
      <c r="AJ285" s="125">
        <f>IF(Valores!$C$89*B285&gt;Valores!$C$88,Valores!$C$88,Valores!$C$89*B285)</f>
        <v>0</v>
      </c>
      <c r="AK285" s="125">
        <f>Valores!C$39*B285</f>
        <v>0</v>
      </c>
      <c r="AL285" s="125">
        <f>IF($F$3="NO",0,IF(Valores!$C$61*B285&gt;Valores!$F$61,Valores!$F$61,Valores!$C$61*B285))</f>
        <v>327.6</v>
      </c>
      <c r="AM285" s="125">
        <f t="shared" si="44"/>
        <v>327.6</v>
      </c>
      <c r="AN285" s="125">
        <f>AH285*Valores!$C$70</f>
        <v>-15741.375100000001</v>
      </c>
      <c r="AO285" s="125">
        <f>AH285*-Valores!$C$71</f>
        <v>0</v>
      </c>
      <c r="AP285" s="125">
        <f>AH285*Valores!$C$72</f>
        <v>-6439.65345</v>
      </c>
      <c r="AQ285" s="125">
        <f>Valores!$C$99</f>
        <v>-280.91</v>
      </c>
      <c r="AR285" s="125">
        <f>IF($F$5=0,Valores!$C$100,(Valores!$C$100+$F$5*(Valores!$C$100)))</f>
        <v>-329</v>
      </c>
      <c r="AS285" s="125">
        <f t="shared" si="47"/>
        <v>120640.07145</v>
      </c>
      <c r="AT285" s="125">
        <f t="shared" si="41"/>
        <v>-15741.375100000001</v>
      </c>
      <c r="AU285" s="125">
        <f>AH285*Valores!$C$73</f>
        <v>-3863.79207</v>
      </c>
      <c r="AV285" s="125">
        <f>AH285*Valores!$C$74</f>
        <v>-429.31023000000005</v>
      </c>
      <c r="AW285" s="125">
        <f t="shared" si="45"/>
        <v>123396.5326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60981.05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11449.92</v>
      </c>
      <c r="N286" s="125">
        <f t="shared" si="42"/>
        <v>0</v>
      </c>
      <c r="O286" s="125">
        <f>Valores!$C$7*B286</f>
        <v>26177.7</v>
      </c>
      <c r="P286" s="125">
        <f>ROUND(IF(B286&lt;15,(Valores!$E$5*B286),Valores!$D$5),2)</f>
        <v>13153.38</v>
      </c>
      <c r="Q286" s="125">
        <v>0</v>
      </c>
      <c r="R286" s="125">
        <f>IF($F$4="NO",Valores!$C$48*B286,Valores!$C$48*B286/2)</f>
        <v>7118.25</v>
      </c>
      <c r="S286" s="125">
        <f>Valores!$C$18*B286</f>
        <v>8233.5</v>
      </c>
      <c r="T286" s="125">
        <f t="shared" si="48"/>
        <v>8233.5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IF(Valores!$C$96*B286&gt;Valores!$C$95,Valores!$C$95,Valores!$C$96*B286)</f>
        <v>8398.2</v>
      </c>
      <c r="AA286" s="125">
        <f>IF((Valores!$C$28)*B286&gt;Valores!$F$28,Valores!$F$28,(Valores!$C$28)*B286)</f>
        <v>646.5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537.98</v>
      </c>
      <c r="AE286" s="192">
        <v>94</v>
      </c>
      <c r="AF286" s="125">
        <f>ROUND(AE286*Valores!$C$2,2)</f>
        <v>2418.66</v>
      </c>
      <c r="AG286" s="125">
        <f>IF($F$4="NO",IF(Valores!$D$62*'Escala Docente'!B286&gt;Valores!$F$62,Valores!$F$62,Valores!$D$62*'Escala Docente'!B286),IF(Valores!$D$62*'Escala Docente'!B286&gt;Valores!$F$62,Valores!$F$62,Valores!$D$62*'Escala Docente'!B286)/2)</f>
        <v>6406.93</v>
      </c>
      <c r="AH286" s="125">
        <f t="shared" si="46"/>
        <v>145522.07</v>
      </c>
      <c r="AI286" s="125">
        <f>IF(Valores!$C$32*B286&gt;Valores!$F$32,Valores!$F$32,Valores!$C$32*B286)</f>
        <v>0</v>
      </c>
      <c r="AJ286" s="125">
        <f>IF(Valores!$C$89*B286&gt;Valores!$C$88,Valores!$C$88,Valores!$C$89*B286)</f>
        <v>0</v>
      </c>
      <c r="AK286" s="125">
        <f>Valores!C$39*B286</f>
        <v>0</v>
      </c>
      <c r="AL286" s="125">
        <f>IF($F$3="NO",0,IF(Valores!$C$61*B286&gt;Valores!$F$61,Valores!$F$61,Valores!$C$61*B286))</f>
        <v>327.6</v>
      </c>
      <c r="AM286" s="125">
        <f t="shared" si="44"/>
        <v>327.6</v>
      </c>
      <c r="AN286" s="125">
        <f>AH286*Valores!$C$70</f>
        <v>-16007.4277</v>
      </c>
      <c r="AO286" s="125">
        <f>AH286*-Valores!$C$71</f>
        <v>0</v>
      </c>
      <c r="AP286" s="125">
        <f>AH286*Valores!$C$72</f>
        <v>-6548.49315</v>
      </c>
      <c r="AQ286" s="125">
        <f>Valores!$C$99</f>
        <v>-280.91</v>
      </c>
      <c r="AR286" s="125">
        <f>IF($F$5=0,Valores!$C$100,(Valores!$C$100+$F$5*(Valores!$C$100)))</f>
        <v>-329</v>
      </c>
      <c r="AS286" s="125">
        <f t="shared" si="47"/>
        <v>122683.83915000001</v>
      </c>
      <c r="AT286" s="125">
        <f t="shared" si="41"/>
        <v>-16007.4277</v>
      </c>
      <c r="AU286" s="125">
        <f>AH286*Valores!$C$73</f>
        <v>-3929.09589</v>
      </c>
      <c r="AV286" s="125">
        <f>AH286*Valores!$C$74</f>
        <v>-436.56621</v>
      </c>
      <c r="AW286" s="125">
        <f t="shared" si="45"/>
        <v>125476.58020000001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63013.75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11831.58</v>
      </c>
      <c r="N287" s="125">
        <f t="shared" si="42"/>
        <v>0</v>
      </c>
      <c r="O287" s="125">
        <f>Valores!$C$7*B287</f>
        <v>27050.29</v>
      </c>
      <c r="P287" s="125">
        <f>ROUND(IF(B287&lt;15,(Valores!$E$5*B287),Valores!$D$5),2)</f>
        <v>13153.38</v>
      </c>
      <c r="Q287" s="125">
        <v>0</v>
      </c>
      <c r="R287" s="125">
        <f>IF($F$4="NO",Valores!$C$48*B287,Valores!$C$48*B287/2)</f>
        <v>7355.525000000001</v>
      </c>
      <c r="S287" s="125">
        <f>Valores!$C$18*B287</f>
        <v>8507.949999999999</v>
      </c>
      <c r="T287" s="125">
        <f t="shared" si="48"/>
        <v>8507.95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IF(Valores!$C$96*B287&gt;Valores!$C$95,Valores!$C$95,Valores!$C$96*B287)</f>
        <v>8678.14</v>
      </c>
      <c r="AA287" s="125">
        <f>IF((Valores!$C$28)*B287&gt;Valores!$F$28,Valores!$F$28,(Valores!$C$28)*B287)</f>
        <v>668.0500000000001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537.98</v>
      </c>
      <c r="AE287" s="192">
        <v>0</v>
      </c>
      <c r="AF287" s="125">
        <f>ROUND(AE287*Valores!$C$2,2)</f>
        <v>0</v>
      </c>
      <c r="AG287" s="125">
        <f>IF($F$4="NO",IF(Valores!$D$62*'Escala Docente'!B287&gt;Valores!$F$62,Valores!$F$62,Valores!$D$62*'Escala Docente'!B287),IF(Valores!$D$62*'Escala Docente'!B287&gt;Valores!$F$62,Valores!$F$62,Valores!$D$62*'Escala Docente'!B287)/2)</f>
        <v>6406.93</v>
      </c>
      <c r="AH287" s="125">
        <f t="shared" si="46"/>
        <v>147203.57499999998</v>
      </c>
      <c r="AI287" s="125">
        <f>IF(Valores!$C$32*B287&gt;Valores!$F$32,Valores!$F$32,Valores!$C$32*B287)</f>
        <v>0</v>
      </c>
      <c r="AJ287" s="125">
        <f>IF(Valores!$C$89*B287&gt;Valores!$C$88,Valores!$C$88,Valores!$C$89*B287)</f>
        <v>0</v>
      </c>
      <c r="AK287" s="125">
        <f>Valores!C$39*B287</f>
        <v>0</v>
      </c>
      <c r="AL287" s="125">
        <f>IF($F$3="NO",0,IF(Valores!$C$61*B287&gt;Valores!$F$61,Valores!$F$61,Valores!$C$61*B287))</f>
        <v>327.6</v>
      </c>
      <c r="AM287" s="125">
        <f t="shared" si="44"/>
        <v>327.6</v>
      </c>
      <c r="AN287" s="125">
        <f>AH287*Valores!$C$70</f>
        <v>-16192.393249999997</v>
      </c>
      <c r="AO287" s="125">
        <f>AH287*-Valores!$C$71</f>
        <v>0</v>
      </c>
      <c r="AP287" s="125">
        <f>AH287*Valores!$C$72</f>
        <v>-6624.160874999999</v>
      </c>
      <c r="AQ287" s="125">
        <f>Valores!$C$99</f>
        <v>-280.91</v>
      </c>
      <c r="AR287" s="125">
        <f>IF($F$5=0,Valores!$C$100,(Valores!$C$100+$F$5*(Valores!$C$100)))</f>
        <v>-329</v>
      </c>
      <c r="AS287" s="125">
        <f t="shared" si="47"/>
        <v>124104.71087499999</v>
      </c>
      <c r="AT287" s="125">
        <f t="shared" si="41"/>
        <v>-16192.393249999997</v>
      </c>
      <c r="AU287" s="125">
        <f>AH287*Valores!$C$73</f>
        <v>-3974.4965249999996</v>
      </c>
      <c r="AV287" s="125">
        <f>AH287*Valores!$C$74</f>
        <v>-441.61072499999995</v>
      </c>
      <c r="AW287" s="125">
        <f t="shared" si="45"/>
        <v>126922.6745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63013.75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11831.58</v>
      </c>
      <c r="N288" s="125">
        <f t="shared" si="42"/>
        <v>0</v>
      </c>
      <c r="O288" s="125">
        <f>Valores!$C$7*B288</f>
        <v>27050.29</v>
      </c>
      <c r="P288" s="125">
        <f>ROUND(IF(B288&lt;15,(Valores!$E$5*B288),Valores!$D$5),2)</f>
        <v>13153.38</v>
      </c>
      <c r="Q288" s="125">
        <v>0</v>
      </c>
      <c r="R288" s="125">
        <f>IF($F$4="NO",Valores!$C$48*B288,Valores!$C$48*B288/2)</f>
        <v>7355.525000000001</v>
      </c>
      <c r="S288" s="125">
        <f>Valores!$C$18*B288</f>
        <v>8507.949999999999</v>
      </c>
      <c r="T288" s="125">
        <f t="shared" si="48"/>
        <v>8507.95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IF(Valores!$C$96*B288&gt;Valores!$C$95,Valores!$C$95,Valores!$C$96*B288)</f>
        <v>8678.14</v>
      </c>
      <c r="AA288" s="125">
        <f>IF((Valores!$C$28)*B288&gt;Valores!$F$28,Valores!$F$28,(Valores!$C$28)*B288)</f>
        <v>668.0500000000001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537.98</v>
      </c>
      <c r="AE288" s="192">
        <v>94</v>
      </c>
      <c r="AF288" s="125">
        <f>ROUND(AE288*Valores!$C$2,2)</f>
        <v>2418.66</v>
      </c>
      <c r="AG288" s="125">
        <f>IF($F$4="NO",IF(Valores!$D$62*'Escala Docente'!B288&gt;Valores!$F$62,Valores!$F$62,Valores!$D$62*'Escala Docente'!B288),IF(Valores!$D$62*'Escala Docente'!B288&gt;Valores!$F$62,Valores!$F$62,Valores!$D$62*'Escala Docente'!B288)/2)</f>
        <v>6406.93</v>
      </c>
      <c r="AH288" s="125">
        <f t="shared" si="46"/>
        <v>149622.235</v>
      </c>
      <c r="AI288" s="125">
        <f>IF(Valores!$C$32*B288&gt;Valores!$F$32,Valores!$F$32,Valores!$C$32*B288)</f>
        <v>0</v>
      </c>
      <c r="AJ288" s="125">
        <f>IF(Valores!$C$89*B288&gt;Valores!$C$88,Valores!$C$88,Valores!$C$89*B288)</f>
        <v>0</v>
      </c>
      <c r="AK288" s="125">
        <f>Valores!C$39*B288</f>
        <v>0</v>
      </c>
      <c r="AL288" s="125">
        <f>IF($F$3="NO",0,IF(Valores!$C$61*B288&gt;Valores!$F$61,Valores!$F$61,Valores!$C$61*B288))</f>
        <v>327.6</v>
      </c>
      <c r="AM288" s="125">
        <f t="shared" si="44"/>
        <v>327.6</v>
      </c>
      <c r="AN288" s="125">
        <f>AH288*Valores!$C$70</f>
        <v>-16458.44585</v>
      </c>
      <c r="AO288" s="125">
        <f>AH288*-Valores!$C$71</f>
        <v>0</v>
      </c>
      <c r="AP288" s="125">
        <f>AH288*Valores!$C$72</f>
        <v>-6733.000574999999</v>
      </c>
      <c r="AQ288" s="125">
        <f>Valores!$C$99</f>
        <v>-280.91</v>
      </c>
      <c r="AR288" s="125">
        <f>IF($F$5=0,Valores!$C$100,(Valores!$C$100+$F$5*(Valores!$C$100)))</f>
        <v>-329</v>
      </c>
      <c r="AS288" s="125">
        <f t="shared" si="47"/>
        <v>126148.47857499999</v>
      </c>
      <c r="AT288" s="125">
        <f t="shared" si="41"/>
        <v>-16458.44585</v>
      </c>
      <c r="AU288" s="125">
        <f>AH288*Valores!$C$73</f>
        <v>-4039.8003449999997</v>
      </c>
      <c r="AV288" s="125">
        <f>AH288*Valores!$C$74</f>
        <v>-448.86670499999997</v>
      </c>
      <c r="AW288" s="125">
        <f t="shared" si="45"/>
        <v>129002.72209999998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65046.45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12213.25</v>
      </c>
      <c r="N289" s="125">
        <f t="shared" si="42"/>
        <v>0</v>
      </c>
      <c r="O289" s="125">
        <f>Valores!$C$7*B289</f>
        <v>27922.88</v>
      </c>
      <c r="P289" s="125">
        <f>ROUND(IF(B289&lt;15,(Valores!$E$5*B289),Valores!$D$5),2)</f>
        <v>13153.38</v>
      </c>
      <c r="Q289" s="125">
        <v>0</v>
      </c>
      <c r="R289" s="125">
        <f>IF($F$4="NO",Valores!$C$48*B289,Valores!$C$48*B289/2)</f>
        <v>7592.8</v>
      </c>
      <c r="S289" s="125">
        <f>Valores!$C$18*B289</f>
        <v>8782.4</v>
      </c>
      <c r="T289" s="125">
        <f t="shared" si="48"/>
        <v>8782.4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IF(Valores!$C$96*B289&gt;Valores!$C$95,Valores!$C$95,Valores!$C$96*B289)</f>
        <v>8958.08</v>
      </c>
      <c r="AA289" s="125">
        <f>IF((Valores!$C$28)*B289&gt;Valores!$F$28,Valores!$F$28,(Valores!$C$28)*B289)</f>
        <v>689.6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537.98</v>
      </c>
      <c r="AE289" s="192">
        <v>0</v>
      </c>
      <c r="AF289" s="125">
        <f>ROUND(AE289*Valores!$C$2,2)</f>
        <v>0</v>
      </c>
      <c r="AG289" s="125">
        <f>IF($F$4="NO",IF(Valores!$D$62*'Escala Docente'!B289&gt;Valores!$F$62,Valores!$F$62,Valores!$D$62*'Escala Docente'!B289),IF(Valores!$D$62*'Escala Docente'!B289&gt;Valores!$F$62,Valores!$F$62,Valores!$D$62*'Escala Docente'!B289)/2)</f>
        <v>6406.93</v>
      </c>
      <c r="AH289" s="125">
        <f t="shared" si="46"/>
        <v>151303.75</v>
      </c>
      <c r="AI289" s="125">
        <f>IF(Valores!$C$32*B289&gt;Valores!$F$32,Valores!$F$32,Valores!$C$32*B289)</f>
        <v>0</v>
      </c>
      <c r="AJ289" s="125">
        <f>IF(Valores!$C$89*B289&gt;Valores!$C$88,Valores!$C$88,Valores!$C$89*B289)</f>
        <v>0</v>
      </c>
      <c r="AK289" s="125">
        <f>Valores!C$39*B289</f>
        <v>0</v>
      </c>
      <c r="AL289" s="125">
        <f>IF($F$3="NO",0,IF(Valores!$C$61*B289&gt;Valores!$F$61,Valores!$F$61,Valores!$C$61*B289))</f>
        <v>327.6</v>
      </c>
      <c r="AM289" s="125">
        <f t="shared" si="44"/>
        <v>327.6</v>
      </c>
      <c r="AN289" s="125">
        <f>AH289*Valores!$C$70</f>
        <v>-16643.4125</v>
      </c>
      <c r="AO289" s="125">
        <f>AH289*-Valores!$C$71</f>
        <v>0</v>
      </c>
      <c r="AP289" s="125">
        <f>AH289*Valores!$C$72</f>
        <v>-6808.66875</v>
      </c>
      <c r="AQ289" s="125">
        <f>Valores!$C$99</f>
        <v>-280.91</v>
      </c>
      <c r="AR289" s="125">
        <f>IF($F$5=0,Valores!$C$100,(Valores!$C$100+$F$5*(Valores!$C$100)))</f>
        <v>-329</v>
      </c>
      <c r="AS289" s="125">
        <f t="shared" si="47"/>
        <v>127569.35875</v>
      </c>
      <c r="AT289" s="125">
        <f t="shared" si="41"/>
        <v>-16643.4125</v>
      </c>
      <c r="AU289" s="125">
        <f>AH289*Valores!$C$73</f>
        <v>-4085.20125</v>
      </c>
      <c r="AV289" s="125">
        <f>AH289*Valores!$C$74</f>
        <v>-453.91125</v>
      </c>
      <c r="AW289" s="125">
        <f t="shared" si="45"/>
        <v>130448.82500000001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65046.45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12213.25</v>
      </c>
      <c r="N290" s="125">
        <f t="shared" si="42"/>
        <v>0</v>
      </c>
      <c r="O290" s="125">
        <f>Valores!$C$7*B290</f>
        <v>27922.88</v>
      </c>
      <c r="P290" s="125">
        <f>ROUND(IF(B290&lt;15,(Valores!$E$5*B290),Valores!$D$5),2)</f>
        <v>13153.38</v>
      </c>
      <c r="Q290" s="125">
        <v>0</v>
      </c>
      <c r="R290" s="125">
        <f>IF($F$4="NO",Valores!$C$48*B290,Valores!$C$48*B290/2)</f>
        <v>7592.8</v>
      </c>
      <c r="S290" s="125">
        <f>Valores!$C$18*B290</f>
        <v>8782.4</v>
      </c>
      <c r="T290" s="125">
        <f t="shared" si="48"/>
        <v>8782.4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IF(Valores!$C$96*B290&gt;Valores!$C$95,Valores!$C$95,Valores!$C$96*B290)</f>
        <v>8958.08</v>
      </c>
      <c r="AA290" s="125">
        <f>IF((Valores!$C$28)*B290&gt;Valores!$F$28,Valores!$F$28,(Valores!$C$28)*B290)</f>
        <v>689.6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537.98</v>
      </c>
      <c r="AE290" s="192">
        <v>94</v>
      </c>
      <c r="AF290" s="125">
        <f>ROUND(AE290*Valores!$C$2,2)</f>
        <v>2418.66</v>
      </c>
      <c r="AG290" s="125">
        <f>IF($F$4="NO",IF(Valores!$D$62*'Escala Docente'!B290&gt;Valores!$F$62,Valores!$F$62,Valores!$D$62*'Escala Docente'!B290),IF(Valores!$D$62*'Escala Docente'!B290&gt;Valores!$F$62,Valores!$F$62,Valores!$D$62*'Escala Docente'!B290)/2)</f>
        <v>6406.93</v>
      </c>
      <c r="AH290" s="125">
        <f t="shared" si="46"/>
        <v>153722.41</v>
      </c>
      <c r="AI290" s="125">
        <f>IF(Valores!$C$32*B290&gt;Valores!$F$32,Valores!$F$32,Valores!$C$32*B290)</f>
        <v>0</v>
      </c>
      <c r="AJ290" s="125">
        <f>IF(Valores!$C$89*B290&gt;Valores!$C$88,Valores!$C$88,Valores!$C$89*B290)</f>
        <v>0</v>
      </c>
      <c r="AK290" s="125">
        <f>Valores!C$39*B290</f>
        <v>0</v>
      </c>
      <c r="AL290" s="125">
        <f>IF($F$3="NO",0,IF(Valores!$C$61*B290&gt;Valores!$F$61,Valores!$F$61,Valores!$C$61*B290))</f>
        <v>327.6</v>
      </c>
      <c r="AM290" s="125">
        <f t="shared" si="44"/>
        <v>327.6</v>
      </c>
      <c r="AN290" s="125">
        <f>AH290*Valores!$C$70</f>
        <v>-16909.4651</v>
      </c>
      <c r="AO290" s="125">
        <f>AH290*-Valores!$C$71</f>
        <v>0</v>
      </c>
      <c r="AP290" s="125">
        <f>AH290*Valores!$C$72</f>
        <v>-6917.50845</v>
      </c>
      <c r="AQ290" s="125">
        <f>Valores!$C$99</f>
        <v>-280.91</v>
      </c>
      <c r="AR290" s="125">
        <f>IF($F$5=0,Valores!$C$100,(Valores!$C$100+$F$5*(Valores!$C$100)))</f>
        <v>-329</v>
      </c>
      <c r="AS290" s="125">
        <f t="shared" si="47"/>
        <v>129613.12645</v>
      </c>
      <c r="AT290" s="125">
        <f t="shared" si="41"/>
        <v>-16909.4651</v>
      </c>
      <c r="AU290" s="125">
        <f>AH290*Valores!$C$73</f>
        <v>-4150.50507</v>
      </c>
      <c r="AV290" s="125">
        <f>AH290*Valores!$C$74</f>
        <v>-461.16723</v>
      </c>
      <c r="AW290" s="125">
        <f t="shared" si="45"/>
        <v>132528.8726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67079.15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12594.91</v>
      </c>
      <c r="N291" s="125">
        <f t="shared" si="42"/>
        <v>0</v>
      </c>
      <c r="O291" s="125">
        <f>Valores!$C$7*B291</f>
        <v>28795.47</v>
      </c>
      <c r="P291" s="125">
        <f>ROUND(IF(B291&lt;15,(Valores!$E$5*B291),Valores!$D$5),2)</f>
        <v>13153.38</v>
      </c>
      <c r="Q291" s="125">
        <v>0</v>
      </c>
      <c r="R291" s="125">
        <f>IF($F$4="NO",Valores!$C$48*B291,Valores!$C$48*B291/2)</f>
        <v>7830.075</v>
      </c>
      <c r="S291" s="125">
        <f>Valores!$C$18*B291</f>
        <v>9056.85</v>
      </c>
      <c r="T291" s="125">
        <f t="shared" si="48"/>
        <v>9056.85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IF(Valores!$C$96*B291&gt;Valores!$C$95,Valores!$C$95,Valores!$C$96*B291)</f>
        <v>9238.02</v>
      </c>
      <c r="AA291" s="125">
        <f>IF((Valores!$C$28)*B291&gt;Valores!$F$28,Valores!$F$28,(Valores!$C$28)*B291)</f>
        <v>711.15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537.98</v>
      </c>
      <c r="AE291" s="192">
        <v>0</v>
      </c>
      <c r="AF291" s="125">
        <f>ROUND(AE291*Valores!$C$2,2)</f>
        <v>0</v>
      </c>
      <c r="AG291" s="125">
        <f>IF($F$4="NO",IF(Valores!$D$62*'Escala Docente'!B291&gt;Valores!$F$62,Valores!$F$62,Valores!$D$62*'Escala Docente'!B291),IF(Valores!$D$62*'Escala Docente'!B291&gt;Valores!$F$62,Valores!$F$62,Valores!$D$62*'Escala Docente'!B291)/2)</f>
        <v>6406.93</v>
      </c>
      <c r="AH291" s="125">
        <f t="shared" si="46"/>
        <v>155403.91499999998</v>
      </c>
      <c r="AI291" s="125">
        <f>IF(Valores!$C$32*B291&gt;Valores!$F$32,Valores!$F$32,Valores!$C$32*B291)</f>
        <v>0</v>
      </c>
      <c r="AJ291" s="125">
        <f>IF(Valores!$C$89*B291&gt;Valores!$C$88,Valores!$C$88,Valores!$C$89*B291)</f>
        <v>0</v>
      </c>
      <c r="AK291" s="125">
        <f>Valores!C$39*B291</f>
        <v>0</v>
      </c>
      <c r="AL291" s="125">
        <f>IF($F$3="NO",0,IF(Valores!$C$61*B291&gt;Valores!$F$61,Valores!$F$61,Valores!$C$61*B291))</f>
        <v>327.6</v>
      </c>
      <c r="AM291" s="125">
        <f t="shared" si="44"/>
        <v>327.6</v>
      </c>
      <c r="AN291" s="125">
        <f>AH291*Valores!$C$70</f>
        <v>-17094.43065</v>
      </c>
      <c r="AO291" s="125">
        <f>AH291*-Valores!$C$71</f>
        <v>0</v>
      </c>
      <c r="AP291" s="125">
        <f>AH291*Valores!$C$72</f>
        <v>-6993.176174999999</v>
      </c>
      <c r="AQ291" s="125">
        <f>Valores!$C$99</f>
        <v>-280.91</v>
      </c>
      <c r="AR291" s="125">
        <f>IF($F$5=0,Valores!$C$100,(Valores!$C$100+$F$5*(Valores!$C$100)))</f>
        <v>-329</v>
      </c>
      <c r="AS291" s="125">
        <f t="shared" si="47"/>
        <v>131033.99817499999</v>
      </c>
      <c r="AT291" s="125">
        <f t="shared" si="41"/>
        <v>-17094.43065</v>
      </c>
      <c r="AU291" s="125">
        <f>AH291*Valores!$C$73</f>
        <v>-4195.905704999999</v>
      </c>
      <c r="AV291" s="125">
        <f>AH291*Valores!$C$74</f>
        <v>-466.21174499999995</v>
      </c>
      <c r="AW291" s="125">
        <f t="shared" si="45"/>
        <v>133974.9669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67079.15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12594.91</v>
      </c>
      <c r="N292" s="125">
        <f t="shared" si="42"/>
        <v>0</v>
      </c>
      <c r="O292" s="125">
        <f>Valores!$C$7*B292</f>
        <v>28795.47</v>
      </c>
      <c r="P292" s="125">
        <f>ROUND(IF(B292&lt;15,(Valores!$E$5*B292),Valores!$D$5),2)</f>
        <v>13153.38</v>
      </c>
      <c r="Q292" s="125">
        <v>0</v>
      </c>
      <c r="R292" s="125">
        <f>IF($F$4="NO",Valores!$C$48*B292,Valores!$C$48*B292/2)</f>
        <v>7830.075</v>
      </c>
      <c r="S292" s="125">
        <f>Valores!$C$18*B292</f>
        <v>9056.85</v>
      </c>
      <c r="T292" s="125">
        <f t="shared" si="48"/>
        <v>9056.85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IF(Valores!$C$96*B292&gt;Valores!$C$95,Valores!$C$95,Valores!$C$96*B292)</f>
        <v>9238.02</v>
      </c>
      <c r="AA292" s="125">
        <f>IF((Valores!$C$28)*B292&gt;Valores!$F$28,Valores!$F$28,(Valores!$C$28)*B292)</f>
        <v>711.15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537.98</v>
      </c>
      <c r="AE292" s="192">
        <v>94</v>
      </c>
      <c r="AF292" s="125">
        <f>ROUND(AE292*Valores!$C$2,2)</f>
        <v>2418.66</v>
      </c>
      <c r="AG292" s="125">
        <f>IF($F$4="NO",IF(Valores!$D$62*'Escala Docente'!B292&gt;Valores!$F$62,Valores!$F$62,Valores!$D$62*'Escala Docente'!B292),IF(Valores!$D$62*'Escala Docente'!B292&gt;Valores!$F$62,Valores!$F$62,Valores!$D$62*'Escala Docente'!B292)/2)</f>
        <v>6406.93</v>
      </c>
      <c r="AH292" s="125">
        <f t="shared" si="46"/>
        <v>157822.57499999998</v>
      </c>
      <c r="AI292" s="125">
        <f>IF(Valores!$C$32*B292&gt;Valores!$F$32,Valores!$F$32,Valores!$C$32*B292)</f>
        <v>0</v>
      </c>
      <c r="AJ292" s="125">
        <f>IF(Valores!$C$89*B292&gt;Valores!$C$88,Valores!$C$88,Valores!$C$89*B292)</f>
        <v>0</v>
      </c>
      <c r="AK292" s="125">
        <f>Valores!C$39*B292</f>
        <v>0</v>
      </c>
      <c r="AL292" s="125">
        <f>IF($F$3="NO",0,IF(Valores!$C$61*B292&gt;Valores!$F$61,Valores!$F$61,Valores!$C$61*B292))</f>
        <v>327.6</v>
      </c>
      <c r="AM292" s="125">
        <f t="shared" si="44"/>
        <v>327.6</v>
      </c>
      <c r="AN292" s="125">
        <f>AH292*Valores!$C$70</f>
        <v>-17360.483249999997</v>
      </c>
      <c r="AO292" s="125">
        <f>AH292*-Valores!$C$71</f>
        <v>0</v>
      </c>
      <c r="AP292" s="125">
        <f>AH292*Valores!$C$72</f>
        <v>-7102.015874999999</v>
      </c>
      <c r="AQ292" s="125">
        <f>Valores!$C$99</f>
        <v>-280.91</v>
      </c>
      <c r="AR292" s="125">
        <f>IF($F$5=0,Valores!$C$100,(Valores!$C$100+$F$5*(Valores!$C$100)))</f>
        <v>-329</v>
      </c>
      <c r="AS292" s="125">
        <f t="shared" si="47"/>
        <v>133077.76587499998</v>
      </c>
      <c r="AT292" s="125">
        <f t="shared" si="41"/>
        <v>-17360.483249999997</v>
      </c>
      <c r="AU292" s="125">
        <f>AH292*Valores!$C$73</f>
        <v>-4261.209524999999</v>
      </c>
      <c r="AV292" s="125">
        <f>AH292*Valores!$C$74</f>
        <v>-473.467725</v>
      </c>
      <c r="AW292" s="125">
        <f t="shared" si="45"/>
        <v>136055.0145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69111.85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12976.58</v>
      </c>
      <c r="N293" s="125">
        <f t="shared" si="42"/>
        <v>0</v>
      </c>
      <c r="O293" s="125">
        <f>Valores!$C$7*B293</f>
        <v>29668.06</v>
      </c>
      <c r="P293" s="125">
        <f>ROUND(IF(B293&lt;15,(Valores!$E$5*B293),Valores!$D$5),2)</f>
        <v>13153.38</v>
      </c>
      <c r="Q293" s="125">
        <v>0</v>
      </c>
      <c r="R293" s="125">
        <f>IF($F$4="NO",Valores!$C$48*B293,Valores!$C$48*B293/2)</f>
        <v>8067.35</v>
      </c>
      <c r="S293" s="125">
        <f>Valores!$C$18*B293</f>
        <v>9331.3</v>
      </c>
      <c r="T293" s="125">
        <f t="shared" si="48"/>
        <v>9331.3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IF(Valores!$C$96*B293&gt;Valores!$C$95,Valores!$C$95,Valores!$C$96*B293)</f>
        <v>9517.96</v>
      </c>
      <c r="AA293" s="125">
        <f>IF((Valores!$C$28)*B293&gt;Valores!$F$28,Valores!$F$28,(Valores!$C$28)*B293)</f>
        <v>732.7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537.98</v>
      </c>
      <c r="AE293" s="192">
        <v>0</v>
      </c>
      <c r="AF293" s="125">
        <f>ROUND(AE293*Valores!$C$2,2)</f>
        <v>0</v>
      </c>
      <c r="AG293" s="125">
        <f>IF($F$4="NO",IF(Valores!$D$62*'Escala Docente'!B293&gt;Valores!$F$62,Valores!$F$62,Valores!$D$62*'Escala Docente'!B293),IF(Valores!$D$62*'Escala Docente'!B293&gt;Valores!$F$62,Valores!$F$62,Valores!$D$62*'Escala Docente'!B293)/2)</f>
        <v>6406.93</v>
      </c>
      <c r="AH293" s="125">
        <f t="shared" si="46"/>
        <v>159504.09</v>
      </c>
      <c r="AI293" s="125">
        <f>IF(Valores!$C$32*B293&gt;Valores!$F$32,Valores!$F$32,Valores!$C$32*B293)</f>
        <v>0</v>
      </c>
      <c r="AJ293" s="125">
        <f>IF(Valores!$C$89*B293&gt;Valores!$C$88,Valores!$C$88,Valores!$C$89*B293)</f>
        <v>0</v>
      </c>
      <c r="AK293" s="125">
        <f>Valores!C$39*B293</f>
        <v>0</v>
      </c>
      <c r="AL293" s="125">
        <f>IF($F$3="NO",0,IF(Valores!$C$61*B293&gt;Valores!$F$61,Valores!$F$61,Valores!$C$61*B293))</f>
        <v>327.6</v>
      </c>
      <c r="AM293" s="125">
        <f t="shared" si="44"/>
        <v>327.6</v>
      </c>
      <c r="AN293" s="125">
        <f>AH293*Valores!$C$70</f>
        <v>-17545.4499</v>
      </c>
      <c r="AO293" s="125">
        <f>AH293*-Valores!$C$71</f>
        <v>0</v>
      </c>
      <c r="AP293" s="125">
        <f>AH293*Valores!$C$72</f>
        <v>-7177.68405</v>
      </c>
      <c r="AQ293" s="125">
        <f>Valores!$C$99</f>
        <v>-280.91</v>
      </c>
      <c r="AR293" s="125">
        <f>IF($F$5=0,Valores!$C$100,(Valores!$C$100+$F$5*(Valores!$C$100)))</f>
        <v>-329</v>
      </c>
      <c r="AS293" s="125">
        <f t="shared" si="47"/>
        <v>134498.64604999998</v>
      </c>
      <c r="AT293" s="125">
        <f t="shared" si="41"/>
        <v>-17545.4499</v>
      </c>
      <c r="AU293" s="125">
        <f>AH293*Valores!$C$73</f>
        <v>-4306.61043</v>
      </c>
      <c r="AV293" s="125">
        <f>AH293*Valores!$C$74</f>
        <v>-478.51227</v>
      </c>
      <c r="AW293" s="125">
        <f t="shared" si="45"/>
        <v>137501.1174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69111.85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12976.58</v>
      </c>
      <c r="N294" s="125">
        <f t="shared" si="42"/>
        <v>0</v>
      </c>
      <c r="O294" s="125">
        <f>Valores!$C$7*B294</f>
        <v>29668.06</v>
      </c>
      <c r="P294" s="125">
        <f>ROUND(IF(B294&lt;15,(Valores!$E$5*B294),Valores!$D$5),2)</f>
        <v>13153.38</v>
      </c>
      <c r="Q294" s="125">
        <v>0</v>
      </c>
      <c r="R294" s="125">
        <f>IF($F$4="NO",Valores!$C$48*B294,Valores!$C$48*B294/2)</f>
        <v>8067.35</v>
      </c>
      <c r="S294" s="125">
        <f>Valores!$C$18*B294</f>
        <v>9331.3</v>
      </c>
      <c r="T294" s="125">
        <f t="shared" si="48"/>
        <v>9331.3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IF(Valores!$C$96*B294&gt;Valores!$C$95,Valores!$C$95,Valores!$C$96*B294)</f>
        <v>9517.96</v>
      </c>
      <c r="AA294" s="125">
        <f>IF((Valores!$C$28)*B294&gt;Valores!$F$28,Valores!$F$28,(Valores!$C$28)*B294)</f>
        <v>732.7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537.98</v>
      </c>
      <c r="AE294" s="192">
        <v>94</v>
      </c>
      <c r="AF294" s="125">
        <f>ROUND(AE294*Valores!$C$2,2)</f>
        <v>2418.66</v>
      </c>
      <c r="AG294" s="125">
        <f>IF($F$4="NO",IF(Valores!$D$62*'Escala Docente'!B294&gt;Valores!$F$62,Valores!$F$62,Valores!$D$62*'Escala Docente'!B294),IF(Valores!$D$62*'Escala Docente'!B294&gt;Valores!$F$62,Valores!$F$62,Valores!$D$62*'Escala Docente'!B294)/2)</f>
        <v>6406.93</v>
      </c>
      <c r="AH294" s="125">
        <f t="shared" si="46"/>
        <v>161922.75</v>
      </c>
      <c r="AI294" s="125">
        <f>IF(Valores!$C$32*B294&gt;Valores!$F$32,Valores!$F$32,Valores!$C$32*B294)</f>
        <v>0</v>
      </c>
      <c r="AJ294" s="125">
        <f>IF(Valores!$C$89*B294&gt;Valores!$C$88,Valores!$C$88,Valores!$C$89*B294)</f>
        <v>0</v>
      </c>
      <c r="AK294" s="125">
        <f>Valores!C$39*B294</f>
        <v>0</v>
      </c>
      <c r="AL294" s="125">
        <f>IF($F$3="NO",0,IF(Valores!$C$61*B294&gt;Valores!$F$61,Valores!$F$61,Valores!$C$61*B294))</f>
        <v>327.6</v>
      </c>
      <c r="AM294" s="125">
        <f t="shared" si="44"/>
        <v>327.6</v>
      </c>
      <c r="AN294" s="125">
        <f>AH294*Valores!$C$70</f>
        <v>-17811.5025</v>
      </c>
      <c r="AO294" s="125">
        <f>AH294*-Valores!$C$71</f>
        <v>0</v>
      </c>
      <c r="AP294" s="125">
        <f>AH294*Valores!$C$72</f>
        <v>-7286.523749999999</v>
      </c>
      <c r="AQ294" s="125">
        <f>Valores!$C$99</f>
        <v>-280.91</v>
      </c>
      <c r="AR294" s="125">
        <f>IF($F$5=0,Valores!$C$100,(Valores!$C$100+$F$5*(Valores!$C$100)))</f>
        <v>-329</v>
      </c>
      <c r="AS294" s="125">
        <f t="shared" si="47"/>
        <v>136542.41375</v>
      </c>
      <c r="AT294" s="125">
        <f t="shared" si="41"/>
        <v>-17811.5025</v>
      </c>
      <c r="AU294" s="125">
        <f>AH294*Valores!$C$73</f>
        <v>-4371.91425</v>
      </c>
      <c r="AV294" s="125">
        <f>AH294*Valores!$C$74</f>
        <v>-485.76825</v>
      </c>
      <c r="AW294" s="125">
        <f t="shared" si="45"/>
        <v>139581.165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71144.56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13358.24</v>
      </c>
      <c r="N295" s="125">
        <f t="shared" si="42"/>
        <v>0</v>
      </c>
      <c r="O295" s="125">
        <f>Valores!$C$7*B295</f>
        <v>30540.65</v>
      </c>
      <c r="P295" s="125">
        <f>ROUND(IF(B295&lt;15,(Valores!$E$5*B295),Valores!$D$5),2)</f>
        <v>13153.38</v>
      </c>
      <c r="Q295" s="125">
        <v>0</v>
      </c>
      <c r="R295" s="125">
        <f>IF($F$4="NO",Valores!$C$48*B295,Valores!$C$48*B295/2)</f>
        <v>8304.625</v>
      </c>
      <c r="S295" s="125">
        <f>Valores!$C$18*B295</f>
        <v>9605.75</v>
      </c>
      <c r="T295" s="125">
        <f t="shared" si="48"/>
        <v>9605.75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IF(Valores!$C$96*B295&gt;Valores!$C$95,Valores!$C$95,Valores!$C$96*B295)</f>
        <v>9797.9</v>
      </c>
      <c r="AA295" s="125">
        <f>IF((Valores!$C$28)*B295&gt;Valores!$F$28,Valores!$F$28,(Valores!$C$28)*B295)</f>
        <v>754.25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537.98</v>
      </c>
      <c r="AE295" s="192">
        <v>0</v>
      </c>
      <c r="AF295" s="125">
        <f>ROUND(AE295*Valores!$C$2,2)</f>
        <v>0</v>
      </c>
      <c r="AG295" s="125">
        <f>IF($F$4="NO",IF(Valores!$D$62*'Escala Docente'!B295&gt;Valores!$F$62,Valores!$F$62,Valores!$D$62*'Escala Docente'!B295),IF(Valores!$D$62*'Escala Docente'!B295&gt;Valores!$F$62,Valores!$F$62,Valores!$D$62*'Escala Docente'!B295)/2)</f>
        <v>6406.93</v>
      </c>
      <c r="AH295" s="125">
        <f t="shared" si="46"/>
        <v>163604.265</v>
      </c>
      <c r="AI295" s="125">
        <f>IF(Valores!$C$32*B295&gt;Valores!$F$32,Valores!$F$32,Valores!$C$32*B295)</f>
        <v>0</v>
      </c>
      <c r="AJ295" s="125">
        <f>IF(Valores!$C$89*B295&gt;Valores!$C$88,Valores!$C$88,Valores!$C$89*B295)</f>
        <v>0</v>
      </c>
      <c r="AK295" s="125">
        <f>Valores!C$39*B295</f>
        <v>0</v>
      </c>
      <c r="AL295" s="125">
        <f>IF($F$3="NO",0,IF(Valores!$C$61*B295&gt;Valores!$F$61,Valores!$F$61,Valores!$C$61*B295))</f>
        <v>327.6</v>
      </c>
      <c r="AM295" s="125">
        <f t="shared" si="44"/>
        <v>327.6</v>
      </c>
      <c r="AN295" s="125">
        <f>AH295*Valores!$C$70</f>
        <v>-17996.46915</v>
      </c>
      <c r="AO295" s="125">
        <f>AH295*-Valores!$C$71</f>
        <v>0</v>
      </c>
      <c r="AP295" s="125">
        <f>AH295*Valores!$C$72</f>
        <v>-7362.191925</v>
      </c>
      <c r="AQ295" s="125">
        <f>Valores!$C$99</f>
        <v>-280.91</v>
      </c>
      <c r="AR295" s="125">
        <f>IF($F$5=0,Valores!$C$100,(Valores!$C$100+$F$5*(Valores!$C$100)))</f>
        <v>-329</v>
      </c>
      <c r="AS295" s="125">
        <f t="shared" si="47"/>
        <v>137963.293925</v>
      </c>
      <c r="AT295" s="125">
        <f t="shared" si="41"/>
        <v>-17996.46915</v>
      </c>
      <c r="AU295" s="125">
        <f>AH295*Valores!$C$73</f>
        <v>-4417.315155</v>
      </c>
      <c r="AV295" s="125">
        <f>AH295*Valores!$C$74</f>
        <v>-490.81279500000005</v>
      </c>
      <c r="AW295" s="125">
        <f t="shared" si="45"/>
        <v>141027.2679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71144.56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13358.24</v>
      </c>
      <c r="N296" s="125">
        <f t="shared" si="42"/>
        <v>0</v>
      </c>
      <c r="O296" s="125">
        <f>Valores!$C$7*B296</f>
        <v>30540.65</v>
      </c>
      <c r="P296" s="125">
        <f>ROUND(IF(B296&lt;15,(Valores!$E$5*B296),Valores!$D$5),2)</f>
        <v>13153.38</v>
      </c>
      <c r="Q296" s="125">
        <v>0</v>
      </c>
      <c r="R296" s="125">
        <f>IF($F$4="NO",Valores!$C$48*B296,Valores!$C$48*B296/2)</f>
        <v>8304.625</v>
      </c>
      <c r="S296" s="125">
        <f>Valores!$C$18*B296</f>
        <v>9605.75</v>
      </c>
      <c r="T296" s="125">
        <f t="shared" si="48"/>
        <v>9605.75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IF(Valores!$C$96*B296&gt;Valores!$C$95,Valores!$C$95,Valores!$C$96*B296)</f>
        <v>9797.9</v>
      </c>
      <c r="AA296" s="125">
        <f>IF((Valores!$C$28)*B296&gt;Valores!$F$28,Valores!$F$28,(Valores!$C$28)*B296)</f>
        <v>754.25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537.98</v>
      </c>
      <c r="AE296" s="192">
        <v>94</v>
      </c>
      <c r="AF296" s="125">
        <f>ROUND(AE296*Valores!$C$2,2)</f>
        <v>2418.66</v>
      </c>
      <c r="AG296" s="125">
        <f>IF($F$4="NO",IF(Valores!$D$62*'Escala Docente'!B296&gt;Valores!$F$62,Valores!$F$62,Valores!$D$62*'Escala Docente'!B296),IF(Valores!$D$62*'Escala Docente'!B296&gt;Valores!$F$62,Valores!$F$62,Valores!$D$62*'Escala Docente'!B296)/2)</f>
        <v>6406.93</v>
      </c>
      <c r="AH296" s="125">
        <f t="shared" si="46"/>
        <v>166022.92500000002</v>
      </c>
      <c r="AI296" s="125">
        <f>IF(Valores!$C$32*B296&gt;Valores!$F$32,Valores!$F$32,Valores!$C$32*B296)</f>
        <v>0</v>
      </c>
      <c r="AJ296" s="125">
        <f>IF(Valores!$C$89*B296&gt;Valores!$C$88,Valores!$C$88,Valores!$C$89*B296)</f>
        <v>0</v>
      </c>
      <c r="AK296" s="125">
        <f>Valores!C$39*B296</f>
        <v>0</v>
      </c>
      <c r="AL296" s="125">
        <f>IF($F$3="NO",0,IF(Valores!$C$61*B296&gt;Valores!$F$61,Valores!$F$61,Valores!$C$61*B296))</f>
        <v>327.6</v>
      </c>
      <c r="AM296" s="125">
        <f t="shared" si="44"/>
        <v>327.6</v>
      </c>
      <c r="AN296" s="125">
        <f>AH296*Valores!$C$70</f>
        <v>-18262.521750000004</v>
      </c>
      <c r="AO296" s="125">
        <f>AH296*-Valores!$C$71</f>
        <v>0</v>
      </c>
      <c r="AP296" s="125">
        <f>AH296*Valores!$C$72</f>
        <v>-7471.0316250000005</v>
      </c>
      <c r="AQ296" s="125">
        <f>Valores!$C$99</f>
        <v>-280.91</v>
      </c>
      <c r="AR296" s="125">
        <f>IF($F$5=0,Valores!$C$100,(Valores!$C$100+$F$5*(Valores!$C$100)))</f>
        <v>-329</v>
      </c>
      <c r="AS296" s="125">
        <f t="shared" si="47"/>
        <v>140007.061625</v>
      </c>
      <c r="AT296" s="125">
        <f t="shared" si="41"/>
        <v>-18262.521750000004</v>
      </c>
      <c r="AU296" s="125">
        <f>AH296*Valores!$C$73</f>
        <v>-4482.618975</v>
      </c>
      <c r="AV296" s="125">
        <f>AH296*Valores!$C$74</f>
        <v>-498.0687750000001</v>
      </c>
      <c r="AW296" s="125">
        <f t="shared" si="45"/>
        <v>143107.31550000003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73177.26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13739.9</v>
      </c>
      <c r="N297" s="125">
        <f t="shared" si="42"/>
        <v>0</v>
      </c>
      <c r="O297" s="125">
        <f>Valores!$C$7*B297</f>
        <v>31413.24</v>
      </c>
      <c r="P297" s="125">
        <f>ROUND(IF(B297&lt;15,(Valores!$E$5*B297),Valores!$D$5),2)</f>
        <v>13153.38</v>
      </c>
      <c r="Q297" s="125">
        <v>0</v>
      </c>
      <c r="R297" s="125">
        <f>IF($F$4="NO",Valores!$C$48*B297,Valores!$C$48*B297/2)</f>
        <v>8541.9</v>
      </c>
      <c r="S297" s="125">
        <f>Valores!$C$18*B297</f>
        <v>9880.199999999999</v>
      </c>
      <c r="T297" s="125">
        <f t="shared" si="48"/>
        <v>9880.2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IF(Valores!$C$96*B297&gt;Valores!$C$95,Valores!$C$95,Valores!$C$96*B297)</f>
        <v>10077.84</v>
      </c>
      <c r="AA297" s="125">
        <f>IF((Valores!$C$28)*B297&gt;Valores!$F$28,Valores!$F$28,(Valores!$C$28)*B297)</f>
        <v>775.8000000000001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537.98</v>
      </c>
      <c r="AE297" s="192">
        <v>0</v>
      </c>
      <c r="AF297" s="125">
        <f>ROUND(AE297*Valores!$C$2,2)</f>
        <v>0</v>
      </c>
      <c r="AG297" s="125">
        <f>IF($F$4="NO",IF(Valores!$D$62*'Escala Docente'!B297&gt;Valores!$F$62,Valores!$F$62,Valores!$D$62*'Escala Docente'!B297),IF(Valores!$D$62*'Escala Docente'!B297&gt;Valores!$F$62,Valores!$F$62,Valores!$D$62*'Escala Docente'!B297)/2)</f>
        <v>6406.93</v>
      </c>
      <c r="AH297" s="125">
        <f t="shared" si="46"/>
        <v>167704.43</v>
      </c>
      <c r="AI297" s="125">
        <f>IF(Valores!$C$32*B297&gt;Valores!$F$32,Valores!$F$32,Valores!$C$32*B297)</f>
        <v>0</v>
      </c>
      <c r="AJ297" s="125">
        <f>IF(Valores!$C$89*B297&gt;Valores!$C$88,Valores!$C$88,Valores!$C$89*B297)</f>
        <v>0</v>
      </c>
      <c r="AK297" s="125">
        <f>Valores!C$39*B297</f>
        <v>0</v>
      </c>
      <c r="AL297" s="125">
        <f>IF($F$3="NO",0,IF(Valores!$C$61*B297&gt;Valores!$F$61,Valores!$F$61,Valores!$C$61*B297))</f>
        <v>327.6</v>
      </c>
      <c r="AM297" s="125">
        <f t="shared" si="44"/>
        <v>327.6</v>
      </c>
      <c r="AN297" s="125">
        <f>AH297*Valores!$C$70</f>
        <v>-18447.4873</v>
      </c>
      <c r="AO297" s="125">
        <f>AH297*-Valores!$C$71</f>
        <v>0</v>
      </c>
      <c r="AP297" s="125">
        <f>AH297*Valores!$C$72</f>
        <v>-7546.699349999999</v>
      </c>
      <c r="AQ297" s="125">
        <f>Valores!$C$99</f>
        <v>-280.91</v>
      </c>
      <c r="AR297" s="125">
        <f>IF($F$5=0,Valores!$C$100,(Valores!$C$100+$F$5*(Valores!$C$100)))</f>
        <v>-329</v>
      </c>
      <c r="AS297" s="125">
        <f t="shared" si="47"/>
        <v>141427.93335</v>
      </c>
      <c r="AT297" s="125">
        <f t="shared" si="41"/>
        <v>-18447.4873</v>
      </c>
      <c r="AU297" s="125">
        <f>AH297*Valores!$C$73</f>
        <v>-4528.019609999999</v>
      </c>
      <c r="AV297" s="125">
        <f>AH297*Valores!$C$74</f>
        <v>-503.11329</v>
      </c>
      <c r="AW297" s="125">
        <f t="shared" si="45"/>
        <v>144553.4098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73177.26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13739.9</v>
      </c>
      <c r="N298" s="125">
        <f t="shared" si="42"/>
        <v>0</v>
      </c>
      <c r="O298" s="125">
        <f>Valores!$C$7*B298</f>
        <v>31413.24</v>
      </c>
      <c r="P298" s="125">
        <f>ROUND(IF(B298&lt;15,(Valores!$E$5*B298),Valores!$D$5),2)</f>
        <v>13153.38</v>
      </c>
      <c r="Q298" s="125">
        <v>0</v>
      </c>
      <c r="R298" s="125">
        <f>IF($F$4="NO",Valores!$C$48*B298,Valores!$C$48*B298/2)</f>
        <v>8541.9</v>
      </c>
      <c r="S298" s="125">
        <f>Valores!$C$18*B298</f>
        <v>9880.199999999999</v>
      </c>
      <c r="T298" s="125">
        <f t="shared" si="48"/>
        <v>9880.2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IF(Valores!$C$96*B298&gt;Valores!$C$95,Valores!$C$95,Valores!$C$96*B298)</f>
        <v>10077.84</v>
      </c>
      <c r="AA298" s="125">
        <f>IF((Valores!$C$28)*B298&gt;Valores!$F$28,Valores!$F$28,(Valores!$C$28)*B298)</f>
        <v>775.8000000000001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537.98</v>
      </c>
      <c r="AE298" s="192">
        <v>94</v>
      </c>
      <c r="AF298" s="125">
        <f>ROUND(AE298*Valores!$C$2,2)</f>
        <v>2418.66</v>
      </c>
      <c r="AG298" s="125">
        <f>IF($F$4="NO",IF(Valores!$D$62*'Escala Docente'!B298&gt;Valores!$F$62,Valores!$F$62,Valores!$D$62*'Escala Docente'!B298),IF(Valores!$D$62*'Escala Docente'!B298&gt;Valores!$F$62,Valores!$F$62,Valores!$D$62*'Escala Docente'!B298)/2)</f>
        <v>6406.93</v>
      </c>
      <c r="AH298" s="125">
        <f t="shared" si="46"/>
        <v>170123.09</v>
      </c>
      <c r="AI298" s="125">
        <f>IF(Valores!$C$32*B298&gt;Valores!$F$32,Valores!$F$32,Valores!$C$32*B298)</f>
        <v>0</v>
      </c>
      <c r="AJ298" s="125">
        <f>IF(Valores!$C$89*B298&gt;Valores!$C$88,Valores!$C$88,Valores!$C$89*B298)</f>
        <v>0</v>
      </c>
      <c r="AK298" s="125">
        <f>Valores!C$39*B298</f>
        <v>0</v>
      </c>
      <c r="AL298" s="125">
        <f>IF($F$3="NO",0,IF(Valores!$C$61*B298&gt;Valores!$F$61,Valores!$F$61,Valores!$C$61*B298))</f>
        <v>327.6</v>
      </c>
      <c r="AM298" s="125">
        <f t="shared" si="44"/>
        <v>327.6</v>
      </c>
      <c r="AN298" s="125">
        <f>AH298*Valores!$C$70</f>
        <v>-18713.5399</v>
      </c>
      <c r="AO298" s="125">
        <f>AH298*-Valores!$C$71</f>
        <v>0</v>
      </c>
      <c r="AP298" s="125">
        <f>AH298*Valores!$C$72</f>
        <v>-7655.539049999999</v>
      </c>
      <c r="AQ298" s="125">
        <f>Valores!$C$99</f>
        <v>-280.91</v>
      </c>
      <c r="AR298" s="125">
        <f>IF($F$5=0,Valores!$C$100,(Valores!$C$100+$F$5*(Valores!$C$100)))</f>
        <v>-329</v>
      </c>
      <c r="AS298" s="125">
        <f t="shared" si="47"/>
        <v>143471.70105</v>
      </c>
      <c r="AT298" s="125">
        <f t="shared" si="41"/>
        <v>-18713.5399</v>
      </c>
      <c r="AU298" s="125">
        <f>AH298*Valores!$C$73</f>
        <v>-4593.3234299999995</v>
      </c>
      <c r="AV298" s="125">
        <f>AH298*Valores!$C$74</f>
        <v>-510.36927</v>
      </c>
      <c r="AW298" s="125">
        <f t="shared" si="45"/>
        <v>146633.4574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2032.7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381.66</v>
      </c>
      <c r="N299" s="125">
        <f t="shared" si="42"/>
        <v>0</v>
      </c>
      <c r="O299" s="125">
        <f>Valores!$C$7*B299</f>
        <v>872.59</v>
      </c>
      <c r="P299" s="125">
        <f>ROUND(IF(B299&lt;15,(Valores!$E$5*B299),Valores!$D$5),2)</f>
        <v>876.89</v>
      </c>
      <c r="Q299" s="125">
        <v>0</v>
      </c>
      <c r="R299" s="125">
        <f>IF($F$4="NO",Valores!$C$48*B299,Valores!$C$48*B299/2)</f>
        <v>237.275</v>
      </c>
      <c r="S299" s="125">
        <f>Valores!$C$18*B299</f>
        <v>274.45</v>
      </c>
      <c r="T299" s="125">
        <f t="shared" si="48"/>
        <v>274.45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IF(Valores!$C$96*B299&gt;Valores!$C$95,Valores!$C$95,Valores!$C$96*B299)</f>
        <v>279.94</v>
      </c>
      <c r="AA299" s="125">
        <f>IF((Valores!$C$28)*B299&gt;Valores!$F$28,Valores!$F$28,(Valores!$C$28)*B299)</f>
        <v>21.55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17.95</v>
      </c>
      <c r="AE299" s="192">
        <v>0</v>
      </c>
      <c r="AF299" s="125">
        <f>ROUND(AE299*Valores!$C$2,2)</f>
        <v>0</v>
      </c>
      <c r="AG299" s="125">
        <f>IF($F$4="NO",IF(Valores!$D$62*'Escala Docente'!B299&gt;Valores!$F$62,Valores!$F$62,Valores!$D$62*'Escala Docente'!B299),IF(Valores!$D$62*'Escala Docente'!B299&gt;Valores!$F$62,Valores!$F$62,Valores!$D$62*'Escala Docente'!B299)/2)</f>
        <v>213.565</v>
      </c>
      <c r="AH299" s="125">
        <f t="shared" si="46"/>
        <v>5208.569999999999</v>
      </c>
      <c r="AI299" s="125">
        <f>IF(Valores!$C$32*B299&gt;Valores!$F$32,Valores!$F$32,Valores!$C$32*B299)</f>
        <v>0</v>
      </c>
      <c r="AJ299" s="125">
        <f>IF(Valores!$C$89*B299&gt;Valores!$C$88,Valores!$C$88,Valores!$C$89*B299)</f>
        <v>0</v>
      </c>
      <c r="AK299" s="125">
        <f>Valores!C$39*B299</f>
        <v>0</v>
      </c>
      <c r="AL299" s="125">
        <f>IF($F$3="NO",0,IF(Valores!$C$61*B299&gt;Valores!$F$61,Valores!$F$61,Valores!$C$61*B299))</f>
        <v>11.3559</v>
      </c>
      <c r="AM299" s="125">
        <f t="shared" si="44"/>
        <v>11.3559</v>
      </c>
      <c r="AN299" s="125">
        <f>AH299*Valores!$C$70</f>
        <v>-572.9426999999998</v>
      </c>
      <c r="AO299" s="125">
        <f>AH299*-Valores!$C$71</f>
        <v>0</v>
      </c>
      <c r="AP299" s="125">
        <f>AH299*Valores!$C$72</f>
        <v>-234.38564999999994</v>
      </c>
      <c r="AQ299" s="125">
        <f>Valores!$C$99</f>
        <v>-280.91</v>
      </c>
      <c r="AR299" s="125">
        <f>IF($F$5=0,Valores!$C$100,(Valores!$C$100+$F$5*(Valores!$C$100)))</f>
        <v>-329</v>
      </c>
      <c r="AS299" s="125">
        <f t="shared" si="47"/>
        <v>3802.6875499999987</v>
      </c>
      <c r="AT299" s="125">
        <f t="shared" si="41"/>
        <v>-572.9426999999998</v>
      </c>
      <c r="AU299" s="125">
        <f>AH299*Valores!$C$73</f>
        <v>-140.63138999999995</v>
      </c>
      <c r="AV299" s="125">
        <f>AH299*Valores!$C$74</f>
        <v>-15.625709999999996</v>
      </c>
      <c r="AW299" s="125">
        <f t="shared" si="45"/>
        <v>4490.726099999998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6252.49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1753.78</v>
      </c>
      <c r="Q300" s="125">
        <v>0</v>
      </c>
      <c r="R300" s="125">
        <f>IF($F$4="NO",Valores!C49,Valores!C49/2)</f>
        <v>348.585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Valores!$C$97</f>
        <v>576.09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IF($F$4="NO",Valores!$C$63,Valores!$C$63/2)</f>
        <v>321.3</v>
      </c>
      <c r="AH300" s="125">
        <f t="shared" si="46"/>
        <v>9252.244999999999</v>
      </c>
      <c r="AI300" s="125">
        <f>Valores!$C$33</f>
        <v>0</v>
      </c>
      <c r="AJ300" s="125">
        <f>Valores!$C$90</f>
        <v>0</v>
      </c>
      <c r="AK300" s="125">
        <v>0</v>
      </c>
      <c r="AL300" s="125">
        <v>0</v>
      </c>
      <c r="AM300" s="125">
        <f t="shared" si="44"/>
        <v>0</v>
      </c>
      <c r="AN300" s="125">
        <f>AH300*Valores!$C$70</f>
        <v>-1017.7469499999999</v>
      </c>
      <c r="AO300" s="125">
        <f>AH300*-Valores!$C$71</f>
        <v>0</v>
      </c>
      <c r="AP300" s="125">
        <f>AH300*Valores!$C$72</f>
        <v>-416.35102499999994</v>
      </c>
      <c r="AQ300" s="125">
        <f>Valores!$C$99</f>
        <v>-280.91</v>
      </c>
      <c r="AR300" s="125">
        <f>IF($F$5=0,Valores!$C$100,(Valores!$C$100+$F$5*(Valores!$C$100)))</f>
        <v>-329</v>
      </c>
      <c r="AS300" s="125">
        <f t="shared" si="47"/>
        <v>7208.237024999999</v>
      </c>
      <c r="AT300" s="125">
        <f t="shared" si="41"/>
        <v>-1017.7469499999999</v>
      </c>
      <c r="AU300" s="125">
        <f>AH300*Valores!$C$73</f>
        <v>-249.81061499999996</v>
      </c>
      <c r="AV300" s="125">
        <f>AH300*Valores!$C$74</f>
        <v>-27.756735</v>
      </c>
      <c r="AW300" s="125">
        <f t="shared" si="45"/>
        <v>7956.930699999999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652</v>
      </c>
      <c r="B301" s="123">
        <v>1</v>
      </c>
      <c r="C301" s="126">
        <v>294</v>
      </c>
      <c r="D301" s="124" t="s">
        <v>653</v>
      </c>
      <c r="E301" s="194">
        <f>E300/2</f>
        <v>121.5</v>
      </c>
      <c r="F301" s="125">
        <f>ROUND(E301*Valores!$C$2,2)</f>
        <v>3126.24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876.89</v>
      </c>
      <c r="Q301" s="125">
        <v>0</v>
      </c>
      <c r="R301" s="125">
        <f>IF($F$4="NO",Valores!C50,Valores!C50/2)</f>
        <v>174.295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Valores!$C$98</f>
        <v>288.045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IF($F$4="NO",Valores!$C$64,Valores!$C$64/2)</f>
        <v>160.65</v>
      </c>
      <c r="AH301" s="125">
        <f t="shared" si="46"/>
        <v>4626.119999999999</v>
      </c>
      <c r="AI301" s="125">
        <f>Valores!C34</f>
        <v>0</v>
      </c>
      <c r="AJ301" s="125">
        <f>Valores!$C$91</f>
        <v>0</v>
      </c>
      <c r="AK301" s="125">
        <v>0</v>
      </c>
      <c r="AL301" s="125">
        <v>0</v>
      </c>
      <c r="AM301" s="125">
        <f t="shared" si="44"/>
        <v>0</v>
      </c>
      <c r="AN301" s="125">
        <f>AH301*Valores!$C$70</f>
        <v>-508.8731999999999</v>
      </c>
      <c r="AO301" s="125">
        <v>0</v>
      </c>
      <c r="AP301" s="125">
        <f>AH301*Valores!$C$72</f>
        <v>-208.17539999999994</v>
      </c>
      <c r="AQ301" s="125">
        <f>Valores!$C$99</f>
        <v>-280.91</v>
      </c>
      <c r="AR301" s="125">
        <f>IF($F$5=0,Valores!$C$100,(Valores!$C$100+$F$5*(Valores!$C$100)))</f>
        <v>-329</v>
      </c>
      <c r="AS301" s="125">
        <f t="shared" si="47"/>
        <v>3299.161399999999</v>
      </c>
      <c r="AT301" s="125">
        <f>AN301</f>
        <v>-508.8731999999999</v>
      </c>
      <c r="AU301" s="125">
        <f>AH301*Valores!$C$73</f>
        <v>-124.90523999999998</v>
      </c>
      <c r="AV301" s="125">
        <f>AH301*Valores!$C$74</f>
        <v>-13.878359999999997</v>
      </c>
      <c r="AW301" s="125">
        <f t="shared" si="45"/>
        <v>3978.4631999999992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18011.28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3235.56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IF($F$4="NO",Valores!$C$48*15,Valores!$C$48*15/2)</f>
        <v>3559.125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24805.965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AH302*Valores!$C$70</f>
        <v>-2728.6561500000003</v>
      </c>
      <c r="AO302" s="125">
        <f>AH302*-Valores!$C$71</f>
        <v>0</v>
      </c>
      <c r="AP302" s="125">
        <f>AH302*Valores!$C$72</f>
        <v>-1116.268425</v>
      </c>
      <c r="AQ302" s="125">
        <v>0</v>
      </c>
      <c r="AR302" s="125">
        <v>0</v>
      </c>
      <c r="AS302" s="125">
        <f t="shared" si="47"/>
        <v>20961.040425</v>
      </c>
      <c r="AT302" s="125">
        <f t="shared" si="41"/>
        <v>-2728.6561500000003</v>
      </c>
      <c r="AU302" s="125">
        <f>AH302*Valores!$C$73</f>
        <v>-669.7610549999999</v>
      </c>
      <c r="AV302" s="125">
        <f>AH302*Valores!$C$74</f>
        <v>-74.417895</v>
      </c>
      <c r="AW302" s="125">
        <f t="shared" si="45"/>
        <v>21333.1299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12865.2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2285.69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IF($F$4="NO",Valores!$C$48*10,Valores!$C$48*10/2)</f>
        <v>2372.75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17523.64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AH303*Valores!$C$70</f>
        <v>-1927.6004</v>
      </c>
      <c r="AO303" s="125">
        <f>AH303*-Valores!$C$71</f>
        <v>0</v>
      </c>
      <c r="AP303" s="125">
        <f>AH303*Valores!$C$72</f>
        <v>-788.5637999999999</v>
      </c>
      <c r="AQ303" s="125">
        <v>0</v>
      </c>
      <c r="AR303" s="125">
        <v>0</v>
      </c>
      <c r="AS303" s="125">
        <f t="shared" si="47"/>
        <v>14807.4758</v>
      </c>
      <c r="AT303" s="125">
        <f t="shared" si="41"/>
        <v>-1927.6004</v>
      </c>
      <c r="AU303" s="125">
        <f>AH303*Valores!$C$73</f>
        <v>-473.13827999999995</v>
      </c>
      <c r="AV303" s="125">
        <f>AH303*Valores!$C$74</f>
        <v>-52.57092</v>
      </c>
      <c r="AW303" s="125">
        <f t="shared" si="45"/>
        <v>15070.330399999999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7719.12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1335.82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IF($F$4="NO",Valores!$C$48*5,Valores!$C$48*5/2)</f>
        <v>1186.375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10241.315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AH304*Valores!$C$70</f>
        <v>-1126.54465</v>
      </c>
      <c r="AO304" s="125">
        <f>AH304*-Valores!$C$71</f>
        <v>0</v>
      </c>
      <c r="AP304" s="125">
        <f>AH304*Valores!$C$72</f>
        <v>-460.859175</v>
      </c>
      <c r="AQ304" s="125">
        <v>0</v>
      </c>
      <c r="AR304" s="125">
        <v>0</v>
      </c>
      <c r="AS304" s="125">
        <f t="shared" si="47"/>
        <v>8653.911175000001</v>
      </c>
      <c r="AT304" s="125">
        <f t="shared" si="41"/>
        <v>-1126.54465</v>
      </c>
      <c r="AU304" s="125">
        <f>AH304*Valores!$C$73</f>
        <v>-276.515505</v>
      </c>
      <c r="AV304" s="125">
        <f>AH304*Valores!$C$74</f>
        <v>-30.723945</v>
      </c>
      <c r="AW304" s="125">
        <f t="shared" si="45"/>
        <v>8807.5309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3988.21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633.82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IF($F$4="NO",IF(Valores!$C$48*B305&gt;Valores!$C$45,Valores!$C$45,Valores!$C$48*B305),IF(Valores!$C$48*B305&gt;Valores!$C$45,Valores!$C$45,Valores!$C$48*B305)/2)</f>
        <v>237.275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4859.304999999999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AH305*Valores!$C$70</f>
        <v>-534.5235499999999</v>
      </c>
      <c r="AO305" s="125">
        <f>AH305*-Valores!$C$71</f>
        <v>0</v>
      </c>
      <c r="AP305" s="125">
        <f>AH305*Valores!$C$72</f>
        <v>-218.66872499999997</v>
      </c>
      <c r="AQ305" s="125">
        <v>0</v>
      </c>
      <c r="AR305" s="125">
        <v>0</v>
      </c>
      <c r="AS305" s="125">
        <f t="shared" si="47"/>
        <v>4106.112724999999</v>
      </c>
      <c r="AT305" s="125">
        <f t="shared" si="41"/>
        <v>-534.5235499999999</v>
      </c>
      <c r="AU305" s="125">
        <f>AH305*Valores!$C$73</f>
        <v>-131.20123499999997</v>
      </c>
      <c r="AV305" s="125">
        <f>AH305*Valores!$C$74</f>
        <v>-14.577914999999999</v>
      </c>
      <c r="AW305" s="125">
        <f t="shared" si="45"/>
        <v>4179.002299999999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7976.42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1267.65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IF($F$4="NO",IF(Valores!$C$48*B306&gt;Valores!$C$45,Valores!$C$45,Valores!$C$48*B306),IF(Valores!$C$48*B306&gt;Valores!$C$45,Valores!$C$45,Valores!$C$48*B306)/2)</f>
        <v>474.55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9718.619999999999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AH306*Valores!$C$70</f>
        <v>-1069.0482</v>
      </c>
      <c r="AO306" s="125">
        <f>AH306*-Valores!$C$71</f>
        <v>0</v>
      </c>
      <c r="AP306" s="125">
        <f>AH306*Valores!$C$72</f>
        <v>-437.33789999999993</v>
      </c>
      <c r="AQ306" s="125">
        <v>0</v>
      </c>
      <c r="AR306" s="125">
        <v>0</v>
      </c>
      <c r="AS306" s="125">
        <f t="shared" si="47"/>
        <v>8212.2339</v>
      </c>
      <c r="AT306" s="125">
        <f t="shared" si="41"/>
        <v>-1069.0482</v>
      </c>
      <c r="AU306" s="125">
        <f>AH306*Valores!$C$73</f>
        <v>-262.40274</v>
      </c>
      <c r="AV306" s="125">
        <f>AH306*Valores!$C$74</f>
        <v>-29.155859999999997</v>
      </c>
      <c r="AW306" s="125">
        <f t="shared" si="45"/>
        <v>8358.0132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11964.64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1901.47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IF($F$4="NO",IF(Valores!$C$48*B307&gt;Valores!$C$45,Valores!$C$45,Valores!$C$48*B307),IF(Valores!$C$48*B307&gt;Valores!$C$45,Valores!$C$45,Valores!$C$48*B307)/2)</f>
        <v>711.825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14577.935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AH307*Valores!$C$70</f>
        <v>-1603.57285</v>
      </c>
      <c r="AO307" s="125">
        <f>AH307*-Valores!$C$71</f>
        <v>0</v>
      </c>
      <c r="AP307" s="125">
        <f>AH307*Valores!$C$72</f>
        <v>-656.007075</v>
      </c>
      <c r="AQ307" s="125">
        <v>0</v>
      </c>
      <c r="AR307" s="125">
        <v>0</v>
      </c>
      <c r="AS307" s="125">
        <f t="shared" si="47"/>
        <v>12318.355075</v>
      </c>
      <c r="AT307" s="125">
        <f t="shared" si="41"/>
        <v>-1603.57285</v>
      </c>
      <c r="AU307" s="125">
        <f>AH307*Valores!$C$73</f>
        <v>-393.604245</v>
      </c>
      <c r="AV307" s="125">
        <f>AH307*Valores!$C$74</f>
        <v>-43.733805</v>
      </c>
      <c r="AW307" s="125">
        <f t="shared" si="45"/>
        <v>12537.024099999999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15952.85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2535.29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IF($F$4="NO",IF(Valores!$C$48*B308&gt;Valores!$C$45,Valores!$C$45,Valores!$C$48*B308),IF(Valores!$C$48*B308&gt;Valores!$C$45,Valores!$C$45,Valores!$C$48*B308)/2)</f>
        <v>949.1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19437.239999999998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AH308*Valores!$C$70</f>
        <v>-2138.0964</v>
      </c>
      <c r="AO308" s="125">
        <f>AH308*-Valores!$C$71</f>
        <v>0</v>
      </c>
      <c r="AP308" s="125">
        <f>AH308*Valores!$C$72</f>
        <v>-874.6757999999999</v>
      </c>
      <c r="AQ308" s="125">
        <v>0</v>
      </c>
      <c r="AR308" s="125">
        <v>0</v>
      </c>
      <c r="AS308" s="125">
        <f t="shared" si="47"/>
        <v>16424.4678</v>
      </c>
      <c r="AT308" s="125">
        <f t="shared" si="41"/>
        <v>-2138.0964</v>
      </c>
      <c r="AU308" s="125">
        <f>AH308*Valores!$C$73</f>
        <v>-524.80548</v>
      </c>
      <c r="AV308" s="125">
        <f>AH308*Valores!$C$74</f>
        <v>-58.311719999999994</v>
      </c>
      <c r="AW308" s="125">
        <f t="shared" si="45"/>
        <v>16716.0264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19941.06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3169.12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IF($F$4="NO",IF(Valores!$C$48*B309&gt;Valores!$C$45,Valores!$C$45,Valores!$C$48*B309),IF(Valores!$C$48*B309&gt;Valores!$C$45,Valores!$C$45,Valores!$C$48*B309)/2)</f>
        <v>1186.375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24296.555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AH309*Valores!$C$70</f>
        <v>-2672.62105</v>
      </c>
      <c r="AO309" s="125">
        <f>AH309*-Valores!$C$71</f>
        <v>0</v>
      </c>
      <c r="AP309" s="125">
        <f>AH309*Valores!$C$72</f>
        <v>-1093.344975</v>
      </c>
      <c r="AQ309" s="125">
        <v>0</v>
      </c>
      <c r="AR309" s="125">
        <v>0</v>
      </c>
      <c r="AS309" s="125">
        <f t="shared" si="47"/>
        <v>20530.588975</v>
      </c>
      <c r="AT309" s="125">
        <f t="shared" si="41"/>
        <v>-2672.62105</v>
      </c>
      <c r="AU309" s="125">
        <f>AH309*Valores!$C$73</f>
        <v>-656.006985</v>
      </c>
      <c r="AV309" s="125">
        <f>AH309*Valores!$C$74</f>
        <v>-72.88966500000001</v>
      </c>
      <c r="AW309" s="125">
        <f t="shared" si="45"/>
        <v>20895.0373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23929.27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3802.94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IF($F$4="NO",IF(Valores!$C$48*B310&gt;Valores!$C$45,Valores!$C$45,Valores!$C$48*B310),IF(Valores!$C$48*B310&gt;Valores!$C$45,Valores!$C$45,Valores!$C$48*B310)/2)</f>
        <v>1423.65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29155.86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AH310*Valores!$C$70</f>
        <v>-3207.1446</v>
      </c>
      <c r="AO310" s="125">
        <f>AH310*-Valores!$C$71</f>
        <v>0</v>
      </c>
      <c r="AP310" s="125">
        <f>AH310*Valores!$C$72</f>
        <v>-1312.0137</v>
      </c>
      <c r="AQ310" s="125">
        <v>0</v>
      </c>
      <c r="AR310" s="125">
        <v>0</v>
      </c>
      <c r="AS310" s="125">
        <f t="shared" si="47"/>
        <v>24636.7017</v>
      </c>
      <c r="AT310" s="125">
        <f t="shared" si="41"/>
        <v>-3207.1446</v>
      </c>
      <c r="AU310" s="125">
        <f>AH310*Valores!$C$73</f>
        <v>-787.20822</v>
      </c>
      <c r="AV310" s="125">
        <f>AH310*Valores!$C$74</f>
        <v>-87.46758</v>
      </c>
      <c r="AW310" s="125">
        <f t="shared" si="45"/>
        <v>25074.0396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27917.48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4436.76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IF($F$4="NO",IF(Valores!$C$48*B311&gt;Valores!$C$45,Valores!$C$45,Valores!$C$48*B311),IF(Valores!$C$48*B311&gt;Valores!$C$45,Valores!$C$45,Valores!$C$48*B311)/2)</f>
        <v>1660.925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34015.165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AH311*Valores!$C$70</f>
        <v>-3741.66815</v>
      </c>
      <c r="AO311" s="125">
        <f>AH311*-Valores!$C$71</f>
        <v>0</v>
      </c>
      <c r="AP311" s="125">
        <f>AH311*Valores!$C$72</f>
        <v>-1530.682425</v>
      </c>
      <c r="AQ311" s="125">
        <v>0</v>
      </c>
      <c r="AR311" s="125">
        <v>0</v>
      </c>
      <c r="AS311" s="125">
        <f t="shared" si="47"/>
        <v>28742.814425</v>
      </c>
      <c r="AT311" s="125">
        <f t="shared" si="41"/>
        <v>-3741.66815</v>
      </c>
      <c r="AU311" s="125">
        <f>AH311*Valores!$C$73</f>
        <v>-918.409455</v>
      </c>
      <c r="AV311" s="125">
        <f>AH311*Valores!$C$74</f>
        <v>-102.045495</v>
      </c>
      <c r="AW311" s="125">
        <f t="shared" si="45"/>
        <v>29253.0419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31905.7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5070.59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IF($F$4="NO",IF(Valores!$C$48*B312&gt;Valores!$C$45,Valores!$C$45,Valores!$C$48*B312),IF(Valores!$C$48*B312&gt;Valores!$C$45,Valores!$C$45,Valores!$C$48*B312)/2)</f>
        <v>1898.2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38874.49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AH312*Valores!$C$70</f>
        <v>-4276.1939</v>
      </c>
      <c r="AO312" s="125">
        <f>AH312*-Valores!$C$71</f>
        <v>0</v>
      </c>
      <c r="AP312" s="125">
        <f>AH312*Valores!$C$72</f>
        <v>-1749.3520499999997</v>
      </c>
      <c r="AQ312" s="125">
        <v>0</v>
      </c>
      <c r="AR312" s="125">
        <v>0</v>
      </c>
      <c r="AS312" s="125">
        <f t="shared" si="47"/>
        <v>32848.94405</v>
      </c>
      <c r="AT312" s="125">
        <f t="shared" si="41"/>
        <v>-4276.1939</v>
      </c>
      <c r="AU312" s="125">
        <f>AH312*Valores!$C$73</f>
        <v>-1049.61123</v>
      </c>
      <c r="AV312" s="125">
        <f>AH312*Valores!$C$74</f>
        <v>-116.62347</v>
      </c>
      <c r="AW312" s="125">
        <f t="shared" si="45"/>
        <v>33432.0614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35893.91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5704.41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IF($F$4="NO",IF(Valores!$C$48*B313&gt;Valores!$C$45,Valores!$C$45,Valores!$C$48*B313),IF(Valores!$C$48*B313&gt;Valores!$C$45,Valores!$C$45,Valores!$C$48*B313)/2)</f>
        <v>2135.475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43733.795000000006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AH313*Valores!$C$70</f>
        <v>-4810.717450000001</v>
      </c>
      <c r="AO313" s="125">
        <f>AH313*-Valores!$C$71</f>
        <v>0</v>
      </c>
      <c r="AP313" s="125">
        <f>AH313*Valores!$C$72</f>
        <v>-1968.0207750000002</v>
      </c>
      <c r="AQ313" s="125">
        <v>0</v>
      </c>
      <c r="AR313" s="125">
        <v>0</v>
      </c>
      <c r="AS313" s="125">
        <f t="shared" si="47"/>
        <v>36955.056775000005</v>
      </c>
      <c r="AT313" s="125">
        <f t="shared" si="41"/>
        <v>-4810.717450000001</v>
      </c>
      <c r="AU313" s="125">
        <f>AH313*Valores!$C$73</f>
        <v>-1180.8124650000002</v>
      </c>
      <c r="AV313" s="125">
        <f>AH313*Valores!$C$74</f>
        <v>-131.20138500000002</v>
      </c>
      <c r="AW313" s="125">
        <f t="shared" si="45"/>
        <v>37611.063700000006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39882.12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6338.23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IF($F$4="NO",IF(Valores!$C$48*B314&gt;Valores!$C$45,Valores!$C$45,Valores!$C$48*B314),IF(Valores!$C$48*B314&gt;Valores!$C$45,Valores!$C$45,Valores!$C$48*B314)/2)</f>
        <v>2372.75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48593.100000000006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AH314*Valores!$C$70</f>
        <v>-5345.241000000001</v>
      </c>
      <c r="AO314" s="125">
        <f>AH314*-Valores!$C$71</f>
        <v>0</v>
      </c>
      <c r="AP314" s="125">
        <f>AH314*Valores!$C$72</f>
        <v>-2186.6895000000004</v>
      </c>
      <c r="AQ314" s="125">
        <v>0</v>
      </c>
      <c r="AR314" s="125">
        <v>0</v>
      </c>
      <c r="AS314" s="125">
        <f t="shared" si="47"/>
        <v>41061.1695</v>
      </c>
      <c r="AT314" s="125">
        <f t="shared" si="41"/>
        <v>-5345.241000000001</v>
      </c>
      <c r="AU314" s="125">
        <f>AH314*Valores!$C$73</f>
        <v>-1312.0137000000002</v>
      </c>
      <c r="AV314" s="125">
        <f>AH314*Valores!$C$74</f>
        <v>-145.7793</v>
      </c>
      <c r="AW314" s="125">
        <f t="shared" si="45"/>
        <v>41790.066000000006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43870.33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6972.05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IF($F$4="NO",IF(Valores!$C$48*B315&gt;Valores!$C$45,Valores!$C$45,Valores!$C$48*B315),IF(Valores!$C$48*B315&gt;Valores!$C$45,Valores!$C$45,Valores!$C$48*B315)/2)</f>
        <v>2610.025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53452.405000000006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AH315*Valores!$C$70</f>
        <v>-5879.764550000001</v>
      </c>
      <c r="AO315" s="125">
        <f>AH315*-Valores!$C$71</f>
        <v>0</v>
      </c>
      <c r="AP315" s="125">
        <f>AH315*Valores!$C$72</f>
        <v>-2405.3582250000004</v>
      </c>
      <c r="AQ315" s="125">
        <v>0</v>
      </c>
      <c r="AR315" s="125">
        <v>0</v>
      </c>
      <c r="AS315" s="125">
        <f t="shared" si="47"/>
        <v>45167.282225</v>
      </c>
      <c r="AT315" s="125">
        <f t="shared" si="41"/>
        <v>-5879.764550000001</v>
      </c>
      <c r="AU315" s="125">
        <f>AH315*Valores!$C$73</f>
        <v>-1443.2149350000002</v>
      </c>
      <c r="AV315" s="125">
        <f>AH315*Valores!$C$74</f>
        <v>-160.35721500000002</v>
      </c>
      <c r="AW315" s="125">
        <f t="shared" si="45"/>
        <v>45969.068300000006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47858.54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7605.88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IF($F$4="NO",IF(Valores!$C$48*B316&gt;Valores!$C$45,Valores!$C$45,Valores!$C$48*B316),IF(Valores!$C$48*B316&gt;Valores!$C$45,Valores!$C$45,Valores!$C$48*B316)/2)</f>
        <v>2847.3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58311.72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AH316*Valores!$C$70</f>
        <v>-6414.2892</v>
      </c>
      <c r="AO316" s="125">
        <f>AH316*-Valores!$C$71</f>
        <v>0</v>
      </c>
      <c r="AP316" s="125">
        <f>AH316*Valores!$C$72</f>
        <v>-2624.0274</v>
      </c>
      <c r="AQ316" s="125">
        <v>0</v>
      </c>
      <c r="AR316" s="125">
        <v>0</v>
      </c>
      <c r="AS316" s="125">
        <f t="shared" si="47"/>
        <v>49273.4034</v>
      </c>
      <c r="AT316" s="125">
        <f t="shared" si="41"/>
        <v>-6414.2892</v>
      </c>
      <c r="AU316" s="125">
        <f>AH316*Valores!$C$73</f>
        <v>-1574.41644</v>
      </c>
      <c r="AV316" s="125">
        <f>AH316*Valores!$C$74</f>
        <v>-174.93516</v>
      </c>
      <c r="AW316" s="125">
        <f t="shared" si="45"/>
        <v>50148.0792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51846.76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8239.7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IF($F$4="NO",IF(Valores!$C$48*B317&gt;Valores!$C$45,Valores!$C$45,Valores!$C$48*B317),IF(Valores!$C$48*B317&gt;Valores!$C$45,Valores!$C$45,Valores!$C$48*B317)/2)</f>
        <v>3084.5750000000003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63171.035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AH317*Valores!$C$70</f>
        <v>-6948.8138500000005</v>
      </c>
      <c r="AO317" s="125">
        <f>AH317*-Valores!$C$71</f>
        <v>0</v>
      </c>
      <c r="AP317" s="125">
        <f>AH317*Valores!$C$72</f>
        <v>-2842.696575</v>
      </c>
      <c r="AQ317" s="125">
        <v>0</v>
      </c>
      <c r="AR317" s="125">
        <v>0</v>
      </c>
      <c r="AS317" s="125">
        <f t="shared" si="47"/>
        <v>53379.524575</v>
      </c>
      <c r="AT317" s="125">
        <f t="shared" si="41"/>
        <v>-6948.8138500000005</v>
      </c>
      <c r="AU317" s="125">
        <f>AH317*Valores!$C$73</f>
        <v>-1705.617945</v>
      </c>
      <c r="AV317" s="125">
        <f>AH317*Valores!$C$74</f>
        <v>-189.51310500000002</v>
      </c>
      <c r="AW317" s="125">
        <f t="shared" si="45"/>
        <v>54327.0901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55834.97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8873.52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IF($F$4="NO",IF(Valores!$C$48*B318&gt;Valores!$C$45,Valores!$C$45,Valores!$C$48*B318),IF(Valores!$C$48*B318&gt;Valores!$C$45,Valores!$C$45,Valores!$C$48*B318)/2)</f>
        <v>3321.85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68030.34000000001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AH318*Valores!$C$70</f>
        <v>-7483.337400000001</v>
      </c>
      <c r="AO318" s="125">
        <f>AH318*-Valores!$C$71</f>
        <v>0</v>
      </c>
      <c r="AP318" s="125">
        <f>AH318*Valores!$C$72</f>
        <v>-3061.3653000000004</v>
      </c>
      <c r="AQ318" s="125">
        <v>0</v>
      </c>
      <c r="AR318" s="125">
        <v>0</v>
      </c>
      <c r="AS318" s="125">
        <f t="shared" si="47"/>
        <v>57485.63730000001</v>
      </c>
      <c r="AT318" s="125">
        <f t="shared" si="41"/>
        <v>-7483.337400000001</v>
      </c>
      <c r="AU318" s="125">
        <f>AH318*Valores!$C$73</f>
        <v>-1836.8191800000002</v>
      </c>
      <c r="AV318" s="125">
        <f>AH318*Valores!$C$74</f>
        <v>-204.09102000000004</v>
      </c>
      <c r="AW318" s="125">
        <f t="shared" si="45"/>
        <v>58506.09240000001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59823.18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9507.35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IF($F$4="NO",IF(Valores!$C$48*B319&gt;Valores!$C$45,Valores!$C$45,Valores!$C$48*B319),IF(Valores!$C$48*B319&gt;Valores!$C$45,Valores!$C$45,Valores!$C$48*B319)/2)</f>
        <v>3559.125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72889.655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AH319*Valores!$C$70</f>
        <v>-8017.86205</v>
      </c>
      <c r="AO319" s="125">
        <f>AH319*-Valores!$C$71</f>
        <v>0</v>
      </c>
      <c r="AP319" s="125">
        <f>AH319*Valores!$C$72</f>
        <v>-3280.034475</v>
      </c>
      <c r="AQ319" s="125">
        <v>0</v>
      </c>
      <c r="AR319" s="125">
        <v>0</v>
      </c>
      <c r="AS319" s="125">
        <f t="shared" si="47"/>
        <v>61591.758474999995</v>
      </c>
      <c r="AT319" s="125">
        <f t="shared" si="41"/>
        <v>-8017.86205</v>
      </c>
      <c r="AU319" s="125">
        <f>AH319*Valores!$C$73</f>
        <v>-1968.020685</v>
      </c>
      <c r="AV319" s="125">
        <f>AH319*Valores!$C$74</f>
        <v>-218.66896500000001</v>
      </c>
      <c r="AW319" s="125">
        <f t="shared" si="45"/>
        <v>62685.1033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63811.39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10141.17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IF($F$4="NO",IF(Valores!$C$48*B320&gt;Valores!$C$45,Valores!$C$45,Valores!$C$48*B320),IF(Valores!$C$48*B320&gt;Valores!$C$45,Valores!$C$45,Valores!$C$48*B320)/2)</f>
        <v>3796.4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77748.95999999999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AH320*Valores!$C$70</f>
        <v>-8552.3856</v>
      </c>
      <c r="AO320" s="125">
        <f>AH320*-Valores!$C$71</f>
        <v>0</v>
      </c>
      <c r="AP320" s="125">
        <f>AH320*Valores!$C$72</f>
        <v>-3498.7031999999995</v>
      </c>
      <c r="AQ320" s="125">
        <v>0</v>
      </c>
      <c r="AR320" s="125">
        <v>0</v>
      </c>
      <c r="AS320" s="125">
        <f t="shared" si="47"/>
        <v>65697.8712</v>
      </c>
      <c r="AT320" s="125">
        <f t="shared" si="41"/>
        <v>-8552.3856</v>
      </c>
      <c r="AU320" s="125">
        <f>AH320*Valores!$C$73</f>
        <v>-2099.22192</v>
      </c>
      <c r="AV320" s="125">
        <f>AH320*Valores!$C$74</f>
        <v>-233.24687999999998</v>
      </c>
      <c r="AW320" s="125">
        <f t="shared" si="45"/>
        <v>66864.1056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7075.86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IF($F$4="NO",Valores!$C$49,Valores!$C$49/2)</f>
        <v>348.585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Valores!$C$97</f>
        <v>576.09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Valores!$C$63</f>
        <v>642.6</v>
      </c>
      <c r="AH321" s="125">
        <f t="shared" si="46"/>
        <v>8643.135</v>
      </c>
      <c r="AI321" s="125">
        <f>Valores!$C$33</f>
        <v>0</v>
      </c>
      <c r="AJ321" s="125">
        <f>Valores!$C$90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AH321*Valores!$C$70</f>
        <v>-950.74485</v>
      </c>
      <c r="AO321" s="125">
        <f>AH321*-Valores!$C$71</f>
        <v>0</v>
      </c>
      <c r="AP321" s="125">
        <f>AH321*Valores!$C$72</f>
        <v>-388.941075</v>
      </c>
      <c r="AQ321" s="125">
        <v>0</v>
      </c>
      <c r="AR321" s="125">
        <v>0</v>
      </c>
      <c r="AS321" s="125">
        <f t="shared" si="47"/>
        <v>7303.449075</v>
      </c>
      <c r="AT321" s="125">
        <f t="shared" si="41"/>
        <v>-950.74485</v>
      </c>
      <c r="AU321" s="125">
        <f>AH321*Valores!$C$73</f>
        <v>-233.364645</v>
      </c>
      <c r="AV321" s="125">
        <f>AH321*Valores!$C$74</f>
        <v>-25.929405000000003</v>
      </c>
      <c r="AW321" s="125">
        <f t="shared" si="45"/>
        <v>7433.0961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6303.95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IF($F$4="NO",Valores!$C$49,Valores!$C$49/2)</f>
        <v>348.585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Valores!$C$97</f>
        <v>576.09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Valores!$C$63</f>
        <v>642.6</v>
      </c>
      <c r="AH322" s="125">
        <f t="shared" si="46"/>
        <v>7871.225</v>
      </c>
      <c r="AI322" s="125">
        <f>Valores!$C$33</f>
        <v>0</v>
      </c>
      <c r="AJ322" s="125">
        <f>Valores!$C$90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AH322*Valores!$C$70</f>
        <v>-865.8347500000001</v>
      </c>
      <c r="AO322" s="125">
        <f>AH322*-Valores!$C$71</f>
        <v>0</v>
      </c>
      <c r="AP322" s="125">
        <f>AH322*Valores!$C$72</f>
        <v>-354.205125</v>
      </c>
      <c r="AQ322" s="125">
        <v>0</v>
      </c>
      <c r="AR322" s="125">
        <v>0</v>
      </c>
      <c r="AS322" s="125">
        <f t="shared" si="47"/>
        <v>6651.185125</v>
      </c>
      <c r="AT322" s="125">
        <f t="shared" si="41"/>
        <v>-865.8347500000001</v>
      </c>
      <c r="AU322" s="125">
        <f>AH322*Valores!$C$73</f>
        <v>-212.523075</v>
      </c>
      <c r="AV322" s="125">
        <f>AH322*Valores!$C$74</f>
        <v>-23.613675</v>
      </c>
      <c r="AW322" s="125">
        <f t="shared" si="45"/>
        <v>6769.253500000001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6123.84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IF($F$4="NO",Valores!$C$49,Valores!$C$49/2)</f>
        <v>348.585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Valores!$C$97</f>
        <v>576.09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Valores!$C$63</f>
        <v>642.6</v>
      </c>
      <c r="AH323" s="125">
        <f t="shared" si="46"/>
        <v>7691.115000000001</v>
      </c>
      <c r="AI323" s="125">
        <f>Valores!$C$33</f>
        <v>0</v>
      </c>
      <c r="AJ323" s="125">
        <f>Valores!$C$90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AH323*Valores!$C$70</f>
        <v>-846.0226500000001</v>
      </c>
      <c r="AO323" s="125">
        <f>AH323*-Valores!$C$71</f>
        <v>0</v>
      </c>
      <c r="AP323" s="125">
        <f>AH323*Valores!$C$72</f>
        <v>-346.10017500000004</v>
      </c>
      <c r="AQ323" s="125">
        <v>0</v>
      </c>
      <c r="AR323" s="125">
        <v>0</v>
      </c>
      <c r="AS323" s="125">
        <f t="shared" si="47"/>
        <v>6498.992175</v>
      </c>
      <c r="AT323" s="125">
        <f t="shared" si="41"/>
        <v>-846.0226500000001</v>
      </c>
      <c r="AU323" s="125">
        <f>AH323*Valores!$C$73</f>
        <v>-207.66010500000002</v>
      </c>
      <c r="AV323" s="125">
        <f>AH323*Valores!$C$74</f>
        <v>-23.073345000000003</v>
      </c>
      <c r="AW323" s="125">
        <f t="shared" si="45"/>
        <v>6614.358900000001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6303.95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IF($F$4="NO",Valores!$C$49,Valores!$C$49/2)</f>
        <v>348.585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Valores!$C$97</f>
        <v>576.09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Valores!$C$63</f>
        <v>642.6</v>
      </c>
      <c r="AH324" s="125">
        <f t="shared" si="46"/>
        <v>7871.225</v>
      </c>
      <c r="AI324" s="125">
        <v>0</v>
      </c>
      <c r="AJ324" s="125">
        <f>Valores!$C$90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AH324*Valores!$C$70</f>
        <v>-865.8347500000001</v>
      </c>
      <c r="AO324" s="125">
        <f>AH324*-Valores!$C$71</f>
        <v>0</v>
      </c>
      <c r="AP324" s="125">
        <f>AH324*Valores!$C$72</f>
        <v>-354.205125</v>
      </c>
      <c r="AQ324" s="125">
        <v>0</v>
      </c>
      <c r="AR324" s="125">
        <v>0</v>
      </c>
      <c r="AS324" s="125">
        <f t="shared" si="47"/>
        <v>6651.185125</v>
      </c>
      <c r="AT324" s="125">
        <f t="shared" si="41"/>
        <v>-865.8347500000001</v>
      </c>
      <c r="AU324" s="125">
        <f>AH324*Valores!$C$73</f>
        <v>-212.523075</v>
      </c>
      <c r="AV324" s="125">
        <f>AH324*Valores!$C$74</f>
        <v>-23.613675</v>
      </c>
      <c r="AW324" s="125">
        <f t="shared" si="45"/>
        <v>6769.253500000001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6252.49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IF($F$4="NO",Valores!$C$49,Valores!$C$49/2)</f>
        <v>348.585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Valores!$C$97</f>
        <v>576.09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Valores!$C$63</f>
        <v>642.6</v>
      </c>
      <c r="AH325" s="125">
        <f t="shared" si="46"/>
        <v>7819.765</v>
      </c>
      <c r="AI325" s="125">
        <v>0</v>
      </c>
      <c r="AJ325" s="125">
        <f>Valores!$C$90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AH325*Valores!$C$70</f>
        <v>-860.17415</v>
      </c>
      <c r="AO325" s="125">
        <f>AH325*-Valores!$C$71</f>
        <v>0</v>
      </c>
      <c r="AP325" s="125">
        <f>AH325*Valores!$C$72</f>
        <v>-351.889425</v>
      </c>
      <c r="AQ325" s="125">
        <v>0</v>
      </c>
      <c r="AR325" s="125">
        <v>0</v>
      </c>
      <c r="AS325" s="125">
        <f t="shared" si="47"/>
        <v>6607.701425</v>
      </c>
      <c r="AT325" s="125">
        <f t="shared" si="41"/>
        <v>-860.17415</v>
      </c>
      <c r="AU325" s="125">
        <f>AH325*Valores!$C$73</f>
        <v>-211.133655</v>
      </c>
      <c r="AV325" s="125">
        <f>AH325*Valores!$C$74</f>
        <v>-23.459295</v>
      </c>
      <c r="AW325" s="125">
        <f t="shared" si="45"/>
        <v>6724.9979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6046.64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IF($F$4="NO",Valores!$C$49,Valores!$C$49/2)</f>
        <v>348.585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Valores!$C$97</f>
        <v>576.09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Valores!$C$63</f>
        <v>642.6</v>
      </c>
      <c r="AH326" s="125">
        <f t="shared" si="46"/>
        <v>7613.915000000001</v>
      </c>
      <c r="AI326" s="125">
        <v>0</v>
      </c>
      <c r="AJ326" s="125">
        <f>Valores!$C$90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AH326*Valores!$C$70</f>
        <v>-837.5306500000002</v>
      </c>
      <c r="AO326" s="125">
        <f>AH326*-Valores!$C$71</f>
        <v>0</v>
      </c>
      <c r="AP326" s="125">
        <f>AH326*Valores!$C$72</f>
        <v>-342.62617500000005</v>
      </c>
      <c r="AQ326" s="125">
        <v>0</v>
      </c>
      <c r="AR326" s="125">
        <v>0</v>
      </c>
      <c r="AS326" s="125">
        <f t="shared" si="47"/>
        <v>6433.758175000001</v>
      </c>
      <c r="AT326" s="125">
        <f>AN326</f>
        <v>-837.5306500000002</v>
      </c>
      <c r="AU326" s="125">
        <f>AH326*Valores!$C$73</f>
        <v>-205.57570500000003</v>
      </c>
      <c r="AV326" s="125">
        <f>AH326*Valores!$C$74</f>
        <v>-22.841745000000003</v>
      </c>
      <c r="AW326" s="125">
        <f t="shared" si="45"/>
        <v>6547.966900000001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661</v>
      </c>
      <c r="B1" t="s">
        <v>662</v>
      </c>
      <c r="C1" t="s">
        <v>76</v>
      </c>
      <c r="D1" t="s">
        <v>692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694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702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698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699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700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701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703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704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705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706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707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708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710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709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711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712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713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714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715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716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717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718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719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720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721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722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723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724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725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726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727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728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729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730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731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732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733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734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735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736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737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738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739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740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741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742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743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744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745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746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747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748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749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750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751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752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753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754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755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756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757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758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759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760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761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762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763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764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765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766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767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768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769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770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771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772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773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774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775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776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777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778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779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780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781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782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783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784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788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786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785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789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787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790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791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792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793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794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795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796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797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798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799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800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801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802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803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804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805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653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664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693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688</v>
      </c>
      <c r="B3" s="204" t="s">
        <v>691</v>
      </c>
      <c r="E3" s="206" t="s">
        <v>806</v>
      </c>
      <c r="F3" s="207"/>
      <c r="G3" s="206" t="s">
        <v>807</v>
      </c>
      <c r="H3" s="207"/>
      <c r="I3" s="206" t="s">
        <v>808</v>
      </c>
      <c r="J3" s="207"/>
      <c r="K3" s="206" t="s">
        <v>695</v>
      </c>
    </row>
    <row r="4" spans="2:11" ht="12.75" hidden="1">
      <c r="B4" t="s">
        <v>690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688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665</v>
      </c>
      <c r="C6" s="8">
        <v>0</v>
      </c>
      <c r="D6" s="209">
        <f>_xlfn.IFNA(VLOOKUP(E$4,'Escala Docente'!$C$8:$AW$326,4,FALSE),0)</f>
        <v>6098.1</v>
      </c>
      <c r="E6" s="203">
        <f>ROUND(D6*E$1/30,2)</f>
        <v>6098.1</v>
      </c>
      <c r="F6" s="209">
        <f>_xlfn.IFNA(VLOOKUP(G$4,'Escala Docente'!$C$8:$AW$326,4,FALSE),0)</f>
        <v>24984.22</v>
      </c>
      <c r="G6" s="203">
        <f>ROUND(F6*G$1/30,2)</f>
        <v>24984.22</v>
      </c>
      <c r="H6" s="209">
        <f>_xlfn.IFNA(VLOOKUP(I$4,'Escala Docente'!$C$8:$AW$326,4,FALSE),0)</f>
        <v>63811.39</v>
      </c>
      <c r="I6" s="203">
        <f>ROUND(H6*I$1/30,2)</f>
        <v>63811.39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666</v>
      </c>
      <c r="C7" s="8">
        <f>Valores!F88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667</v>
      </c>
      <c r="C8" s="8">
        <f>Valores!F95</f>
        <v>11521.74</v>
      </c>
      <c r="D8" s="209">
        <f>_xlfn.IFNA(VLOOKUP(E$4,'Escala Docente'!$C$8:$AW$326,24,FALSE),0)</f>
        <v>839.8199999999999</v>
      </c>
      <c r="E8" s="203">
        <f>IF((ROUND(D8*E$1/30,2)+(ROUND(F8*$G$1/30,2))+ROUND(H8*$I$1/30,2)+ROUND(J8*$K$1/30,2))&gt;C8,C8,(ROUND(D8*E$1/30,2)+ROUND(F8*$G$1/30,2)+ROUND(H8*$I$1/30,2)+ROUND(J8*$K$1/30,2)))</f>
        <v>6600.69</v>
      </c>
      <c r="F8" s="209">
        <f>_xlfn.IFNA(VLOOKUP(G$4,'Escala Docente'!$C$8:$AW$326,24,FALSE),0)</f>
        <v>5760.87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668</v>
      </c>
      <c r="C9" s="8">
        <v>0</v>
      </c>
      <c r="D9" s="209">
        <f>_xlfn.IFNA(VLOOKUP(E$4,'Escala Docente'!$C$8:$AW$326,13,FALSE),0)</f>
        <v>2617.77</v>
      </c>
      <c r="E9" s="203">
        <f>ROUND(D9*E$1/30,2)</f>
        <v>2617.77</v>
      </c>
      <c r="F9" s="209">
        <f>_xlfn.IFNA(VLOOKUP(G$4,'Escala Docente'!$C$8:$AW$326,13,FALSE),0)</f>
        <v>22234.39</v>
      </c>
      <c r="G9" s="203">
        <f>ROUND(F9*G$1/30,2)</f>
        <v>22234.39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669</v>
      </c>
      <c r="C10" s="8">
        <f>IF('Escala Docente'!$F$4="NO",Valores!F45,Valores!F45/2)</f>
        <v>7073.445</v>
      </c>
      <c r="D10" s="209">
        <f>_xlfn.IFNA(VLOOKUP(E$4,'Escala Docente'!$C$8:$AW$326,16,FALSE),0)</f>
        <v>711.825</v>
      </c>
      <c r="E10" s="203">
        <f>IF((ROUND(D10*E$1/30,2)+(ROUND(F10*$G$1/30,2))+ROUND(H10*$I$1/30,2)+ROUND(J10*$K$1/30,2))&gt;C10,C10,(ROUND(D10*E$1/30,2)+ROUND(F10*$G$1/30,2)+ROUND(H10*$I$1/30,2)+ROUND(J10*$K$1/30,2)))</f>
        <v>7073.445</v>
      </c>
      <c r="F10" s="209">
        <f>_xlfn.IFNA(VLOOKUP(G$4,'Escala Docente'!$C$8:$AW$326,16,FALSE),0)</f>
        <v>4440.46</v>
      </c>
      <c r="G10" s="203">
        <f>IF($E10&gt;0,0,ROUND($F10*G$1/30,2))</f>
        <v>0</v>
      </c>
      <c r="H10" s="209">
        <f>_xlfn.IFNA(VLOOKUP(I$4,'Escala Docente'!$C$8:$AW$326,16,FALSE),0)</f>
        <v>3796.4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670</v>
      </c>
      <c r="C11" s="8">
        <f>Valores!F26</f>
        <v>537.98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671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683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10922.07</v>
      </c>
      <c r="G13" s="203">
        <f>ROUND(F13*G$1/30,2)</f>
        <v>10922.07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672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673</v>
      </c>
      <c r="C15" s="8">
        <f>Valores!D5</f>
        <v>13153.38</v>
      </c>
      <c r="D15" s="209">
        <f>_xlfn.IFNA(VLOOKUP(E$4,'Escala Docente'!$C$8:$AW$326,14,FALSE),0)</f>
        <v>2630.67</v>
      </c>
      <c r="E15" s="203">
        <f>IF((ROUND(D15*E$1/30,2)+(ROUND(F15*$G$1/30,2))+ROUND(H15*$I$1/30,2)+ROUND(J15*$K$1/30,2))&gt;C15,C15,(ROUND(D15*E$1/30,2)+ROUND(F15*$G$1/30,2)+ROUND(H15*$I$1/30,2)+ROUND(J15*$K$1/30,2)))</f>
        <v>13153.38</v>
      </c>
      <c r="F15" s="209">
        <f>_xlfn.IFNA(VLOOKUP(G$4,'Escala Docente'!$C$8:$AW$326,14,FALSE),0)</f>
        <v>13153.38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674</v>
      </c>
      <c r="C16" s="8">
        <f>Valores!F25</f>
        <v>806.97</v>
      </c>
      <c r="D16" s="209">
        <f>_xlfn.IFNA(VLOOKUP(E$4,'Escala Docente'!$C$8:$AW$326,25,FALSE),0)</f>
        <v>64.65</v>
      </c>
      <c r="E16" s="203">
        <f>ROUND(D16*E$1/30,2)</f>
        <v>64.65</v>
      </c>
      <c r="F16" s="209">
        <f>_xlfn.IFNA(VLOOKUP(G$4,'Escala Docente'!$C$8:$AW$326,25,FALSE),0)</f>
        <v>537.98</v>
      </c>
      <c r="G16" s="203">
        <f>IF(E16&gt;=C16,0,IF((F16*G$1/30)&gt;(E16-C16),F16*G$1/30,E16-C16))</f>
        <v>537.98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687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686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675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682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676</v>
      </c>
      <c r="C21" s="8">
        <v>0</v>
      </c>
      <c r="D21" s="209">
        <f>_xlfn.IFNA(VLOOKUP(E$4,'Escala Docente'!$C$8:$AW$326,18,FALSE),0)</f>
        <v>823.35</v>
      </c>
      <c r="E21" s="203">
        <f>ROUND(D21*E$1/30,2)</f>
        <v>823.35</v>
      </c>
      <c r="F21" s="209">
        <f>_xlfn.IFNA(VLOOKUP(G$4,'Escala Docente'!$C$8:$AW$326,18,FALSE),0)</f>
        <v>12239.42</v>
      </c>
      <c r="G21" s="203">
        <f>ROUND(F21*G$1/30,2)</f>
        <v>12239.42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680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685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696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677</v>
      </c>
      <c r="C25" s="8">
        <f>IF('Escala Docente'!$F$4="NO",Valores!F62,Valores!F62/2)</f>
        <v>6406.93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678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679</v>
      </c>
      <c r="C27" s="8" t="e">
        <f>IF('Escala Docente'!$F$4="NO",Valores!#REF!,Valores!#REF!/2)</f>
        <v>#REF!</v>
      </c>
      <c r="D27" s="209">
        <f>_xlfn.IFNA(VLOOKUP(E$4,'Escala Docente'!$C$8:$AW$326,31,FALSE),0)</f>
        <v>640.6949999999999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3203.47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681</v>
      </c>
      <c r="C28" s="8">
        <f>Valores!F61</f>
        <v>327.6</v>
      </c>
      <c r="D28" s="209">
        <f>_xlfn.IFNA(VLOOKUP(E$4,'Escala Docente'!$C$8:$AW$326,36,FALSE),0)</f>
        <v>34.0677</v>
      </c>
      <c r="E28" s="203">
        <f>ROUND(D28*E$1/30,2)</f>
        <v>34.07</v>
      </c>
      <c r="F28" s="209">
        <f>_xlfn.IFNA(VLOOKUP(G$4,'Escala Docente'!$C$8:$AW$326,36,FALSE),0)</f>
        <v>155.18</v>
      </c>
      <c r="G28" s="203">
        <f>IF(E28&gt;=C28,0,IF((F28*G$1/30)&gt;(E28-C28),F28*G$1/30,E28-C28))</f>
        <v>155.18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684</v>
      </c>
      <c r="C29" s="8">
        <v>0</v>
      </c>
      <c r="D29" s="209">
        <f>_xlfn.IFNA(VLOOKUP(E$4,'Escala Docente'!$C$8:$AW$326,11,FALSE),0)</f>
        <v>1144.99</v>
      </c>
      <c r="E29" s="210">
        <f>ROUND(IF('Escala Docente'!$H$2=0,IF(AND(MID(E$3,1,5)&lt;&gt;"13930",MID(E$3,1,5)&lt;&gt;"13940"),(SUM(E6+E12+E14+E18+E10+E17+E21)*Valores!$C$4),0),0),2)</f>
        <v>2099.23</v>
      </c>
      <c r="F29" s="209">
        <f>_xlfn.IFNA(VLOOKUP(G$4,'Escala Docente'!$C$8:$AW$326,11,FALSE),0)</f>
        <v>6249.62</v>
      </c>
      <c r="G29" s="210">
        <f>ROUND(IF('Escala Docente'!$H$2=0,IF(AND(MID(G$3,1,5)&lt;&gt;"13930",MID(G$3,1,5)&lt;&gt;"13940"),(SUM(G6+G12+G14+G18+G10+G17+G21)*Valores!$C$4),0),0),2)</f>
        <v>5583.55</v>
      </c>
      <c r="H29" s="209">
        <f>_xlfn.IFNA(VLOOKUP(I$4,'Escala Docente'!$C$8:$AW$326,11,FALSE),0)</f>
        <v>10141.17</v>
      </c>
      <c r="I29" s="210">
        <f>ROUND(IF('Escala Docente'!$H$2=0,IF(AND(MID(I$3,1,5)&lt;&gt;"13930",MID(I$3,1,5)&lt;&gt;"13940"),(SUM(I6+I12+I14+I18+I10+I17+I21)*Valores!$C$4),0),0),2)</f>
        <v>9571.71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3" t="str">
        <f ca="1">MID(CELL("FILENAME",L41),FIND("[",CELL("FILENAME",L41))+1,FIND("]",CELL("FILENAME",L41))-FIND("[",CELL("FILENAME",L41))-1)</f>
        <v>Esc Doc 2022 12 Cba V 1 2.xlsx</v>
      </c>
      <c r="B1" s="233"/>
      <c r="C1" s="233"/>
      <c r="D1" s="233"/>
      <c r="E1" s="233"/>
      <c r="F1" s="233"/>
      <c r="G1" s="233"/>
      <c r="H1" s="233"/>
      <c r="I1" s="233"/>
      <c r="J1" s="2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4" t="s">
        <v>49</v>
      </c>
      <c r="B2" s="23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5" t="s">
        <v>501</v>
      </c>
      <c r="R3" s="235"/>
      <c r="S3" s="235"/>
      <c r="T3" s="236" t="s">
        <v>502</v>
      </c>
      <c r="U3" s="236"/>
      <c r="V3" s="236"/>
      <c r="W3" s="236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2022-12-23T13:22:59Z</cp:lastPrinted>
  <dcterms:created xsi:type="dcterms:W3CDTF">2005-08-10T23:49:01Z</dcterms:created>
  <dcterms:modified xsi:type="dcterms:W3CDTF">2023-01-18T01:19:15Z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