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enviar\"/>
    </mc:Choice>
  </mc:AlternateContent>
  <bookViews>
    <workbookView xWindow="-120" yWindow="-120" windowWidth="20730" windowHeight="1116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J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R46" i="2" s="1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C99" i="1"/>
  <c r="Z301" i="2" s="1"/>
  <c r="F96" i="1"/>
  <c r="C92" i="1"/>
  <c r="AJ301" i="2" s="1"/>
  <c r="F89" i="1"/>
  <c r="C7" i="4" s="1"/>
  <c r="C65" i="1"/>
  <c r="AG301" i="2" s="1"/>
  <c r="F63" i="1"/>
  <c r="D63" i="1"/>
  <c r="F62" i="1"/>
  <c r="E62" i="1"/>
  <c r="F61" i="1"/>
  <c r="E61" i="1"/>
  <c r="I58" i="1"/>
  <c r="D53" i="1"/>
  <c r="C53" i="1"/>
  <c r="L50" i="1"/>
  <c r="C51" i="1"/>
  <c r="R301" i="2" s="1"/>
  <c r="F46" i="1"/>
  <c r="C39" i="1"/>
  <c r="F38" i="1"/>
  <c r="F36" i="1"/>
  <c r="C34" i="1"/>
  <c r="AI301" i="2" s="1"/>
  <c r="F32" i="1"/>
  <c r="AI6" i="2" s="1"/>
  <c r="D31" i="1"/>
  <c r="G29" i="1"/>
  <c r="C26" i="1"/>
  <c r="F25" i="1"/>
  <c r="C16" i="4" s="1"/>
  <c r="M13" i="1"/>
  <c r="M14" i="1" s="1"/>
  <c r="M16" i="1" s="1"/>
  <c r="I9" i="3" l="1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C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AZ2" i="2" s="1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M300" i="2" l="1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46" i="2"/>
  <c r="AO46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3" i="3" l="1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W179" i="2" s="1"/>
  <c r="AV166" i="2"/>
  <c r="AN170" i="2"/>
  <c r="AT170" i="2" s="1"/>
  <c r="AW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N46" i="2"/>
  <c r="AT46" i="2" s="1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Y18" i="3" l="1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<sst xmlns="http://schemas.openxmlformats.org/spreadsheetml/2006/main" count="1566" uniqueCount="819">
  <si>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</si>
  <si>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</si>
  <si>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</si>
  <si>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</si>
  <si>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</si>
  <si>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</si>
  <si>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</si>
  <si>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</si>
  <si>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</si>
  <si>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</si>
  <si>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</si>
  <si>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</si>
  <si>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</si>
  <si>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</si>
  <si>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</si>
  <si>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</si>
  <si>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</si>
  <si>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</si>
  <si>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</si>
  <si>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</si>
  <si>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</si>
  <si>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</si>
  <si>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</si>
  <si>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</si>
  <si>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</si>
  <si>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</si>
  <si>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</si>
  <si>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</si>
  <si>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</si>
  <si>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</si>
  <si>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</si>
  <si>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</si>
  <si>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</si>
  <si>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</si>
  <si>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</si>
  <si>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</si>
  <si>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</si>
  <si>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</si>
  <si>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</si>
  <si>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</si>
  <si>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</si>
  <si>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</si>
  <si>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</si>
  <si>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</si>
  <si>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</si>
  <si>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</si>
  <si>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</si>
  <si>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</si>
  <si>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</si>
  <si>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</si>
  <si>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</si>
  <si>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</si>
  <si>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</si>
  <si>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</si>
  <si>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</si>
  <si>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</si>
  <si>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</si>
  <si>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</si>
  <si>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</si>
  <si>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</si>
  <si>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</si>
  <si>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</si>
  <si>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</si>
  <si>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</si>
  <si>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</si>
  <si>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</si>
  <si>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</si>
  <si>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</si>
  <si>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</si>
  <si>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</si>
  <si>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</si>
  <si>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</si>
  <si>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</si>
  <si>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</si>
  <si>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</si>
  <si>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</si>
  <si>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</si>
  <si>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</si>
  <si>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</si>
  <si>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</si>
  <si>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</si>
  <si>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</si>
  <si>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</si>
  <si>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</si>
  <si>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</si>
  <si>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</si>
  <si>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</si>
  <si>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</si>
  <si>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</si>
  <si>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</si>
  <si>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</si>
  <si>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</si>
  <si>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</si>
  <si>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</si>
  <si>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</si>
  <si>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</si>
  <si>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</si>
  <si>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</si>
  <si>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</si>
  <si>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</si>
  <si>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</si>
  <si>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</si>
  <si>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</si>
  <si>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</si>
  <si>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</si>
  <si>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</si>
  <si>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</si>
  <si>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</si>
  <si>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</si>
  <si>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</si>
  <si>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</si>
  <si>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</si>
  <si>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</si>
  <si>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</si>
  <si>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</si>
  <si>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</si>
  <si>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</si>
  <si>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</si>
  <si>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</si>
  <si>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</si>
  <si>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</si>
  <si>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</si>
  <si>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</si>
  <si>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</si>
  <si>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</si>
  <si>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</si>
  <si>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</si>
  <si>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</si>
  <si>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</si>
  <si>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</si>
  <si>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</si>
  <si>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</si>
  <si>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</si>
  <si>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</si>
  <si>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</si>
  <si>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</si>
  <si>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</si>
  <si>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</si>
  <si>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</si>
  <si>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</si>
  <si>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</si>
  <si>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</si>
  <si>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</si>
  <si>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</si>
  <si>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</si>
  <si>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</si>
  <si>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</si>
  <si>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</si>
  <si>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</si>
  <si>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</si>
  <si>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</si>
  <si>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</si>
  <si>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</si>
  <si>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</si>
  <si>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</si>
  <si>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</si>
  <si>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</si>
  <si>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</si>
  <si>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</si>
  <si>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</si>
  <si>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</si>
  <si>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</si>
  <si>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</si>
  <si>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</si>
  <si>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</si>
  <si>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</si>
  <si>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</si>
  <si>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</si>
  <si>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</si>
  <si>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</si>
  <si>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</si>
  <si>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</si>
  <si>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</si>
  <si>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</si>
  <si>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</si>
  <si>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</si>
  <si>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</si>
  <si>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</si>
  <si>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</si>
  <si>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</si>
  <si>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</si>
  <si>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</si>
  <si>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</si>
  <si>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</si>
  <si>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</si>
  <si>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</si>
  <si>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</si>
  <si>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</si>
  <si>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</si>
  <si>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</si>
  <si>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</si>
  <si>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</si>
  <si>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</si>
  <si>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</si>
  <si>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</si>
  <si>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</si>
  <si>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</si>
  <si>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</si>
  <si>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</si>
  <si>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</si>
  <si>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</si>
  <si>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</si>
  <si>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</si>
  <si>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</si>
  <si>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</si>
  <si>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</si>
  <si>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</si>
  <si>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</si>
  <si>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</si>
  <si>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</si>
  <si>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</si>
  <si>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</si>
  <si>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</si>
  <si>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</si>
  <si>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</si>
  <si>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</si>
  <si>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</si>
  <si>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</si>
  <si>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</si>
  <si>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</si>
  <si>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</si>
  <si>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</si>
  <si>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</si>
  <si>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</si>
  <si>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</si>
  <si>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</si>
  <si>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</si>
  <si>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</si>
  <si>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</si>
  <si>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</si>
  <si>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</si>
  <si>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</si>
  <si>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</si>
  <si>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</si>
  <si>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</si>
  <si>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</si>
  <si>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</si>
  <si>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</si>
  <si>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</si>
  <si>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</si>
  <si>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</si>
  <si>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</si>
  <si>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</si>
  <si>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</si>
  <si>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</si>
  <si>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</si>
  <si>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</si>
  <si>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</si>
  <si>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</si>
  <si>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</si>
  <si>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</si>
  <si>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</si>
  <si>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</si>
  <si>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</si>
  <si>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</si>
  <si>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</si>
  <si>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</si>
  <si>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</si>
  <si>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</si>
  <si>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</si>
  <si>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</si>
  <si>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</si>
  <si>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</si>
  <si>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</si>
  <si>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</si>
  <si>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</si>
  <si>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</si>
  <si>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</si>
  <si>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</si>
  <si>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</si>
  <si>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</si>
  <si>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</si>
  <si>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</si>
  <si>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</si>
  <si>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</si>
  <si>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</si>
  <si>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</si>
  <si>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</si>
  <si>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</si>
  <si>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</si>
  <si>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</si>
  <si>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</si>
  <si>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</si>
  <si>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</si>
  <si>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</si>
  <si>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</si>
  <si>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</si>
  <si>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</si>
  <si>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</si>
  <si>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</si>
  <si>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</si>
  <si>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</si>
  <si>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</si>
  <si>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</si>
  <si>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</si>
  <si>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</si>
  <si>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</si>
  <si>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</si>
  <si>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</si>
  <si>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</si>
  <si>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</si>
  <si>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</si>
  <si>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</si>
  <si>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</si>
  <si>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</si>
  <si>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</si>
  <si>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</si>
  <si>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</si>
  <si>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</si>
  <si>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</si>
  <si>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</si>
  <si>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</si>
  <si>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</si>
  <si>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</si>
  <si>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</si>
  <si>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</si>
  <si>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</si>
  <si>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</si>
  <si>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</si>
  <si>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</si>
  <si>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</si>
  <si>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</si>
  <si>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</si>
  <si>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</si>
  <si>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</si>
  <si>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</si>
  <si>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</si>
  <si>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</si>
  <si>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</si>
  <si>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</si>
  <si>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</si>
  <si>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</si>
  <si>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</si>
  <si>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</si>
  <si>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</si>
  <si>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</si>
  <si>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</si>
  <si>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</si>
  <si>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</si>
  <si>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</si>
  <si>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</si>
  <si>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</si>
  <si>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</si>
  <si>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</si>
  <si>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</si>
  <si>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</si>
  <si>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</si>
  <si>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</si>
  <si>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</si>
  <si>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</si>
  <si>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</si>
  <si>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</si>
  <si>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</si>
  <si>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</si>
  <si>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</si>
  <si>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</si>
  <si>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</si>
  <si>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</si>
  <si>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</si>
  <si>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</si>
  <si>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</si>
  <si>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</si>
  <si>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</si>
  <si>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</si>
  <si>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</si>
  <si>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</si>
  <si>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</si>
  <si>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</si>
  <si>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</si>
  <si>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</si>
  <si>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</si>
  <si>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</si>
  <si>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</si>
  <si>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</si>
  <si>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</si>
  <si>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</si>
  <si>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</si>
  <si>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</si>
  <si>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</si>
  <si>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</si>
  <si>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</si>
  <si>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</si>
  <si>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</si>
  <si>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</si>
  <si>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</si>
  <si>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</si>
  <si>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</si>
  <si>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</si>
  <si>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</si>
  <si>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</si>
  <si>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</si>
  <si>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</si>
  <si>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</si>
  <si>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</si>
  <si>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</si>
  <si>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</si>
  <si>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</si>
  <si>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</si>
  <si>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</si>
  <si>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</si>
  <si>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</si>
  <si>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</si>
  <si>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</si>
  <si>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</si>
  <si>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</si>
  <si>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</si>
  <si>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</si>
  <si>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</si>
  <si>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</si>
  <si>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</si>
  <si>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</si>
  <si>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</si>
  <si>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</si>
  <si>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</si>
  <si>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</si>
  <si>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</si>
  <si>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</si>
  <si>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</si>
  <si>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</si>
  <si>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</si>
  <si>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</si>
  <si>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</si>
  <si>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</si>
  <si>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</si>
  <si>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</si>
  <si>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</si>
  <si>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</si>
  <si>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</si>
  <si>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</si>
  <si>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</si>
  <si>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</si>
  <si>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</si>
  <si>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</si>
  <si>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</si>
  <si>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</si>
  <si>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</si>
  <si>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</si>
  <si>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</si>
  <si>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</si>
  <si>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</si>
  <si>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</si>
  <si>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</si>
  <si>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</si>
  <si>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</si>
  <si>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</si>
  <si>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</si>
  <si>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</si>
  <si>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</si>
  <si>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</si>
  <si>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</si>
  <si>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</si>
  <si>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</si>
  <si>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</si>
  <si>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</si>
  <si>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</si>
  <si>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</si>
  <si>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</si>
  <si>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</si>
  <si>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</si>
  <si>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</si>
  <si>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</si>
  <si>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</si>
  <si>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</si>
  <si>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</si>
  <si>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</si>
  <si>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</si>
  <si>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</si>
  <si>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</si>
  <si>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</si>
  <si>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</si>
  <si>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</si>
  <si>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</si>
  <si>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</si>
  <si>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</si>
  <si>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</si>
  <si>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</si>
  <si>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</si>
  <si>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</si>
  <si>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</si>
  <si>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</si>
  <si>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</si>
  <si>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</si>
  <si>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</si>
  <si>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</si>
  <si>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</si>
  <si>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</si>
  <si>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</si>
  <si>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</si>
  <si>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</si>
  <si>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</si>
  <si>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</si>
  <si>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</si>
  <si>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</si>
  <si>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</si>
  <si>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</si>
  <si>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</si>
  <si>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</si>
  <si>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</si>
  <si>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</si>
  <si>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</si>
  <si>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</si>
  <si>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</si>
  <si>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</si>
  <si>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</si>
  <si>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</si>
  <si>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</si>
  <si>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</si>
  <si>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</si>
  <si>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</si>
  <si>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</si>
  <si>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</si>
  <si>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</si>
  <si>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</si>
  <si>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</si>
  <si>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</si>
  <si>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</si>
  <si>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</si>
  <si>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</si>
  <si>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</si>
  <si>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</si>
  <si>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</si>
  <si>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</si>
  <si>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</si>
  <si>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</si>
  <si>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</si>
  <si>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</si>
  <si>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</si>
  <si>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</si>
  <si>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</si>
  <si>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</si>
  <si>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</si>
  <si>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</si>
  <si>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</si>
  <si>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</si>
  <si>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</si>
  <si>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</si>
  <si>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</si>
  <si>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</si>
  <si>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</si>
  <si>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</si>
  <si>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</si>
  <si>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</si>
  <si>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</si>
  <si>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</si>
  <si>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</si>
  <si>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</si>
  <si>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</si>
  <si>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</si>
  <si>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</si>
  <si>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</si>
  <si>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</si>
  <si>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</si>
  <si>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</si>
  <si>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</si>
  <si>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</si>
  <si>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</si>
  <si>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</si>
  <si>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</si>
  <si>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</si>
  <si>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</si>
  <si>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</si>
  <si>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</si>
  <si>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</si>
  <si>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</si>
  <si>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</si>
  <si>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</si>
  <si>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</si>
  <si>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</si>
  <si>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</si>
  <si>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</si>
  <si>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</si>
  <si>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</si>
  <si>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</si>
  <si>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</si>
  <si>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</si>
  <si>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</si>
  <si>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</si>
  <si>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</si>
  <si>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</si>
  <si>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</si>
  <si>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</si>
  <si>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</si>
  <si>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</si>
  <si>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</si>
  <si>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</si>
  <si>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</si>
  <si>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</si>
  <si>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</si>
  <si>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</si>
  <si>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</si>
  <si>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</si>
  <si>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</si>
  <si>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</si>
  <si>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</si>
  <si>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</si>
  <si>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</si>
  <si>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</si>
  <si>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</si>
  <si>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</si>
  <si>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</si>
  <si>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</si>
  <si>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</si>
  <si>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</si>
  <si>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</si>
  <si>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</si>
  <si>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</si>
  <si>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</si>
  <si>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</si>
  <si>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</si>
  <si>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</si>
  <si>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</si>
  <si>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</si>
  <si>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</si>
  <si>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</si>
  <si>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</si>
  <si>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</si>
  <si>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</si>
  <si>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</si>
  <si>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</si>
  <si>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</si>
  <si>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</si>
  <si>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</si>
  <si>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</si>
  <si>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</si>
  <si>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</si>
  <si>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</si>
  <si>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</si>
  <si>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</si>
  <si>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</si>
  <si>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</si>
  <si>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</si>
  <si>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</si>
  <si>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</si>
  <si>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</si>
  <si>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</si>
  <si>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</si>
  <si>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</si>
  <si>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</si>
  <si>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</si>
  <si>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</si>
  <si>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</si>
  <si>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</si>
  <si>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</si>
  <si>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</si>
  <si>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</si>
  <si>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</si>
  <si>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</si>
  <si>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</si>
  <si>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</si>
  <si>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</si>
  <si>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</si>
  <si>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"2022 - Las Malvinas son argentinas”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</si>
  <si>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</si>
  <si>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</si>
  <si>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</si>
  <si>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</si>
  <si>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</si>
  <si>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</si>
  <si>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</si>
  <si>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</si>
  <si>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</si>
  <si>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</si>
  <si>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</si>
  <si>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</si>
  <si>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</si>
  <si>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</si>
  <si>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</si>
  <si>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</si>
  <si>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</si>
  <si>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</si>
  <si>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</si>
  <si>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</si>
  <si>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</si>
  <si>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</si>
  <si>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</si>
  <si>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</si>
  <si>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</si>
  <si>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</si>
  <si>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</si>
  <si>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</si>
  <si>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</si>
  <si>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</si>
  <si>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</si>
  <si>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</si>
  <si>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</si>
  <si>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</si>
  <si>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</si>
  <si>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</si>
  <si>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</si>
  <si>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</si>
  <si>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</si>
  <si>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</si>
  <si>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</si>
  <si>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</si>
  <si>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</si>
  <si>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</si>
  <si>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</si>
  <si>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</si>
  <si>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</si>
  <si>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</si>
  <si>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</si>
  <si>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</si>
  <si>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</si>
  <si>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</si>
  <si>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</si>
  <si>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</si>
  <si>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</si>
  <si>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</si>
  <si>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</si>
  <si>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</si>
  <si>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</si>
  <si>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</si>
  <si>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</si>
  <si>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</si>
  <si>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</si>
  <si>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</si>
  <si>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</si>
  <si>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</si>
  <si>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</si>
  <si>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</si>
  <si>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</si>
  <si>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</si>
  <si>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</si>
  <si>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</si>
  <si>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</si>
  <si>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</si>
  <si>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</si>
  <si>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</si>
  <si>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</si>
  <si>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</si>
  <si>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</si>
  <si>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</si>
  <si>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</si>
  <si>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</si>
  <si>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</si>
  <si>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</si>
  <si>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</si>
  <si>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</si>
  <si>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</si>
  <si>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</si>
  <si>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</si>
  <si>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</si>
  <si>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</si>
  <si>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</si>
  <si>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</si>
  <si>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</si>
  <si>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</si>
  <si>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</si>
  <si>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</si>
  <si>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</si>
  <si>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</si>
  <si>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</si>
  <si>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</si>
  <si>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</si>
  <si>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</si>
  <si>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</si>
  <si>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</si>
  <si>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</si>
  <si>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</si>
  <si>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</si>
  <si>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</si>
  <si>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</si>
  <si>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</si>
  <si>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</si>
  <si>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</si>
  <si>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</si>
  <si>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</si>
  <si>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</si>
  <si>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</si>
  <si>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</si>
  <si>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</si>
  <si>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</si>
  <si>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</si>
  <si>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</si>
  <si>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</si>
  <si>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</si>
  <si>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</si>
  <si>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</si>
  <si>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</si>
  <si>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</si>
  <si>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</si>
  <si>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</si>
  <si>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</si>
  <si>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</si>
  <si>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</si>
  <si>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</si>
  <si>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</si>
  <si>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</si>
  <si>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</si>
  <si>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</si>
  <si>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</si>
  <si>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</si>
  <si>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</si>
  <si>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</si>
  <si>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</si>
  <si>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</si>
  <si>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</si>
  <si>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</si>
  <si>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</si>
  <si>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</si>
  <si>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</si>
  <si>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</si>
  <si>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</si>
  <si>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</si>
  <si>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</si>
  <si>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</si>
  <si>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</si>
  <si>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</si>
  <si>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</si>
  <si>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</si>
  <si>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</si>
  <si>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</si>
  <si>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</si>
  <si>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</si>
  <si>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</si>
  <si>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</si>
  <si>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</si>
  <si>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</si>
  <si>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Gtos. Inh. Lab. Doc.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</si>
</sst>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 * #,##0.00_ ;_ * \-#,##0.00_ ;_ * &quot;-&quot;??_ ;_ @_ "/>
    <numFmt numFmtId="165" formatCode="0.000000"/>
    <numFmt numFmtId="166" formatCode="_ * #,##0.00_ ;_ * \-#,##0.00_ ;_ * \-??_ ;_ @_ 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#,##0.00000000_ ;\-#,##0.00000000\ "/>
    <numFmt numFmtId="178" formatCode="#,##0.0000_ ;\-#,##0.0000\ "/>
    <numFmt numFmtId="179" formatCode="#,##0_ ;\-#,##0\ "/>
    <numFmt numFmtId="180" formatCode="#,##0.00_ ;\-#,##0.00\ "/>
    <numFmt numFmtId="181" formatCode="0.00_ ;\-0.00\ "/>
    <numFmt numFmtId="182" formatCode="0.0"/>
    <numFmt numFmtId="183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Border="0" applyProtection="0"/>
    <xf numFmtId="173" fontId="10" fillId="0" borderId="0" applyBorder="0" applyProtection="0"/>
    <xf numFmtId="169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6" fontId="0" fillId="0" borderId="0" xfId="1" applyFont="1" applyBorder="1" applyAlignment="1" applyProtection="1"/>
    <xf numFmtId="166" fontId="0" fillId="0" borderId="0" xfId="0" applyNumberFormat="1"/>
    <xf numFmtId="166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6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6" fontId="5" fillId="0" borderId="0" xfId="4" applyNumberFormat="1" applyFont="1" applyBorder="1" applyAlignment="1" applyProtection="1"/>
    <xf numFmtId="166" fontId="8" fillId="0" borderId="0" xfId="4" applyNumberFormat="1" applyFont="1" applyBorder="1" applyAlignment="1">
      <alignment horizontal="right" wrapText="1"/>
    </xf>
    <xf numFmtId="166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5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6" fontId="4" fillId="0" borderId="10" xfId="4" applyNumberFormat="1" applyFont="1" applyBorder="1" applyAlignment="1">
      <alignment horizontal="center" wrapText="1"/>
    </xf>
    <xf numFmtId="166" fontId="4" fillId="0" borderId="4" xfId="4" applyNumberFormat="1" applyFont="1" applyBorder="1" applyAlignment="1">
      <alignment horizontal="center"/>
    </xf>
    <xf numFmtId="166" fontId="4" fillId="0" borderId="2" xfId="4" applyNumberFormat="1" applyFont="1" applyBorder="1" applyAlignment="1">
      <alignment horizontal="center" wrapText="1"/>
    </xf>
    <xf numFmtId="166" fontId="8" fillId="0" borderId="11" xfId="4" applyNumberFormat="1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wrapText="1"/>
    </xf>
    <xf numFmtId="166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6" fontId="5" fillId="0" borderId="10" xfId="4" applyNumberFormat="1" applyFont="1" applyBorder="1" applyAlignment="1" applyProtection="1">
      <alignment horizontal="center"/>
    </xf>
    <xf numFmtId="166" fontId="5" fillId="0" borderId="10" xfId="4" applyNumberFormat="1" applyFont="1" applyBorder="1" applyAlignment="1">
      <alignment horizontal="center"/>
    </xf>
    <xf numFmtId="166" fontId="5" fillId="0" borderId="2" xfId="4" applyNumberFormat="1" applyFont="1" applyBorder="1" applyAlignment="1">
      <alignment horizontal="center"/>
    </xf>
    <xf numFmtId="166" fontId="8" fillId="0" borderId="2" xfId="4" applyNumberFormat="1" applyFont="1" applyBorder="1" applyAlignment="1">
      <alignment horizontal="center"/>
    </xf>
    <xf numFmtId="166" fontId="5" fillId="0" borderId="4" xfId="4" applyNumberFormat="1" applyFont="1" applyBorder="1" applyAlignment="1">
      <alignment horizontal="center"/>
    </xf>
    <xf numFmtId="166" fontId="5" fillId="0" borderId="12" xfId="4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4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6" fontId="5" fillId="2" borderId="0" xfId="4" applyNumberFormat="1" applyFont="1" applyFill="1" applyBorder="1" applyAlignment="1" applyProtection="1"/>
    <xf numFmtId="166" fontId="8" fillId="2" borderId="0" xfId="4" applyNumberFormat="1" applyFont="1" applyFill="1" applyBorder="1" applyAlignment="1">
      <alignment horizontal="right" wrapText="1"/>
    </xf>
    <xf numFmtId="166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6" fontId="5" fillId="5" borderId="0" xfId="4" applyNumberFormat="1" applyFont="1" applyFill="1" applyBorder="1" applyAlignment="1" applyProtection="1"/>
    <xf numFmtId="166" fontId="8" fillId="5" borderId="0" xfId="4" applyNumberFormat="1" applyFont="1" applyFill="1" applyBorder="1" applyAlignment="1">
      <alignment horizontal="right" wrapText="1"/>
    </xf>
    <xf numFmtId="166" fontId="8" fillId="5" borderId="0" xfId="4" applyNumberFormat="1" applyFont="1" applyFill="1" applyBorder="1" applyAlignment="1">
      <alignment wrapText="1"/>
    </xf>
    <xf numFmtId="171" fontId="5" fillId="0" borderId="10" xfId="3" applyNumberFormat="1" applyFont="1" applyBorder="1" applyAlignment="1" applyProtection="1">
      <alignment horizontal="center"/>
    </xf>
    <xf numFmtId="171" fontId="5" fillId="0" borderId="10" xfId="4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4" fontId="0" fillId="0" borderId="0" xfId="0" applyNumberFormat="1"/>
    <xf numFmtId="0" fontId="10" fillId="0" borderId="0" xfId="0" applyFont="1"/>
    <xf numFmtId="0" fontId="0" fillId="6" borderId="0" xfId="0" applyFill="1"/>
    <xf numFmtId="166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5" fontId="0" fillId="0" borderId="0" xfId="0" applyNumberFormat="1" applyBorder="1"/>
    <xf numFmtId="2" fontId="0" fillId="0" borderId="0" xfId="0" applyNumberFormat="1" applyBorder="1"/>
    <xf numFmtId="166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0" fontId="11" fillId="0" borderId="0" xfId="0" applyFont="1" applyFill="1"/>
    <xf numFmtId="166" fontId="11" fillId="0" borderId="0" xfId="0" applyNumberFormat="1" applyFont="1" applyFill="1"/>
    <xf numFmtId="178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6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6" fontId="12" fillId="0" borderId="0" xfId="4" applyNumberFormat="1" applyFont="1" applyBorder="1"/>
    <xf numFmtId="166" fontId="14" fillId="0" borderId="0" xfId="4" applyNumberFormat="1" applyFont="1" applyBorder="1"/>
    <xf numFmtId="166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4" fontId="12" fillId="0" borderId="0" xfId="2" applyNumberFormat="1" applyFont="1" applyBorder="1" applyAlignment="1" applyProtection="1">
      <alignment horizontal="right"/>
    </xf>
    <xf numFmtId="166" fontId="12" fillId="0" borderId="0" xfId="4" applyNumberFormat="1" applyFont="1" applyBorder="1" applyAlignment="1"/>
    <xf numFmtId="172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6" fontId="22" fillId="0" borderId="0" xfId="2" applyNumberFormat="1" applyFont="1" applyBorder="1" applyAlignment="1" applyProtection="1">
      <alignment vertical="center"/>
    </xf>
    <xf numFmtId="176" fontId="23" fillId="0" borderId="0" xfId="2" applyNumberFormat="1" applyFont="1" applyBorder="1" applyAlignment="1" applyProtection="1">
      <alignment vertical="center"/>
    </xf>
    <xf numFmtId="176" fontId="22" fillId="0" borderId="0" xfId="2" applyNumberFormat="1" applyFont="1" applyBorder="1" applyAlignment="1" applyProtection="1">
      <alignment horizontal="center"/>
    </xf>
    <xf numFmtId="176" fontId="23" fillId="0" borderId="0" xfId="2" applyNumberFormat="1" applyFont="1" applyBorder="1" applyAlignment="1" applyProtection="1">
      <alignment horizontal="center"/>
    </xf>
    <xf numFmtId="176" fontId="24" fillId="0" borderId="0" xfId="2" applyNumberFormat="1" applyFont="1" applyBorder="1" applyAlignment="1" applyProtection="1">
      <alignment horizontal="center"/>
    </xf>
    <xf numFmtId="166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6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6" fontId="12" fillId="0" borderId="0" xfId="4" applyNumberFormat="1" applyFont="1" applyBorder="1" applyAlignment="1" applyProtection="1"/>
    <xf numFmtId="172" fontId="12" fillId="0" borderId="0" xfId="4" applyNumberFormat="1" applyFont="1" applyBorder="1" applyAlignment="1" applyProtection="1"/>
    <xf numFmtId="166" fontId="21" fillId="0" borderId="0" xfId="4" applyNumberFormat="1" applyFont="1" applyBorder="1"/>
    <xf numFmtId="166" fontId="18" fillId="0" borderId="0" xfId="4" applyNumberFormat="1" applyFont="1" applyBorder="1"/>
    <xf numFmtId="175" fontId="18" fillId="0" borderId="10" xfId="4" applyNumberFormat="1" applyFont="1" applyBorder="1" applyAlignment="1" applyProtection="1">
      <alignment horizontal="center" vertical="center"/>
    </xf>
    <xf numFmtId="166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69" fontId="29" fillId="0" borderId="0" xfId="3" applyFont="1" applyBorder="1" applyProtection="1"/>
    <xf numFmtId="174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6" fontId="12" fillId="0" borderId="12" xfId="4" applyNumberFormat="1" applyFont="1" applyBorder="1" applyAlignment="1" applyProtection="1">
      <alignment horizontal="center" vertical="center"/>
    </xf>
    <xf numFmtId="166" fontId="14" fillId="0" borderId="10" xfId="4" applyNumberFormat="1" applyFont="1" applyBorder="1" applyAlignment="1">
      <alignment horizontal="center" vertical="center" wrapText="1"/>
    </xf>
    <xf numFmtId="166" fontId="14" fillId="0" borderId="10" xfId="4" applyNumberFormat="1" applyFont="1" applyBorder="1" applyAlignment="1">
      <alignment horizontal="center" vertical="center"/>
    </xf>
    <xf numFmtId="166" fontId="12" fillId="0" borderId="10" xfId="4" applyNumberFormat="1" applyFont="1" applyBorder="1" applyAlignment="1">
      <alignment horizontal="center" vertical="center" wrapText="1"/>
    </xf>
    <xf numFmtId="166" fontId="12" fillId="0" borderId="10" xfId="4" applyNumberFormat="1" applyFont="1" applyBorder="1" applyAlignment="1">
      <alignment horizontal="center" vertical="center"/>
    </xf>
    <xf numFmtId="174" fontId="14" fillId="0" borderId="10" xfId="2" applyNumberFormat="1" applyFont="1" applyBorder="1" applyAlignment="1" applyProtection="1">
      <alignment horizontal="center" vertical="center"/>
    </xf>
    <xf numFmtId="174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/>
    </xf>
    <xf numFmtId="166" fontId="12" fillId="0" borderId="10" xfId="1" applyFont="1" applyBorder="1" applyAlignment="1" applyProtection="1">
      <alignment horizontal="center" vertical="center"/>
    </xf>
    <xf numFmtId="166" fontId="14" fillId="8" borderId="1" xfId="4" applyNumberFormat="1" applyFont="1" applyFill="1" applyBorder="1" applyAlignment="1">
      <alignment horizontal="center" vertical="center" wrapText="1"/>
    </xf>
    <xf numFmtId="166" fontId="14" fillId="8" borderId="1" xfId="1" applyFont="1" applyFill="1" applyBorder="1" applyAlignment="1" applyProtection="1">
      <alignment horizontal="center" vertical="center" wrapText="1"/>
    </xf>
    <xf numFmtId="166" fontId="15" fillId="0" borderId="10" xfId="4" applyNumberFormat="1" applyFont="1" applyBorder="1" applyAlignment="1">
      <alignment horizontal="center" vertical="center"/>
    </xf>
    <xf numFmtId="179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0" fontId="0" fillId="0" borderId="0" xfId="0" applyNumberFormat="1"/>
    <xf numFmtId="180" fontId="0" fillId="0" borderId="0" xfId="0" applyNumberFormat="1" applyBorder="1"/>
    <xf numFmtId="181" fontId="0" fillId="0" borderId="0" xfId="0" applyNumberFormat="1" applyBorder="1"/>
    <xf numFmtId="178" fontId="12" fillId="0" borderId="0" xfId="4" applyNumberFormat="1" applyFont="1" applyBorder="1"/>
    <xf numFmtId="166" fontId="14" fillId="8" borderId="1" xfId="4" quotePrefix="1" applyNumberFormat="1" applyFont="1" applyFill="1" applyBorder="1" applyAlignment="1">
      <alignment horizontal="center" vertical="center" wrapText="1"/>
    </xf>
    <xf numFmtId="166" fontId="14" fillId="0" borderId="11" xfId="4" applyNumberFormat="1" applyFont="1" applyBorder="1" applyAlignment="1">
      <alignment horizontal="center" vertical="center"/>
    </xf>
    <xf numFmtId="166" fontId="12" fillId="0" borderId="11" xfId="4" applyNumberFormat="1" applyFont="1" applyBorder="1" applyAlignment="1">
      <alignment horizontal="center" vertical="center"/>
    </xf>
    <xf numFmtId="182" fontId="0" fillId="0" borderId="0" xfId="0" applyNumberFormat="1"/>
    <xf numFmtId="183" fontId="32" fillId="0" borderId="0" xfId="2" applyNumberFormat="1" applyFont="1"/>
    <xf numFmtId="176" fontId="0" fillId="0" borderId="0" xfId="0" applyNumberFormat="1"/>
    <xf numFmtId="4" fontId="0" fillId="0" borderId="0" xfId="0" applyNumberFormat="1" applyFill="1" applyBorder="1"/>
    <xf numFmtId="174" fontId="34" fillId="0" borderId="0" xfId="4" applyNumberFormat="1" applyFont="1" applyBorder="1" applyAlignment="1">
      <alignment horizontal="right"/>
    </xf>
    <xf numFmtId="166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79" fontId="11" fillId="0" borderId="0" xfId="0" applyNumberFormat="1" applyFont="1" applyFill="1"/>
    <xf numFmtId="2" fontId="11" fillId="0" borderId="0" xfId="0" applyNumberFormat="1" applyFont="1" applyFill="1"/>
    <xf numFmtId="166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6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4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4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2" fontId="21" fillId="0" borderId="0" xfId="4" applyNumberFormat="1" applyFont="1" applyBorder="1" applyAlignment="1">
      <alignment horizontal="center" wrapText="1"/>
    </xf>
    <xf numFmtId="172" fontId="12" fillId="0" borderId="0" xfId="4" applyNumberFormat="1" applyFont="1" applyBorder="1" applyAlignment="1">
      <alignment horizontal="center" wrapText="1"/>
    </xf>
    <xf numFmtId="174" fontId="12" fillId="0" borderId="0" xfId="4" applyNumberFormat="1" applyFont="1" applyBorder="1" applyAlignment="1">
      <alignment horizontal="center"/>
    </xf>
    <xf numFmtId="174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69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9" fontId="10" fillId="0" borderId="0" xfId="3" applyBorder="1"/>
    <xf numFmtId="169" fontId="26" fillId="0" borderId="10" xfId="3" applyFont="1" applyBorder="1" applyProtection="1"/>
    <xf numFmtId="0" fontId="0" fillId="0" borderId="0" xfId="0" applyNumberFormat="1" applyBorder="1"/>
    <xf numFmtId="181" fontId="10" fillId="0" borderId="0" xfId="0" applyNumberFormat="1" applyFont="1" applyBorder="1"/>
    <xf numFmtId="0" fontId="38" fillId="0" borderId="0" xfId="0" applyFont="1" applyAlignment="1">
      <alignment horizontal="left"/>
    </xf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6" fontId="19" fillId="0" borderId="0" xfId="1" applyFont="1" applyBorder="1" applyAlignment="1" applyProtection="1">
      <alignment horizontal="center" wrapText="1"/>
    </xf>
    <xf numFmtId="166" fontId="21" fillId="0" borderId="0" xfId="4" applyNumberFormat="1" applyFont="1" applyBorder="1" applyAlignment="1">
      <alignment horizontal="center"/>
    </xf>
    <xf numFmtId="168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3" fontId="14" fillId="0" borderId="10" xfId="4" applyNumberFormat="1" applyFont="1" applyBorder="1" applyAlignment="1">
      <alignment horizontal="center" vertical="center"/>
    </xf>
    <xf numFmtId="172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450036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26" activePane="bottomLeft" state="frozen"/>
      <selection pane="bottomLeft" activeCell="C49" sqref="C49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27.121200000000002</v>
      </c>
      <c r="G2" s="82"/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663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13864.36</v>
      </c>
      <c r="E5" s="95">
        <f>ROUND(D5/15,2)</f>
        <v>924.29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607</v>
      </c>
      <c r="B7" s="163" t="s">
        <v>9</v>
      </c>
      <c r="C7" s="175">
        <v>919.76</v>
      </c>
      <c r="D7" s="95"/>
      <c r="E7" s="83"/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607</v>
      </c>
      <c r="B8" s="164" t="s">
        <v>10</v>
      </c>
      <c r="C8" s="175">
        <v>29851.25</v>
      </c>
      <c r="D8" s="95"/>
      <c r="E8" s="83"/>
      <c r="F8" s="89"/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607</v>
      </c>
      <c r="B9" s="164" t="s">
        <v>11</v>
      </c>
      <c r="C9" s="101">
        <v>29939.09</v>
      </c>
      <c r="D9" s="95"/>
      <c r="E9" s="83"/>
      <c r="F9" s="89"/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607</v>
      </c>
      <c r="B10" s="164" t="s">
        <v>622</v>
      </c>
      <c r="C10" s="101">
        <v>25683.22</v>
      </c>
      <c r="D10" s="95"/>
      <c r="E10" s="83"/>
      <c r="F10" s="89"/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607</v>
      </c>
      <c r="B11" s="164" t="s">
        <v>809</v>
      </c>
      <c r="C11" s="101">
        <v>24183.22</v>
      </c>
      <c r="D11" s="95"/>
      <c r="E11" s="83"/>
      <c r="F11" s="89"/>
      <c r="I11" s="81">
        <v>9</v>
      </c>
      <c r="J11" s="83">
        <v>0.4</v>
      </c>
    </row>
    <row r="12" spans="1:14" s="81" customFormat="1" x14ac:dyDescent="0.2">
      <c r="A12" s="162" t="s">
        <v>607</v>
      </c>
      <c r="B12" s="163" t="s">
        <v>12</v>
      </c>
      <c r="C12" s="101">
        <v>55613.13</v>
      </c>
      <c r="D12" s="95"/>
      <c r="E12" s="83"/>
      <c r="F12" s="89"/>
      <c r="G12" s="84"/>
      <c r="I12" s="81">
        <v>10</v>
      </c>
      <c r="J12" s="83">
        <v>0.5</v>
      </c>
    </row>
    <row r="13" spans="1:14" s="81" customFormat="1" x14ac:dyDescent="0.2">
      <c r="A13" s="162" t="s">
        <v>607</v>
      </c>
      <c r="B13" s="164" t="s">
        <v>13</v>
      </c>
      <c r="C13" s="101">
        <v>24842.34</v>
      </c>
      <c r="D13" s="95"/>
      <c r="E13" s="83"/>
      <c r="F13" s="90"/>
      <c r="G13" s="84"/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01 Cba V 1 2</v>
      </c>
      <c r="N13" s="217"/>
    </row>
    <row r="14" spans="1:14" s="81" customFormat="1" x14ac:dyDescent="0.2">
      <c r="A14" s="162" t="s">
        <v>607</v>
      </c>
      <c r="B14" s="164" t="s">
        <v>14</v>
      </c>
      <c r="C14" s="175">
        <v>24936.25</v>
      </c>
      <c r="D14" s="95"/>
      <c r="E14" s="83"/>
      <c r="F14" s="90"/>
      <c r="G14" s="84"/>
      <c r="I14" s="81">
        <v>12</v>
      </c>
      <c r="J14" s="83">
        <v>0.6</v>
      </c>
      <c r="M14" s="215" t="str">
        <f ca="1">MID($M$13,14,2)</f>
        <v>01</v>
      </c>
    </row>
    <row r="15" spans="1:14" s="81" customFormat="1" x14ac:dyDescent="0.2">
      <c r="A15" s="162" t="s">
        <v>607</v>
      </c>
      <c r="B15" s="164" t="s">
        <v>609</v>
      </c>
      <c r="C15" s="101">
        <v>35046.14</v>
      </c>
      <c r="D15" s="95"/>
      <c r="E15" s="83"/>
      <c r="F15" s="90"/>
      <c r="G15" s="84"/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607</v>
      </c>
      <c r="B16" s="164" t="s">
        <v>815</v>
      </c>
      <c r="C16" s="101">
        <v>23436.25</v>
      </c>
      <c r="D16" s="95"/>
      <c r="E16" s="83"/>
      <c r="F16" s="90"/>
      <c r="G16" s="84"/>
      <c r="I16" s="81">
        <v>14</v>
      </c>
      <c r="J16" s="83">
        <v>0.6</v>
      </c>
      <c r="M16" s="81" t="str">
        <f ca="1">VLOOKUP(VALUE(M14),L17:M28,2,FALSE)</f>
        <v>ENERO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289.27999999999997</v>
      </c>
      <c r="D18" s="95"/>
      <c r="E18" s="167"/>
      <c r="F18" s="84"/>
      <c r="G18" s="84"/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12901.01</v>
      </c>
      <c r="D19" s="95"/>
      <c r="E19" s="216" t="s">
        <v>574</v>
      </c>
      <c r="F19" s="84"/>
      <c r="G19" s="84"/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12769.11</v>
      </c>
      <c r="D20" s="95"/>
      <c r="E20" s="167"/>
      <c r="F20" s="84"/>
      <c r="G20" s="84"/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01">
        <v>12369.22</v>
      </c>
      <c r="D22" s="166"/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01">
        <v>11512.45</v>
      </c>
      <c r="D23" s="166"/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567.05999999999995</v>
      </c>
      <c r="D25" s="95"/>
      <c r="F25" s="87">
        <f>+C25*1.5</f>
        <v>850.58999999999992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f>C25</f>
        <v>567.05999999999995</v>
      </c>
      <c r="D26" s="95"/>
      <c r="F26" s="87">
        <f>C26</f>
        <v>567.05999999999995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22.72</v>
      </c>
      <c r="F28" s="87">
        <f>F25</f>
        <v>850.58999999999992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18.920000000000002</v>
      </c>
      <c r="D29" s="92"/>
      <c r="E29" s="92"/>
      <c r="F29" s="93">
        <f>F26</f>
        <v>567.05999999999995</v>
      </c>
      <c r="G29" s="92">
        <f>C29*30</f>
        <v>567.6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810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811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30000</v>
      </c>
      <c r="D38" s="5"/>
      <c r="E38" s="5"/>
      <c r="F38" s="181">
        <f>C38</f>
        <v>30000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660</v>
      </c>
      <c r="C39" s="77">
        <f>C38/30</f>
        <v>1000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/>
      <c r="B40" s="74" t="s">
        <v>817</v>
      </c>
      <c r="C40" s="77">
        <v>12000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8546.2199999999993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9088.77</v>
      </c>
      <c r="D43" s="6"/>
      <c r="E43" s="165"/>
      <c r="F43" s="5"/>
      <c r="G43" s="5"/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9631.44</v>
      </c>
      <c r="D44" s="6"/>
      <c r="E44" s="165"/>
      <c r="I44">
        <v>44</v>
      </c>
      <c r="J44" s="3">
        <v>1.5</v>
      </c>
    </row>
    <row r="45" spans="1:13" x14ac:dyDescent="0.2">
      <c r="A45" s="74"/>
      <c r="B45" s="2" t="s">
        <v>813</v>
      </c>
      <c r="C45" s="101">
        <v>10169.9</v>
      </c>
      <c r="D45" s="6"/>
      <c r="E45" s="165"/>
      <c r="I45">
        <v>45</v>
      </c>
      <c r="J45" s="3">
        <v>1.5</v>
      </c>
    </row>
    <row r="46" spans="1:13" x14ac:dyDescent="0.2">
      <c r="A46" s="74" t="s">
        <v>4</v>
      </c>
      <c r="B46" s="2" t="s">
        <v>812</v>
      </c>
      <c r="C46" s="101">
        <v>11801.55</v>
      </c>
      <c r="D46" s="6"/>
      <c r="E46" s="165"/>
      <c r="F46" s="8">
        <f>+C47</f>
        <v>14493.86</v>
      </c>
      <c r="G46" s="8"/>
      <c r="H46" s="5"/>
      <c r="I46">
        <v>46</v>
      </c>
      <c r="J46" s="3">
        <v>1.5</v>
      </c>
    </row>
    <row r="47" spans="1:13" x14ac:dyDescent="0.2">
      <c r="A47" s="74"/>
      <c r="B47" s="2" t="s">
        <v>814</v>
      </c>
      <c r="C47" s="101">
        <v>14493.86</v>
      </c>
      <c r="D47" s="6"/>
      <c r="E47" s="165"/>
      <c r="F47" s="8"/>
      <c r="G47" s="8"/>
      <c r="I47">
        <v>47</v>
      </c>
      <c r="J47" s="3">
        <v>1.5</v>
      </c>
    </row>
    <row r="48" spans="1:13" x14ac:dyDescent="0.2">
      <c r="A48" s="74"/>
      <c r="B48" s="2" t="s">
        <v>816</v>
      </c>
      <c r="C48" s="101">
        <v>12340.01</v>
      </c>
      <c r="D48" s="6"/>
      <c r="E48" s="165"/>
      <c r="F48" s="8"/>
      <c r="G48" s="8"/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484.48</v>
      </c>
      <c r="D49" s="6"/>
      <c r="E49" s="165"/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720.3</v>
      </c>
      <c r="D50" s="6"/>
      <c r="E50" s="165"/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654</v>
      </c>
      <c r="C51" s="101">
        <f>ROUND(C50/2,2)</f>
        <v>360.15</v>
      </c>
      <c r="D51" s="6"/>
      <c r="E51" s="165"/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/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/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/>
      <c r="B55" s="2" t="s">
        <v>27</v>
      </c>
      <c r="C55" s="100">
        <v>327.60000000000002</v>
      </c>
    </row>
    <row r="56" spans="1:12" x14ac:dyDescent="0.2">
      <c r="A56" s="74"/>
      <c r="B56" s="2" t="s">
        <v>28</v>
      </c>
      <c r="C56" s="100">
        <v>170.34</v>
      </c>
    </row>
    <row r="57" spans="1:12" x14ac:dyDescent="0.2">
      <c r="A57" s="74"/>
      <c r="B57" s="2" t="s">
        <v>29</v>
      </c>
      <c r="C57" s="101">
        <v>327.60000000000002</v>
      </c>
    </row>
    <row r="58" spans="1:12" x14ac:dyDescent="0.2">
      <c r="A58" s="74"/>
      <c r="B58" s="2" t="s">
        <v>30</v>
      </c>
      <c r="C58" s="101">
        <v>155.18</v>
      </c>
      <c r="I58" s="174">
        <f>+C63/15</f>
        <v>432.19866666666661</v>
      </c>
    </row>
    <row r="59" spans="1:12" x14ac:dyDescent="0.2">
      <c r="A59" s="74"/>
      <c r="B59" s="2" t="s">
        <v>31</v>
      </c>
      <c r="C59" s="101">
        <v>149.55200000000002</v>
      </c>
      <c r="I59" s="3"/>
    </row>
    <row r="60" spans="1:12" x14ac:dyDescent="0.2">
      <c r="A60" s="74"/>
      <c r="B60" s="2" t="s">
        <v>32</v>
      </c>
      <c r="C60" s="101">
        <v>252.66800000000001</v>
      </c>
      <c r="I60" s="3"/>
    </row>
    <row r="61" spans="1:12" x14ac:dyDescent="0.2">
      <c r="A61" s="74"/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/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6482.98</v>
      </c>
      <c r="D63" s="3">
        <f>ROUND(C63/15,2)</f>
        <v>432.2</v>
      </c>
      <c r="E63" s="79">
        <v>38.47</v>
      </c>
      <c r="F63" s="3">
        <f>+C63*2</f>
        <v>12965.96</v>
      </c>
    </row>
    <row r="64" spans="1:12" x14ac:dyDescent="0.2">
      <c r="A64" s="74" t="s">
        <v>4</v>
      </c>
      <c r="B64" s="2" t="s">
        <v>35</v>
      </c>
      <c r="C64" s="100">
        <v>652.73</v>
      </c>
      <c r="D64" s="172"/>
      <c r="F64" s="3"/>
    </row>
    <row r="65" spans="1:7" x14ac:dyDescent="0.2">
      <c r="A65" s="74" t="s">
        <v>4</v>
      </c>
      <c r="B65" s="2" t="s">
        <v>655</v>
      </c>
      <c r="C65" s="100">
        <f>C64/2</f>
        <v>326.36500000000001</v>
      </c>
      <c r="D65" s="172"/>
      <c r="F65" s="3"/>
    </row>
    <row r="66" spans="1:7" x14ac:dyDescent="0.2">
      <c r="A66" s="75" t="s">
        <v>607</v>
      </c>
      <c r="B66" s="75"/>
      <c r="C66" s="76"/>
      <c r="D66" s="75"/>
      <c r="E66" s="75"/>
      <c r="F66" s="75"/>
      <c r="G66" s="75"/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/>
    </row>
    <row r="68" spans="1:7" x14ac:dyDescent="0.2">
      <c r="A68" s="75" t="s">
        <v>607</v>
      </c>
      <c r="B68" s="75"/>
      <c r="C68" s="76"/>
      <c r="D68" s="75"/>
      <c r="E68" s="75"/>
      <c r="F68" s="75"/>
      <c r="G68" s="75"/>
    </row>
    <row r="69" spans="1:7" x14ac:dyDescent="0.2">
      <c r="A69" s="74"/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37</v>
      </c>
      <c r="C71" s="11">
        <v>-0.11</v>
      </c>
    </row>
    <row r="72" spans="1:7" x14ac:dyDescent="0.2">
      <c r="A72" s="74"/>
      <c r="B72" t="s">
        <v>38</v>
      </c>
      <c r="C72" s="11">
        <v>0</v>
      </c>
    </row>
    <row r="73" spans="1:7" x14ac:dyDescent="0.2">
      <c r="A73" s="74"/>
      <c r="B73" t="s">
        <v>39</v>
      </c>
      <c r="C73" s="11">
        <v>-4.4999999999999998E-2</v>
      </c>
    </row>
    <row r="74" spans="1:7" x14ac:dyDescent="0.2">
      <c r="A74" s="74"/>
      <c r="B74" t="s">
        <v>40</v>
      </c>
      <c r="C74" s="11">
        <v>-2.7E-2</v>
      </c>
    </row>
    <row r="75" spans="1:7" x14ac:dyDescent="0.2">
      <c r="A75" s="74"/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42</v>
      </c>
      <c r="C77" s="11">
        <v>0.16</v>
      </c>
    </row>
    <row r="78" spans="1:7" x14ac:dyDescent="0.2">
      <c r="A78" s="74"/>
      <c r="B78" t="s">
        <v>43</v>
      </c>
      <c r="C78" s="11">
        <v>7.0000000000000007E-2</v>
      </c>
    </row>
    <row r="79" spans="1:7" x14ac:dyDescent="0.2">
      <c r="A79" s="74"/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7" x14ac:dyDescent="0.2">
      <c r="A81" s="74"/>
      <c r="B81" t="s">
        <v>45</v>
      </c>
      <c r="C81" s="11">
        <v>3.5000000000000003E-2</v>
      </c>
    </row>
    <row r="82" spans="1:7" x14ac:dyDescent="0.2">
      <c r="A82" s="74"/>
      <c r="B82" t="s">
        <v>46</v>
      </c>
      <c r="C82" s="11">
        <v>6.0000000000000001E-3</v>
      </c>
    </row>
    <row r="83" spans="1:7" x14ac:dyDescent="0.2">
      <c r="A83" s="74"/>
      <c r="B83" t="s">
        <v>47</v>
      </c>
      <c r="C83" s="11">
        <v>5.3999999999999999E-2</v>
      </c>
      <c r="G83" s="212"/>
    </row>
    <row r="84" spans="1:7" x14ac:dyDescent="0.2">
      <c r="A84" s="75" t="s">
        <v>607</v>
      </c>
      <c r="B84" s="75"/>
      <c r="C84" s="76"/>
      <c r="D84" s="75"/>
      <c r="E84" s="75"/>
      <c r="F84" s="75"/>
      <c r="G84" s="75"/>
    </row>
    <row r="85" spans="1:7" x14ac:dyDescent="0.2">
      <c r="A85" s="74"/>
      <c r="B85" t="s">
        <v>48</v>
      </c>
      <c r="C85" s="4">
        <v>0.5</v>
      </c>
      <c r="G85" s="212"/>
    </row>
    <row r="86" spans="1:7" x14ac:dyDescent="0.2">
      <c r="A86" s="75" t="s">
        <v>607</v>
      </c>
      <c r="B86" s="75"/>
      <c r="C86" s="76"/>
      <c r="D86" s="75"/>
      <c r="E86" s="75"/>
      <c r="F86" s="75"/>
      <c r="G86" s="75"/>
    </row>
    <row r="87" spans="1:7" x14ac:dyDescent="0.2">
      <c r="A87" s="74" t="s">
        <v>4</v>
      </c>
      <c r="B87" s="74" t="s">
        <v>624</v>
      </c>
      <c r="C87" s="8">
        <v>0</v>
      </c>
      <c r="E87" s="8"/>
    </row>
    <row r="88" spans="1:7" x14ac:dyDescent="0.2">
      <c r="A88" s="74" t="s">
        <v>4</v>
      </c>
      <c r="B88" s="74" t="s">
        <v>625</v>
      </c>
      <c r="C88" s="8">
        <v>0</v>
      </c>
      <c r="E88" s="8"/>
    </row>
    <row r="89" spans="1:7" x14ac:dyDescent="0.2">
      <c r="A89" s="74" t="s">
        <v>4</v>
      </c>
      <c r="B89" s="74" t="s">
        <v>626</v>
      </c>
      <c r="C89" s="100">
        <v>0</v>
      </c>
      <c r="E89" s="8"/>
      <c r="F89" s="8">
        <f>+C89</f>
        <v>0</v>
      </c>
    </row>
    <row r="90" spans="1:7" x14ac:dyDescent="0.2">
      <c r="A90" s="74" t="s">
        <v>4</v>
      </c>
      <c r="B90" s="74" t="s">
        <v>627</v>
      </c>
      <c r="C90" s="8">
        <v>0</v>
      </c>
      <c r="E90" s="8"/>
    </row>
    <row r="91" spans="1:7" x14ac:dyDescent="0.2">
      <c r="A91" s="74" t="s">
        <v>4</v>
      </c>
      <c r="B91" s="74" t="s">
        <v>656</v>
      </c>
      <c r="C91" s="8">
        <v>0</v>
      </c>
      <c r="E91" s="8"/>
    </row>
    <row r="92" spans="1:7" x14ac:dyDescent="0.2">
      <c r="A92" s="74" t="s">
        <v>4</v>
      </c>
      <c r="B92" s="74" t="s">
        <v>658</v>
      </c>
      <c r="C92" s="8">
        <f>C91/2</f>
        <v>0</v>
      </c>
      <c r="E92" s="8"/>
    </row>
    <row r="93" spans="1:7" x14ac:dyDescent="0.2">
      <c r="A93" s="74"/>
      <c r="B93" s="74"/>
      <c r="C93" s="8"/>
      <c r="E93" s="8"/>
    </row>
    <row r="94" spans="1:7" x14ac:dyDescent="0.2">
      <c r="A94" s="74" t="s">
        <v>4</v>
      </c>
      <c r="B94" s="74" t="s">
        <v>611</v>
      </c>
      <c r="C94" s="8">
        <v>6318.76</v>
      </c>
    </row>
    <row r="95" spans="1:7" x14ac:dyDescent="0.2">
      <c r="A95" s="74" t="s">
        <v>4</v>
      </c>
      <c r="B95" s="74" t="s">
        <v>612</v>
      </c>
      <c r="C95" s="8">
        <v>7582.51</v>
      </c>
      <c r="G95" s="3"/>
    </row>
    <row r="96" spans="1:7" x14ac:dyDescent="0.2">
      <c r="A96" s="74" t="s">
        <v>4</v>
      </c>
      <c r="B96" s="74" t="s">
        <v>613</v>
      </c>
      <c r="C96" s="8">
        <v>12637.52</v>
      </c>
      <c r="F96" s="3">
        <f>+C96</f>
        <v>12637.52</v>
      </c>
    </row>
    <row r="97" spans="1:3" x14ac:dyDescent="0.2">
      <c r="A97" s="74" t="s">
        <v>4</v>
      </c>
      <c r="B97" s="74" t="s">
        <v>614</v>
      </c>
      <c r="C97" s="8">
        <v>279.94</v>
      </c>
    </row>
    <row r="98" spans="1:3" x14ac:dyDescent="0.2">
      <c r="A98" s="74" t="s">
        <v>4</v>
      </c>
      <c r="B98" s="74" t="s">
        <v>657</v>
      </c>
      <c r="C98" s="8">
        <v>631.88</v>
      </c>
    </row>
    <row r="99" spans="1:3" x14ac:dyDescent="0.2">
      <c r="A99" s="74" t="s">
        <v>4</v>
      </c>
      <c r="B99" s="74" t="s">
        <v>659</v>
      </c>
      <c r="C99" s="8">
        <f>C98/2</f>
        <v>315.94</v>
      </c>
    </row>
    <row r="100" spans="1:3" x14ac:dyDescent="0.2">
      <c r="B100" s="74" t="s">
        <v>628</v>
      </c>
      <c r="C100" s="8">
        <v>-280.91000000000003</v>
      </c>
    </row>
    <row r="101" spans="1:3" x14ac:dyDescent="0.2">
      <c r="B101" t="s">
        <v>618</v>
      </c>
      <c r="C101" s="8">
        <v>-385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zoomScaleSheetLayoutView="100" workbookViewId="0">
      <pane xSplit="4" ySplit="7" topLeftCell="F303" activePane="bottomRight" state="frozen"/>
      <selection pane="topRight" activeCell="U1" sqref="U1"/>
      <selection pane="bottomLeft" activeCell="A69" sqref="A69"/>
      <selection pane="bottomRight" activeCell="R312" sqref="R312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hidden="1" customWidth="1"/>
    <col min="14" max="14" width="8.42578125" style="107" hidden="1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ENERO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4648.9615000000003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4</v>
      </c>
      <c r="G3" s="221" t="s">
        <v>50</v>
      </c>
      <c r="H3" s="221"/>
      <c r="I3" s="222">
        <f>Valores!C2</f>
        <v>27.121200000000002</v>
      </c>
      <c r="J3" s="222"/>
      <c r="K3" s="199"/>
      <c r="L3" s="177" t="e">
        <f>VLOOKUP(K3,Valores!L17:M28,2,)</f>
        <v>#N/A</v>
      </c>
      <c r="M3" s="176"/>
      <c r="N3" s="177"/>
      <c r="O3" s="227" t="s">
        <v>651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27.121200000000002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$13.864,36)</v>
      </c>
      <c r="Q6" s="150" t="s">
        <v>59</v>
      </c>
      <c r="R6" s="150" t="s">
        <v>818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$12.637,52)</v>
      </c>
      <c r="AA6" s="159" t="str">
        <f>CONCATENATE("Ad R Doc (tope ",TEXT(Valores!F25,"$0,00"),")")</f>
        <v>Ad R Doc (tope $850,59)</v>
      </c>
      <c r="AB6" s="159" t="s">
        <v>697</v>
      </c>
      <c r="AC6" s="150" t="s">
        <v>65</v>
      </c>
      <c r="AD6" s="158" t="str">
        <f>CONCATENATE("Nuevo  A.R.D. (tope ",TEXT(Valores!F26,"$0,00"),")")</f>
        <v>Nuevo  A.R.D. (tope $567,06)</v>
      </c>
      <c r="AE6" s="223" t="s">
        <v>66</v>
      </c>
      <c r="AF6" s="223"/>
      <c r="AG6" s="158" t="str">
        <f>CONCATENATE("Ap Mat Did Rem. (tope ",TEXT(Valores!F63,"$0.000,00"),")")</f>
        <v>Ap Mat Did Rem. (tope $12.965,96)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$30.000,00)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662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689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2901.97</v>
      </c>
      <c r="G8" s="192">
        <v>3779</v>
      </c>
      <c r="H8" s="125">
        <f>ROUND(G8*Valores!$C$2,2)</f>
        <v>102491.01</v>
      </c>
      <c r="I8" s="192">
        <v>219</v>
      </c>
      <c r="J8" s="125">
        <f>ROUND(I8*Valores!$C$2,2)</f>
        <v>5939.54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18470.11</v>
      </c>
      <c r="N8" s="125">
        <f t="shared" ref="N8:N71" si="1">ROUND(SUM(F8,H8,J8,L8,X8,R8)*$H$2,2)</f>
        <v>0</v>
      </c>
      <c r="O8" s="125">
        <f>Valores!$C$11</f>
        <v>24183.22</v>
      </c>
      <c r="P8" s="125">
        <f>Valores!$D$5</f>
        <v>13864.36</v>
      </c>
      <c r="Q8" s="125">
        <v>0</v>
      </c>
      <c r="R8" s="125">
        <f>IF($F$4="NO",Valores!$C$46,Valores!$C$46/2)</f>
        <v>11801.55</v>
      </c>
      <c r="S8" s="125">
        <v>0</v>
      </c>
      <c r="T8" s="125">
        <f>ROUND(S8*(1+$H$2),2)</f>
        <v>0</v>
      </c>
      <c r="U8" s="125">
        <f>SUM(F8,H8,J8)</f>
        <v>111332.51999999999</v>
      </c>
      <c r="V8" s="125">
        <f>INT((SUM(F8,H8,J8)*0.4*100)+0.49)/100</f>
        <v>44533.01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6318.76</v>
      </c>
      <c r="AA8" s="125">
        <f>Valores!$C$25</f>
        <v>567.05999999999995</v>
      </c>
      <c r="AB8" s="214">
        <v>0</v>
      </c>
      <c r="AC8" s="125">
        <f t="shared" ref="AC8:AC71" si="2">ROUND(SUM(F8,H8,J8,X8,R8)*AB8,2)</f>
        <v>0</v>
      </c>
      <c r="AD8" s="125">
        <f>Valores!$C$26</f>
        <v>567.05999999999995</v>
      </c>
      <c r="AE8" s="192">
        <v>0</v>
      </c>
      <c r="AF8" s="125">
        <f>ROUND(AE8*Valores!$C$2,2)</f>
        <v>0</v>
      </c>
      <c r="AG8" s="125">
        <f>ROUND(IF($F$4="NO",Valores!$C$63,Valores!$C$63/2),2)</f>
        <v>6482.98</v>
      </c>
      <c r="AH8" s="125">
        <f>SUM(F8,H8,J8,L8,M8,N8,O8,P8,Q8,R8,T8,U8,V8,X8,Y8,Z8,AA8,AC8,AD8,AF8,AG8)</f>
        <v>349453.14999999991</v>
      </c>
      <c r="AI8" s="125">
        <f>Valores!$C$31</f>
        <v>0</v>
      </c>
      <c r="AJ8" s="125">
        <f>Valores!$C$87</f>
        <v>0</v>
      </c>
      <c r="AK8" s="125">
        <f>Valores!C$38*B8</f>
        <v>30000</v>
      </c>
      <c r="AL8" s="125">
        <f>IF($F$3="NO",0,Valores!$C$55)</f>
        <v>327.60000000000002</v>
      </c>
      <c r="AM8" s="125">
        <f t="shared" ref="AM8:AM71" si="3">SUM(AI8:AL8)</f>
        <v>30327.599999999999</v>
      </c>
      <c r="AN8" s="125">
        <f>AH8*Valores!$C$71</f>
        <v>-38439.846499999992</v>
      </c>
      <c r="AO8" s="125">
        <f>AH8*-Valores!$C$72</f>
        <v>0</v>
      </c>
      <c r="AP8" s="125">
        <f>AH8*Valores!$C$73</f>
        <v>-15725.391749999995</v>
      </c>
      <c r="AQ8" s="125">
        <f>Valores!$C$100</f>
        <v>-280.91000000000003</v>
      </c>
      <c r="AR8" s="125">
        <f>IF($F$5=0,Valores!$C$101,(Valores!$C$101+$F$5*(Valores!$C$101)))</f>
        <v>-385</v>
      </c>
      <c r="AS8" s="125">
        <f>AH8+AM8+SUM(AN8:AR8)</f>
        <v>324949.60174999991</v>
      </c>
      <c r="AT8" s="125">
        <f t="shared" si="0"/>
        <v>-38439.846499999992</v>
      </c>
      <c r="AU8" s="125">
        <f>AH8*Valores!$C$74</f>
        <v>-9435.2350499999975</v>
      </c>
      <c r="AV8" s="125">
        <f>AH8*Valores!$C$75</f>
        <v>-1048.3594499999997</v>
      </c>
      <c r="AW8" s="125">
        <f t="shared" ref="AW8:AW71" si="4">AH8+AM8+SUM(AT8:AV8)</f>
        <v>330857.30899999989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2901.97</v>
      </c>
      <c r="G9" s="192">
        <v>3779</v>
      </c>
      <c r="H9" s="125">
        <f>ROUND(G9*Valores!$C$2,2)</f>
        <v>102491.01</v>
      </c>
      <c r="I9" s="192">
        <v>219</v>
      </c>
      <c r="J9" s="125">
        <f>ROUND(I9*Valores!$C$2,2)</f>
        <v>5939.54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18470.11</v>
      </c>
      <c r="N9" s="125">
        <f t="shared" si="1"/>
        <v>0</v>
      </c>
      <c r="O9" s="125">
        <f>Valores!$C$11</f>
        <v>24183.22</v>
      </c>
      <c r="P9" s="125">
        <f>Valores!$D$5</f>
        <v>13864.36</v>
      </c>
      <c r="Q9" s="125">
        <v>0</v>
      </c>
      <c r="R9" s="125">
        <f>IF($F$4="NO",Valores!$C$46,Valores!$C$46/2)</f>
        <v>11801.55</v>
      </c>
      <c r="S9" s="125">
        <v>0</v>
      </c>
      <c r="T9" s="125">
        <f>ROUND(S9*(1+$H$2),2)</f>
        <v>0</v>
      </c>
      <c r="U9" s="125">
        <f>SUM(F9,H9,J9)</f>
        <v>111332.51999999999</v>
      </c>
      <c r="V9" s="125">
        <f>INT((SUM(F9,H9,J9)*0.4*100)+0.49)/100</f>
        <v>44533.01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6318.76</v>
      </c>
      <c r="AA9" s="125">
        <f>Valores!$C$25</f>
        <v>567.05999999999995</v>
      </c>
      <c r="AB9" s="214">
        <v>0</v>
      </c>
      <c r="AC9" s="125">
        <f t="shared" si="2"/>
        <v>0</v>
      </c>
      <c r="AD9" s="125">
        <f>Valores!$C$26</f>
        <v>567.05999999999995</v>
      </c>
      <c r="AE9" s="192">
        <v>0</v>
      </c>
      <c r="AF9" s="125">
        <f>ROUND(AE9*Valores!$C$2,2)</f>
        <v>0</v>
      </c>
      <c r="AG9" s="125">
        <f>ROUND(IF($F$4="NO",Valores!$C$63,Valores!$C$63/2),2)</f>
        <v>6482.98</v>
      </c>
      <c r="AH9" s="125">
        <f t="shared" ref="AH9:AH72" si="5">SUM(F9,H9,J9,L9,M9,N9,O9,P9,Q9,R9,T9,U9,V9,X9,Y9,Z9,AA9,AC9,AD9,AF9,AG9)</f>
        <v>349453.14999999991</v>
      </c>
      <c r="AI9" s="125">
        <f>Valores!$C$31</f>
        <v>0</v>
      </c>
      <c r="AJ9" s="125">
        <f>Valores!$C$87</f>
        <v>0</v>
      </c>
      <c r="AK9" s="125">
        <f>Valores!C$38*B9</f>
        <v>30000</v>
      </c>
      <c r="AL9" s="125">
        <f>IF($F$3="NO",0,Valores!$C$55)</f>
        <v>327.60000000000002</v>
      </c>
      <c r="AM9" s="125">
        <f t="shared" si="3"/>
        <v>30327.599999999999</v>
      </c>
      <c r="AN9" s="125">
        <f>AH9*Valores!$C$71</f>
        <v>-38439.846499999992</v>
      </c>
      <c r="AO9" s="125">
        <f>AH9*-Valores!$C$72</f>
        <v>0</v>
      </c>
      <c r="AP9" s="125">
        <f>AH9*Valores!$C$73</f>
        <v>-15725.391749999995</v>
      </c>
      <c r="AQ9" s="125">
        <f>Valores!$C$100</f>
        <v>-280.91000000000003</v>
      </c>
      <c r="AR9" s="125">
        <f>IF($F$5=0,Valores!$C$101,(Valores!$C$101+$F$5*(Valores!$C$101)))</f>
        <v>-385</v>
      </c>
      <c r="AS9" s="125">
        <f t="shared" ref="AS9:AS72" si="6">AH9+SUM(AM9:AR9)</f>
        <v>324949.60174999991</v>
      </c>
      <c r="AT9" s="125">
        <f t="shared" si="0"/>
        <v>-38439.846499999992</v>
      </c>
      <c r="AU9" s="125">
        <f>AH9*Valores!$C$74</f>
        <v>-9435.2350499999975</v>
      </c>
      <c r="AV9" s="125">
        <f>AH9*Valores!$C$75</f>
        <v>-1048.3594499999997</v>
      </c>
      <c r="AW9" s="125">
        <f t="shared" si="4"/>
        <v>330857.30899999989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2901.97</v>
      </c>
      <c r="G10" s="192">
        <v>3720</v>
      </c>
      <c r="H10" s="125">
        <f>ROUND(G10*Valores!$C$2,2)</f>
        <v>100890.86</v>
      </c>
      <c r="I10" s="192">
        <v>1226</v>
      </c>
      <c r="J10" s="125">
        <f>ROUND(I10*Valores!$C$2,2)</f>
        <v>33250.589999999997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24261.9</v>
      </c>
      <c r="N10" s="125">
        <f t="shared" si="1"/>
        <v>0</v>
      </c>
      <c r="O10" s="125">
        <f>Valores!$C$13</f>
        <v>24842.34</v>
      </c>
      <c r="P10" s="125">
        <f>Valores!$D$5</f>
        <v>13864.36</v>
      </c>
      <c r="Q10" s="125">
        <v>0</v>
      </c>
      <c r="R10" s="125">
        <f>IF($F$4="NO",Valores!$C$46,Valores!$C$46/2)</f>
        <v>11801.55</v>
      </c>
      <c r="S10" s="125">
        <f>Valores!$C$19</f>
        <v>12901.01</v>
      </c>
      <c r="T10" s="125">
        <f>ROUND(S10*(1+$H$2),2)</f>
        <v>12901.01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6318.76</v>
      </c>
      <c r="AA10" s="125">
        <f>Valores!$C$25</f>
        <v>567.05999999999995</v>
      </c>
      <c r="AB10" s="214">
        <v>0</v>
      </c>
      <c r="AC10" s="125">
        <f t="shared" si="2"/>
        <v>0</v>
      </c>
      <c r="AD10" s="125">
        <f>Valores!$C$26</f>
        <v>567.05999999999995</v>
      </c>
      <c r="AE10" s="192">
        <v>0</v>
      </c>
      <c r="AF10" s="125">
        <f>ROUND(AE10*Valores!$C$2,2)</f>
        <v>0</v>
      </c>
      <c r="AG10" s="125">
        <f>ROUND(IF($F$4="NO",Valores!$C$63,Valores!$C$63/2),2)</f>
        <v>6482.98</v>
      </c>
      <c r="AH10" s="125">
        <f t="shared" si="5"/>
        <v>238650.43999999997</v>
      </c>
      <c r="AI10" s="125">
        <f>Valores!$C$31</f>
        <v>0</v>
      </c>
      <c r="AJ10" s="125">
        <f>Valores!$C$87</f>
        <v>0</v>
      </c>
      <c r="AK10" s="125">
        <f>Valores!C$38*B10</f>
        <v>30000</v>
      </c>
      <c r="AL10" s="125">
        <f>IF($F$3="NO",0,Valores!$C$55)</f>
        <v>327.60000000000002</v>
      </c>
      <c r="AM10" s="125">
        <f t="shared" si="3"/>
        <v>30327.599999999999</v>
      </c>
      <c r="AN10" s="125">
        <f>AH10*Valores!$C$71</f>
        <v>-26251.548399999996</v>
      </c>
      <c r="AO10" s="125">
        <f>AH10*-Valores!$C$72</f>
        <v>0</v>
      </c>
      <c r="AP10" s="125">
        <f>AH10*Valores!$C$73</f>
        <v>-10739.269799999998</v>
      </c>
      <c r="AQ10" s="125">
        <f>Valores!$C$100</f>
        <v>-280.91000000000003</v>
      </c>
      <c r="AR10" s="125">
        <f>IF($F$5=0,Valores!$C$101,(Valores!$C$101+$F$5*(Valores!$C$101)))</f>
        <v>-385</v>
      </c>
      <c r="AS10" s="125">
        <f t="shared" si="6"/>
        <v>231321.31179999997</v>
      </c>
      <c r="AT10" s="125">
        <f t="shared" si="0"/>
        <v>-26251.548399999996</v>
      </c>
      <c r="AU10" s="125">
        <f>AH10*Valores!$C$74</f>
        <v>-6443.5618799999993</v>
      </c>
      <c r="AV10" s="125">
        <f>AH10*Valores!$C$75</f>
        <v>-715.9513199999999</v>
      </c>
      <c r="AW10" s="125">
        <f t="shared" si="4"/>
        <v>235566.97839999999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2901.97</v>
      </c>
      <c r="G11" s="192">
        <v>3779</v>
      </c>
      <c r="H11" s="125">
        <f>ROUND(G11*Valores!$C$2,2)</f>
        <v>102491.01</v>
      </c>
      <c r="I11" s="192">
        <v>219</v>
      </c>
      <c r="J11" s="125">
        <f>ROUND(I11*Valores!$C$2,2)</f>
        <v>5939.54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18470.11</v>
      </c>
      <c r="N11" s="125">
        <f t="shared" si="1"/>
        <v>0</v>
      </c>
      <c r="O11" s="125">
        <f>Valores!$C$11</f>
        <v>24183.22</v>
      </c>
      <c r="P11" s="125">
        <f>Valores!$D$5</f>
        <v>13864.36</v>
      </c>
      <c r="Q11" s="125">
        <v>0</v>
      </c>
      <c r="R11" s="125">
        <f>IF($F$4="NO",Valores!$C$46,Valores!$C$46/2)</f>
        <v>11801.55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111332.51999999999</v>
      </c>
      <c r="V11" s="125">
        <f t="shared" ref="V11:V20" si="9">INT((SUM(F11,H11,J11)*0.4*100)+0.49)/100</f>
        <v>44533.01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6318.76</v>
      </c>
      <c r="AA11" s="125">
        <f>Valores!$C$25</f>
        <v>567.05999999999995</v>
      </c>
      <c r="AB11" s="214">
        <v>0</v>
      </c>
      <c r="AC11" s="125">
        <f t="shared" si="2"/>
        <v>0</v>
      </c>
      <c r="AD11" s="125">
        <f>Valores!$C$26</f>
        <v>567.05999999999995</v>
      </c>
      <c r="AE11" s="192">
        <v>0</v>
      </c>
      <c r="AF11" s="125">
        <f>ROUND(AE11*Valores!$C$2,2)</f>
        <v>0</v>
      </c>
      <c r="AG11" s="125">
        <f>ROUND(IF($F$4="NO",Valores!$C$63,Valores!$C$63/2),2)</f>
        <v>6482.98</v>
      </c>
      <c r="AH11" s="125">
        <f t="shared" si="5"/>
        <v>349453.14999999991</v>
      </c>
      <c r="AI11" s="125">
        <f>Valores!$C$31</f>
        <v>0</v>
      </c>
      <c r="AJ11" s="125">
        <f>Valores!$C$87</f>
        <v>0</v>
      </c>
      <c r="AK11" s="125">
        <f>Valores!C$38*B11</f>
        <v>30000</v>
      </c>
      <c r="AL11" s="125">
        <f>IF($F$3="NO",0,Valores!$C$55)</f>
        <v>327.60000000000002</v>
      </c>
      <c r="AM11" s="125">
        <f t="shared" si="3"/>
        <v>30327.599999999999</v>
      </c>
      <c r="AN11" s="125">
        <f>AH11*Valores!$C$71</f>
        <v>-38439.846499999992</v>
      </c>
      <c r="AO11" s="125">
        <f>AH11*-Valores!$C$72</f>
        <v>0</v>
      </c>
      <c r="AP11" s="125">
        <f>AH11*Valores!$C$73</f>
        <v>-15725.391749999995</v>
      </c>
      <c r="AQ11" s="125">
        <f>Valores!$C$100</f>
        <v>-280.91000000000003</v>
      </c>
      <c r="AR11" s="125">
        <f>IF($F$5=0,Valores!$C$101,(Valores!$C$101+$F$5*(Valores!$C$101)))</f>
        <v>-385</v>
      </c>
      <c r="AS11" s="125">
        <f t="shared" si="6"/>
        <v>324949.60174999991</v>
      </c>
      <c r="AT11" s="125">
        <f t="shared" si="0"/>
        <v>-38439.846499999992</v>
      </c>
      <c r="AU11" s="125">
        <f>AH11*Valores!$C$74</f>
        <v>-9435.2350499999975</v>
      </c>
      <c r="AV11" s="125">
        <f>AH11*Valores!$C$75</f>
        <v>-1048.3594499999997</v>
      </c>
      <c r="AW11" s="125">
        <f t="shared" si="4"/>
        <v>330857.30899999989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2901.97</v>
      </c>
      <c r="G12" s="192">
        <v>3779</v>
      </c>
      <c r="H12" s="125">
        <f>ROUND(G12*Valores!$C$2,2)</f>
        <v>102491.01</v>
      </c>
      <c r="I12" s="192">
        <v>219</v>
      </c>
      <c r="J12" s="125">
        <f>ROUND(I12*Valores!$C$2,2)</f>
        <v>5939.54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18470.11</v>
      </c>
      <c r="N12" s="125">
        <f t="shared" si="1"/>
        <v>0</v>
      </c>
      <c r="O12" s="125">
        <f>Valores!$C$11</f>
        <v>24183.22</v>
      </c>
      <c r="P12" s="125">
        <f>Valores!$D$5</f>
        <v>13864.36</v>
      </c>
      <c r="Q12" s="125">
        <v>0</v>
      </c>
      <c r="R12" s="125">
        <f>IF($F$4="NO",Valores!$C$46,Valores!$C$46/2)</f>
        <v>11801.55</v>
      </c>
      <c r="S12" s="125">
        <v>0</v>
      </c>
      <c r="T12" s="125">
        <f t="shared" si="7"/>
        <v>0</v>
      </c>
      <c r="U12" s="125">
        <f t="shared" si="8"/>
        <v>111332.51999999999</v>
      </c>
      <c r="V12" s="125">
        <f t="shared" si="9"/>
        <v>44533.01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6318.76</v>
      </c>
      <c r="AA12" s="125">
        <f>Valores!$C$25</f>
        <v>567.05999999999995</v>
      </c>
      <c r="AB12" s="214">
        <v>0</v>
      </c>
      <c r="AC12" s="125">
        <f t="shared" si="2"/>
        <v>0</v>
      </c>
      <c r="AD12" s="125">
        <f>Valores!$C$26</f>
        <v>567.05999999999995</v>
      </c>
      <c r="AE12" s="192">
        <v>0</v>
      </c>
      <c r="AF12" s="125">
        <f>ROUND(AE12*Valores!$C$2,2)</f>
        <v>0</v>
      </c>
      <c r="AG12" s="125">
        <f>ROUND(IF($F$4="NO",Valores!$C$63,Valores!$C$63/2),2)</f>
        <v>6482.98</v>
      </c>
      <c r="AH12" s="125">
        <f t="shared" si="5"/>
        <v>349453.14999999991</v>
      </c>
      <c r="AI12" s="125">
        <f>Valores!$C$31</f>
        <v>0</v>
      </c>
      <c r="AJ12" s="125">
        <f>Valores!$C$87</f>
        <v>0</v>
      </c>
      <c r="AK12" s="125">
        <f>Valores!C$38*B12</f>
        <v>30000</v>
      </c>
      <c r="AL12" s="125">
        <f>IF($F$3="NO",0,Valores!$C$55)</f>
        <v>327.60000000000002</v>
      </c>
      <c r="AM12" s="125">
        <f t="shared" si="3"/>
        <v>30327.599999999999</v>
      </c>
      <c r="AN12" s="125">
        <f>AH12*Valores!$C$71</f>
        <v>-38439.846499999992</v>
      </c>
      <c r="AO12" s="125">
        <f>AH12*-Valores!$C$72</f>
        <v>0</v>
      </c>
      <c r="AP12" s="125">
        <f>AH12*Valores!$C$73</f>
        <v>-15725.391749999995</v>
      </c>
      <c r="AQ12" s="125">
        <f>Valores!$C$100</f>
        <v>-280.91000000000003</v>
      </c>
      <c r="AR12" s="125">
        <f>IF($F$5=0,Valores!$C$101,(Valores!$C$101+$F$5*(Valores!$C$101)))</f>
        <v>-385</v>
      </c>
      <c r="AS12" s="125">
        <f t="shared" si="6"/>
        <v>324949.60174999991</v>
      </c>
      <c r="AT12" s="125">
        <f t="shared" si="0"/>
        <v>-38439.846499999992</v>
      </c>
      <c r="AU12" s="125">
        <f>AH12*Valores!$C$74</f>
        <v>-9435.2350499999975</v>
      </c>
      <c r="AV12" s="125">
        <f>AH12*Valores!$C$75</f>
        <v>-1048.3594499999997</v>
      </c>
      <c r="AW12" s="125">
        <f t="shared" si="4"/>
        <v>330857.30899999989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2901.97</v>
      </c>
      <c r="G13" s="192">
        <v>3779</v>
      </c>
      <c r="H13" s="125">
        <f>ROUND(G13*Valores!$C$2,2)</f>
        <v>102491.01</v>
      </c>
      <c r="I13" s="192">
        <v>219</v>
      </c>
      <c r="J13" s="125">
        <f>ROUND(I13*Valores!$C$2,2)</f>
        <v>5939.54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18470.11</v>
      </c>
      <c r="N13" s="125">
        <f t="shared" si="1"/>
        <v>0</v>
      </c>
      <c r="O13" s="125">
        <f>Valores!$C$11</f>
        <v>24183.22</v>
      </c>
      <c r="P13" s="125">
        <f>Valores!$D$5</f>
        <v>13864.36</v>
      </c>
      <c r="Q13" s="125">
        <v>0</v>
      </c>
      <c r="R13" s="125">
        <f>IF($F$4="NO",Valores!$C$46,Valores!$C$46/2)</f>
        <v>11801.55</v>
      </c>
      <c r="S13" s="125">
        <v>0</v>
      </c>
      <c r="T13" s="125">
        <f t="shared" si="7"/>
        <v>0</v>
      </c>
      <c r="U13" s="125">
        <f t="shared" si="8"/>
        <v>111332.51999999999</v>
      </c>
      <c r="V13" s="125">
        <f t="shared" si="9"/>
        <v>44533.01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6318.76</v>
      </c>
      <c r="AA13" s="125">
        <f>Valores!$C$25</f>
        <v>567.05999999999995</v>
      </c>
      <c r="AB13" s="214">
        <v>0</v>
      </c>
      <c r="AC13" s="125">
        <f t="shared" si="2"/>
        <v>0</v>
      </c>
      <c r="AD13" s="125">
        <f>Valores!$C$26</f>
        <v>567.05999999999995</v>
      </c>
      <c r="AE13" s="192">
        <v>0</v>
      </c>
      <c r="AF13" s="125">
        <f>ROUND(AE13*Valores!$C$2,2)</f>
        <v>0</v>
      </c>
      <c r="AG13" s="125">
        <f>ROUND(IF($F$4="NO",Valores!$C$63,Valores!$C$63/2),2)</f>
        <v>6482.98</v>
      </c>
      <c r="AH13" s="125">
        <f t="shared" si="5"/>
        <v>349453.14999999991</v>
      </c>
      <c r="AI13" s="125">
        <f>Valores!$C$31</f>
        <v>0</v>
      </c>
      <c r="AJ13" s="125">
        <f>Valores!$C$87</f>
        <v>0</v>
      </c>
      <c r="AK13" s="125">
        <f>Valores!C$38*B13</f>
        <v>30000</v>
      </c>
      <c r="AL13" s="125">
        <f>IF($F$3="NO",0,Valores!$C$55)</f>
        <v>327.60000000000002</v>
      </c>
      <c r="AM13" s="125">
        <f t="shared" si="3"/>
        <v>30327.599999999999</v>
      </c>
      <c r="AN13" s="125">
        <f>AH13*Valores!$C$71</f>
        <v>-38439.846499999992</v>
      </c>
      <c r="AO13" s="125">
        <f>AH13*-Valores!$C$72</f>
        <v>0</v>
      </c>
      <c r="AP13" s="125">
        <f>AH13*Valores!$C$73</f>
        <v>-15725.391749999995</v>
      </c>
      <c r="AQ13" s="125">
        <f>Valores!$C$100</f>
        <v>-280.91000000000003</v>
      </c>
      <c r="AR13" s="125">
        <f>IF($F$5=0,Valores!$C$101,(Valores!$C$101+$F$5*(Valores!$C$101)))</f>
        <v>-385</v>
      </c>
      <c r="AS13" s="125">
        <f t="shared" si="6"/>
        <v>324949.60174999991</v>
      </c>
      <c r="AT13" s="125">
        <f t="shared" si="0"/>
        <v>-38439.846499999992</v>
      </c>
      <c r="AU13" s="125">
        <f>AH13*Valores!$C$74</f>
        <v>-9435.2350499999975</v>
      </c>
      <c r="AV13" s="125">
        <f>AH13*Valores!$C$75</f>
        <v>-1048.3594499999997</v>
      </c>
      <c r="AW13" s="125">
        <f t="shared" si="4"/>
        <v>330857.30899999989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2901.97</v>
      </c>
      <c r="G14" s="192">
        <v>3779</v>
      </c>
      <c r="H14" s="125">
        <f>ROUND(G14*Valores!$C$2,2)</f>
        <v>102491.01</v>
      </c>
      <c r="I14" s="192">
        <v>219</v>
      </c>
      <c r="J14" s="125">
        <f>ROUND(I14*Valores!$C$2,2)</f>
        <v>5939.54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18470.11</v>
      </c>
      <c r="N14" s="125">
        <f t="shared" si="1"/>
        <v>0</v>
      </c>
      <c r="O14" s="125">
        <f>Valores!$C$11</f>
        <v>24183.22</v>
      </c>
      <c r="P14" s="125">
        <f>Valores!$D$5</f>
        <v>13864.36</v>
      </c>
      <c r="Q14" s="125">
        <v>0</v>
      </c>
      <c r="R14" s="125">
        <f>IF($F$4="NO",Valores!$C$46,Valores!$C$46/2)</f>
        <v>11801.55</v>
      </c>
      <c r="S14" s="125">
        <v>0</v>
      </c>
      <c r="T14" s="125">
        <f t="shared" si="7"/>
        <v>0</v>
      </c>
      <c r="U14" s="125">
        <f t="shared" si="8"/>
        <v>111332.51999999999</v>
      </c>
      <c r="V14" s="125">
        <f t="shared" si="9"/>
        <v>44533.01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6318.76</v>
      </c>
      <c r="AA14" s="125">
        <f>Valores!$C$25</f>
        <v>567.05999999999995</v>
      </c>
      <c r="AB14" s="214">
        <v>0</v>
      </c>
      <c r="AC14" s="125">
        <f t="shared" si="2"/>
        <v>0</v>
      </c>
      <c r="AD14" s="125">
        <f>Valores!$C$26</f>
        <v>567.05999999999995</v>
      </c>
      <c r="AE14" s="192">
        <v>0</v>
      </c>
      <c r="AF14" s="125">
        <f>ROUND(AE14*Valores!$C$2,2)</f>
        <v>0</v>
      </c>
      <c r="AG14" s="125">
        <f>ROUND(IF($F$4="NO",Valores!$C$63,Valores!$C$63/2),2)</f>
        <v>6482.98</v>
      </c>
      <c r="AH14" s="125">
        <f t="shared" si="5"/>
        <v>349453.14999999991</v>
      </c>
      <c r="AI14" s="125">
        <f>Valores!$C$31</f>
        <v>0</v>
      </c>
      <c r="AJ14" s="125">
        <f>Valores!$C$87</f>
        <v>0</v>
      </c>
      <c r="AK14" s="125">
        <f>Valores!C$38*B14</f>
        <v>30000</v>
      </c>
      <c r="AL14" s="125">
        <f>IF($F$3="NO",0,Valores!$C$55)</f>
        <v>327.60000000000002</v>
      </c>
      <c r="AM14" s="125">
        <f t="shared" si="3"/>
        <v>30327.599999999999</v>
      </c>
      <c r="AN14" s="125">
        <f>AH14*Valores!$C$71</f>
        <v>-38439.846499999992</v>
      </c>
      <c r="AO14" s="125">
        <f>AH14*-Valores!$C$72</f>
        <v>0</v>
      </c>
      <c r="AP14" s="125">
        <f>AH14*Valores!$C$73</f>
        <v>-15725.391749999995</v>
      </c>
      <c r="AQ14" s="125">
        <f>Valores!$C$100</f>
        <v>-280.91000000000003</v>
      </c>
      <c r="AR14" s="125">
        <f>IF($F$5=0,Valores!$C$101,(Valores!$C$101+$F$5*(Valores!$C$101)))</f>
        <v>-385</v>
      </c>
      <c r="AS14" s="125">
        <f t="shared" si="6"/>
        <v>324949.60174999991</v>
      </c>
      <c r="AT14" s="125">
        <f t="shared" si="0"/>
        <v>-38439.846499999992</v>
      </c>
      <c r="AU14" s="125">
        <f>AH14*Valores!$C$74</f>
        <v>-9435.2350499999975</v>
      </c>
      <c r="AV14" s="125">
        <f>AH14*Valores!$C$75</f>
        <v>-1048.3594499999997</v>
      </c>
      <c r="AW14" s="125">
        <f t="shared" si="4"/>
        <v>330857.30899999989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2901.97</v>
      </c>
      <c r="G15" s="192">
        <v>3779</v>
      </c>
      <c r="H15" s="125">
        <f>ROUND(G15*Valores!$C$2,2)</f>
        <v>102491.01</v>
      </c>
      <c r="I15" s="192">
        <v>219</v>
      </c>
      <c r="J15" s="125">
        <f>ROUND(I15*Valores!$C$2,2)</f>
        <v>5939.54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18470.11</v>
      </c>
      <c r="N15" s="125">
        <f t="shared" si="1"/>
        <v>0</v>
      </c>
      <c r="O15" s="125">
        <f>Valores!$C$11</f>
        <v>24183.22</v>
      </c>
      <c r="P15" s="125">
        <f>Valores!$D$5</f>
        <v>13864.36</v>
      </c>
      <c r="Q15" s="125">
        <v>0</v>
      </c>
      <c r="R15" s="125">
        <f>IF($F$4="NO",Valores!$C$46,Valores!$C$46/2)</f>
        <v>11801.55</v>
      </c>
      <c r="S15" s="125">
        <v>0</v>
      </c>
      <c r="T15" s="125">
        <f t="shared" si="7"/>
        <v>0</v>
      </c>
      <c r="U15" s="125">
        <f t="shared" si="8"/>
        <v>111332.51999999999</v>
      </c>
      <c r="V15" s="125">
        <f t="shared" si="9"/>
        <v>44533.01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6318.76</v>
      </c>
      <c r="AA15" s="125">
        <f>Valores!$C$25</f>
        <v>567.05999999999995</v>
      </c>
      <c r="AB15" s="214">
        <v>0</v>
      </c>
      <c r="AC15" s="125">
        <f t="shared" si="2"/>
        <v>0</v>
      </c>
      <c r="AD15" s="125">
        <f>Valores!$C$26</f>
        <v>567.05999999999995</v>
      </c>
      <c r="AE15" s="192">
        <v>0</v>
      </c>
      <c r="AF15" s="125">
        <f>ROUND(AE15*Valores!$C$2,2)</f>
        <v>0</v>
      </c>
      <c r="AG15" s="125">
        <f>ROUND(IF($F$4="NO",Valores!$C$63,Valores!$C$63/2),2)</f>
        <v>6482.98</v>
      </c>
      <c r="AH15" s="125">
        <f t="shared" si="5"/>
        <v>349453.14999999991</v>
      </c>
      <c r="AI15" s="125">
        <f>Valores!$C$31</f>
        <v>0</v>
      </c>
      <c r="AJ15" s="125">
        <f>Valores!$C$87</f>
        <v>0</v>
      </c>
      <c r="AK15" s="125">
        <f>Valores!C$38*B15</f>
        <v>30000</v>
      </c>
      <c r="AL15" s="125">
        <f>IF($F$3="NO",0,Valores!$C$55)</f>
        <v>327.60000000000002</v>
      </c>
      <c r="AM15" s="125">
        <f t="shared" si="3"/>
        <v>30327.599999999999</v>
      </c>
      <c r="AN15" s="125">
        <f>AH15*Valores!$C$71</f>
        <v>-38439.846499999992</v>
      </c>
      <c r="AO15" s="125">
        <f>AH15*-Valores!$C$72</f>
        <v>0</v>
      </c>
      <c r="AP15" s="125">
        <f>AH15*Valores!$C$73</f>
        <v>-15725.391749999995</v>
      </c>
      <c r="AQ15" s="125">
        <f>Valores!$C$100</f>
        <v>-280.91000000000003</v>
      </c>
      <c r="AR15" s="125">
        <f>IF($F$5=0,Valores!$C$101,(Valores!$C$101+$F$5*(Valores!$C$101)))</f>
        <v>-385</v>
      </c>
      <c r="AS15" s="125">
        <f t="shared" si="6"/>
        <v>324949.60174999991</v>
      </c>
      <c r="AT15" s="125">
        <f t="shared" si="0"/>
        <v>-38439.846499999992</v>
      </c>
      <c r="AU15" s="125">
        <f>AH15*Valores!$C$74</f>
        <v>-9435.2350499999975</v>
      </c>
      <c r="AV15" s="125">
        <f>AH15*Valores!$C$75</f>
        <v>-1048.3594499999997</v>
      </c>
      <c r="AW15" s="125">
        <f t="shared" si="4"/>
        <v>330857.30899999989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2712.12</v>
      </c>
      <c r="G16" s="192">
        <v>3727</v>
      </c>
      <c r="H16" s="125">
        <f>ROUND(G16*Valores!$C$2,2)</f>
        <v>101080.71</v>
      </c>
      <c r="I16" s="192">
        <v>219</v>
      </c>
      <c r="J16" s="125">
        <f>ROUND(I16*Valores!$C$2,2)</f>
        <v>5939.54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18230.09</v>
      </c>
      <c r="N16" s="125">
        <f t="shared" si="1"/>
        <v>0</v>
      </c>
      <c r="O16" s="125">
        <f>Valores!$C$11</f>
        <v>24183.22</v>
      </c>
      <c r="P16" s="125">
        <f>Valores!$D$5</f>
        <v>13864.36</v>
      </c>
      <c r="Q16" s="125">
        <v>0</v>
      </c>
      <c r="R16" s="125">
        <f>IF($F$4="NO",Valores!$C$46,Valores!$C$46/2)</f>
        <v>11801.55</v>
      </c>
      <c r="S16" s="125">
        <v>0</v>
      </c>
      <c r="T16" s="125">
        <f t="shared" si="7"/>
        <v>0</v>
      </c>
      <c r="U16" s="125">
        <f t="shared" si="8"/>
        <v>109732.37</v>
      </c>
      <c r="V16" s="125">
        <f t="shared" si="9"/>
        <v>43892.95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6318.76</v>
      </c>
      <c r="AA16" s="125">
        <f>Valores!$C$25</f>
        <v>567.05999999999995</v>
      </c>
      <c r="AB16" s="214">
        <v>0</v>
      </c>
      <c r="AC16" s="125">
        <f t="shared" si="2"/>
        <v>0</v>
      </c>
      <c r="AD16" s="125">
        <f>Valores!$C$26</f>
        <v>567.05999999999995</v>
      </c>
      <c r="AE16" s="192">
        <v>0</v>
      </c>
      <c r="AF16" s="125">
        <f>ROUND(AE16*Valores!$C$2,2)</f>
        <v>0</v>
      </c>
      <c r="AG16" s="125">
        <f>ROUND(IF($F$4="NO",Valores!$C$63,Valores!$C$63/2),2)</f>
        <v>6482.98</v>
      </c>
      <c r="AH16" s="125">
        <f t="shared" si="5"/>
        <v>345372.76999999996</v>
      </c>
      <c r="AI16" s="125">
        <f>Valores!$C$31</f>
        <v>0</v>
      </c>
      <c r="AJ16" s="125">
        <f>Valores!$C$87</f>
        <v>0</v>
      </c>
      <c r="AK16" s="125">
        <f>Valores!C$38*B16</f>
        <v>30000</v>
      </c>
      <c r="AL16" s="125">
        <f>IF($F$3="NO",0,Valores!$C$55)</f>
        <v>327.60000000000002</v>
      </c>
      <c r="AM16" s="125">
        <f t="shared" si="3"/>
        <v>30327.599999999999</v>
      </c>
      <c r="AN16" s="125">
        <f>AH16*Valores!$C$71</f>
        <v>-37991.004699999998</v>
      </c>
      <c r="AO16" s="125">
        <f>AH16*-Valores!$C$72</f>
        <v>0</v>
      </c>
      <c r="AP16" s="125">
        <f>AH16*Valores!$C$73</f>
        <v>-15541.774649999998</v>
      </c>
      <c r="AQ16" s="125">
        <f>Valores!$C$100</f>
        <v>-280.91000000000003</v>
      </c>
      <c r="AR16" s="125">
        <f>IF($F$5=0,Valores!$C$101,(Valores!$C$101+$F$5*(Valores!$C$101)))</f>
        <v>-385</v>
      </c>
      <c r="AS16" s="125">
        <f t="shared" si="6"/>
        <v>321501.68064999994</v>
      </c>
      <c r="AT16" s="125">
        <f t="shared" si="0"/>
        <v>-37991.004699999998</v>
      </c>
      <c r="AU16" s="125">
        <f>AH16*Valores!$C$74</f>
        <v>-9325.0647899999985</v>
      </c>
      <c r="AV16" s="125">
        <f>AH16*Valores!$C$75</f>
        <v>-1036.1183099999998</v>
      </c>
      <c r="AW16" s="125">
        <f t="shared" si="4"/>
        <v>327348.18219999992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2712.12</v>
      </c>
      <c r="G17" s="192">
        <v>3727</v>
      </c>
      <c r="H17" s="125">
        <f>ROUND(G17*Valores!$C$2,2)</f>
        <v>101080.71</v>
      </c>
      <c r="I17" s="192">
        <v>219</v>
      </c>
      <c r="J17" s="125">
        <f>ROUND(I17*Valores!$C$2,2)</f>
        <v>5939.54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18230.09</v>
      </c>
      <c r="N17" s="125">
        <f t="shared" si="1"/>
        <v>0</v>
      </c>
      <c r="O17" s="125">
        <f>Valores!$C$11</f>
        <v>24183.22</v>
      </c>
      <c r="P17" s="125">
        <f>Valores!$D$5</f>
        <v>13864.36</v>
      </c>
      <c r="Q17" s="125">
        <v>0</v>
      </c>
      <c r="R17" s="125">
        <f>IF($F$4="NO",Valores!$C$46,Valores!$C$46/2)</f>
        <v>11801.55</v>
      </c>
      <c r="S17" s="125">
        <v>0</v>
      </c>
      <c r="T17" s="125">
        <f t="shared" si="7"/>
        <v>0</v>
      </c>
      <c r="U17" s="125">
        <f t="shared" si="8"/>
        <v>109732.37</v>
      </c>
      <c r="V17" s="125">
        <f t="shared" si="9"/>
        <v>43892.95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6318.76</v>
      </c>
      <c r="AA17" s="125">
        <f>Valores!$C$25</f>
        <v>567.05999999999995</v>
      </c>
      <c r="AB17" s="214">
        <v>0</v>
      </c>
      <c r="AC17" s="125">
        <f t="shared" si="2"/>
        <v>0</v>
      </c>
      <c r="AD17" s="125">
        <f>Valores!$C$26</f>
        <v>567.05999999999995</v>
      </c>
      <c r="AE17" s="192">
        <v>0</v>
      </c>
      <c r="AF17" s="125">
        <f>ROUND(AE17*Valores!$C$2,2)</f>
        <v>0</v>
      </c>
      <c r="AG17" s="125">
        <f>ROUND(IF($F$4="NO",Valores!$C$63,Valores!$C$63/2),2)</f>
        <v>6482.98</v>
      </c>
      <c r="AH17" s="125">
        <f t="shared" si="5"/>
        <v>345372.76999999996</v>
      </c>
      <c r="AI17" s="125">
        <f>Valores!$C$31</f>
        <v>0</v>
      </c>
      <c r="AJ17" s="125">
        <f>Valores!$C$87</f>
        <v>0</v>
      </c>
      <c r="AK17" s="125">
        <f>Valores!C$38*B17</f>
        <v>30000</v>
      </c>
      <c r="AL17" s="125">
        <f>IF($F$3="NO",0,Valores!$C$55)</f>
        <v>327.60000000000002</v>
      </c>
      <c r="AM17" s="125">
        <f t="shared" si="3"/>
        <v>30327.599999999999</v>
      </c>
      <c r="AN17" s="125">
        <f>AH17*Valores!$C$71</f>
        <v>-37991.004699999998</v>
      </c>
      <c r="AO17" s="125">
        <f>AH17*-Valores!$C$72</f>
        <v>0</v>
      </c>
      <c r="AP17" s="125">
        <f>AH17*Valores!$C$73</f>
        <v>-15541.774649999998</v>
      </c>
      <c r="AQ17" s="125">
        <f>Valores!$C$100</f>
        <v>-280.91000000000003</v>
      </c>
      <c r="AR17" s="125">
        <f>IF($F$5=0,Valores!$C$101,(Valores!$C$101+$F$5*(Valores!$C$101)))</f>
        <v>-385</v>
      </c>
      <c r="AS17" s="125">
        <f t="shared" si="6"/>
        <v>321501.68064999994</v>
      </c>
      <c r="AT17" s="125">
        <f t="shared" si="0"/>
        <v>-37991.004699999998</v>
      </c>
      <c r="AU17" s="125">
        <f>AH17*Valores!$C$74</f>
        <v>-9325.0647899999985</v>
      </c>
      <c r="AV17" s="125">
        <f>AH17*Valores!$C$75</f>
        <v>-1036.1183099999998</v>
      </c>
      <c r="AW17" s="125">
        <f t="shared" si="4"/>
        <v>327348.18219999992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2712.12</v>
      </c>
      <c r="G18" s="192">
        <v>3727</v>
      </c>
      <c r="H18" s="125">
        <f>ROUND(G18*Valores!$C$2,2)</f>
        <v>101080.71</v>
      </c>
      <c r="I18" s="192">
        <v>219</v>
      </c>
      <c r="J18" s="125">
        <f>ROUND(I18*Valores!$C$2,2)</f>
        <v>5939.54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18230.09</v>
      </c>
      <c r="N18" s="125">
        <f t="shared" si="1"/>
        <v>0</v>
      </c>
      <c r="O18" s="125">
        <f>Valores!$C$11</f>
        <v>24183.22</v>
      </c>
      <c r="P18" s="125">
        <f>Valores!$D$5</f>
        <v>13864.36</v>
      </c>
      <c r="Q18" s="125">
        <v>0</v>
      </c>
      <c r="R18" s="125">
        <f>IF($F$4="NO",Valores!$C$46,Valores!$C$46/2)</f>
        <v>11801.55</v>
      </c>
      <c r="S18" s="125">
        <v>0</v>
      </c>
      <c r="T18" s="125">
        <f t="shared" si="7"/>
        <v>0</v>
      </c>
      <c r="U18" s="125">
        <f t="shared" si="8"/>
        <v>109732.37</v>
      </c>
      <c r="V18" s="125">
        <f t="shared" si="9"/>
        <v>43892.95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6318.76</v>
      </c>
      <c r="AA18" s="125">
        <f>Valores!$C$25</f>
        <v>567.05999999999995</v>
      </c>
      <c r="AB18" s="214">
        <v>0</v>
      </c>
      <c r="AC18" s="125">
        <f t="shared" si="2"/>
        <v>0</v>
      </c>
      <c r="AD18" s="125">
        <f>Valores!$C$26</f>
        <v>567.05999999999995</v>
      </c>
      <c r="AE18" s="192">
        <v>0</v>
      </c>
      <c r="AF18" s="125">
        <f>ROUND(AE18*Valores!$C$2,2)</f>
        <v>0</v>
      </c>
      <c r="AG18" s="125">
        <f>ROUND(IF($F$4="NO",Valores!$C$63,Valores!$C$63/2),2)</f>
        <v>6482.98</v>
      </c>
      <c r="AH18" s="125">
        <f t="shared" si="5"/>
        <v>345372.76999999996</v>
      </c>
      <c r="AI18" s="125">
        <f>Valores!$C$31</f>
        <v>0</v>
      </c>
      <c r="AJ18" s="125">
        <f>Valores!$C$87</f>
        <v>0</v>
      </c>
      <c r="AK18" s="125">
        <f>Valores!C$38*B18</f>
        <v>30000</v>
      </c>
      <c r="AL18" s="125">
        <f>IF($F$3="NO",0,Valores!$C$55)</f>
        <v>327.60000000000002</v>
      </c>
      <c r="AM18" s="125">
        <f t="shared" si="3"/>
        <v>30327.599999999999</v>
      </c>
      <c r="AN18" s="125">
        <f>AH18*Valores!$C$71</f>
        <v>-37991.004699999998</v>
      </c>
      <c r="AO18" s="125">
        <f>AH18*-Valores!$C$72</f>
        <v>0</v>
      </c>
      <c r="AP18" s="125">
        <f>AH18*Valores!$C$73</f>
        <v>-15541.774649999998</v>
      </c>
      <c r="AQ18" s="125">
        <f>Valores!$C$100</f>
        <v>-280.91000000000003</v>
      </c>
      <c r="AR18" s="125">
        <f>IF($F$5=0,Valores!$C$101,(Valores!$C$101+$F$5*(Valores!$C$101)))</f>
        <v>-385</v>
      </c>
      <c r="AS18" s="125">
        <f t="shared" si="6"/>
        <v>321501.68064999994</v>
      </c>
      <c r="AT18" s="125">
        <f t="shared" si="0"/>
        <v>-37991.004699999998</v>
      </c>
      <c r="AU18" s="125">
        <f>AH18*Valores!$C$74</f>
        <v>-9325.0647899999985</v>
      </c>
      <c r="AV18" s="125">
        <f>AH18*Valores!$C$75</f>
        <v>-1036.1183099999998</v>
      </c>
      <c r="AW18" s="125">
        <f t="shared" si="4"/>
        <v>327348.18219999992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2712.12</v>
      </c>
      <c r="G19" s="192">
        <v>3727</v>
      </c>
      <c r="H19" s="125">
        <f>ROUND(G19*Valores!$C$2,2)</f>
        <v>101080.71</v>
      </c>
      <c r="I19" s="192">
        <v>219</v>
      </c>
      <c r="J19" s="125">
        <f>ROUND(I19*Valores!$C$2,2)</f>
        <v>5939.54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18230.09</v>
      </c>
      <c r="N19" s="125">
        <f t="shared" si="1"/>
        <v>0</v>
      </c>
      <c r="O19" s="125">
        <f>Valores!$C$11</f>
        <v>24183.22</v>
      </c>
      <c r="P19" s="125">
        <f>Valores!$D$5</f>
        <v>13864.36</v>
      </c>
      <c r="Q19" s="125">
        <v>0</v>
      </c>
      <c r="R19" s="125">
        <f>IF($F$4="NO",Valores!$C$46,Valores!$C$46/2)</f>
        <v>11801.55</v>
      </c>
      <c r="S19" s="125">
        <v>0</v>
      </c>
      <c r="T19" s="125">
        <f t="shared" si="7"/>
        <v>0</v>
      </c>
      <c r="U19" s="125">
        <f t="shared" si="8"/>
        <v>109732.37</v>
      </c>
      <c r="V19" s="125">
        <f t="shared" si="9"/>
        <v>43892.95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6318.76</v>
      </c>
      <c r="AA19" s="125">
        <f>Valores!$C$25</f>
        <v>567.05999999999995</v>
      </c>
      <c r="AB19" s="214">
        <v>0</v>
      </c>
      <c r="AC19" s="125">
        <f t="shared" si="2"/>
        <v>0</v>
      </c>
      <c r="AD19" s="125">
        <f>Valores!$C$26</f>
        <v>567.05999999999995</v>
      </c>
      <c r="AE19" s="192">
        <v>0</v>
      </c>
      <c r="AF19" s="125">
        <f>ROUND(AE19*Valores!$C$2,2)</f>
        <v>0</v>
      </c>
      <c r="AG19" s="125">
        <f>ROUND(IF($F$4="NO",Valores!$C$63,Valores!$C$63/2),2)</f>
        <v>6482.98</v>
      </c>
      <c r="AH19" s="125">
        <f t="shared" si="5"/>
        <v>345372.76999999996</v>
      </c>
      <c r="AI19" s="125">
        <f>Valores!$C$31</f>
        <v>0</v>
      </c>
      <c r="AJ19" s="125">
        <f>Valores!$C$87</f>
        <v>0</v>
      </c>
      <c r="AK19" s="125">
        <f>Valores!C$38*B19</f>
        <v>30000</v>
      </c>
      <c r="AL19" s="125">
        <f>IF($F$3="NO",0,Valores!$C$55)</f>
        <v>327.60000000000002</v>
      </c>
      <c r="AM19" s="125">
        <f t="shared" si="3"/>
        <v>30327.599999999999</v>
      </c>
      <c r="AN19" s="125">
        <f>AH19*Valores!$C$71</f>
        <v>-37991.004699999998</v>
      </c>
      <c r="AO19" s="125">
        <f>AH19*-Valores!$C$72</f>
        <v>0</v>
      </c>
      <c r="AP19" s="125">
        <f>AH19*Valores!$C$73</f>
        <v>-15541.774649999998</v>
      </c>
      <c r="AQ19" s="125">
        <f>Valores!$C$100</f>
        <v>-280.91000000000003</v>
      </c>
      <c r="AR19" s="125">
        <f>IF($F$5=0,Valores!$C$101,(Valores!$C$101+$F$5*(Valores!$C$101)))</f>
        <v>-385</v>
      </c>
      <c r="AS19" s="125">
        <f t="shared" si="6"/>
        <v>321501.68064999994</v>
      </c>
      <c r="AT19" s="125">
        <f t="shared" si="0"/>
        <v>-37991.004699999998</v>
      </c>
      <c r="AU19" s="125">
        <f>AH19*Valores!$C$74</f>
        <v>-9325.0647899999985</v>
      </c>
      <c r="AV19" s="125">
        <f>AH19*Valores!$C$75</f>
        <v>-1036.1183099999998</v>
      </c>
      <c r="AW19" s="125">
        <f t="shared" si="4"/>
        <v>327348.18219999992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2712.12</v>
      </c>
      <c r="G20" s="192">
        <v>3727</v>
      </c>
      <c r="H20" s="125">
        <f>ROUND(G20*Valores!$C$2,2)</f>
        <v>101080.71</v>
      </c>
      <c r="I20" s="192">
        <v>219</v>
      </c>
      <c r="J20" s="125">
        <f>ROUND(I20*Valores!$C$2,2)</f>
        <v>5939.54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18230.09</v>
      </c>
      <c r="N20" s="125">
        <f t="shared" si="1"/>
        <v>0</v>
      </c>
      <c r="O20" s="125">
        <f>Valores!$C$11</f>
        <v>24183.22</v>
      </c>
      <c r="P20" s="125">
        <f>Valores!$D$5</f>
        <v>13864.36</v>
      </c>
      <c r="Q20" s="125">
        <v>0</v>
      </c>
      <c r="R20" s="125">
        <f>IF($F$4="NO",Valores!$C$46,Valores!$C$46/2)</f>
        <v>11801.55</v>
      </c>
      <c r="S20" s="125">
        <v>0</v>
      </c>
      <c r="T20" s="125">
        <f t="shared" si="7"/>
        <v>0</v>
      </c>
      <c r="U20" s="125">
        <f t="shared" si="8"/>
        <v>109732.37</v>
      </c>
      <c r="V20" s="125">
        <f t="shared" si="9"/>
        <v>43892.95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6318.76</v>
      </c>
      <c r="AA20" s="125">
        <f>Valores!$C$25</f>
        <v>567.05999999999995</v>
      </c>
      <c r="AB20" s="214">
        <v>0</v>
      </c>
      <c r="AC20" s="125">
        <f t="shared" si="2"/>
        <v>0</v>
      </c>
      <c r="AD20" s="125">
        <f>Valores!$C$26</f>
        <v>567.05999999999995</v>
      </c>
      <c r="AE20" s="192">
        <v>0</v>
      </c>
      <c r="AF20" s="125">
        <f>ROUND(AE20*Valores!$C$2,2)</f>
        <v>0</v>
      </c>
      <c r="AG20" s="125">
        <f>ROUND(IF($F$4="NO",Valores!$C$63,Valores!$C$63/2),2)</f>
        <v>6482.98</v>
      </c>
      <c r="AH20" s="125">
        <f t="shared" si="5"/>
        <v>345372.76999999996</v>
      </c>
      <c r="AI20" s="125">
        <f>Valores!$C$31</f>
        <v>0</v>
      </c>
      <c r="AJ20" s="125">
        <f>Valores!$C$87</f>
        <v>0</v>
      </c>
      <c r="AK20" s="125">
        <f>Valores!C$38*B20</f>
        <v>30000</v>
      </c>
      <c r="AL20" s="125">
        <f>IF($F$3="NO",0,Valores!$C$55)</f>
        <v>327.60000000000002</v>
      </c>
      <c r="AM20" s="125">
        <f t="shared" si="3"/>
        <v>30327.599999999999</v>
      </c>
      <c r="AN20" s="125">
        <f>AH20*Valores!$C$71</f>
        <v>-37991.004699999998</v>
      </c>
      <c r="AO20" s="125">
        <f>AH20*-Valores!$C$72</f>
        <v>0</v>
      </c>
      <c r="AP20" s="125">
        <f>AH20*Valores!$C$73</f>
        <v>-15541.774649999998</v>
      </c>
      <c r="AQ20" s="125">
        <f>Valores!$C$100</f>
        <v>-280.91000000000003</v>
      </c>
      <c r="AR20" s="125">
        <f>IF($F$5=0,Valores!$C$101,(Valores!$C$101+$F$5*(Valores!$C$101)))</f>
        <v>-385</v>
      </c>
      <c r="AS20" s="125">
        <f t="shared" si="6"/>
        <v>321501.68064999994</v>
      </c>
      <c r="AT20" s="125">
        <f t="shared" si="0"/>
        <v>-37991.004699999998</v>
      </c>
      <c r="AU20" s="125">
        <f>AH20*Valores!$C$74</f>
        <v>-9325.0647899999985</v>
      </c>
      <c r="AV20" s="125">
        <f>AH20*Valores!$C$75</f>
        <v>-1036.1183099999998</v>
      </c>
      <c r="AW20" s="125">
        <f t="shared" si="4"/>
        <v>327348.18219999992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2901.97</v>
      </c>
      <c r="G21" s="192">
        <v>3720</v>
      </c>
      <c r="H21" s="125">
        <f>ROUND(G21*Valores!$C$2,2)</f>
        <v>100890.86</v>
      </c>
      <c r="I21" s="192">
        <v>1226</v>
      </c>
      <c r="J21" s="125">
        <f>ROUND(I21*Valores!$C$2,2)</f>
        <v>33250.589999999997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24665.74</v>
      </c>
      <c r="N21" s="125">
        <f t="shared" si="1"/>
        <v>0</v>
      </c>
      <c r="O21" s="125">
        <f>Valores!$C$12</f>
        <v>55613.13</v>
      </c>
      <c r="P21" s="125">
        <f>Valores!$D$5</f>
        <v>13864.36</v>
      </c>
      <c r="Q21" s="125">
        <v>0</v>
      </c>
      <c r="R21" s="125">
        <f>IF($F$4="NO",Valores!$C$47,Valores!$C$47/2)</f>
        <v>14493.86</v>
      </c>
      <c r="S21" s="125">
        <f>Valores!$C$19</f>
        <v>12901.01</v>
      </c>
      <c r="T21" s="125">
        <f t="shared" si="7"/>
        <v>12901.01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12637.52</v>
      </c>
      <c r="AA21" s="125">
        <f>Valores!$C$25</f>
        <v>567.05999999999995</v>
      </c>
      <c r="AB21" s="214">
        <v>0</v>
      </c>
      <c r="AC21" s="125">
        <f t="shared" si="2"/>
        <v>0</v>
      </c>
      <c r="AD21" s="125">
        <f>Valores!$C$26</f>
        <v>567.05999999999995</v>
      </c>
      <c r="AE21" s="192">
        <v>0</v>
      </c>
      <c r="AF21" s="125">
        <f>ROUND(AE21*Valores!$C$2,2)</f>
        <v>0</v>
      </c>
      <c r="AG21" s="125">
        <f>ROUND(IF($F$4="NO",Valores!$C$63,Valores!$C$63/2),2)</f>
        <v>6482.98</v>
      </c>
      <c r="AH21" s="125">
        <f t="shared" si="5"/>
        <v>278836.13999999996</v>
      </c>
      <c r="AI21" s="125">
        <f>Valores!$C$31</f>
        <v>0</v>
      </c>
      <c r="AJ21" s="125">
        <f>Valores!$C$89</f>
        <v>0</v>
      </c>
      <c r="AK21" s="125">
        <f>Valores!C$38*B21</f>
        <v>30000</v>
      </c>
      <c r="AL21" s="125">
        <f>IF($F$3="NO",0,Valores!$C$55)</f>
        <v>327.60000000000002</v>
      </c>
      <c r="AM21" s="125">
        <f t="shared" si="3"/>
        <v>30327.599999999999</v>
      </c>
      <c r="AN21" s="125">
        <f>AH21*Valores!$C$71</f>
        <v>-30671.975399999996</v>
      </c>
      <c r="AO21" s="125">
        <f>AH21*-Valores!$C$72</f>
        <v>0</v>
      </c>
      <c r="AP21" s="125">
        <f>AH21*Valores!$C$73</f>
        <v>-12547.626299999998</v>
      </c>
      <c r="AQ21" s="125">
        <f>Valores!$C$100</f>
        <v>-280.91000000000003</v>
      </c>
      <c r="AR21" s="125">
        <f>IF($F$5=0,Valores!$C$101,(Valores!$C$101+$F$5*(Valores!$C$101)))</f>
        <v>-385</v>
      </c>
      <c r="AS21" s="125">
        <f t="shared" si="6"/>
        <v>265278.22829999996</v>
      </c>
      <c r="AT21" s="125">
        <f t="shared" si="0"/>
        <v>-30671.975399999996</v>
      </c>
      <c r="AU21" s="125">
        <f>AH21*Valores!$C$74</f>
        <v>-7528.5757799999983</v>
      </c>
      <c r="AV21" s="125">
        <f>AH21*Valores!$C$75</f>
        <v>-836.50841999999989</v>
      </c>
      <c r="AW21" s="125">
        <f t="shared" si="4"/>
        <v>270126.68039999995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2712.12</v>
      </c>
      <c r="G22" s="192">
        <v>3727</v>
      </c>
      <c r="H22" s="125">
        <f>ROUND(G22*Valores!$C$2,2)</f>
        <v>101080.71</v>
      </c>
      <c r="I22" s="192">
        <v>219</v>
      </c>
      <c r="J22" s="125">
        <f>ROUND(I22*Valores!$C$2,2)</f>
        <v>5939.54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18230.09</v>
      </c>
      <c r="N22" s="125">
        <f t="shared" si="1"/>
        <v>0</v>
      </c>
      <c r="O22" s="125">
        <f>Valores!$C$11</f>
        <v>24183.22</v>
      </c>
      <c r="P22" s="125">
        <f>Valores!$D$5</f>
        <v>13864.36</v>
      </c>
      <c r="Q22" s="125">
        <v>0</v>
      </c>
      <c r="R22" s="125">
        <f>IF($F$4="NO",Valores!$C$46,Valores!$C$46/2)</f>
        <v>11801.55</v>
      </c>
      <c r="S22" s="125">
        <v>0</v>
      </c>
      <c r="T22" s="125">
        <f t="shared" si="7"/>
        <v>0</v>
      </c>
      <c r="U22" s="125">
        <f>SUM(F22,H22,J22)</f>
        <v>109732.37</v>
      </c>
      <c r="V22" s="125">
        <f>INT((SUM(F22,H22,J22)*0.4*100)+0.49)/100</f>
        <v>43892.95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6318.76</v>
      </c>
      <c r="AA22" s="125">
        <f>Valores!$C$25</f>
        <v>567.05999999999995</v>
      </c>
      <c r="AB22" s="214">
        <v>0</v>
      </c>
      <c r="AC22" s="125">
        <f t="shared" si="2"/>
        <v>0</v>
      </c>
      <c r="AD22" s="125">
        <f>Valores!$C$26</f>
        <v>567.05999999999995</v>
      </c>
      <c r="AE22" s="192">
        <v>0</v>
      </c>
      <c r="AF22" s="125">
        <f>ROUND(AE22*Valores!$C$2,2)</f>
        <v>0</v>
      </c>
      <c r="AG22" s="125">
        <f>ROUND(IF($F$4="NO",Valores!$C$63,Valores!$C$63/2),2)</f>
        <v>6482.98</v>
      </c>
      <c r="AH22" s="125">
        <f t="shared" si="5"/>
        <v>345372.76999999996</v>
      </c>
      <c r="AI22" s="125">
        <f>Valores!$C$31</f>
        <v>0</v>
      </c>
      <c r="AJ22" s="125">
        <f>Valores!$C$87</f>
        <v>0</v>
      </c>
      <c r="AK22" s="125">
        <f>Valores!C$38*B22</f>
        <v>30000</v>
      </c>
      <c r="AL22" s="125">
        <f>IF($F$3="NO",0,Valores!$C$55)</f>
        <v>327.60000000000002</v>
      </c>
      <c r="AM22" s="125">
        <f t="shared" si="3"/>
        <v>30327.599999999999</v>
      </c>
      <c r="AN22" s="125">
        <f>AH22*Valores!$C$71</f>
        <v>-37991.004699999998</v>
      </c>
      <c r="AO22" s="125">
        <f>AH22*-Valores!$C$72</f>
        <v>0</v>
      </c>
      <c r="AP22" s="125">
        <f>AH22*Valores!$C$73</f>
        <v>-15541.774649999998</v>
      </c>
      <c r="AQ22" s="125">
        <f>Valores!$C$100</f>
        <v>-280.91000000000003</v>
      </c>
      <c r="AR22" s="125">
        <f>IF($F$5=0,Valores!$C$101,(Valores!$C$101+$F$5*(Valores!$C$101)))</f>
        <v>-385</v>
      </c>
      <c r="AS22" s="125">
        <f t="shared" si="6"/>
        <v>321501.68064999994</v>
      </c>
      <c r="AT22" s="125">
        <f t="shared" si="0"/>
        <v>-37991.004699999998</v>
      </c>
      <c r="AU22" s="125">
        <f>AH22*Valores!$C$74</f>
        <v>-9325.0647899999985</v>
      </c>
      <c r="AV22" s="125">
        <f>AH22*Valores!$C$75</f>
        <v>-1036.1183099999998</v>
      </c>
      <c r="AW22" s="125">
        <f t="shared" si="4"/>
        <v>327348.18219999992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2712.12</v>
      </c>
      <c r="G23" s="192">
        <v>3727</v>
      </c>
      <c r="H23" s="125">
        <f>ROUND(G23*Valores!$C$2,2)</f>
        <v>101080.71</v>
      </c>
      <c r="I23" s="192">
        <v>219</v>
      </c>
      <c r="J23" s="125">
        <f>ROUND(I23*Valores!$C$2,2)</f>
        <v>5939.54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18230.09</v>
      </c>
      <c r="N23" s="125">
        <f t="shared" si="1"/>
        <v>0</v>
      </c>
      <c r="O23" s="125">
        <f>Valores!$C$11</f>
        <v>24183.22</v>
      </c>
      <c r="P23" s="125">
        <f>Valores!$D$5</f>
        <v>13864.36</v>
      </c>
      <c r="Q23" s="125">
        <v>0</v>
      </c>
      <c r="R23" s="125">
        <f>IF($F$4="NO",Valores!$C$46,Valores!$C$46/2)</f>
        <v>11801.55</v>
      </c>
      <c r="S23" s="125">
        <v>0</v>
      </c>
      <c r="T23" s="125">
        <f t="shared" si="7"/>
        <v>0</v>
      </c>
      <c r="U23" s="125">
        <f>SUM(F23,H23,J23)</f>
        <v>109732.37</v>
      </c>
      <c r="V23" s="125">
        <f>INT((SUM(F23,H23,J23)*0.4*100)+0.49)/100</f>
        <v>43892.95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6318.76</v>
      </c>
      <c r="AA23" s="125">
        <f>Valores!$C$25</f>
        <v>567.05999999999995</v>
      </c>
      <c r="AB23" s="214">
        <v>0</v>
      </c>
      <c r="AC23" s="125">
        <f t="shared" si="2"/>
        <v>0</v>
      </c>
      <c r="AD23" s="125">
        <f>Valores!$C$26</f>
        <v>567.05999999999995</v>
      </c>
      <c r="AE23" s="192">
        <v>0</v>
      </c>
      <c r="AF23" s="125">
        <f>ROUND(AE23*Valores!$C$2,2)</f>
        <v>0</v>
      </c>
      <c r="AG23" s="125">
        <f>ROUND(IF($F$4="NO",Valores!$C$63,Valores!$C$63/2),2)</f>
        <v>6482.98</v>
      </c>
      <c r="AH23" s="125">
        <f t="shared" si="5"/>
        <v>345372.76999999996</v>
      </c>
      <c r="AI23" s="125">
        <f>Valores!$C$31</f>
        <v>0</v>
      </c>
      <c r="AJ23" s="125">
        <f>Valores!$C$87</f>
        <v>0</v>
      </c>
      <c r="AK23" s="125">
        <f>Valores!C$38*B23</f>
        <v>30000</v>
      </c>
      <c r="AL23" s="125">
        <f>IF($F$3="NO",0,Valores!$C$55)</f>
        <v>327.60000000000002</v>
      </c>
      <c r="AM23" s="125">
        <f t="shared" si="3"/>
        <v>30327.599999999999</v>
      </c>
      <c r="AN23" s="125">
        <f>AH23*Valores!$C$71</f>
        <v>-37991.004699999998</v>
      </c>
      <c r="AO23" s="125">
        <f>AH23*-Valores!$C$72</f>
        <v>0</v>
      </c>
      <c r="AP23" s="125">
        <f>AH23*Valores!$C$73</f>
        <v>-15541.774649999998</v>
      </c>
      <c r="AQ23" s="125">
        <f>Valores!$C$100</f>
        <v>-280.91000000000003</v>
      </c>
      <c r="AR23" s="125">
        <f>IF($F$5=0,Valores!$C$101,(Valores!$C$101+$F$5*(Valores!$C$101)))</f>
        <v>-385</v>
      </c>
      <c r="AS23" s="125">
        <f t="shared" si="6"/>
        <v>321501.68064999994</v>
      </c>
      <c r="AT23" s="125">
        <f t="shared" si="0"/>
        <v>-37991.004699999998</v>
      </c>
      <c r="AU23" s="125">
        <f>AH23*Valores!$C$74</f>
        <v>-9325.0647899999985</v>
      </c>
      <c r="AV23" s="125">
        <f>AH23*Valores!$C$75</f>
        <v>-1036.1183099999998</v>
      </c>
      <c r="AW23" s="125">
        <f t="shared" si="4"/>
        <v>327348.18219999992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2712.12</v>
      </c>
      <c r="G24" s="192">
        <v>3727</v>
      </c>
      <c r="H24" s="125">
        <f>ROUND(G24*Valores!$C$2,2)</f>
        <v>101080.71</v>
      </c>
      <c r="I24" s="192">
        <v>219</v>
      </c>
      <c r="J24" s="125">
        <f>ROUND(I24*Valores!$C$2,2)</f>
        <v>5939.54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18230.09</v>
      </c>
      <c r="N24" s="125">
        <f t="shared" si="1"/>
        <v>0</v>
      </c>
      <c r="O24" s="125">
        <f>Valores!$C$11</f>
        <v>24183.22</v>
      </c>
      <c r="P24" s="125">
        <f>Valores!$D$5</f>
        <v>13864.36</v>
      </c>
      <c r="Q24" s="125">
        <v>0</v>
      </c>
      <c r="R24" s="125">
        <f>IF($F$4="NO",Valores!$C$46,Valores!$C$46/2)</f>
        <v>11801.55</v>
      </c>
      <c r="S24" s="125">
        <v>0</v>
      </c>
      <c r="T24" s="125">
        <f t="shared" si="7"/>
        <v>0</v>
      </c>
      <c r="U24" s="125">
        <f>SUM(F24,H24,J24)</f>
        <v>109732.37</v>
      </c>
      <c r="V24" s="125">
        <f>INT((SUM(F24,H24,J24)*0.4*100)+0.49)/100</f>
        <v>43892.95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6318.76</v>
      </c>
      <c r="AA24" s="125">
        <f>Valores!$C$25</f>
        <v>567.05999999999995</v>
      </c>
      <c r="AB24" s="214">
        <v>0</v>
      </c>
      <c r="AC24" s="125">
        <f t="shared" si="2"/>
        <v>0</v>
      </c>
      <c r="AD24" s="125">
        <f>Valores!$C$26</f>
        <v>567.05999999999995</v>
      </c>
      <c r="AE24" s="192">
        <v>0</v>
      </c>
      <c r="AF24" s="125">
        <f>ROUND(AE24*Valores!$C$2,2)</f>
        <v>0</v>
      </c>
      <c r="AG24" s="125">
        <f>ROUND(IF($F$4="NO",Valores!$C$63,Valores!$C$63/2),2)</f>
        <v>6482.98</v>
      </c>
      <c r="AH24" s="125">
        <f t="shared" si="5"/>
        <v>345372.76999999996</v>
      </c>
      <c r="AI24" s="125">
        <f>Valores!$C$31</f>
        <v>0</v>
      </c>
      <c r="AJ24" s="125">
        <f>Valores!$C$87</f>
        <v>0</v>
      </c>
      <c r="AK24" s="125">
        <f>Valores!C$38*B24</f>
        <v>30000</v>
      </c>
      <c r="AL24" s="125">
        <f>IF($F$3="NO",0,Valores!$C$55)</f>
        <v>327.60000000000002</v>
      </c>
      <c r="AM24" s="125">
        <f t="shared" si="3"/>
        <v>30327.599999999999</v>
      </c>
      <c r="AN24" s="125">
        <f>AH24*Valores!$C$71</f>
        <v>-37991.004699999998</v>
      </c>
      <c r="AO24" s="125">
        <f>AH24*-Valores!$C$72</f>
        <v>0</v>
      </c>
      <c r="AP24" s="125">
        <f>AH24*Valores!$C$73</f>
        <v>-15541.774649999998</v>
      </c>
      <c r="AQ24" s="125">
        <f>Valores!$C$100</f>
        <v>-280.91000000000003</v>
      </c>
      <c r="AR24" s="125">
        <f>IF($F$5=0,Valores!$C$101,(Valores!$C$101+$F$5*(Valores!$C$101)))</f>
        <v>-385</v>
      </c>
      <c r="AS24" s="125">
        <f t="shared" si="6"/>
        <v>321501.68064999994</v>
      </c>
      <c r="AT24" s="125">
        <f t="shared" si="0"/>
        <v>-37991.004699999998</v>
      </c>
      <c r="AU24" s="125">
        <f>AH24*Valores!$C$74</f>
        <v>-9325.0647899999985</v>
      </c>
      <c r="AV24" s="125">
        <f>AH24*Valores!$C$75</f>
        <v>-1036.1183099999998</v>
      </c>
      <c r="AW24" s="125">
        <f t="shared" si="4"/>
        <v>327348.18219999992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2603.64</v>
      </c>
      <c r="G25" s="192">
        <v>3737</v>
      </c>
      <c r="H25" s="125">
        <f>ROUND(G25*Valores!$C$2,2)</f>
        <v>101351.92</v>
      </c>
      <c r="I25" s="192">
        <v>1220</v>
      </c>
      <c r="J25" s="125">
        <f>ROUND(I25*Valores!$C$2,2)</f>
        <v>33087.86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24665.74</v>
      </c>
      <c r="N25" s="125">
        <f t="shared" si="1"/>
        <v>0</v>
      </c>
      <c r="O25" s="125">
        <f>Valores!$C$12</f>
        <v>55613.13</v>
      </c>
      <c r="P25" s="125">
        <f>Valores!$D$5</f>
        <v>13864.36</v>
      </c>
      <c r="Q25" s="125">
        <v>0</v>
      </c>
      <c r="R25" s="125">
        <f>IF($F$4="NO",Valores!$C$47,Valores!$C$47/2)</f>
        <v>14493.86</v>
      </c>
      <c r="S25" s="125">
        <f>Valores!$C$19</f>
        <v>12901.01</v>
      </c>
      <c r="T25" s="125">
        <f t="shared" si="7"/>
        <v>12901.01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12637.52</v>
      </c>
      <c r="AA25" s="125">
        <f>Valores!$C$25</f>
        <v>567.05999999999995</v>
      </c>
      <c r="AB25" s="214">
        <v>0</v>
      </c>
      <c r="AC25" s="125">
        <f t="shared" si="2"/>
        <v>0</v>
      </c>
      <c r="AD25" s="125">
        <f>Valores!$C$26</f>
        <v>567.05999999999995</v>
      </c>
      <c r="AE25" s="192">
        <v>0</v>
      </c>
      <c r="AF25" s="125">
        <f>ROUND(AE25*Valores!$C$2,2)</f>
        <v>0</v>
      </c>
      <c r="AG25" s="125">
        <f>ROUND(IF($F$4="NO",Valores!$C$63,Valores!$C$63/2),2)</f>
        <v>6482.98</v>
      </c>
      <c r="AH25" s="125">
        <f t="shared" si="5"/>
        <v>278836.13999999996</v>
      </c>
      <c r="AI25" s="125">
        <f>Valores!$C$31</f>
        <v>0</v>
      </c>
      <c r="AJ25" s="125">
        <f>Valores!$C$89</f>
        <v>0</v>
      </c>
      <c r="AK25" s="125">
        <f>Valores!C$38*B25</f>
        <v>30000</v>
      </c>
      <c r="AL25" s="125">
        <f>IF($F$3="NO",0,Valores!$C$55)</f>
        <v>327.60000000000002</v>
      </c>
      <c r="AM25" s="125">
        <f t="shared" si="3"/>
        <v>30327.599999999999</v>
      </c>
      <c r="AN25" s="125">
        <f>AH25*Valores!$C$71</f>
        <v>-30671.975399999996</v>
      </c>
      <c r="AO25" s="125">
        <f>AH25*-Valores!$C$72</f>
        <v>0</v>
      </c>
      <c r="AP25" s="125">
        <f>AH25*Valores!$C$73</f>
        <v>-12547.626299999998</v>
      </c>
      <c r="AQ25" s="125">
        <f>Valores!$C$100</f>
        <v>-280.91000000000003</v>
      </c>
      <c r="AR25" s="125">
        <f>IF($F$5=0,Valores!$C$101,(Valores!$C$101+$F$5*(Valores!$C$101)))</f>
        <v>-385</v>
      </c>
      <c r="AS25" s="125">
        <f t="shared" si="6"/>
        <v>265278.22829999996</v>
      </c>
      <c r="AT25" s="125">
        <f t="shared" si="0"/>
        <v>-30671.975399999996</v>
      </c>
      <c r="AU25" s="125">
        <f>AH25*Valores!$C$74</f>
        <v>-7528.5757799999983</v>
      </c>
      <c r="AV25" s="125">
        <f>AH25*Valores!$C$75</f>
        <v>-836.50841999999989</v>
      </c>
      <c r="AW25" s="125">
        <f t="shared" si="4"/>
        <v>270126.68039999995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2603.64</v>
      </c>
      <c r="G26" s="192">
        <v>3737</v>
      </c>
      <c r="H26" s="125">
        <f>ROUND(G26*Valores!$C$2,2)</f>
        <v>101351.92</v>
      </c>
      <c r="I26" s="192">
        <v>1220</v>
      </c>
      <c r="J26" s="125">
        <f>ROUND(I26*Valores!$C$2,2)</f>
        <v>33087.86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24665.74</v>
      </c>
      <c r="N26" s="125">
        <f t="shared" si="1"/>
        <v>0</v>
      </c>
      <c r="O26" s="125">
        <f>Valores!$C$12</f>
        <v>55613.13</v>
      </c>
      <c r="P26" s="125">
        <f>Valores!$D$5</f>
        <v>13864.36</v>
      </c>
      <c r="Q26" s="125">
        <v>0</v>
      </c>
      <c r="R26" s="125">
        <f>IF($F$4="NO",Valores!$C$47,Valores!$C$47/2)</f>
        <v>14493.86</v>
      </c>
      <c r="S26" s="125">
        <f>Valores!$C$19</f>
        <v>12901.01</v>
      </c>
      <c r="T26" s="125">
        <f t="shared" si="7"/>
        <v>12901.01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12637.52</v>
      </c>
      <c r="AA26" s="125">
        <f>Valores!$C$25</f>
        <v>567.05999999999995</v>
      </c>
      <c r="AB26" s="214">
        <v>0</v>
      </c>
      <c r="AC26" s="125">
        <f t="shared" si="2"/>
        <v>0</v>
      </c>
      <c r="AD26" s="125">
        <f>Valores!$C$26</f>
        <v>567.05999999999995</v>
      </c>
      <c r="AE26" s="192">
        <v>0</v>
      </c>
      <c r="AF26" s="125">
        <f>ROUND(AE26*Valores!$C$2,2)</f>
        <v>0</v>
      </c>
      <c r="AG26" s="125">
        <f>ROUND(IF($F$4="NO",Valores!$C$63,Valores!$C$63/2),2)</f>
        <v>6482.98</v>
      </c>
      <c r="AH26" s="125">
        <f t="shared" si="5"/>
        <v>278836.13999999996</v>
      </c>
      <c r="AI26" s="125">
        <f>Valores!$C$31</f>
        <v>0</v>
      </c>
      <c r="AJ26" s="125">
        <f>Valores!$C$89</f>
        <v>0</v>
      </c>
      <c r="AK26" s="125">
        <f>Valores!C$38*B26</f>
        <v>30000</v>
      </c>
      <c r="AL26" s="125">
        <f>IF($F$3="NO",0,Valores!$C$55)</f>
        <v>327.60000000000002</v>
      </c>
      <c r="AM26" s="125">
        <f t="shared" si="3"/>
        <v>30327.599999999999</v>
      </c>
      <c r="AN26" s="125">
        <f>AH26*Valores!$C$71</f>
        <v>-30671.975399999996</v>
      </c>
      <c r="AO26" s="125">
        <f>AH26*-Valores!$C$72</f>
        <v>0</v>
      </c>
      <c r="AP26" s="125">
        <f>AH26*Valores!$C$73</f>
        <v>-12547.626299999998</v>
      </c>
      <c r="AQ26" s="125">
        <f>Valores!$C$100</f>
        <v>-280.91000000000003</v>
      </c>
      <c r="AR26" s="125">
        <f>IF($F$5=0,Valores!$C$101,(Valores!$C$101+$F$5*(Valores!$C$101)))</f>
        <v>-385</v>
      </c>
      <c r="AS26" s="125">
        <f t="shared" si="6"/>
        <v>265278.22829999996</v>
      </c>
      <c r="AT26" s="125">
        <f t="shared" si="0"/>
        <v>-30671.975399999996</v>
      </c>
      <c r="AU26" s="125">
        <f>AH26*Valores!$C$74</f>
        <v>-7528.5757799999983</v>
      </c>
      <c r="AV26" s="125">
        <f>AH26*Valores!$C$75</f>
        <v>-836.50841999999989</v>
      </c>
      <c r="AW26" s="125">
        <f t="shared" si="4"/>
        <v>270126.68039999995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2603.64</v>
      </c>
      <c r="G27" s="192">
        <v>3737</v>
      </c>
      <c r="H27" s="125">
        <f>ROUND(G27*Valores!$C$2,2)</f>
        <v>101351.92</v>
      </c>
      <c r="I27" s="192">
        <v>1220</v>
      </c>
      <c r="J27" s="125">
        <f>ROUND(I27*Valores!$C$2,2)</f>
        <v>33087.86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24665.74</v>
      </c>
      <c r="N27" s="125">
        <f t="shared" si="1"/>
        <v>0</v>
      </c>
      <c r="O27" s="125">
        <f>Valores!$C$12</f>
        <v>55613.13</v>
      </c>
      <c r="P27" s="125">
        <f>Valores!$D$5</f>
        <v>13864.36</v>
      </c>
      <c r="Q27" s="125">
        <v>0</v>
      </c>
      <c r="R27" s="125">
        <f>IF($F$4="NO",Valores!$C$47,Valores!$C$47/2)</f>
        <v>14493.86</v>
      </c>
      <c r="S27" s="125">
        <f>Valores!$C$19</f>
        <v>12901.01</v>
      </c>
      <c r="T27" s="125">
        <f t="shared" si="7"/>
        <v>12901.01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12637.52</v>
      </c>
      <c r="AA27" s="125">
        <f>Valores!$C$25</f>
        <v>567.05999999999995</v>
      </c>
      <c r="AB27" s="214">
        <v>0</v>
      </c>
      <c r="AC27" s="125">
        <f t="shared" si="2"/>
        <v>0</v>
      </c>
      <c r="AD27" s="125">
        <f>Valores!$C$26</f>
        <v>567.05999999999995</v>
      </c>
      <c r="AE27" s="192">
        <v>0</v>
      </c>
      <c r="AF27" s="125">
        <f>ROUND(AE27*Valores!$C$2,2)</f>
        <v>0</v>
      </c>
      <c r="AG27" s="125">
        <f>ROUND(IF($F$4="NO",Valores!$C$63,Valores!$C$63/2),2)</f>
        <v>6482.98</v>
      </c>
      <c r="AH27" s="125">
        <f t="shared" si="5"/>
        <v>278836.13999999996</v>
      </c>
      <c r="AI27" s="125">
        <f>Valores!$C$31</f>
        <v>0</v>
      </c>
      <c r="AJ27" s="125">
        <f>Valores!$C$89</f>
        <v>0</v>
      </c>
      <c r="AK27" s="125">
        <f>Valores!C$38*B27</f>
        <v>30000</v>
      </c>
      <c r="AL27" s="125">
        <f>IF($F$3="NO",0,Valores!$C$55)</f>
        <v>327.60000000000002</v>
      </c>
      <c r="AM27" s="125">
        <f t="shared" si="3"/>
        <v>30327.599999999999</v>
      </c>
      <c r="AN27" s="125">
        <f>AH27*Valores!$C$71</f>
        <v>-30671.975399999996</v>
      </c>
      <c r="AO27" s="125">
        <f>AH27*-Valores!$C$72</f>
        <v>0</v>
      </c>
      <c r="AP27" s="125">
        <f>AH27*Valores!$C$73</f>
        <v>-12547.626299999998</v>
      </c>
      <c r="AQ27" s="125">
        <f>Valores!$C$100</f>
        <v>-280.91000000000003</v>
      </c>
      <c r="AR27" s="125">
        <f>IF($F$5=0,Valores!$C$101,(Valores!$C$101+$F$5*(Valores!$C$101)))</f>
        <v>-385</v>
      </c>
      <c r="AS27" s="125">
        <f t="shared" si="6"/>
        <v>265278.22829999996</v>
      </c>
      <c r="AT27" s="125">
        <f t="shared" si="0"/>
        <v>-30671.975399999996</v>
      </c>
      <c r="AU27" s="125">
        <f>AH27*Valores!$C$74</f>
        <v>-7528.5757799999983</v>
      </c>
      <c r="AV27" s="125">
        <f>AH27*Valores!$C$75</f>
        <v>-836.50841999999989</v>
      </c>
      <c r="AW27" s="125">
        <f t="shared" si="4"/>
        <v>270126.68039999995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2901.97</v>
      </c>
      <c r="G28" s="192">
        <v>3728</v>
      </c>
      <c r="H28" s="125">
        <f>ROUND(G28*Valores!$C$2,2)</f>
        <v>101107.83</v>
      </c>
      <c r="I28" s="192">
        <v>1218</v>
      </c>
      <c r="J28" s="125">
        <f>ROUND(I28*Valores!$C$2,2)</f>
        <v>33033.620000000003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24665.74</v>
      </c>
      <c r="N28" s="125">
        <f t="shared" si="1"/>
        <v>0</v>
      </c>
      <c r="O28" s="125">
        <f>Valores!$C$12</f>
        <v>55613.13</v>
      </c>
      <c r="P28" s="125">
        <f>Valores!$D$5</f>
        <v>13864.36</v>
      </c>
      <c r="Q28" s="125">
        <v>0</v>
      </c>
      <c r="R28" s="125">
        <f>IF($F$4="NO",Valores!$C$47,Valores!$C$47/2)</f>
        <v>14493.86</v>
      </c>
      <c r="S28" s="125">
        <f>Valores!$C$19</f>
        <v>12901.01</v>
      </c>
      <c r="T28" s="125">
        <f t="shared" si="7"/>
        <v>12901.01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12637.52</v>
      </c>
      <c r="AA28" s="125">
        <f>Valores!$C$25</f>
        <v>567.05999999999995</v>
      </c>
      <c r="AB28" s="214">
        <v>0</v>
      </c>
      <c r="AC28" s="125">
        <f t="shared" si="2"/>
        <v>0</v>
      </c>
      <c r="AD28" s="125">
        <f>Valores!$C$26</f>
        <v>567.05999999999995</v>
      </c>
      <c r="AE28" s="192">
        <v>0</v>
      </c>
      <c r="AF28" s="125">
        <f>ROUND(AE28*Valores!$C$2,2)</f>
        <v>0</v>
      </c>
      <c r="AG28" s="125">
        <f>ROUND(IF($F$4="NO",Valores!$C$63,Valores!$C$63/2),2)</f>
        <v>6482.98</v>
      </c>
      <c r="AH28" s="125">
        <f t="shared" si="5"/>
        <v>278836.14</v>
      </c>
      <c r="AI28" s="125">
        <f>Valores!$C$31</f>
        <v>0</v>
      </c>
      <c r="AJ28" s="125">
        <f>Valores!$C$89</f>
        <v>0</v>
      </c>
      <c r="AK28" s="125">
        <f>Valores!C$38*B28</f>
        <v>30000</v>
      </c>
      <c r="AL28" s="125">
        <f>IF($F$3="NO",0,Valores!$C$55)</f>
        <v>327.60000000000002</v>
      </c>
      <c r="AM28" s="125">
        <f t="shared" si="3"/>
        <v>30327.599999999999</v>
      </c>
      <c r="AN28" s="125">
        <f>AH28*Valores!$C$71</f>
        <v>-30671.975400000003</v>
      </c>
      <c r="AO28" s="125">
        <f>AH28*-Valores!$C$72</f>
        <v>0</v>
      </c>
      <c r="AP28" s="125">
        <f>AH28*Valores!$C$73</f>
        <v>-12547.6263</v>
      </c>
      <c r="AQ28" s="125">
        <f>Valores!$C$100</f>
        <v>-280.91000000000003</v>
      </c>
      <c r="AR28" s="125">
        <f>IF($F$5=0,Valores!$C$101,(Valores!$C$101+$F$5*(Valores!$C$101)))</f>
        <v>-385</v>
      </c>
      <c r="AS28" s="125">
        <f t="shared" si="6"/>
        <v>265278.22830000002</v>
      </c>
      <c r="AT28" s="125">
        <f t="shared" si="0"/>
        <v>-30671.975400000003</v>
      </c>
      <c r="AU28" s="125">
        <f>AH28*Valores!$C$74</f>
        <v>-7528.5757800000001</v>
      </c>
      <c r="AV28" s="125">
        <f>AH28*Valores!$C$75</f>
        <v>-836.50842000000011</v>
      </c>
      <c r="AW28" s="125">
        <f t="shared" si="4"/>
        <v>270126.68040000001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2549.39</v>
      </c>
      <c r="G29" s="192">
        <v>3624</v>
      </c>
      <c r="H29" s="125">
        <f>ROUND(G29*Valores!$C$2,2)</f>
        <v>98287.23</v>
      </c>
      <c r="I29" s="192">
        <v>1219</v>
      </c>
      <c r="J29" s="125">
        <f>ROUND(I29*Valores!$C$2,2)</f>
        <v>33060.74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24193.83</v>
      </c>
      <c r="N29" s="125">
        <f t="shared" si="1"/>
        <v>0</v>
      </c>
      <c r="O29" s="125">
        <f>Valores!$C$12</f>
        <v>55613.13</v>
      </c>
      <c r="P29" s="125">
        <f>Valores!$D$5</f>
        <v>13864.36</v>
      </c>
      <c r="Q29" s="125">
        <v>0</v>
      </c>
      <c r="R29" s="125">
        <f>IF($F$4="NO",Valores!$C$47,Valores!$C$47/2)</f>
        <v>14493.86</v>
      </c>
      <c r="S29" s="125">
        <f>Valores!$C$19</f>
        <v>12901.01</v>
      </c>
      <c r="T29" s="125">
        <f t="shared" si="7"/>
        <v>12901.01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12637.52</v>
      </c>
      <c r="AA29" s="125">
        <f>Valores!$C$25</f>
        <v>567.05999999999995</v>
      </c>
      <c r="AB29" s="214">
        <v>0</v>
      </c>
      <c r="AC29" s="125">
        <f t="shared" si="2"/>
        <v>0</v>
      </c>
      <c r="AD29" s="125">
        <f>Valores!$C$26</f>
        <v>567.05999999999995</v>
      </c>
      <c r="AE29" s="192">
        <v>0</v>
      </c>
      <c r="AF29" s="125">
        <f>ROUND(AE29*Valores!$C$2,2)</f>
        <v>0</v>
      </c>
      <c r="AG29" s="125">
        <f>ROUND(IF($F$4="NO",Valores!$C$63,Valores!$C$63/2),2)</f>
        <v>6482.98</v>
      </c>
      <c r="AH29" s="125">
        <f t="shared" si="5"/>
        <v>275218.17</v>
      </c>
      <c r="AI29" s="125">
        <f>Valores!$C$31</f>
        <v>0</v>
      </c>
      <c r="AJ29" s="125">
        <f>Valores!$C$89</f>
        <v>0</v>
      </c>
      <c r="AK29" s="125">
        <f>Valores!C$38*B29</f>
        <v>30000</v>
      </c>
      <c r="AL29" s="125">
        <f>IF($F$3="NO",0,Valores!$C$55)</f>
        <v>327.60000000000002</v>
      </c>
      <c r="AM29" s="125">
        <f t="shared" si="3"/>
        <v>30327.599999999999</v>
      </c>
      <c r="AN29" s="125">
        <f>AH29*Valores!$C$71</f>
        <v>-30273.9987</v>
      </c>
      <c r="AO29" s="125">
        <f>AH29*-Valores!$C$72</f>
        <v>0</v>
      </c>
      <c r="AP29" s="125">
        <f>AH29*Valores!$C$73</f>
        <v>-12384.817649999999</v>
      </c>
      <c r="AQ29" s="125">
        <f>Valores!$C$100</f>
        <v>-280.91000000000003</v>
      </c>
      <c r="AR29" s="125">
        <f>IF($F$5=0,Valores!$C$101,(Valores!$C$101+$F$5*(Valores!$C$101)))</f>
        <v>-385</v>
      </c>
      <c r="AS29" s="125">
        <f t="shared" si="6"/>
        <v>262221.04365000001</v>
      </c>
      <c r="AT29" s="125">
        <f t="shared" si="0"/>
        <v>-30273.9987</v>
      </c>
      <c r="AU29" s="125">
        <f>AH29*Valores!$C$74</f>
        <v>-7430.8905899999991</v>
      </c>
      <c r="AV29" s="125">
        <f>AH29*Valores!$C$75</f>
        <v>-825.65450999999996</v>
      </c>
      <c r="AW29" s="125">
        <f t="shared" si="4"/>
        <v>267015.22619999998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2522.27</v>
      </c>
      <c r="G30" s="192">
        <v>3627</v>
      </c>
      <c r="H30" s="125">
        <f>ROUND(G30*Valores!$C$2,2)</f>
        <v>98368.59</v>
      </c>
      <c r="I30" s="192">
        <v>210</v>
      </c>
      <c r="J30" s="125">
        <f>ROUND(I30*Valores!$C$2,2)</f>
        <v>5695.45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20097.18</v>
      </c>
      <c r="N30" s="125">
        <f t="shared" si="1"/>
        <v>0</v>
      </c>
      <c r="O30" s="125">
        <f>Valores!$C$12</f>
        <v>55613.13</v>
      </c>
      <c r="P30" s="125">
        <f>Valores!$D$5</f>
        <v>13864.36</v>
      </c>
      <c r="Q30" s="125">
        <v>0</v>
      </c>
      <c r="R30" s="125">
        <f>IF($F$4="NO",Valores!$C$47,Valores!$C$47/2)</f>
        <v>14493.86</v>
      </c>
      <c r="S30" s="125">
        <f>Valores!$C$19</f>
        <v>12901.01</v>
      </c>
      <c r="T30" s="125">
        <f t="shared" si="7"/>
        <v>12901.01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12637.52</v>
      </c>
      <c r="AA30" s="125">
        <f>Valores!$C$25</f>
        <v>567.05999999999995</v>
      </c>
      <c r="AB30" s="214">
        <v>0</v>
      </c>
      <c r="AC30" s="125">
        <f t="shared" si="2"/>
        <v>0</v>
      </c>
      <c r="AD30" s="125">
        <f>Valores!$C$26</f>
        <v>567.05999999999995</v>
      </c>
      <c r="AE30" s="192">
        <v>0</v>
      </c>
      <c r="AF30" s="125">
        <f>ROUND(AE30*Valores!$C$2,2)</f>
        <v>0</v>
      </c>
      <c r="AG30" s="125">
        <f>ROUND(IF($F$4="NO",Valores!$C$63,Valores!$C$63/2),2)</f>
        <v>6482.98</v>
      </c>
      <c r="AH30" s="125">
        <f t="shared" si="5"/>
        <v>243810.46999999997</v>
      </c>
      <c r="AI30" s="125">
        <f>Valores!$C$31</f>
        <v>0</v>
      </c>
      <c r="AJ30" s="125">
        <f>Valores!$C$89</f>
        <v>0</v>
      </c>
      <c r="AK30" s="125">
        <f>Valores!C$38*B30</f>
        <v>30000</v>
      </c>
      <c r="AL30" s="125">
        <f>IF($F$3="NO",0,Valores!$C$55)</f>
        <v>327.60000000000002</v>
      </c>
      <c r="AM30" s="125">
        <f t="shared" si="3"/>
        <v>30327.599999999999</v>
      </c>
      <c r="AN30" s="125">
        <f>AH30*Valores!$C$71</f>
        <v>-26819.151699999999</v>
      </c>
      <c r="AO30" s="125">
        <f>AH30*-Valores!$C$72</f>
        <v>0</v>
      </c>
      <c r="AP30" s="125">
        <f>AH30*Valores!$C$73</f>
        <v>-10971.471149999998</v>
      </c>
      <c r="AQ30" s="125">
        <f>Valores!$C$100</f>
        <v>-280.91000000000003</v>
      </c>
      <c r="AR30" s="125">
        <f>IF($F$5=0,Valores!$C$101,(Valores!$C$101+$F$5*(Valores!$C$101)))</f>
        <v>-385</v>
      </c>
      <c r="AS30" s="125">
        <f t="shared" si="6"/>
        <v>235681.53714999999</v>
      </c>
      <c r="AT30" s="125">
        <f t="shared" si="0"/>
        <v>-26819.151699999999</v>
      </c>
      <c r="AU30" s="125">
        <f>AH30*Valores!$C$74</f>
        <v>-6582.8826899999995</v>
      </c>
      <c r="AV30" s="125">
        <f>AH30*Valores!$C$75</f>
        <v>-731.43140999999991</v>
      </c>
      <c r="AW30" s="125">
        <f t="shared" si="4"/>
        <v>240004.60419999994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2522.27</v>
      </c>
      <c r="G31" s="192">
        <v>3630</v>
      </c>
      <c r="H31" s="125">
        <f>ROUND(G31*Valores!$C$2,2)</f>
        <v>98449.96</v>
      </c>
      <c r="I31" s="192">
        <v>1214</v>
      </c>
      <c r="J31" s="125">
        <f>ROUND(I31*Valores!$C$2,2)</f>
        <v>32925.14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24193.84</v>
      </c>
      <c r="N31" s="125">
        <f t="shared" si="1"/>
        <v>0</v>
      </c>
      <c r="O31" s="125">
        <f>Valores!$C$12</f>
        <v>55613.13</v>
      </c>
      <c r="P31" s="125">
        <f>Valores!$D$5</f>
        <v>13864.36</v>
      </c>
      <c r="Q31" s="125">
        <v>0</v>
      </c>
      <c r="R31" s="125">
        <f>IF($F$4="NO",Valores!$C$47,Valores!$C$47/2)</f>
        <v>14493.86</v>
      </c>
      <c r="S31" s="125">
        <f>Valores!$C$19</f>
        <v>12901.01</v>
      </c>
      <c r="T31" s="125">
        <f t="shared" si="7"/>
        <v>12901.01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12637.52</v>
      </c>
      <c r="AA31" s="125">
        <f>Valores!$C$25</f>
        <v>567.05999999999995</v>
      </c>
      <c r="AB31" s="214">
        <v>0</v>
      </c>
      <c r="AC31" s="125">
        <f t="shared" si="2"/>
        <v>0</v>
      </c>
      <c r="AD31" s="125">
        <f>Valores!$C$26</f>
        <v>567.05999999999995</v>
      </c>
      <c r="AE31" s="192">
        <v>0</v>
      </c>
      <c r="AF31" s="125">
        <f>ROUND(AE31*Valores!$C$2,2)</f>
        <v>0</v>
      </c>
      <c r="AG31" s="125">
        <f>ROUND(IF($F$4="NO",Valores!$C$63,Valores!$C$63/2),2)</f>
        <v>6482.98</v>
      </c>
      <c r="AH31" s="125">
        <f t="shared" si="5"/>
        <v>275218.19</v>
      </c>
      <c r="AI31" s="125">
        <f>Valores!$C$31</f>
        <v>0</v>
      </c>
      <c r="AJ31" s="125">
        <f>Valores!$C$89</f>
        <v>0</v>
      </c>
      <c r="AK31" s="125">
        <f>Valores!C$38*B31</f>
        <v>30000</v>
      </c>
      <c r="AL31" s="125">
        <f>IF($F$3="NO",0,Valores!$C$55)</f>
        <v>327.60000000000002</v>
      </c>
      <c r="AM31" s="125">
        <f t="shared" si="3"/>
        <v>30327.599999999999</v>
      </c>
      <c r="AN31" s="125">
        <f>AH31*Valores!$C$71</f>
        <v>-30274.000899999999</v>
      </c>
      <c r="AO31" s="125">
        <f>AH31*-Valores!$C$72</f>
        <v>0</v>
      </c>
      <c r="AP31" s="125">
        <f>AH31*Valores!$C$73</f>
        <v>-12384.81855</v>
      </c>
      <c r="AQ31" s="125">
        <f>Valores!$C$100</f>
        <v>-280.91000000000003</v>
      </c>
      <c r="AR31" s="125">
        <f>IF($F$5=0,Valores!$C$101,(Valores!$C$101+$F$5*(Valores!$C$101)))</f>
        <v>-385</v>
      </c>
      <c r="AS31" s="125">
        <f t="shared" si="6"/>
        <v>262221.06054999999</v>
      </c>
      <c r="AT31" s="125">
        <f t="shared" si="0"/>
        <v>-30274.000899999999</v>
      </c>
      <c r="AU31" s="125">
        <f>AH31*Valores!$C$74</f>
        <v>-7430.89113</v>
      </c>
      <c r="AV31" s="125">
        <f>AH31*Valores!$C$75</f>
        <v>-825.65457000000004</v>
      </c>
      <c r="AW31" s="125">
        <f t="shared" si="4"/>
        <v>267015.24339999998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2603.64</v>
      </c>
      <c r="G32" s="192">
        <v>3737</v>
      </c>
      <c r="H32" s="125">
        <f>ROUND(G32*Valores!$C$2,2)</f>
        <v>101351.92</v>
      </c>
      <c r="I32" s="192">
        <v>1220</v>
      </c>
      <c r="J32" s="125">
        <f>ROUND(I32*Valores!$C$2,2)</f>
        <v>33087.86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24665.74</v>
      </c>
      <c r="N32" s="125">
        <f t="shared" si="1"/>
        <v>0</v>
      </c>
      <c r="O32" s="125">
        <f>Valores!$C$12</f>
        <v>55613.13</v>
      </c>
      <c r="P32" s="125">
        <f>Valores!$D$5</f>
        <v>13864.36</v>
      </c>
      <c r="Q32" s="125">
        <v>0</v>
      </c>
      <c r="R32" s="125">
        <f>IF($F$4="NO",Valores!$C$47,Valores!$C$47/2)</f>
        <v>14493.86</v>
      </c>
      <c r="S32" s="125">
        <f>Valores!$C$19</f>
        <v>12901.01</v>
      </c>
      <c r="T32" s="125">
        <f t="shared" si="7"/>
        <v>12901.01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22730.59</v>
      </c>
      <c r="Z32" s="125">
        <f>Valores!$C$96</f>
        <v>12637.52</v>
      </c>
      <c r="AA32" s="125">
        <f>Valores!$C$25</f>
        <v>567.05999999999995</v>
      </c>
      <c r="AB32" s="214">
        <v>0</v>
      </c>
      <c r="AC32" s="125">
        <f t="shared" si="2"/>
        <v>0</v>
      </c>
      <c r="AD32" s="125">
        <f>Valores!$C$26</f>
        <v>567.05999999999995</v>
      </c>
      <c r="AE32" s="192">
        <v>0</v>
      </c>
      <c r="AF32" s="125">
        <f>ROUND(AE32*Valores!$C$2,2)</f>
        <v>0</v>
      </c>
      <c r="AG32" s="125">
        <f>ROUND(IF($F$4="NO",Valores!$C$63,Valores!$C$63/2),2)</f>
        <v>6482.98</v>
      </c>
      <c r="AH32" s="125">
        <f t="shared" si="5"/>
        <v>301566.73</v>
      </c>
      <c r="AI32" s="125">
        <f>Valores!$C$31</f>
        <v>0</v>
      </c>
      <c r="AJ32" s="125">
        <f>Valores!$C$89</f>
        <v>0</v>
      </c>
      <c r="AK32" s="125">
        <f>Valores!C$38*B32</f>
        <v>30000</v>
      </c>
      <c r="AL32" s="125">
        <f>IF($F$3="NO",0,Valores!$C$55)</f>
        <v>327.60000000000002</v>
      </c>
      <c r="AM32" s="125">
        <f t="shared" si="3"/>
        <v>30327.599999999999</v>
      </c>
      <c r="AN32" s="125">
        <f>AH32*Valores!$C$71</f>
        <v>-33172.340299999996</v>
      </c>
      <c r="AO32" s="125">
        <f>AH32*-Valores!$C$72</f>
        <v>0</v>
      </c>
      <c r="AP32" s="125">
        <f>AH32*Valores!$C$73</f>
        <v>-13570.502849999999</v>
      </c>
      <c r="AQ32" s="125">
        <f>Valores!$C$100</f>
        <v>-280.91000000000003</v>
      </c>
      <c r="AR32" s="125">
        <f>IF($F$5=0,Valores!$C$101,(Valores!$C$101+$F$5*(Valores!$C$101)))</f>
        <v>-385</v>
      </c>
      <c r="AS32" s="125">
        <f t="shared" si="6"/>
        <v>284485.57685000001</v>
      </c>
      <c r="AT32" s="125">
        <f t="shared" si="0"/>
        <v>-33172.340299999996</v>
      </c>
      <c r="AU32" s="125">
        <f>AH32*Valores!$C$74</f>
        <v>-8142.3017099999997</v>
      </c>
      <c r="AV32" s="125">
        <f>AH32*Valores!$C$75</f>
        <v>-904.70018999999991</v>
      </c>
      <c r="AW32" s="125">
        <f t="shared" si="4"/>
        <v>289674.98779999994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2495.15</v>
      </c>
      <c r="G33" s="192">
        <v>3483</v>
      </c>
      <c r="H33" s="125">
        <f>ROUND(G33*Valores!$C$2,2)</f>
        <v>94463.14</v>
      </c>
      <c r="I33" s="192">
        <v>1217</v>
      </c>
      <c r="J33" s="125">
        <f>ROUND(I33*Valores!$C$2,2)</f>
        <v>33006.5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23603.95</v>
      </c>
      <c r="N33" s="125">
        <f t="shared" si="1"/>
        <v>0</v>
      </c>
      <c r="O33" s="125">
        <f>Valores!$C$12</f>
        <v>55613.13</v>
      </c>
      <c r="P33" s="125">
        <f>Valores!$D$5</f>
        <v>13864.36</v>
      </c>
      <c r="Q33" s="125">
        <v>0</v>
      </c>
      <c r="R33" s="125">
        <f>IF($F$4="NO",Valores!$C$47,Valores!$C$47/2)</f>
        <v>14493.86</v>
      </c>
      <c r="S33" s="125">
        <f>Valores!$C$19</f>
        <v>12901.01</v>
      </c>
      <c r="T33" s="125">
        <f t="shared" si="7"/>
        <v>12901.01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12637.52</v>
      </c>
      <c r="AA33" s="125">
        <f>Valores!$C$25</f>
        <v>567.05999999999995</v>
      </c>
      <c r="AB33" s="214">
        <v>0</v>
      </c>
      <c r="AC33" s="125">
        <f t="shared" si="2"/>
        <v>0</v>
      </c>
      <c r="AD33" s="125">
        <f>Valores!$C$26</f>
        <v>567.05999999999995</v>
      </c>
      <c r="AE33" s="192">
        <v>0</v>
      </c>
      <c r="AF33" s="125">
        <f>ROUND(AE33*Valores!$C$2,2)</f>
        <v>0</v>
      </c>
      <c r="AG33" s="125">
        <f>ROUND(IF($F$4="NO",Valores!$C$63,Valores!$C$63/2),2)</f>
        <v>6482.98</v>
      </c>
      <c r="AH33" s="125">
        <f t="shared" si="5"/>
        <v>270695.71999999997</v>
      </c>
      <c r="AI33" s="125">
        <f>Valores!$C$31</f>
        <v>0</v>
      </c>
      <c r="AJ33" s="125">
        <f>Valores!$C$89</f>
        <v>0</v>
      </c>
      <c r="AK33" s="125">
        <f>Valores!C$38*B33</f>
        <v>30000</v>
      </c>
      <c r="AL33" s="125">
        <f>IF($F$3="NO",0,Valores!$C$55)</f>
        <v>327.60000000000002</v>
      </c>
      <c r="AM33" s="125">
        <f t="shared" si="3"/>
        <v>30327.599999999999</v>
      </c>
      <c r="AN33" s="125">
        <f>AH33*Valores!$C$71</f>
        <v>-29776.529199999997</v>
      </c>
      <c r="AO33" s="125">
        <f>AH33*-Valores!$C$72</f>
        <v>0</v>
      </c>
      <c r="AP33" s="125">
        <f>AH33*Valores!$C$73</f>
        <v>-12181.307399999998</v>
      </c>
      <c r="AQ33" s="125">
        <f>Valores!$C$100</f>
        <v>-280.91000000000003</v>
      </c>
      <c r="AR33" s="125">
        <f>IF($F$5=0,Valores!$C$101,(Valores!$C$101+$F$5*(Valores!$C$101)))</f>
        <v>-385</v>
      </c>
      <c r="AS33" s="125">
        <f t="shared" si="6"/>
        <v>258399.57339999996</v>
      </c>
      <c r="AT33" s="125">
        <f t="shared" si="0"/>
        <v>-29776.529199999997</v>
      </c>
      <c r="AU33" s="125">
        <f>AH33*Valores!$C$74</f>
        <v>-7308.7844399999994</v>
      </c>
      <c r="AV33" s="125">
        <f>AH33*Valores!$C$75</f>
        <v>-812.08715999999993</v>
      </c>
      <c r="AW33" s="125">
        <f t="shared" si="4"/>
        <v>263125.91919999995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2305.3000000000002</v>
      </c>
      <c r="G34" s="192">
        <v>3498</v>
      </c>
      <c r="H34" s="125">
        <f>ROUND(G34*Valores!$C$2,2)</f>
        <v>94869.96</v>
      </c>
      <c r="I34" s="192">
        <v>1209</v>
      </c>
      <c r="J34" s="125">
        <f>ROUND(I34*Valores!$C$2,2)</f>
        <v>32789.53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23603.95</v>
      </c>
      <c r="N34" s="125">
        <f t="shared" si="1"/>
        <v>0</v>
      </c>
      <c r="O34" s="125">
        <f>Valores!$C$12</f>
        <v>55613.13</v>
      </c>
      <c r="P34" s="125">
        <f>Valores!$D$5</f>
        <v>13864.36</v>
      </c>
      <c r="Q34" s="125">
        <v>0</v>
      </c>
      <c r="R34" s="125">
        <f>IF($F$4="NO",Valores!$C$47,Valores!$C$47/2)</f>
        <v>14493.86</v>
      </c>
      <c r="S34" s="125">
        <f>Valores!$C$19</f>
        <v>12901.01</v>
      </c>
      <c r="T34" s="125">
        <f t="shared" si="7"/>
        <v>12901.01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12637.52</v>
      </c>
      <c r="AA34" s="125">
        <f>Valores!$C$25</f>
        <v>567.05999999999995</v>
      </c>
      <c r="AB34" s="214">
        <v>0</v>
      </c>
      <c r="AC34" s="125">
        <f t="shared" si="2"/>
        <v>0</v>
      </c>
      <c r="AD34" s="125">
        <f>Valores!$C$26</f>
        <v>567.05999999999995</v>
      </c>
      <c r="AE34" s="192">
        <v>0</v>
      </c>
      <c r="AF34" s="125">
        <f>ROUND(AE34*Valores!$C$2,2)</f>
        <v>0</v>
      </c>
      <c r="AG34" s="125">
        <f>ROUND(IF($F$4="NO",Valores!$C$63,Valores!$C$63/2),2)</f>
        <v>6482.98</v>
      </c>
      <c r="AH34" s="125">
        <f t="shared" si="5"/>
        <v>270695.72000000003</v>
      </c>
      <c r="AI34" s="125">
        <f>Valores!$C$31</f>
        <v>0</v>
      </c>
      <c r="AJ34" s="125">
        <f>Valores!$C$89</f>
        <v>0</v>
      </c>
      <c r="AK34" s="125">
        <f>Valores!C$38*B34</f>
        <v>30000</v>
      </c>
      <c r="AL34" s="125">
        <f>IF($F$3="NO",0,Valores!$C$55)</f>
        <v>327.60000000000002</v>
      </c>
      <c r="AM34" s="125">
        <f t="shared" si="3"/>
        <v>30327.599999999999</v>
      </c>
      <c r="AN34" s="125">
        <f>AH34*Valores!$C$71</f>
        <v>-29776.529200000004</v>
      </c>
      <c r="AO34" s="125">
        <f>AH34*-Valores!$C$72</f>
        <v>0</v>
      </c>
      <c r="AP34" s="125">
        <f>AH34*Valores!$C$73</f>
        <v>-12181.307400000002</v>
      </c>
      <c r="AQ34" s="125">
        <f>Valores!$C$100</f>
        <v>-280.91000000000003</v>
      </c>
      <c r="AR34" s="125">
        <f>IF($F$5=0,Valores!$C$101,(Valores!$C$101+$F$5*(Valores!$C$101)))</f>
        <v>-385</v>
      </c>
      <c r="AS34" s="125">
        <f t="shared" si="6"/>
        <v>258399.57340000002</v>
      </c>
      <c r="AT34" s="125">
        <f t="shared" si="0"/>
        <v>-29776.529200000004</v>
      </c>
      <c r="AU34" s="125">
        <f>AH34*Valores!$C$74</f>
        <v>-7308.7844400000004</v>
      </c>
      <c r="AV34" s="125">
        <f>AH34*Valores!$C$75</f>
        <v>-812.08716000000015</v>
      </c>
      <c r="AW34" s="125">
        <f t="shared" si="4"/>
        <v>263125.9192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2495.15</v>
      </c>
      <c r="G35" s="192">
        <v>3483</v>
      </c>
      <c r="H35" s="125">
        <f>ROUND(G35*Valores!$C$2,2)</f>
        <v>94463.14</v>
      </c>
      <c r="I35" s="192">
        <v>1217</v>
      </c>
      <c r="J35" s="125">
        <f>ROUND(I35*Valores!$C$2,2)</f>
        <v>33006.5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23603.95</v>
      </c>
      <c r="N35" s="125">
        <f t="shared" si="1"/>
        <v>0</v>
      </c>
      <c r="O35" s="125">
        <f>Valores!$C$12</f>
        <v>55613.13</v>
      </c>
      <c r="P35" s="125">
        <f>Valores!$D$5</f>
        <v>13864.36</v>
      </c>
      <c r="Q35" s="125">
        <v>0</v>
      </c>
      <c r="R35" s="125">
        <f>IF($F$4="NO",Valores!$C$47,Valores!$C$47/2)</f>
        <v>14493.86</v>
      </c>
      <c r="S35" s="125">
        <f>Valores!$C$19</f>
        <v>12901.01</v>
      </c>
      <c r="T35" s="125">
        <f t="shared" si="7"/>
        <v>12901.01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12637.52</v>
      </c>
      <c r="AA35" s="125">
        <f>Valores!$C$25</f>
        <v>567.05999999999995</v>
      </c>
      <c r="AB35" s="214">
        <v>0</v>
      </c>
      <c r="AC35" s="125">
        <f t="shared" si="2"/>
        <v>0</v>
      </c>
      <c r="AD35" s="125">
        <f>Valores!$C$26</f>
        <v>567.05999999999995</v>
      </c>
      <c r="AE35" s="192">
        <v>0</v>
      </c>
      <c r="AF35" s="125">
        <f>ROUND(AE35*Valores!$C$2,2)</f>
        <v>0</v>
      </c>
      <c r="AG35" s="125">
        <f>ROUND(IF($F$4="NO",Valores!$C$63,Valores!$C$63/2),2)</f>
        <v>6482.98</v>
      </c>
      <c r="AH35" s="125">
        <f t="shared" si="5"/>
        <v>270695.71999999997</v>
      </c>
      <c r="AI35" s="125">
        <f>Valores!$C$31</f>
        <v>0</v>
      </c>
      <c r="AJ35" s="125">
        <f>Valores!$C$89</f>
        <v>0</v>
      </c>
      <c r="AK35" s="125">
        <f>Valores!C$38*B35</f>
        <v>30000</v>
      </c>
      <c r="AL35" s="125">
        <f>IF($F$3="NO",0,Valores!$C$55)</f>
        <v>327.60000000000002</v>
      </c>
      <c r="AM35" s="125">
        <f t="shared" si="3"/>
        <v>30327.599999999999</v>
      </c>
      <c r="AN35" s="125">
        <f>AH35*Valores!$C$71</f>
        <v>-29776.529199999997</v>
      </c>
      <c r="AO35" s="125">
        <f>AH35*-Valores!$C$72</f>
        <v>0</v>
      </c>
      <c r="AP35" s="125">
        <f>AH35*Valores!$C$73</f>
        <v>-12181.307399999998</v>
      </c>
      <c r="AQ35" s="125">
        <f>Valores!$C$100</f>
        <v>-280.91000000000003</v>
      </c>
      <c r="AR35" s="125">
        <f>IF($F$5=0,Valores!$C$101,(Valores!$C$101+$F$5*(Valores!$C$101)))</f>
        <v>-385</v>
      </c>
      <c r="AS35" s="125">
        <f t="shared" si="6"/>
        <v>258399.57339999996</v>
      </c>
      <c r="AT35" s="125">
        <f t="shared" si="0"/>
        <v>-29776.529199999997</v>
      </c>
      <c r="AU35" s="125">
        <f>AH35*Valores!$C$74</f>
        <v>-7308.7844399999994</v>
      </c>
      <c r="AV35" s="125">
        <f>AH35*Valores!$C$75</f>
        <v>-812.08715999999993</v>
      </c>
      <c r="AW35" s="125">
        <f t="shared" si="4"/>
        <v>263125.91919999995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2305.3000000000002</v>
      </c>
      <c r="G36" s="192">
        <v>3498</v>
      </c>
      <c r="H36" s="125">
        <f>ROUND(G36*Valores!$C$2,2)</f>
        <v>94869.96</v>
      </c>
      <c r="I36" s="192">
        <v>1209</v>
      </c>
      <c r="J36" s="125">
        <f>ROUND(I36*Valores!$C$2,2)</f>
        <v>32789.53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23603.95</v>
      </c>
      <c r="N36" s="125">
        <f t="shared" si="1"/>
        <v>0</v>
      </c>
      <c r="O36" s="125">
        <f>Valores!$C$12</f>
        <v>55613.13</v>
      </c>
      <c r="P36" s="125">
        <f>Valores!$D$5</f>
        <v>13864.36</v>
      </c>
      <c r="Q36" s="125">
        <v>0</v>
      </c>
      <c r="R36" s="125">
        <f>IF($F$4="NO",Valores!$C$47,Valores!$C$47/2)</f>
        <v>14493.86</v>
      </c>
      <c r="S36" s="125">
        <f>Valores!$C$19</f>
        <v>12901.01</v>
      </c>
      <c r="T36" s="125">
        <f t="shared" si="7"/>
        <v>12901.01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12637.52</v>
      </c>
      <c r="AA36" s="125">
        <f>Valores!$C$25</f>
        <v>567.05999999999995</v>
      </c>
      <c r="AB36" s="214">
        <v>0</v>
      </c>
      <c r="AC36" s="125">
        <f t="shared" si="2"/>
        <v>0</v>
      </c>
      <c r="AD36" s="125">
        <f>Valores!$C$26</f>
        <v>567.05999999999995</v>
      </c>
      <c r="AE36" s="192">
        <v>0</v>
      </c>
      <c r="AF36" s="125">
        <f>ROUND(AE36*Valores!$C$2,2)</f>
        <v>0</v>
      </c>
      <c r="AG36" s="125">
        <f>ROUND(IF($F$4="NO",Valores!$C$63,Valores!$C$63/2),2)</f>
        <v>6482.98</v>
      </c>
      <c r="AH36" s="125">
        <f t="shared" si="5"/>
        <v>270695.72000000003</v>
      </c>
      <c r="AI36" s="125">
        <f>Valores!$C$31</f>
        <v>0</v>
      </c>
      <c r="AJ36" s="125">
        <f>Valores!$C$89</f>
        <v>0</v>
      </c>
      <c r="AK36" s="125">
        <f>Valores!C$38*B36</f>
        <v>30000</v>
      </c>
      <c r="AL36" s="125">
        <f>IF($F$3="NO",0,Valores!$C$55)</f>
        <v>327.60000000000002</v>
      </c>
      <c r="AM36" s="125">
        <f t="shared" si="3"/>
        <v>30327.599999999999</v>
      </c>
      <c r="AN36" s="125">
        <f>AH36*Valores!$C$71</f>
        <v>-29776.529200000004</v>
      </c>
      <c r="AO36" s="125">
        <f>AH36*-Valores!$C$72</f>
        <v>0</v>
      </c>
      <c r="AP36" s="125">
        <f>AH36*Valores!$C$73</f>
        <v>-12181.307400000002</v>
      </c>
      <c r="AQ36" s="125">
        <f>Valores!$C$100</f>
        <v>-280.91000000000003</v>
      </c>
      <c r="AR36" s="125">
        <f>IF($F$5=0,Valores!$C$101,(Valores!$C$101+$F$5*(Valores!$C$101)))</f>
        <v>-385</v>
      </c>
      <c r="AS36" s="125">
        <f t="shared" si="6"/>
        <v>258399.57340000002</v>
      </c>
      <c r="AT36" s="125">
        <f t="shared" si="0"/>
        <v>-29776.529200000004</v>
      </c>
      <c r="AU36" s="125">
        <f>AH36*Valores!$C$74</f>
        <v>-7308.7844400000004</v>
      </c>
      <c r="AV36" s="125">
        <f>AH36*Valores!$C$75</f>
        <v>-812.08716000000015</v>
      </c>
      <c r="AW36" s="125">
        <f t="shared" si="4"/>
        <v>263125.9192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2495.15</v>
      </c>
      <c r="G37" s="192">
        <v>3483</v>
      </c>
      <c r="H37" s="125">
        <f>ROUND(G37*Valores!$C$2,2)</f>
        <v>94463.14</v>
      </c>
      <c r="I37" s="192">
        <v>1217</v>
      </c>
      <c r="J37" s="125">
        <f>ROUND(I37*Valores!$C$2,2)</f>
        <v>33006.5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23603.95</v>
      </c>
      <c r="N37" s="125">
        <f t="shared" si="1"/>
        <v>0</v>
      </c>
      <c r="O37" s="125">
        <f>Valores!$C$12</f>
        <v>55613.13</v>
      </c>
      <c r="P37" s="125">
        <f>Valores!$D$5</f>
        <v>13864.36</v>
      </c>
      <c r="Q37" s="125">
        <v>0</v>
      </c>
      <c r="R37" s="125">
        <f>IF($F$4="NO",Valores!$C$47,Valores!$C$47/2)</f>
        <v>14493.86</v>
      </c>
      <c r="S37" s="125">
        <f>Valores!$C$19</f>
        <v>12901.01</v>
      </c>
      <c r="T37" s="125">
        <f t="shared" si="7"/>
        <v>12901.01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21668.799999999999</v>
      </c>
      <c r="Z37" s="125">
        <f>Valores!$C$96</f>
        <v>12637.52</v>
      </c>
      <c r="AA37" s="125">
        <f>Valores!$C$25</f>
        <v>567.05999999999995</v>
      </c>
      <c r="AB37" s="214">
        <v>0</v>
      </c>
      <c r="AC37" s="125">
        <f t="shared" si="2"/>
        <v>0</v>
      </c>
      <c r="AD37" s="125">
        <f>Valores!$C$26</f>
        <v>567.05999999999995</v>
      </c>
      <c r="AE37" s="192">
        <v>0</v>
      </c>
      <c r="AF37" s="125">
        <f>ROUND(AE37*Valores!$C$2,2)</f>
        <v>0</v>
      </c>
      <c r="AG37" s="125">
        <f>ROUND(IF($F$4="NO",Valores!$C$63,Valores!$C$63/2),2)</f>
        <v>6482.98</v>
      </c>
      <c r="AH37" s="125">
        <f t="shared" si="5"/>
        <v>292364.51999999996</v>
      </c>
      <c r="AI37" s="125">
        <f>Valores!$C$31</f>
        <v>0</v>
      </c>
      <c r="AJ37" s="125">
        <f>Valores!$C$89</f>
        <v>0</v>
      </c>
      <c r="AK37" s="125">
        <f>Valores!C$38*B37</f>
        <v>30000</v>
      </c>
      <c r="AL37" s="125">
        <f>IF($F$3="NO",0,Valores!$C$55)</f>
        <v>327.60000000000002</v>
      </c>
      <c r="AM37" s="125">
        <f t="shared" si="3"/>
        <v>30327.599999999999</v>
      </c>
      <c r="AN37" s="125">
        <f>AH37*Valores!$C$71</f>
        <v>-32160.097199999997</v>
      </c>
      <c r="AO37" s="125">
        <f>AH37*-Valores!$C$72</f>
        <v>0</v>
      </c>
      <c r="AP37" s="125">
        <f>AH37*Valores!$C$73</f>
        <v>-13156.403399999997</v>
      </c>
      <c r="AQ37" s="125">
        <f>Valores!$C$100</f>
        <v>-280.91000000000003</v>
      </c>
      <c r="AR37" s="125">
        <f>IF($F$5=0,Valores!$C$101,(Valores!$C$101+$F$5*(Valores!$C$101)))</f>
        <v>-385</v>
      </c>
      <c r="AS37" s="125">
        <f t="shared" si="6"/>
        <v>276709.70939999999</v>
      </c>
      <c r="AT37" s="125">
        <f t="shared" si="0"/>
        <v>-32160.097199999997</v>
      </c>
      <c r="AU37" s="125">
        <f>AH37*Valores!$C$74</f>
        <v>-7893.8420399999986</v>
      </c>
      <c r="AV37" s="125">
        <f>AH37*Valores!$C$75</f>
        <v>-877.09355999999991</v>
      </c>
      <c r="AW37" s="125">
        <f t="shared" si="4"/>
        <v>281761.08719999995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2305.3000000000002</v>
      </c>
      <c r="G38" s="192">
        <v>3498</v>
      </c>
      <c r="H38" s="125">
        <f>ROUND(G38*Valores!$C$2,2)</f>
        <v>94869.96</v>
      </c>
      <c r="I38" s="192">
        <v>202</v>
      </c>
      <c r="J38" s="125">
        <f>ROUND(I38*Valores!$C$2,2)</f>
        <v>5478.48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19507.29</v>
      </c>
      <c r="N38" s="125">
        <f t="shared" si="1"/>
        <v>0</v>
      </c>
      <c r="O38" s="125">
        <f>Valores!$C$12</f>
        <v>55613.13</v>
      </c>
      <c r="P38" s="125">
        <f>Valores!$D$5</f>
        <v>13864.36</v>
      </c>
      <c r="Q38" s="125">
        <v>0</v>
      </c>
      <c r="R38" s="125">
        <f>IF($F$4="NO",Valores!$C$47,Valores!$C$47/2)</f>
        <v>14493.86</v>
      </c>
      <c r="S38" s="125">
        <f>Valores!$C$19</f>
        <v>12901.01</v>
      </c>
      <c r="T38" s="125">
        <f t="shared" si="7"/>
        <v>12901.01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12637.52</v>
      </c>
      <c r="AA38" s="125">
        <f>Valores!$C$25</f>
        <v>567.05999999999995</v>
      </c>
      <c r="AB38" s="214">
        <v>0</v>
      </c>
      <c r="AC38" s="125">
        <f t="shared" si="2"/>
        <v>0</v>
      </c>
      <c r="AD38" s="125">
        <f>Valores!$C$26</f>
        <v>567.05999999999995</v>
      </c>
      <c r="AE38" s="192">
        <v>0</v>
      </c>
      <c r="AF38" s="125">
        <f>ROUND(AE38*Valores!$C$2,2)</f>
        <v>0</v>
      </c>
      <c r="AG38" s="125">
        <f>ROUND(IF($F$4="NO",Valores!$C$63,Valores!$C$63/2),2)</f>
        <v>6482.98</v>
      </c>
      <c r="AH38" s="125">
        <f t="shared" si="5"/>
        <v>239288.01</v>
      </c>
      <c r="AI38" s="125">
        <f>Valores!$C$31</f>
        <v>0</v>
      </c>
      <c r="AJ38" s="125">
        <f>Valores!$C$89</f>
        <v>0</v>
      </c>
      <c r="AK38" s="125">
        <f>Valores!C$38*B38</f>
        <v>30000</v>
      </c>
      <c r="AL38" s="125">
        <f>IF($F$3="NO",0,Valores!$C$55)</f>
        <v>327.60000000000002</v>
      </c>
      <c r="AM38" s="125">
        <f t="shared" si="3"/>
        <v>30327.599999999999</v>
      </c>
      <c r="AN38" s="125">
        <f>AH38*Valores!$C$71</f>
        <v>-26321.681100000002</v>
      </c>
      <c r="AO38" s="125">
        <f>AH38*-Valores!$C$72</f>
        <v>0</v>
      </c>
      <c r="AP38" s="125">
        <f>AH38*Valores!$C$73</f>
        <v>-10767.96045</v>
      </c>
      <c r="AQ38" s="125">
        <f>Valores!$C$100</f>
        <v>-280.91000000000003</v>
      </c>
      <c r="AR38" s="125">
        <f>IF($F$5=0,Valores!$C$101,(Valores!$C$101+$F$5*(Valores!$C$101)))</f>
        <v>-385</v>
      </c>
      <c r="AS38" s="125">
        <f t="shared" si="6"/>
        <v>231860.05845000001</v>
      </c>
      <c r="AT38" s="125">
        <f t="shared" si="0"/>
        <v>-26321.681100000002</v>
      </c>
      <c r="AU38" s="125">
        <f>AH38*Valores!$C$74</f>
        <v>-6460.7762700000003</v>
      </c>
      <c r="AV38" s="125">
        <f>AH38*Valores!$C$75</f>
        <v>-717.86403000000007</v>
      </c>
      <c r="AW38" s="125">
        <f t="shared" si="4"/>
        <v>236115.28859999997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2305.3000000000002</v>
      </c>
      <c r="G39" s="192">
        <v>3498</v>
      </c>
      <c r="H39" s="125">
        <f>ROUND(G39*Valores!$C$2,2)</f>
        <v>94869.96</v>
      </c>
      <c r="I39" s="192">
        <v>1209</v>
      </c>
      <c r="J39" s="125">
        <f>ROUND(I39*Valores!$C$2,2)</f>
        <v>32789.53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23603.95</v>
      </c>
      <c r="N39" s="125">
        <f t="shared" si="1"/>
        <v>0</v>
      </c>
      <c r="O39" s="125">
        <f>Valores!$C$12</f>
        <v>55613.13</v>
      </c>
      <c r="P39" s="125">
        <f>Valores!$D$5</f>
        <v>13864.36</v>
      </c>
      <c r="Q39" s="125">
        <v>0</v>
      </c>
      <c r="R39" s="125">
        <f>IF($F$4="NO",Valores!$C$47,Valores!$C$47/2)</f>
        <v>14493.86</v>
      </c>
      <c r="S39" s="125">
        <f>Valores!$C$19</f>
        <v>12901.01</v>
      </c>
      <c r="T39" s="125">
        <f t="shared" si="7"/>
        <v>12901.01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12637.52</v>
      </c>
      <c r="AA39" s="125">
        <f>Valores!$C$25</f>
        <v>567.05999999999995</v>
      </c>
      <c r="AB39" s="214">
        <v>0</v>
      </c>
      <c r="AC39" s="125">
        <f t="shared" si="2"/>
        <v>0</v>
      </c>
      <c r="AD39" s="125">
        <f>Valores!$C$26</f>
        <v>567.05999999999995</v>
      </c>
      <c r="AE39" s="192">
        <v>0</v>
      </c>
      <c r="AF39" s="125">
        <f>ROUND(AE39*Valores!$C$2,2)</f>
        <v>0</v>
      </c>
      <c r="AG39" s="125">
        <f>ROUND(IF($F$4="NO",Valores!$C$63,Valores!$C$63/2),2)</f>
        <v>6482.98</v>
      </c>
      <c r="AH39" s="125">
        <f t="shared" si="5"/>
        <v>270695.72000000003</v>
      </c>
      <c r="AI39" s="125">
        <f>Valores!$C$31</f>
        <v>0</v>
      </c>
      <c r="AJ39" s="125">
        <f>Valores!$C$89</f>
        <v>0</v>
      </c>
      <c r="AK39" s="125">
        <f>Valores!C$38*B39</f>
        <v>30000</v>
      </c>
      <c r="AL39" s="125">
        <f>IF($F$3="NO",0,Valores!$C$55)</f>
        <v>327.60000000000002</v>
      </c>
      <c r="AM39" s="125">
        <f t="shared" si="3"/>
        <v>30327.599999999999</v>
      </c>
      <c r="AN39" s="125">
        <f>AH39*Valores!$C$71</f>
        <v>-29776.529200000004</v>
      </c>
      <c r="AO39" s="125">
        <f>AH39*-Valores!$C$72</f>
        <v>0</v>
      </c>
      <c r="AP39" s="125">
        <f>AH39*Valores!$C$73</f>
        <v>-12181.307400000002</v>
      </c>
      <c r="AQ39" s="125">
        <f>Valores!$C$100</f>
        <v>-280.91000000000003</v>
      </c>
      <c r="AR39" s="125">
        <f>IF($F$5=0,Valores!$C$101,(Valores!$C$101+$F$5*(Valores!$C$101)))</f>
        <v>-385</v>
      </c>
      <c r="AS39" s="125">
        <f t="shared" si="6"/>
        <v>258399.57340000002</v>
      </c>
      <c r="AT39" s="125">
        <f t="shared" si="0"/>
        <v>-29776.529200000004</v>
      </c>
      <c r="AU39" s="125">
        <f>AH39*Valores!$C$74</f>
        <v>-7308.7844400000004</v>
      </c>
      <c r="AV39" s="125">
        <f>AH39*Valores!$C$75</f>
        <v>-812.08716000000015</v>
      </c>
      <c r="AW39" s="125">
        <f t="shared" si="4"/>
        <v>263125.9192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2305.3000000000002</v>
      </c>
      <c r="G40" s="192">
        <v>3498</v>
      </c>
      <c r="H40" s="125">
        <f>ROUND(G40*Valores!$C$2,2)</f>
        <v>94869.96</v>
      </c>
      <c r="I40" s="192">
        <v>1209</v>
      </c>
      <c r="J40" s="125">
        <f>ROUND(I40*Valores!$C$2,2)</f>
        <v>32789.53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23603.95</v>
      </c>
      <c r="N40" s="125">
        <f t="shared" si="1"/>
        <v>0</v>
      </c>
      <c r="O40" s="125">
        <f>Valores!$C$12</f>
        <v>55613.13</v>
      </c>
      <c r="P40" s="125">
        <f>Valores!$D$5</f>
        <v>13864.36</v>
      </c>
      <c r="Q40" s="125">
        <v>0</v>
      </c>
      <c r="R40" s="125">
        <f>IF($F$4="NO",Valores!$C$47,Valores!$C$47/2)</f>
        <v>14493.86</v>
      </c>
      <c r="S40" s="125">
        <f>Valores!$C$19</f>
        <v>12901.01</v>
      </c>
      <c r="T40" s="125">
        <f t="shared" si="7"/>
        <v>12901.01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12637.52</v>
      </c>
      <c r="AA40" s="125">
        <f>Valores!$C$25</f>
        <v>567.05999999999995</v>
      </c>
      <c r="AB40" s="214">
        <v>0</v>
      </c>
      <c r="AC40" s="125">
        <f t="shared" si="2"/>
        <v>0</v>
      </c>
      <c r="AD40" s="125">
        <f>Valores!$C$26</f>
        <v>567.05999999999995</v>
      </c>
      <c r="AE40" s="192">
        <v>0</v>
      </c>
      <c r="AF40" s="125">
        <f>ROUND(AE40*Valores!$C$2,2)</f>
        <v>0</v>
      </c>
      <c r="AG40" s="125">
        <f>ROUND(IF($F$4="NO",Valores!$C$63,Valores!$C$63/2),2)</f>
        <v>6482.98</v>
      </c>
      <c r="AH40" s="125">
        <f t="shared" si="5"/>
        <v>270695.72000000003</v>
      </c>
      <c r="AI40" s="125">
        <f>Valores!$C$31</f>
        <v>0</v>
      </c>
      <c r="AJ40" s="125">
        <f>Valores!$C$89</f>
        <v>0</v>
      </c>
      <c r="AK40" s="125">
        <f>Valores!C$38*B40</f>
        <v>30000</v>
      </c>
      <c r="AL40" s="125">
        <f>IF($F$3="NO",0,Valores!$C$55)</f>
        <v>327.60000000000002</v>
      </c>
      <c r="AM40" s="125">
        <f t="shared" si="3"/>
        <v>30327.599999999999</v>
      </c>
      <c r="AN40" s="125">
        <f>AH40*Valores!$C$71</f>
        <v>-29776.529200000004</v>
      </c>
      <c r="AO40" s="125">
        <f>AH40*-Valores!$C$72</f>
        <v>0</v>
      </c>
      <c r="AP40" s="125">
        <f>AH40*Valores!$C$73</f>
        <v>-12181.307400000002</v>
      </c>
      <c r="AQ40" s="125">
        <f>Valores!$C$100</f>
        <v>-280.91000000000003</v>
      </c>
      <c r="AR40" s="125">
        <f>IF($F$5=0,Valores!$C$101,(Valores!$C$101+$F$5*(Valores!$C$101)))</f>
        <v>-385</v>
      </c>
      <c r="AS40" s="125">
        <f t="shared" si="6"/>
        <v>258399.57340000002</v>
      </c>
      <c r="AT40" s="125">
        <f t="shared" si="0"/>
        <v>-29776.529200000004</v>
      </c>
      <c r="AU40" s="125">
        <f>AH40*Valores!$C$74</f>
        <v>-7308.7844400000004</v>
      </c>
      <c r="AV40" s="125">
        <f>AH40*Valores!$C$75</f>
        <v>-812.08716000000015</v>
      </c>
      <c r="AW40" s="125">
        <f t="shared" si="4"/>
        <v>263125.9192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2739.24</v>
      </c>
      <c r="G41" s="192">
        <v>2548</v>
      </c>
      <c r="H41" s="125">
        <f>ROUND(G41*Valores!$C$2,2)</f>
        <v>69104.820000000007</v>
      </c>
      <c r="I41" s="192">
        <v>216</v>
      </c>
      <c r="J41" s="125">
        <f>ROUND(I41*Valores!$C$2,2)</f>
        <v>5858.18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15360.72</v>
      </c>
      <c r="N41" s="125">
        <f t="shared" si="1"/>
        <v>0</v>
      </c>
      <c r="O41" s="125">
        <f>Valores!$C$9</f>
        <v>29939.09</v>
      </c>
      <c r="P41" s="125">
        <f>Valores!$D$5</f>
        <v>13864.36</v>
      </c>
      <c r="Q41" s="125">
        <v>0</v>
      </c>
      <c r="R41" s="125">
        <f>IF($F$4="NO",Valores!$C$46,Valores!$C$46/2)</f>
        <v>11801.55</v>
      </c>
      <c r="S41" s="125">
        <f>Valores!$C$19</f>
        <v>12901.01</v>
      </c>
      <c r="T41" s="125">
        <f t="shared" si="7"/>
        <v>12901.01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6318.76</v>
      </c>
      <c r="AA41" s="125">
        <f>Valores!$C$25</f>
        <v>567.05999999999995</v>
      </c>
      <c r="AB41" s="214">
        <v>0</v>
      </c>
      <c r="AC41" s="125">
        <f t="shared" si="2"/>
        <v>0</v>
      </c>
      <c r="AD41" s="125">
        <f>Valores!$C$26</f>
        <v>567.05999999999995</v>
      </c>
      <c r="AE41" s="192">
        <v>0</v>
      </c>
      <c r="AF41" s="125">
        <f>ROUND(AE41*Valores!$C$2,2)</f>
        <v>0</v>
      </c>
      <c r="AG41" s="125">
        <f>ROUND(IF($F$4="NO",Valores!$C$63,Valores!$C$63/2),2)</f>
        <v>6482.98</v>
      </c>
      <c r="AH41" s="125">
        <f t="shared" si="5"/>
        <v>175504.83000000005</v>
      </c>
      <c r="AI41" s="125">
        <f>Valores!$C$31</f>
        <v>0</v>
      </c>
      <c r="AJ41" s="125">
        <f>Valores!$C$87</f>
        <v>0</v>
      </c>
      <c r="AK41" s="125">
        <f>Valores!C$38*B41</f>
        <v>30000</v>
      </c>
      <c r="AL41" s="125">
        <f>IF($F$3="NO",0,Valores!$C$55)</f>
        <v>327.60000000000002</v>
      </c>
      <c r="AM41" s="125">
        <f t="shared" si="3"/>
        <v>30327.599999999999</v>
      </c>
      <c r="AN41" s="125">
        <f>AH41*Valores!$C$71</f>
        <v>-19305.531300000006</v>
      </c>
      <c r="AO41" s="125">
        <f>AH41*-Valores!$C$72</f>
        <v>0</v>
      </c>
      <c r="AP41" s="125">
        <f>AH41*Valores!$C$73</f>
        <v>-7897.7173500000017</v>
      </c>
      <c r="AQ41" s="125">
        <f>Valores!$C$100</f>
        <v>-280.91000000000003</v>
      </c>
      <c r="AR41" s="125">
        <f>IF($F$5=0,Valores!$C$101,(Valores!$C$101+$F$5*(Valores!$C$101)))</f>
        <v>-385</v>
      </c>
      <c r="AS41" s="125">
        <f t="shared" si="6"/>
        <v>177963.27135000002</v>
      </c>
      <c r="AT41" s="125">
        <f t="shared" si="0"/>
        <v>-19305.531300000006</v>
      </c>
      <c r="AU41" s="125">
        <f>AH41*Valores!$C$74</f>
        <v>-4738.6304100000016</v>
      </c>
      <c r="AV41" s="125">
        <f>AH41*Valores!$C$75</f>
        <v>-526.51449000000014</v>
      </c>
      <c r="AW41" s="125">
        <f t="shared" si="4"/>
        <v>181261.75380000003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2739.24</v>
      </c>
      <c r="G42" s="192">
        <v>2548</v>
      </c>
      <c r="H42" s="125">
        <f>ROUND(G42*Valores!$C$2,2)</f>
        <v>69104.820000000007</v>
      </c>
      <c r="I42" s="192">
        <v>216</v>
      </c>
      <c r="J42" s="125">
        <f>ROUND(I42*Valores!$C$2,2)</f>
        <v>5858.18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15360.72</v>
      </c>
      <c r="N42" s="125">
        <f t="shared" si="1"/>
        <v>0</v>
      </c>
      <c r="O42" s="125">
        <f>Valores!$C$9</f>
        <v>29939.09</v>
      </c>
      <c r="P42" s="125">
        <f>Valores!$D$5</f>
        <v>13864.36</v>
      </c>
      <c r="Q42" s="125">
        <v>0</v>
      </c>
      <c r="R42" s="125">
        <f>IF($F$4="NO",Valores!$C$46,Valores!$C$46/2)</f>
        <v>11801.55</v>
      </c>
      <c r="S42" s="125">
        <f>Valores!$C$19</f>
        <v>12901.01</v>
      </c>
      <c r="T42" s="125">
        <f t="shared" si="7"/>
        <v>12901.01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6318.76</v>
      </c>
      <c r="AA42" s="125">
        <f>Valores!$C$25</f>
        <v>567.05999999999995</v>
      </c>
      <c r="AB42" s="214">
        <v>0</v>
      </c>
      <c r="AC42" s="125">
        <f t="shared" si="2"/>
        <v>0</v>
      </c>
      <c r="AD42" s="125">
        <f>Valores!$C$26</f>
        <v>567.05999999999995</v>
      </c>
      <c r="AE42" s="192">
        <v>0</v>
      </c>
      <c r="AF42" s="125">
        <f>ROUND(AE42*Valores!$C$2,2)</f>
        <v>0</v>
      </c>
      <c r="AG42" s="125">
        <f>ROUND(IF($F$4="NO",Valores!$C$63,Valores!$C$63/2),2)</f>
        <v>6482.98</v>
      </c>
      <c r="AH42" s="125">
        <f t="shared" si="5"/>
        <v>175504.83000000005</v>
      </c>
      <c r="AI42" s="125">
        <f>Valores!$C$31</f>
        <v>0</v>
      </c>
      <c r="AJ42" s="125">
        <f>Valores!$C$87</f>
        <v>0</v>
      </c>
      <c r="AK42" s="125">
        <f>Valores!C$38*B42</f>
        <v>30000</v>
      </c>
      <c r="AL42" s="125">
        <f>IF($F$3="NO",0,Valores!$C$55)</f>
        <v>327.60000000000002</v>
      </c>
      <c r="AM42" s="125">
        <f t="shared" si="3"/>
        <v>30327.599999999999</v>
      </c>
      <c r="AN42" s="125">
        <f>AH42*Valores!$C$71</f>
        <v>-19305.531300000006</v>
      </c>
      <c r="AO42" s="125">
        <f>AH42*-Valores!$C$72</f>
        <v>0</v>
      </c>
      <c r="AP42" s="125">
        <f>AH42*Valores!$C$73</f>
        <v>-7897.7173500000017</v>
      </c>
      <c r="AQ42" s="125">
        <f>Valores!$C$100</f>
        <v>-280.91000000000003</v>
      </c>
      <c r="AR42" s="125">
        <f>IF($F$5=0,Valores!$C$101,(Valores!$C$101+$F$5*(Valores!$C$101)))</f>
        <v>-385</v>
      </c>
      <c r="AS42" s="125">
        <f t="shared" si="6"/>
        <v>177963.27135000002</v>
      </c>
      <c r="AT42" s="125">
        <f t="shared" si="0"/>
        <v>-19305.531300000006</v>
      </c>
      <c r="AU42" s="125">
        <f>AH42*Valores!$C$74</f>
        <v>-4738.6304100000016</v>
      </c>
      <c r="AV42" s="125">
        <f>AH42*Valores!$C$75</f>
        <v>-526.51449000000014</v>
      </c>
      <c r="AW42" s="125">
        <f t="shared" si="4"/>
        <v>181261.75380000003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2603.64</v>
      </c>
      <c r="G43" s="192">
        <v>2475</v>
      </c>
      <c r="H43" s="125">
        <f>ROUND(G43*Valores!$C$2,2)</f>
        <v>67124.97</v>
      </c>
      <c r="I43" s="192">
        <v>213</v>
      </c>
      <c r="J43" s="125">
        <f>ROUND(I43*Valores!$C$2,2)</f>
        <v>5776.82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14705.68</v>
      </c>
      <c r="N43" s="125">
        <f t="shared" si="1"/>
        <v>0</v>
      </c>
      <c r="O43" s="125">
        <f>Valores!$C$9</f>
        <v>29939.09</v>
      </c>
      <c r="P43" s="125">
        <f>Valores!$D$5</f>
        <v>13864.36</v>
      </c>
      <c r="Q43" s="125">
        <v>0</v>
      </c>
      <c r="R43" s="125">
        <f>IF($F$4="NO",Valores!$C$44,Valores!$C$44/2)</f>
        <v>9631.44</v>
      </c>
      <c r="S43" s="125">
        <f>Valores!$C$19</f>
        <v>12901.01</v>
      </c>
      <c r="T43" s="125">
        <f t="shared" si="7"/>
        <v>12901.01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6318.76</v>
      </c>
      <c r="AA43" s="125">
        <f>Valores!$C$25</f>
        <v>567.05999999999995</v>
      </c>
      <c r="AB43" s="214">
        <v>0</v>
      </c>
      <c r="AC43" s="125">
        <f t="shared" si="2"/>
        <v>0</v>
      </c>
      <c r="AD43" s="125">
        <f>Valores!$C$26</f>
        <v>567.05999999999995</v>
      </c>
      <c r="AE43" s="192">
        <v>0</v>
      </c>
      <c r="AF43" s="125">
        <f>ROUND(AE43*Valores!$C$2,2)</f>
        <v>0</v>
      </c>
      <c r="AG43" s="125">
        <f>ROUND(IF($F$4="NO",Valores!$C$63,Valores!$C$63/2),2)</f>
        <v>6482.98</v>
      </c>
      <c r="AH43" s="125">
        <f t="shared" si="5"/>
        <v>170482.87000000002</v>
      </c>
      <c r="AI43" s="125">
        <f>Valores!$C$31</f>
        <v>0</v>
      </c>
      <c r="AJ43" s="125">
        <f>Valores!$C$87</f>
        <v>0</v>
      </c>
      <c r="AK43" s="125">
        <f>Valores!C$38*B43</f>
        <v>30000</v>
      </c>
      <c r="AL43" s="125">
        <f>IF($F$3="NO",0,Valores!$C$56)</f>
        <v>170.34</v>
      </c>
      <c r="AM43" s="125">
        <f t="shared" si="3"/>
        <v>30170.34</v>
      </c>
      <c r="AN43" s="125">
        <f>AH43*Valores!$C$71</f>
        <v>-18753.115700000002</v>
      </c>
      <c r="AO43" s="125">
        <f>AH43*-Valores!$C$72</f>
        <v>0</v>
      </c>
      <c r="AP43" s="125">
        <f>AH43*Valores!$C$73</f>
        <v>-7671.729150000001</v>
      </c>
      <c r="AQ43" s="125">
        <f>Valores!$C$100</f>
        <v>-280.91000000000003</v>
      </c>
      <c r="AR43" s="125">
        <f>IF($F$5=0,Valores!$C$101,(Valores!$C$101+$F$5*(Valores!$C$101)))</f>
        <v>-385</v>
      </c>
      <c r="AS43" s="125">
        <f t="shared" si="6"/>
        <v>173562.45515000002</v>
      </c>
      <c r="AT43" s="125">
        <f t="shared" si="0"/>
        <v>-18753.115700000002</v>
      </c>
      <c r="AU43" s="125">
        <f>AH43*Valores!$C$74</f>
        <v>-4603.0374900000006</v>
      </c>
      <c r="AV43" s="125">
        <f>AH43*Valores!$C$75</f>
        <v>-511.44861000000009</v>
      </c>
      <c r="AW43" s="125">
        <f t="shared" si="4"/>
        <v>176785.60820000002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1952.73</v>
      </c>
      <c r="G44" s="192">
        <v>2471</v>
      </c>
      <c r="H44" s="125">
        <f>ROUND(G44*Valores!$C$2,2)</f>
        <v>67016.490000000005</v>
      </c>
      <c r="I44" s="192">
        <v>199</v>
      </c>
      <c r="J44" s="125">
        <f>ROUND(I44*Valores!$C$2,2)</f>
        <v>5397.12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14534.82</v>
      </c>
      <c r="N44" s="125">
        <f t="shared" si="1"/>
        <v>0</v>
      </c>
      <c r="O44" s="125">
        <f>Valores!$C$9</f>
        <v>29939.09</v>
      </c>
      <c r="P44" s="125">
        <f>Valores!$D$5</f>
        <v>13864.36</v>
      </c>
      <c r="Q44" s="125">
        <v>0</v>
      </c>
      <c r="R44" s="125">
        <f>IF($F$4="NO",Valores!$C$44,Valores!$C$44/2)</f>
        <v>9631.44</v>
      </c>
      <c r="S44" s="125">
        <f>Valores!$C$19</f>
        <v>12901.01</v>
      </c>
      <c r="T44" s="125">
        <f t="shared" si="7"/>
        <v>12901.01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6318.76</v>
      </c>
      <c r="AA44" s="125">
        <f>Valores!$C$25</f>
        <v>567.05999999999995</v>
      </c>
      <c r="AB44" s="214">
        <v>0</v>
      </c>
      <c r="AC44" s="125">
        <f t="shared" si="2"/>
        <v>0</v>
      </c>
      <c r="AD44" s="125">
        <f>Valores!$C$26</f>
        <v>567.05999999999995</v>
      </c>
      <c r="AE44" s="192">
        <v>0</v>
      </c>
      <c r="AF44" s="125">
        <f>ROUND(AE44*Valores!$C$2,2)</f>
        <v>0</v>
      </c>
      <c r="AG44" s="125">
        <f>ROUND(IF($F$4="NO",Valores!$C$63,Valores!$C$63/2),2)</f>
        <v>6482.98</v>
      </c>
      <c r="AH44" s="125">
        <f t="shared" si="5"/>
        <v>169172.92</v>
      </c>
      <c r="AI44" s="125">
        <f>Valores!$C$31</f>
        <v>0</v>
      </c>
      <c r="AJ44" s="125">
        <f>Valores!$C$87</f>
        <v>0</v>
      </c>
      <c r="AK44" s="125">
        <f>Valores!C$38*B44</f>
        <v>30000</v>
      </c>
      <c r="AL44" s="125">
        <f>IF($F$3="NO",0,Valores!$C$56)</f>
        <v>170.34</v>
      </c>
      <c r="AM44" s="125">
        <f t="shared" si="3"/>
        <v>30170.34</v>
      </c>
      <c r="AN44" s="125">
        <f>AH44*Valores!$C$71</f>
        <v>-18609.021200000003</v>
      </c>
      <c r="AO44" s="125">
        <f>AH44*-Valores!$C$72</f>
        <v>0</v>
      </c>
      <c r="AP44" s="125">
        <f>AH44*Valores!$C$73</f>
        <v>-7612.7813999999998</v>
      </c>
      <c r="AQ44" s="125">
        <f>Valores!$C$100</f>
        <v>-280.91000000000003</v>
      </c>
      <c r="AR44" s="125">
        <f>IF($F$5=0,Valores!$C$101,(Valores!$C$101+$F$5*(Valores!$C$101)))</f>
        <v>-385</v>
      </c>
      <c r="AS44" s="125">
        <f t="shared" si="6"/>
        <v>172455.54740000001</v>
      </c>
      <c r="AT44" s="125">
        <f t="shared" si="0"/>
        <v>-18609.021200000003</v>
      </c>
      <c r="AU44" s="125">
        <f>AH44*Valores!$C$74</f>
        <v>-4567.6688400000003</v>
      </c>
      <c r="AV44" s="125">
        <f>AH44*Valores!$C$75</f>
        <v>-507.51876000000004</v>
      </c>
      <c r="AW44" s="125">
        <f t="shared" si="4"/>
        <v>175659.05120000002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2305.3000000000002</v>
      </c>
      <c r="G45" s="192">
        <f>G39</f>
        <v>3498</v>
      </c>
      <c r="H45" s="125">
        <f>ROUND(G45*Valores!$C$2,2)</f>
        <v>94869.96</v>
      </c>
      <c r="I45" s="192">
        <f>I39</f>
        <v>1209</v>
      </c>
      <c r="J45" s="125">
        <f>ROUND(I45*Valores!$C$2,2)</f>
        <v>32789.53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23200.1</v>
      </c>
      <c r="N45" s="125">
        <f t="shared" si="1"/>
        <v>0</v>
      </c>
      <c r="O45" s="125">
        <f>O39</f>
        <v>55613.13</v>
      </c>
      <c r="P45" s="125">
        <f>Valores!$D$5</f>
        <v>13864.36</v>
      </c>
      <c r="Q45" s="125">
        <v>0</v>
      </c>
      <c r="R45" s="125">
        <f>IF($F$4="NO",Valores!$C$46,Valores!$C$46/2)</f>
        <v>11801.55</v>
      </c>
      <c r="S45" s="125">
        <f>S39</f>
        <v>12901.01</v>
      </c>
      <c r="T45" s="125">
        <f t="shared" si="7"/>
        <v>12901.01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12637.52</v>
      </c>
      <c r="AA45" s="125">
        <f>Valores!$C$25</f>
        <v>567.05999999999995</v>
      </c>
      <c r="AB45" s="214">
        <v>0</v>
      </c>
      <c r="AC45" s="125">
        <f t="shared" si="2"/>
        <v>0</v>
      </c>
      <c r="AD45" s="125">
        <f>Valores!$C$26</f>
        <v>567.05999999999995</v>
      </c>
      <c r="AE45" s="192">
        <v>0</v>
      </c>
      <c r="AF45" s="125">
        <f>ROUND(AE45*Valores!$C$2,2)</f>
        <v>0</v>
      </c>
      <c r="AG45" s="125">
        <f>ROUND(IF($F$4="NO",Valores!$C$63,Valores!$C$63/2),2)</f>
        <v>6482.98</v>
      </c>
      <c r="AH45" s="125">
        <f t="shared" si="5"/>
        <v>267599.56</v>
      </c>
      <c r="AI45" s="125">
        <f>Valores!$C$31</f>
        <v>0</v>
      </c>
      <c r="AJ45" s="125">
        <f>AJ39</f>
        <v>0</v>
      </c>
      <c r="AK45" s="125">
        <f>Valores!C$38*B45</f>
        <v>30000</v>
      </c>
      <c r="AL45" s="125">
        <f>IF($F$3="NO",0,Valores!$C$55)</f>
        <v>327.60000000000002</v>
      </c>
      <c r="AM45" s="125">
        <f t="shared" si="3"/>
        <v>30327.599999999999</v>
      </c>
      <c r="AN45" s="125">
        <f>AH45*Valores!$C$71</f>
        <v>-29435.9516</v>
      </c>
      <c r="AO45" s="125">
        <f>AH45*-Valores!$C$72</f>
        <v>0</v>
      </c>
      <c r="AP45" s="125">
        <f>AH45*Valores!$C$73</f>
        <v>-12041.9802</v>
      </c>
      <c r="AQ45" s="125">
        <f>Valores!$C$100</f>
        <v>-280.91000000000003</v>
      </c>
      <c r="AR45" s="125">
        <f>IF($F$5=0,Valores!$C$101,(Valores!$C$101+$F$5*(Valores!$C$101)))</f>
        <v>-385</v>
      </c>
      <c r="AS45" s="125">
        <f t="shared" si="6"/>
        <v>255783.31820000001</v>
      </c>
      <c r="AT45" s="125">
        <f t="shared" si="0"/>
        <v>-29435.9516</v>
      </c>
      <c r="AU45" s="125">
        <f>AH45*Valores!$C$74</f>
        <v>-7225.1881199999998</v>
      </c>
      <c r="AV45" s="125">
        <f>AH45*Valores!$C$75</f>
        <v>-802.79867999999999</v>
      </c>
      <c r="AW45" s="125">
        <f t="shared" si="4"/>
        <v>260463.22159999999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14048.78</v>
      </c>
      <c r="G46" s="192">
        <f>G88+G304</f>
        <v>1997</v>
      </c>
      <c r="H46" s="125">
        <f>ROUND(G46*Valores!$C$2,2)</f>
        <v>54161.04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13974.7</v>
      </c>
      <c r="N46" s="125">
        <f t="shared" si="1"/>
        <v>0</v>
      </c>
      <c r="O46" s="125">
        <f>O88+O304</f>
        <v>35046.14</v>
      </c>
      <c r="P46" s="125">
        <f>Valores!$D$5</f>
        <v>13864.36</v>
      </c>
      <c r="Q46" s="125">
        <f>Q88+Q304</f>
        <v>12369.22</v>
      </c>
      <c r="R46" s="125">
        <f>R88+R304</f>
        <v>12053.84</v>
      </c>
      <c r="S46" s="125">
        <f>S88+S304</f>
        <v>12901.01</v>
      </c>
      <c r="T46" s="125">
        <f t="shared" si="7"/>
        <v>12901.01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6318.76</v>
      </c>
      <c r="AA46" s="125">
        <f>Valores!$C$25</f>
        <v>567.05999999999995</v>
      </c>
      <c r="AB46" s="214">
        <v>0</v>
      </c>
      <c r="AC46" s="125">
        <f t="shared" si="2"/>
        <v>0</v>
      </c>
      <c r="AD46" s="125">
        <f>Valores!$C$26</f>
        <v>567.05999999999995</v>
      </c>
      <c r="AE46" s="192">
        <v>0</v>
      </c>
      <c r="AF46" s="125">
        <f>ROUND(AE46*Valores!$C$2,2)</f>
        <v>0</v>
      </c>
      <c r="AG46" s="125">
        <f>ROUND(IF($F$4="NO",Valores!$C$63,Valores!$C$63/2),2)</f>
        <v>6482.98</v>
      </c>
      <c r="AH46" s="125">
        <f t="shared" si="5"/>
        <v>182354.95000000004</v>
      </c>
      <c r="AI46" s="125">
        <f>Valores!$C$31</f>
        <v>0</v>
      </c>
      <c r="AJ46" s="125">
        <f>AJ88+AJ304</f>
        <v>0</v>
      </c>
      <c r="AK46" s="125">
        <f>Valores!C$38*B46</f>
        <v>30000</v>
      </c>
      <c r="AL46" s="125">
        <f>IF($F$3="NO",0,Valores!$C$56)</f>
        <v>170.34</v>
      </c>
      <c r="AM46" s="125">
        <f t="shared" si="3"/>
        <v>30170.34</v>
      </c>
      <c r="AN46" s="125">
        <f>AH46*Valores!$C$71</f>
        <v>-20059.044500000004</v>
      </c>
      <c r="AO46" s="125">
        <f>AH46*-Valores!$C$72</f>
        <v>0</v>
      </c>
      <c r="AP46" s="125">
        <f>AH46*Valores!$C$73</f>
        <v>-8205.9727500000008</v>
      </c>
      <c r="AQ46" s="125">
        <f>Valores!$C$100</f>
        <v>-280.91000000000003</v>
      </c>
      <c r="AR46" s="125">
        <f>IF($F$5=0,Valores!$C$101,(Valores!$C$101+$F$5*(Valores!$C$101)))</f>
        <v>-385</v>
      </c>
      <c r="AS46" s="125">
        <f t="shared" si="6"/>
        <v>183594.36275000003</v>
      </c>
      <c r="AT46" s="125">
        <f t="shared" si="0"/>
        <v>-20059.044500000004</v>
      </c>
      <c r="AU46" s="125">
        <f>AH46*Valores!$C$74</f>
        <v>-4923.5836500000014</v>
      </c>
      <c r="AV46" s="125">
        <f>AH46*Valores!$C$75</f>
        <v>-547.06485000000009</v>
      </c>
      <c r="AW46" s="125">
        <f t="shared" si="4"/>
        <v>186995.59700000004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15513.33</v>
      </c>
      <c r="G47" s="192">
        <f>G55+G237</f>
        <v>2686</v>
      </c>
      <c r="H47" s="125">
        <f>ROUND(G47*Valores!$C$2,2)</f>
        <v>72847.539999999994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17411.150000000001</v>
      </c>
      <c r="N47" s="125">
        <f t="shared" si="1"/>
        <v>0</v>
      </c>
      <c r="O47" s="125">
        <f>O55+O237</f>
        <v>35457.65</v>
      </c>
      <c r="P47" s="125">
        <f>Valores!$D$5</f>
        <v>13864.36</v>
      </c>
      <c r="Q47" s="125">
        <f>Q55+Q237</f>
        <v>12369.22</v>
      </c>
      <c r="R47" s="125">
        <f>R55+R237</f>
        <v>13076.779999999999</v>
      </c>
      <c r="S47" s="125">
        <f>S55+S237</f>
        <v>14636.69</v>
      </c>
      <c r="T47" s="125">
        <f t="shared" si="7"/>
        <v>14636.69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9262.15</v>
      </c>
      <c r="AA47" s="125">
        <f>AA55+AA237</f>
        <v>703.37999999999988</v>
      </c>
      <c r="AB47" s="214">
        <v>0</v>
      </c>
      <c r="AC47" s="125">
        <f t="shared" si="2"/>
        <v>0</v>
      </c>
      <c r="AD47" s="125">
        <f>Valores!$C$26</f>
        <v>567.05999999999995</v>
      </c>
      <c r="AE47" s="192">
        <v>0</v>
      </c>
      <c r="AF47" s="125">
        <f>ROUND(AE47*Valores!$C$2,2)</f>
        <v>0</v>
      </c>
      <c r="AG47" s="125">
        <f>AG55+AG237</f>
        <v>9076.18</v>
      </c>
      <c r="AH47" s="125">
        <f t="shared" si="5"/>
        <v>214785.48999999996</v>
      </c>
      <c r="AI47" s="125">
        <f>AI55+AI237</f>
        <v>0</v>
      </c>
      <c r="AJ47" s="125">
        <f>AJ55+AJ237</f>
        <v>0</v>
      </c>
      <c r="AK47" s="125">
        <f>Valores!C$38*B47</f>
        <v>30000</v>
      </c>
      <c r="AL47" s="125">
        <f>IF($F$3="NO",0,Valores!$C$56)</f>
        <v>170.34</v>
      </c>
      <c r="AM47" s="125">
        <f t="shared" si="3"/>
        <v>30170.34</v>
      </c>
      <c r="AN47" s="125">
        <f>AH47*Valores!$C$71</f>
        <v>-23626.403899999998</v>
      </c>
      <c r="AO47" s="125">
        <f>AH47*-Valores!$C$72</f>
        <v>0</v>
      </c>
      <c r="AP47" s="125">
        <f>AH47*Valores!$C$73</f>
        <v>-9665.3470499999985</v>
      </c>
      <c r="AQ47" s="125">
        <f>Valores!$C$100</f>
        <v>-280.91000000000003</v>
      </c>
      <c r="AR47" s="125">
        <f>IF($F$5=0,Valores!$C$101,(Valores!$C$101+$F$5*(Valores!$C$101)))</f>
        <v>-385</v>
      </c>
      <c r="AS47" s="125">
        <f t="shared" si="6"/>
        <v>210998.16904999997</v>
      </c>
      <c r="AT47" s="125">
        <f t="shared" si="0"/>
        <v>-23626.403899999998</v>
      </c>
      <c r="AU47" s="125">
        <f>AH47*Valores!$C$74</f>
        <v>-5799.2082299999993</v>
      </c>
      <c r="AV47" s="125">
        <f>AH47*Valores!$C$75</f>
        <v>-644.35646999999994</v>
      </c>
      <c r="AW47" s="125">
        <f t="shared" si="4"/>
        <v>214885.86139999997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2929.09</v>
      </c>
      <c r="G48" s="192">
        <v>2907</v>
      </c>
      <c r="H48" s="125">
        <f>ROUND(G48*Valores!$C$2,2)</f>
        <v>78841.33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15726.2</v>
      </c>
      <c r="N48" s="125">
        <f t="shared" si="1"/>
        <v>0</v>
      </c>
      <c r="O48" s="125">
        <f>Valores!$C$9</f>
        <v>29939.09</v>
      </c>
      <c r="P48" s="125">
        <f>Valores!$D$5</f>
        <v>13864.36</v>
      </c>
      <c r="Q48" s="125">
        <f>Valores!$C$22</f>
        <v>12369.22</v>
      </c>
      <c r="R48" s="125">
        <f>IF($F$4="NO",Valores!$C$45,Valores!$C$45/2)</f>
        <v>10169.9</v>
      </c>
      <c r="S48" s="125">
        <f>Valores!$C$19</f>
        <v>12901.01</v>
      </c>
      <c r="T48" s="125">
        <f t="shared" si="7"/>
        <v>12901.01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7582.51</v>
      </c>
      <c r="AA48" s="125">
        <f>Valores!$C$25</f>
        <v>567.05999999999995</v>
      </c>
      <c r="AB48" s="214">
        <v>0</v>
      </c>
      <c r="AC48" s="125">
        <f t="shared" si="2"/>
        <v>0</v>
      </c>
      <c r="AD48" s="125">
        <f>Valores!$C$26</f>
        <v>567.05999999999995</v>
      </c>
      <c r="AE48" s="192">
        <v>0</v>
      </c>
      <c r="AF48" s="125">
        <f>ROUND(AE48*Valores!$C$2,2)</f>
        <v>0</v>
      </c>
      <c r="AG48" s="125">
        <f>ROUND(IF($F$4="NO",Valores!$C$63,Valores!$C$63/2),2)</f>
        <v>6482.98</v>
      </c>
      <c r="AH48" s="125">
        <f t="shared" si="5"/>
        <v>191939.81000000003</v>
      </c>
      <c r="AI48" s="125">
        <f>Valores!$C$31</f>
        <v>0</v>
      </c>
      <c r="AJ48" s="125">
        <f>Valores!$C$88</f>
        <v>0</v>
      </c>
      <c r="AK48" s="125">
        <f>Valores!C$38*B48</f>
        <v>30000</v>
      </c>
      <c r="AL48" s="125">
        <f>IF($F$3="NO",0,Valores!$C$56)</f>
        <v>170.34</v>
      </c>
      <c r="AM48" s="125">
        <f t="shared" si="3"/>
        <v>30170.34</v>
      </c>
      <c r="AN48" s="125">
        <f>AH48*Valores!$C$71</f>
        <v>-21113.379100000002</v>
      </c>
      <c r="AO48" s="125">
        <f>AH48*-Valores!$C$72</f>
        <v>0</v>
      </c>
      <c r="AP48" s="125">
        <f>AH48*Valores!$C$73</f>
        <v>-8637.2914500000006</v>
      </c>
      <c r="AQ48" s="125">
        <f>Valores!$C$100</f>
        <v>-280.91000000000003</v>
      </c>
      <c r="AR48" s="125">
        <f>IF($F$5=0,Valores!$C$101,(Valores!$C$101+$F$5*(Valores!$C$101)))</f>
        <v>-385</v>
      </c>
      <c r="AS48" s="125">
        <f t="shared" si="6"/>
        <v>191693.56945000001</v>
      </c>
      <c r="AT48" s="125">
        <f t="shared" si="0"/>
        <v>-21113.379100000002</v>
      </c>
      <c r="AU48" s="125">
        <f>AH48*Valores!$C$74</f>
        <v>-5182.3748700000006</v>
      </c>
      <c r="AV48" s="125">
        <f>AH48*Valores!$C$75</f>
        <v>-575.81943000000012</v>
      </c>
      <c r="AW48" s="125">
        <f t="shared" si="4"/>
        <v>195238.57660000003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2386.67</v>
      </c>
      <c r="G49" s="192">
        <v>2622</v>
      </c>
      <c r="H49" s="125">
        <f>ROUND(G49*Valores!$C$2,2)</f>
        <v>71111.789999999994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14485.41</v>
      </c>
      <c r="N49" s="125">
        <f t="shared" si="1"/>
        <v>0</v>
      </c>
      <c r="O49" s="125">
        <f>Valores!$C$9</f>
        <v>29939.09</v>
      </c>
      <c r="P49" s="125">
        <f>Valores!$D$5</f>
        <v>13864.36</v>
      </c>
      <c r="Q49" s="125">
        <f>Valores!$C$22</f>
        <v>12369.22</v>
      </c>
      <c r="R49" s="125">
        <f>IF($F$4="NO",Valores!$C$45,Valores!$C$45/2)</f>
        <v>10169.9</v>
      </c>
      <c r="S49" s="125">
        <f>Valores!$C$19</f>
        <v>12901.01</v>
      </c>
      <c r="T49" s="125">
        <f t="shared" si="7"/>
        <v>12901.01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7582.51</v>
      </c>
      <c r="AA49" s="125">
        <f>Valores!$C$25</f>
        <v>567.05999999999995</v>
      </c>
      <c r="AB49" s="214">
        <v>0</v>
      </c>
      <c r="AC49" s="125">
        <f t="shared" si="2"/>
        <v>0</v>
      </c>
      <c r="AD49" s="125">
        <f>Valores!$C$26</f>
        <v>567.05999999999995</v>
      </c>
      <c r="AE49" s="192">
        <v>0</v>
      </c>
      <c r="AF49" s="125">
        <f>ROUND(AE49*Valores!$C$2,2)</f>
        <v>0</v>
      </c>
      <c r="AG49" s="125">
        <f>ROUND(IF($F$4="NO",Valores!$C$63,Valores!$C$63/2),2)</f>
        <v>6482.98</v>
      </c>
      <c r="AH49" s="125">
        <f t="shared" si="5"/>
        <v>182427.06000000003</v>
      </c>
      <c r="AI49" s="125">
        <f>Valores!$C$31</f>
        <v>0</v>
      </c>
      <c r="AJ49" s="125">
        <f>Valores!$C$88</f>
        <v>0</v>
      </c>
      <c r="AK49" s="125">
        <f>Valores!C$38*B49</f>
        <v>30000</v>
      </c>
      <c r="AL49" s="125">
        <f>IF($F$3="NO",0,Valores!$C$56)</f>
        <v>170.34</v>
      </c>
      <c r="AM49" s="125">
        <f t="shared" si="3"/>
        <v>30170.34</v>
      </c>
      <c r="AN49" s="125">
        <f>AH49*Valores!$C$71</f>
        <v>-20066.976600000002</v>
      </c>
      <c r="AO49" s="125">
        <f>AH49*-Valores!$C$72</f>
        <v>0</v>
      </c>
      <c r="AP49" s="125">
        <f>AH49*Valores!$C$73</f>
        <v>-8209.2177000000011</v>
      </c>
      <c r="AQ49" s="125">
        <f>Valores!$C$100</f>
        <v>-280.91000000000003</v>
      </c>
      <c r="AR49" s="125">
        <f>IF($F$5=0,Valores!$C$101,(Valores!$C$101+$F$5*(Valores!$C$101)))</f>
        <v>-385</v>
      </c>
      <c r="AS49" s="125">
        <f t="shared" si="6"/>
        <v>183655.29570000002</v>
      </c>
      <c r="AT49" s="125">
        <f t="shared" si="0"/>
        <v>-20066.976600000002</v>
      </c>
      <c r="AU49" s="125">
        <f>AH49*Valores!$C$74</f>
        <v>-4925.5306200000005</v>
      </c>
      <c r="AV49" s="125">
        <f>AH49*Valores!$C$75</f>
        <v>-547.28118000000006</v>
      </c>
      <c r="AW49" s="125">
        <f t="shared" si="4"/>
        <v>187057.6116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2386.67</v>
      </c>
      <c r="G50" s="192">
        <v>2622</v>
      </c>
      <c r="H50" s="125">
        <f>ROUND(G50*Valores!$C$2,2)</f>
        <v>71111.789999999994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14485.41</v>
      </c>
      <c r="N50" s="125">
        <f t="shared" si="1"/>
        <v>0</v>
      </c>
      <c r="O50" s="125">
        <f>Valores!$C$9</f>
        <v>29939.09</v>
      </c>
      <c r="P50" s="125">
        <f>Valores!$D$5</f>
        <v>13864.36</v>
      </c>
      <c r="Q50" s="125">
        <f>Valores!$C$22</f>
        <v>12369.22</v>
      </c>
      <c r="R50" s="125">
        <f>IF($F$4="NO",Valores!$C$45,Valores!$C$45/2)</f>
        <v>10169.9</v>
      </c>
      <c r="S50" s="125">
        <f>Valores!$C$19</f>
        <v>12901.01</v>
      </c>
      <c r="T50" s="125">
        <f t="shared" si="7"/>
        <v>12901.01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7582.51</v>
      </c>
      <c r="AA50" s="125">
        <f>Valores!$C$25</f>
        <v>567.05999999999995</v>
      </c>
      <c r="AB50" s="214">
        <v>0</v>
      </c>
      <c r="AC50" s="125">
        <f t="shared" si="2"/>
        <v>0</v>
      </c>
      <c r="AD50" s="125">
        <f>Valores!$C$26</f>
        <v>567.05999999999995</v>
      </c>
      <c r="AE50" s="192">
        <v>0</v>
      </c>
      <c r="AF50" s="125">
        <f>ROUND(AE50*Valores!$C$2,2)</f>
        <v>0</v>
      </c>
      <c r="AG50" s="125">
        <f>ROUND(IF($F$4="NO",Valores!$C$63,Valores!$C$63/2),2)</f>
        <v>6482.98</v>
      </c>
      <c r="AH50" s="125">
        <f t="shared" si="5"/>
        <v>182427.06000000003</v>
      </c>
      <c r="AI50" s="125">
        <f>Valores!$C$31</f>
        <v>0</v>
      </c>
      <c r="AJ50" s="125">
        <f>Valores!$C$88</f>
        <v>0</v>
      </c>
      <c r="AK50" s="125">
        <f>Valores!C$38*B50</f>
        <v>30000</v>
      </c>
      <c r="AL50" s="125">
        <f>IF($F$3="NO",0,Valores!$C$56)</f>
        <v>170.34</v>
      </c>
      <c r="AM50" s="125">
        <f t="shared" si="3"/>
        <v>30170.34</v>
      </c>
      <c r="AN50" s="125">
        <f>AH50*Valores!$C$71</f>
        <v>-20066.976600000002</v>
      </c>
      <c r="AO50" s="125">
        <f>AH50*-Valores!$C$72</f>
        <v>0</v>
      </c>
      <c r="AP50" s="125">
        <f>AH50*Valores!$C$73</f>
        <v>-8209.2177000000011</v>
      </c>
      <c r="AQ50" s="125">
        <f>Valores!$C$100</f>
        <v>-280.91000000000003</v>
      </c>
      <c r="AR50" s="125">
        <f>IF($F$5=0,Valores!$C$101,(Valores!$C$101+$F$5*(Valores!$C$101)))</f>
        <v>-385</v>
      </c>
      <c r="AS50" s="125">
        <f t="shared" si="6"/>
        <v>183655.29570000002</v>
      </c>
      <c r="AT50" s="125">
        <f t="shared" si="0"/>
        <v>-20066.976600000002</v>
      </c>
      <c r="AU50" s="125">
        <f>AH50*Valores!$C$74</f>
        <v>-4925.5306200000005</v>
      </c>
      <c r="AV50" s="125">
        <f>AH50*Valores!$C$75</f>
        <v>-547.28118000000006</v>
      </c>
      <c r="AW50" s="125">
        <f t="shared" si="4"/>
        <v>187057.6116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2169.6999999999998</v>
      </c>
      <c r="G51" s="192">
        <v>2278</v>
      </c>
      <c r="H51" s="125">
        <f>ROUND(G51*Valores!$C$2,2)</f>
        <v>61782.09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13053.41</v>
      </c>
      <c r="N51" s="125">
        <f t="shared" si="1"/>
        <v>0</v>
      </c>
      <c r="O51" s="125">
        <f>Valores!$C$9</f>
        <v>29939.09</v>
      </c>
      <c r="P51" s="125">
        <f>Valores!$D$5</f>
        <v>13864.36</v>
      </c>
      <c r="Q51" s="125">
        <f>Valores!$C$22</f>
        <v>12369.22</v>
      </c>
      <c r="R51" s="125">
        <f>IF($F$4="NO",Valores!$C$45,Valores!$C$45/2)</f>
        <v>10169.9</v>
      </c>
      <c r="S51" s="125">
        <f>Valores!$C$19</f>
        <v>12901.01</v>
      </c>
      <c r="T51" s="125">
        <f t="shared" si="7"/>
        <v>12901.01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7582.51</v>
      </c>
      <c r="AA51" s="125">
        <f>Valores!$C$25</f>
        <v>567.05999999999995</v>
      </c>
      <c r="AB51" s="214">
        <v>0</v>
      </c>
      <c r="AC51" s="125">
        <f t="shared" si="2"/>
        <v>0</v>
      </c>
      <c r="AD51" s="125">
        <f>Valores!$C$26</f>
        <v>567.05999999999995</v>
      </c>
      <c r="AE51" s="192">
        <v>0</v>
      </c>
      <c r="AF51" s="125">
        <f>ROUND(AE51*Valores!$C$2,2)</f>
        <v>0</v>
      </c>
      <c r="AG51" s="125">
        <f>ROUND(IF($F$4="NO",Valores!$C$63,Valores!$C$63/2),2)</f>
        <v>6482.98</v>
      </c>
      <c r="AH51" s="125">
        <f t="shared" si="5"/>
        <v>171448.39</v>
      </c>
      <c r="AI51" s="125">
        <f>Valores!$C$31</f>
        <v>0</v>
      </c>
      <c r="AJ51" s="125">
        <f>Valores!$C$88</f>
        <v>0</v>
      </c>
      <c r="AK51" s="125">
        <f>Valores!C$38*B51</f>
        <v>30000</v>
      </c>
      <c r="AL51" s="125">
        <f>IF($F$3="NO",0,Valores!$C$56)</f>
        <v>170.34</v>
      </c>
      <c r="AM51" s="125">
        <f t="shared" si="3"/>
        <v>30170.34</v>
      </c>
      <c r="AN51" s="125">
        <f>AH51*Valores!$C$71</f>
        <v>-18859.322900000003</v>
      </c>
      <c r="AO51" s="125">
        <f>AH51*-Valores!$C$72</f>
        <v>0</v>
      </c>
      <c r="AP51" s="125">
        <f>AH51*Valores!$C$73</f>
        <v>-7715.1775500000003</v>
      </c>
      <c r="AQ51" s="125">
        <f>Valores!$C$100</f>
        <v>-280.91000000000003</v>
      </c>
      <c r="AR51" s="125">
        <f>IF($F$5=0,Valores!$C$101,(Valores!$C$101+$F$5*(Valores!$C$101)))</f>
        <v>-385</v>
      </c>
      <c r="AS51" s="125">
        <f t="shared" si="6"/>
        <v>174378.31955000001</v>
      </c>
      <c r="AT51" s="125">
        <f t="shared" si="0"/>
        <v>-18859.322900000003</v>
      </c>
      <c r="AU51" s="125">
        <f>AH51*Valores!$C$74</f>
        <v>-4629.10653</v>
      </c>
      <c r="AV51" s="125">
        <f>AH51*Valores!$C$75</f>
        <v>-514.34517000000005</v>
      </c>
      <c r="AW51" s="125">
        <f t="shared" si="4"/>
        <v>177615.95540000001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2712.12</v>
      </c>
      <c r="G52" s="192">
        <v>3620</v>
      </c>
      <c r="H52" s="125">
        <f>ROUND(G52*Valores!$C$2,2)</f>
        <v>98178.74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19242.86</v>
      </c>
      <c r="N52" s="125">
        <f t="shared" si="1"/>
        <v>0</v>
      </c>
      <c r="O52" s="125">
        <f>Valores!$C$9</f>
        <v>29939.09</v>
      </c>
      <c r="P52" s="125">
        <f>Valores!$D$5</f>
        <v>13864.36</v>
      </c>
      <c r="Q52" s="125">
        <f>Valores!$C$22</f>
        <v>12369.22</v>
      </c>
      <c r="R52" s="125">
        <f>IF($F$4="NO",Valores!$C$47,Valores!$C$47/2)</f>
        <v>14493.86</v>
      </c>
      <c r="S52" s="125">
        <f>Valores!$C$19</f>
        <v>12901.01</v>
      </c>
      <c r="T52" s="125">
        <f t="shared" si="7"/>
        <v>12901.01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12637.52</v>
      </c>
      <c r="AA52" s="125">
        <f>Valores!$C$25</f>
        <v>567.05999999999995</v>
      </c>
      <c r="AB52" s="214">
        <v>0</v>
      </c>
      <c r="AC52" s="125">
        <f t="shared" si="2"/>
        <v>0</v>
      </c>
      <c r="AD52" s="125">
        <f>Valores!$C$26</f>
        <v>567.05999999999995</v>
      </c>
      <c r="AE52" s="192">
        <v>0</v>
      </c>
      <c r="AF52" s="125">
        <f>ROUND(AE52*Valores!$C$2,2)</f>
        <v>0</v>
      </c>
      <c r="AG52" s="125">
        <f>ROUND(IF($F$4="NO",Valores!$C$63,Valores!$C$63/2),2)</f>
        <v>6482.98</v>
      </c>
      <c r="AH52" s="125">
        <f t="shared" si="5"/>
        <v>223955.88</v>
      </c>
      <c r="AI52" s="125">
        <f>Valores!$C$31</f>
        <v>0</v>
      </c>
      <c r="AJ52" s="125">
        <f>Valores!$C$89</f>
        <v>0</v>
      </c>
      <c r="AK52" s="125">
        <f>Valores!C$38*B52</f>
        <v>30000</v>
      </c>
      <c r="AL52" s="125">
        <f>IF($F$3="NO",0,Valores!$C$56)</f>
        <v>170.34</v>
      </c>
      <c r="AM52" s="125">
        <f t="shared" si="3"/>
        <v>30170.34</v>
      </c>
      <c r="AN52" s="125">
        <f>AH52*Valores!$C$71</f>
        <v>-24635.146800000002</v>
      </c>
      <c r="AO52" s="125">
        <f>AH52*-Valores!$C$72</f>
        <v>0</v>
      </c>
      <c r="AP52" s="125">
        <f>AH52*Valores!$C$73</f>
        <v>-10078.0146</v>
      </c>
      <c r="AQ52" s="125">
        <f>Valores!$C$100</f>
        <v>-280.91000000000003</v>
      </c>
      <c r="AR52" s="125">
        <f>IF($F$5=0,Valores!$C$101,(Valores!$C$101+$F$5*(Valores!$C$101)))</f>
        <v>-385</v>
      </c>
      <c r="AS52" s="125">
        <f t="shared" si="6"/>
        <v>218747.14860000001</v>
      </c>
      <c r="AT52" s="125">
        <f t="shared" si="0"/>
        <v>-24635.146800000002</v>
      </c>
      <c r="AU52" s="125">
        <f>AH52*Valores!$C$74</f>
        <v>-6046.8087599999999</v>
      </c>
      <c r="AV52" s="125">
        <f>AH52*Valores!$C$75</f>
        <v>-671.86764000000005</v>
      </c>
      <c r="AW52" s="125">
        <f t="shared" si="4"/>
        <v>222772.39679999999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2712.12</v>
      </c>
      <c r="G53" s="192">
        <v>3560</v>
      </c>
      <c r="H53" s="125">
        <f>ROUND(G53*Valores!$C$2,2)</f>
        <v>96551.47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18998.77</v>
      </c>
      <c r="N53" s="125">
        <f t="shared" si="1"/>
        <v>0</v>
      </c>
      <c r="O53" s="125">
        <f>Valores!$C$9</f>
        <v>29939.09</v>
      </c>
      <c r="P53" s="125">
        <f>Valores!$D$5</f>
        <v>13864.36</v>
      </c>
      <c r="Q53" s="125">
        <v>0</v>
      </c>
      <c r="R53" s="125">
        <f>IF($F$4="NO",Valores!$C$47,Valores!$C$47/2)</f>
        <v>14493.86</v>
      </c>
      <c r="S53" s="125">
        <f>Valores!$C$19</f>
        <v>12901.01</v>
      </c>
      <c r="T53" s="125">
        <f t="shared" si="7"/>
        <v>12901.01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12637.52</v>
      </c>
      <c r="AA53" s="125">
        <f>Valores!$C$25</f>
        <v>567.05999999999995</v>
      </c>
      <c r="AB53" s="214">
        <v>0</v>
      </c>
      <c r="AC53" s="125">
        <f t="shared" si="2"/>
        <v>0</v>
      </c>
      <c r="AD53" s="125">
        <f>Valores!$C$26</f>
        <v>567.05999999999995</v>
      </c>
      <c r="AE53" s="192">
        <v>0</v>
      </c>
      <c r="AF53" s="125">
        <f>ROUND(AE53*Valores!$C$2,2)</f>
        <v>0</v>
      </c>
      <c r="AG53" s="125">
        <f>ROUND(IF($F$4="NO",Valores!$C$63,Valores!$C$63/2),2)</f>
        <v>6482.98</v>
      </c>
      <c r="AH53" s="125">
        <f t="shared" si="5"/>
        <v>209715.3</v>
      </c>
      <c r="AI53" s="125">
        <f>Valores!$C$31</f>
        <v>0</v>
      </c>
      <c r="AJ53" s="125">
        <f>Valores!$C$89</f>
        <v>0</v>
      </c>
      <c r="AK53" s="125">
        <f>Valores!C$38*B53</f>
        <v>30000</v>
      </c>
      <c r="AL53" s="125">
        <f>IF($F$3="NO",0,Valores!$C$56)</f>
        <v>170.34</v>
      </c>
      <c r="AM53" s="125">
        <f t="shared" si="3"/>
        <v>30170.34</v>
      </c>
      <c r="AN53" s="125">
        <f>AH53*Valores!$C$71</f>
        <v>-23068.682999999997</v>
      </c>
      <c r="AO53" s="125">
        <f>AH53*-Valores!$C$72</f>
        <v>0</v>
      </c>
      <c r="AP53" s="125">
        <f>AH53*Valores!$C$73</f>
        <v>-9437.1884999999984</v>
      </c>
      <c r="AQ53" s="125">
        <f>Valores!$C$100</f>
        <v>-280.91000000000003</v>
      </c>
      <c r="AR53" s="125">
        <f>IF($F$5=0,Valores!$C$101,(Valores!$C$101+$F$5*(Valores!$C$101)))</f>
        <v>-385</v>
      </c>
      <c r="AS53" s="125">
        <f t="shared" si="6"/>
        <v>206713.8585</v>
      </c>
      <c r="AT53" s="125">
        <f t="shared" si="0"/>
        <v>-23068.682999999997</v>
      </c>
      <c r="AU53" s="125">
        <f>AH53*Valores!$C$74</f>
        <v>-5662.3130999999994</v>
      </c>
      <c r="AV53" s="125">
        <f>AH53*Valores!$C$75</f>
        <v>-629.14589999999998</v>
      </c>
      <c r="AW53" s="125">
        <f t="shared" si="4"/>
        <v>210525.49799999999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2712.12</v>
      </c>
      <c r="G54" s="192">
        <v>3360</v>
      </c>
      <c r="H54" s="125">
        <f>ROUND(G54*Valores!$C$2,2)</f>
        <v>91127.23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18185.13</v>
      </c>
      <c r="N54" s="125">
        <f t="shared" si="1"/>
        <v>0</v>
      </c>
      <c r="O54" s="125">
        <f>Valores!$C$9</f>
        <v>29939.09</v>
      </c>
      <c r="P54" s="125">
        <f>Valores!$D$5</f>
        <v>13864.36</v>
      </c>
      <c r="Q54" s="125">
        <f>Valores!$C$22</f>
        <v>12369.22</v>
      </c>
      <c r="R54" s="125">
        <f>IF($F$4="NO",Valores!$C$47,Valores!$C$47/2)</f>
        <v>14493.86</v>
      </c>
      <c r="S54" s="125">
        <f>Valores!$C$19</f>
        <v>12901.01</v>
      </c>
      <c r="T54" s="125">
        <f t="shared" si="7"/>
        <v>12901.01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12637.52</v>
      </c>
      <c r="AA54" s="125">
        <f>Valores!$C$25</f>
        <v>567.05999999999995</v>
      </c>
      <c r="AB54" s="214">
        <v>0</v>
      </c>
      <c r="AC54" s="125">
        <f t="shared" si="2"/>
        <v>0</v>
      </c>
      <c r="AD54" s="125">
        <f>Valores!$C$26</f>
        <v>567.05999999999995</v>
      </c>
      <c r="AE54" s="192">
        <v>0</v>
      </c>
      <c r="AF54" s="125">
        <f>ROUND(AE54*Valores!$C$2,2)</f>
        <v>0</v>
      </c>
      <c r="AG54" s="125">
        <f>ROUND(IF($F$4="NO",Valores!$C$63,Valores!$C$63/2),2)</f>
        <v>6482.98</v>
      </c>
      <c r="AH54" s="125">
        <f t="shared" si="5"/>
        <v>215846.64</v>
      </c>
      <c r="AI54" s="125">
        <f>Valores!$C$31</f>
        <v>0</v>
      </c>
      <c r="AJ54" s="125">
        <f>Valores!$C$89</f>
        <v>0</v>
      </c>
      <c r="AK54" s="125">
        <f>Valores!C$38*B54</f>
        <v>30000</v>
      </c>
      <c r="AL54" s="125">
        <f>IF($F$3="NO",0,Valores!$C$56)</f>
        <v>170.34</v>
      </c>
      <c r="AM54" s="125">
        <f t="shared" si="3"/>
        <v>30170.34</v>
      </c>
      <c r="AN54" s="125">
        <f>AH54*Valores!$C$71</f>
        <v>-23743.130400000002</v>
      </c>
      <c r="AO54" s="125">
        <f>AH54*-Valores!$C$72</f>
        <v>0</v>
      </c>
      <c r="AP54" s="125">
        <f>AH54*Valores!$C$73</f>
        <v>-9713.0987999999998</v>
      </c>
      <c r="AQ54" s="125">
        <f>Valores!$C$100</f>
        <v>-280.91000000000003</v>
      </c>
      <c r="AR54" s="125">
        <f>IF($F$5=0,Valores!$C$101,(Valores!$C$101+$F$5*(Valores!$C$101)))</f>
        <v>-385</v>
      </c>
      <c r="AS54" s="125">
        <f t="shared" si="6"/>
        <v>211894.84080000001</v>
      </c>
      <c r="AT54" s="125">
        <f t="shared" si="0"/>
        <v>-23743.130400000002</v>
      </c>
      <c r="AU54" s="125">
        <f>AH54*Valores!$C$74</f>
        <v>-5827.8592800000006</v>
      </c>
      <c r="AV54" s="125">
        <f>AH54*Valores!$C$75</f>
        <v>-647.53992000000005</v>
      </c>
      <c r="AW54" s="125">
        <f t="shared" si="4"/>
        <v>215798.4504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2657.88</v>
      </c>
      <c r="G55" s="192">
        <v>2686</v>
      </c>
      <c r="H55" s="125">
        <f>ROUND(G55*Valores!$C$2,2)</f>
        <v>72847.539999999994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14786.45</v>
      </c>
      <c r="N55" s="125">
        <f t="shared" si="1"/>
        <v>0</v>
      </c>
      <c r="O55" s="125">
        <f>Valores!$C$9</f>
        <v>29939.09</v>
      </c>
      <c r="P55" s="125">
        <f>Valores!$D$5</f>
        <v>13864.36</v>
      </c>
      <c r="Q55" s="125">
        <f>Valores!$C$22</f>
        <v>12369.22</v>
      </c>
      <c r="R55" s="125">
        <f>IF($F$4="NO",Valores!$C$45,Valores!$C$45/2)</f>
        <v>10169.9</v>
      </c>
      <c r="S55" s="125">
        <f>Valores!$C$19</f>
        <v>12901.01</v>
      </c>
      <c r="T55" s="125">
        <f t="shared" si="7"/>
        <v>12901.01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7582.51</v>
      </c>
      <c r="AA55" s="125">
        <f>Valores!$C$25</f>
        <v>567.05999999999995</v>
      </c>
      <c r="AB55" s="214">
        <v>0</v>
      </c>
      <c r="AC55" s="125">
        <f t="shared" si="2"/>
        <v>0</v>
      </c>
      <c r="AD55" s="125">
        <f>Valores!$C$26</f>
        <v>567.05999999999995</v>
      </c>
      <c r="AE55" s="192">
        <v>0</v>
      </c>
      <c r="AF55" s="125">
        <f>ROUND(AE55*Valores!$C$2,2)</f>
        <v>0</v>
      </c>
      <c r="AG55" s="125">
        <f>ROUND(IF($F$4="NO",Valores!$C$63,Valores!$C$63/2),2)</f>
        <v>6482.98</v>
      </c>
      <c r="AH55" s="125">
        <f t="shared" si="5"/>
        <v>184735.06000000003</v>
      </c>
      <c r="AI55" s="125">
        <f>Valores!$C$31</f>
        <v>0</v>
      </c>
      <c r="AJ55" s="125">
        <f>Valores!$C$88</f>
        <v>0</v>
      </c>
      <c r="AK55" s="125">
        <f>Valores!C$38*B55</f>
        <v>30000</v>
      </c>
      <c r="AL55" s="125">
        <f>IF($F$3="NO",0,Valores!$C$56)</f>
        <v>170.34</v>
      </c>
      <c r="AM55" s="125">
        <f t="shared" si="3"/>
        <v>30170.34</v>
      </c>
      <c r="AN55" s="125">
        <f>AH55*Valores!$C$71</f>
        <v>-20320.856600000003</v>
      </c>
      <c r="AO55" s="125">
        <f>AH55*-Valores!$C$72</f>
        <v>0</v>
      </c>
      <c r="AP55" s="125">
        <f>AH55*Valores!$C$73</f>
        <v>-8313.0777000000016</v>
      </c>
      <c r="AQ55" s="125">
        <f>Valores!$C$100</f>
        <v>-280.91000000000003</v>
      </c>
      <c r="AR55" s="125">
        <f>IF($F$5=0,Valores!$C$101,(Valores!$C$101+$F$5*(Valores!$C$101)))</f>
        <v>-385</v>
      </c>
      <c r="AS55" s="125">
        <f t="shared" si="6"/>
        <v>185605.55570000003</v>
      </c>
      <c r="AT55" s="125">
        <f t="shared" si="0"/>
        <v>-20320.856600000003</v>
      </c>
      <c r="AU55" s="125">
        <f>AH55*Valores!$C$74</f>
        <v>-4987.8466200000003</v>
      </c>
      <c r="AV55" s="125">
        <f>AH55*Valores!$C$75</f>
        <v>-554.20518000000004</v>
      </c>
      <c r="AW55" s="125">
        <f t="shared" si="4"/>
        <v>189042.49160000001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2549.39</v>
      </c>
      <c r="G56" s="192">
        <v>2690</v>
      </c>
      <c r="H56" s="125">
        <f>ROUND(G56*Valores!$C$2,2)</f>
        <v>72956.03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14786.45</v>
      </c>
      <c r="N56" s="125">
        <f t="shared" si="1"/>
        <v>0</v>
      </c>
      <c r="O56" s="125">
        <f>Valores!$C$9</f>
        <v>29939.09</v>
      </c>
      <c r="P56" s="125">
        <f>Valores!$D$5</f>
        <v>13864.36</v>
      </c>
      <c r="Q56" s="125">
        <f>Valores!$C$22</f>
        <v>12369.22</v>
      </c>
      <c r="R56" s="125">
        <f>IF($F$4="NO",Valores!$C$45,Valores!$C$45/2)</f>
        <v>10169.9</v>
      </c>
      <c r="S56" s="125">
        <f>Valores!$C$19</f>
        <v>12901.01</v>
      </c>
      <c r="T56" s="125">
        <f t="shared" si="7"/>
        <v>12901.01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7582.51</v>
      </c>
      <c r="AA56" s="125">
        <f>Valores!$C$25</f>
        <v>567.05999999999995</v>
      </c>
      <c r="AB56" s="214">
        <v>0</v>
      </c>
      <c r="AC56" s="125">
        <f t="shared" si="2"/>
        <v>0</v>
      </c>
      <c r="AD56" s="125">
        <f>Valores!$C$26</f>
        <v>567.05999999999995</v>
      </c>
      <c r="AE56" s="192">
        <v>94</v>
      </c>
      <c r="AF56" s="125">
        <f>ROUND(AE56*Valores!$C$2,2)</f>
        <v>2549.39</v>
      </c>
      <c r="AG56" s="125">
        <f>ROUND(IF($F$4="NO",Valores!$C$63,Valores!$C$63/2),2)</f>
        <v>6482.98</v>
      </c>
      <c r="AH56" s="125">
        <f t="shared" si="5"/>
        <v>187284.45000000004</v>
      </c>
      <c r="AI56" s="125">
        <f>Valores!$C$31</f>
        <v>0</v>
      </c>
      <c r="AJ56" s="125">
        <f>Valores!$C$88</f>
        <v>0</v>
      </c>
      <c r="AK56" s="125">
        <f>Valores!C$38*B56</f>
        <v>30000</v>
      </c>
      <c r="AL56" s="125">
        <f>IF($F$3="NO",0,Valores!$C$56)</f>
        <v>170.34</v>
      </c>
      <c r="AM56" s="125">
        <f t="shared" si="3"/>
        <v>30170.34</v>
      </c>
      <c r="AN56" s="125">
        <f>AH56*Valores!$C$71</f>
        <v>-20601.289500000006</v>
      </c>
      <c r="AO56" s="125">
        <f>AH56*-Valores!$C$72</f>
        <v>0</v>
      </c>
      <c r="AP56" s="125">
        <f>AH56*Valores!$C$73</f>
        <v>-8427.8002500000021</v>
      </c>
      <c r="AQ56" s="125">
        <f>Valores!$C$100</f>
        <v>-280.91000000000003</v>
      </c>
      <c r="AR56" s="125">
        <f>IF($F$5=0,Valores!$C$101,(Valores!$C$101+$F$5*(Valores!$C$101)))</f>
        <v>-385</v>
      </c>
      <c r="AS56" s="125">
        <f t="shared" si="6"/>
        <v>187759.79025000002</v>
      </c>
      <c r="AT56" s="125">
        <f t="shared" si="0"/>
        <v>-20601.289500000006</v>
      </c>
      <c r="AU56" s="125">
        <f>AH56*Valores!$C$74</f>
        <v>-5056.680150000001</v>
      </c>
      <c r="AV56" s="125">
        <f>AH56*Valores!$C$75</f>
        <v>-561.85335000000009</v>
      </c>
      <c r="AW56" s="125">
        <f t="shared" si="4"/>
        <v>191234.96700000003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2522.27</v>
      </c>
      <c r="G57" s="192">
        <v>2547</v>
      </c>
      <c r="H57" s="125">
        <f>ROUND(G57*Valores!$C$2,2)</f>
        <v>69077.7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14200.63</v>
      </c>
      <c r="N57" s="125">
        <f t="shared" si="1"/>
        <v>0</v>
      </c>
      <c r="O57" s="125">
        <f>Valores!$C$9</f>
        <v>29939.09</v>
      </c>
      <c r="P57" s="125">
        <f>Valores!$D$5</f>
        <v>13864.36</v>
      </c>
      <c r="Q57" s="125">
        <f>Valores!$C$22</f>
        <v>12369.22</v>
      </c>
      <c r="R57" s="125">
        <f>IF($F$4="NO",Valores!$C$45,Valores!$C$45/2)</f>
        <v>10169.9</v>
      </c>
      <c r="S57" s="125">
        <f>Valores!$C$19</f>
        <v>12901.01</v>
      </c>
      <c r="T57" s="125">
        <f t="shared" si="7"/>
        <v>12901.01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7582.51</v>
      </c>
      <c r="AA57" s="125">
        <f>Valores!$C$25</f>
        <v>567.05999999999995</v>
      </c>
      <c r="AB57" s="214">
        <v>0</v>
      </c>
      <c r="AC57" s="125">
        <f t="shared" si="2"/>
        <v>0</v>
      </c>
      <c r="AD57" s="125">
        <f>Valores!$C$26</f>
        <v>567.05999999999995</v>
      </c>
      <c r="AE57" s="192">
        <v>0</v>
      </c>
      <c r="AF57" s="125">
        <f>ROUND(AE57*Valores!$C$2,2)</f>
        <v>0</v>
      </c>
      <c r="AG57" s="125">
        <f>ROUND(IF($F$4="NO",Valores!$C$63,Valores!$C$63/2),2)</f>
        <v>6482.98</v>
      </c>
      <c r="AH57" s="125">
        <f t="shared" si="5"/>
        <v>180243.79</v>
      </c>
      <c r="AI57" s="125">
        <f>Valores!$C$31</f>
        <v>0</v>
      </c>
      <c r="AJ57" s="125">
        <f>Valores!$C$88</f>
        <v>0</v>
      </c>
      <c r="AK57" s="125">
        <f>Valores!C$38*B57</f>
        <v>30000</v>
      </c>
      <c r="AL57" s="125">
        <f>IF($F$3="NO",0,Valores!$C$56)</f>
        <v>170.34</v>
      </c>
      <c r="AM57" s="125">
        <f t="shared" si="3"/>
        <v>30170.34</v>
      </c>
      <c r="AN57" s="125">
        <f>AH57*Valores!$C$71</f>
        <v>-19826.816900000002</v>
      </c>
      <c r="AO57" s="125">
        <f>AH57*-Valores!$C$72</f>
        <v>0</v>
      </c>
      <c r="AP57" s="125">
        <f>AH57*Valores!$C$73</f>
        <v>-8110.97055</v>
      </c>
      <c r="AQ57" s="125">
        <f>Valores!$C$100</f>
        <v>-280.91000000000003</v>
      </c>
      <c r="AR57" s="125">
        <f>IF($F$5=0,Valores!$C$101,(Valores!$C$101+$F$5*(Valores!$C$101)))</f>
        <v>-385</v>
      </c>
      <c r="AS57" s="125">
        <f t="shared" si="6"/>
        <v>181810.43255</v>
      </c>
      <c r="AT57" s="125">
        <f t="shared" si="0"/>
        <v>-19826.816900000002</v>
      </c>
      <c r="AU57" s="125">
        <f>AH57*Valores!$C$74</f>
        <v>-4866.5823300000002</v>
      </c>
      <c r="AV57" s="125">
        <f>AH57*Valores!$C$75</f>
        <v>-540.73137000000008</v>
      </c>
      <c r="AW57" s="125">
        <f t="shared" si="4"/>
        <v>185179.9994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2413.79</v>
      </c>
      <c r="G58" s="192">
        <v>2551</v>
      </c>
      <c r="H58" s="125">
        <f>ROUND(G58*Valores!$C$2,2)</f>
        <v>69186.179999999993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14200.63</v>
      </c>
      <c r="N58" s="125">
        <f t="shared" si="1"/>
        <v>0</v>
      </c>
      <c r="O58" s="125">
        <f>Valores!$C$9</f>
        <v>29939.09</v>
      </c>
      <c r="P58" s="125">
        <f>Valores!$D$5</f>
        <v>13864.36</v>
      </c>
      <c r="Q58" s="125">
        <f>Valores!$C$22</f>
        <v>12369.22</v>
      </c>
      <c r="R58" s="125">
        <f>IF($F$4="NO",Valores!$C$45,Valores!$C$45/2)</f>
        <v>10169.9</v>
      </c>
      <c r="S58" s="125">
        <f>Valores!$C$19</f>
        <v>12901.01</v>
      </c>
      <c r="T58" s="125">
        <f t="shared" si="7"/>
        <v>12901.01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7582.51</v>
      </c>
      <c r="AA58" s="125">
        <f>Valores!$C$25</f>
        <v>567.05999999999995</v>
      </c>
      <c r="AB58" s="214">
        <v>0</v>
      </c>
      <c r="AC58" s="125">
        <f t="shared" si="2"/>
        <v>0</v>
      </c>
      <c r="AD58" s="125">
        <f>Valores!$C$26</f>
        <v>567.05999999999995</v>
      </c>
      <c r="AE58" s="192">
        <v>94</v>
      </c>
      <c r="AF58" s="125">
        <f>ROUND(AE58*Valores!$C$2,2)</f>
        <v>2549.39</v>
      </c>
      <c r="AG58" s="125">
        <f>ROUND(IF($F$4="NO",Valores!$C$63,Valores!$C$63/2),2)</f>
        <v>6482.98</v>
      </c>
      <c r="AH58" s="125">
        <f t="shared" si="5"/>
        <v>182793.18000000002</v>
      </c>
      <c r="AI58" s="125">
        <f>Valores!$C$31</f>
        <v>0</v>
      </c>
      <c r="AJ58" s="125">
        <f>Valores!$C$88</f>
        <v>0</v>
      </c>
      <c r="AK58" s="125">
        <f>Valores!C$38*B58</f>
        <v>30000</v>
      </c>
      <c r="AL58" s="125">
        <f>IF($F$3="NO",0,Valores!$C$56)</f>
        <v>170.34</v>
      </c>
      <c r="AM58" s="125">
        <f t="shared" si="3"/>
        <v>30170.34</v>
      </c>
      <c r="AN58" s="125">
        <f>AH58*Valores!$C$71</f>
        <v>-20107.249800000001</v>
      </c>
      <c r="AO58" s="125">
        <f>AH58*-Valores!$C$72</f>
        <v>0</v>
      </c>
      <c r="AP58" s="125">
        <f>AH58*Valores!$C$73</f>
        <v>-8225.6931000000004</v>
      </c>
      <c r="AQ58" s="125">
        <f>Valores!$C$100</f>
        <v>-280.91000000000003</v>
      </c>
      <c r="AR58" s="125">
        <f>IF($F$5=0,Valores!$C$101,(Valores!$C$101+$F$5*(Valores!$C$101)))</f>
        <v>-385</v>
      </c>
      <c r="AS58" s="125">
        <f t="shared" si="6"/>
        <v>183964.66710000002</v>
      </c>
      <c r="AT58" s="125">
        <f t="shared" si="0"/>
        <v>-20107.249800000001</v>
      </c>
      <c r="AU58" s="125">
        <f>AH58*Valores!$C$74</f>
        <v>-4935.415860000001</v>
      </c>
      <c r="AV58" s="125">
        <f>AH58*Valores!$C$75</f>
        <v>-548.37954000000013</v>
      </c>
      <c r="AW58" s="125">
        <f t="shared" si="4"/>
        <v>187372.47480000003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2413.79</v>
      </c>
      <c r="G59" s="192">
        <v>2251</v>
      </c>
      <c r="H59" s="125">
        <f>ROUND(G59*Valores!$C$2,2)</f>
        <v>61049.82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12980.18</v>
      </c>
      <c r="N59" s="125">
        <f t="shared" si="1"/>
        <v>0</v>
      </c>
      <c r="O59" s="125">
        <f>Valores!$C$9</f>
        <v>29939.09</v>
      </c>
      <c r="P59" s="125">
        <f>Valores!$D$5</f>
        <v>13864.36</v>
      </c>
      <c r="Q59" s="125">
        <f>Valores!$C$22</f>
        <v>12369.22</v>
      </c>
      <c r="R59" s="125">
        <f>IF($F$4="NO",Valores!$C$45,Valores!$C$45/2)</f>
        <v>10169.9</v>
      </c>
      <c r="S59" s="125">
        <f>Valores!$C$19</f>
        <v>12901.01</v>
      </c>
      <c r="T59" s="125">
        <f t="shared" si="7"/>
        <v>12901.01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7582.51</v>
      </c>
      <c r="AA59" s="125">
        <f>Valores!$C$25</f>
        <v>567.05999999999995</v>
      </c>
      <c r="AB59" s="214">
        <v>0</v>
      </c>
      <c r="AC59" s="125">
        <f t="shared" si="2"/>
        <v>0</v>
      </c>
      <c r="AD59" s="125">
        <f>Valores!$C$26</f>
        <v>567.05999999999995</v>
      </c>
      <c r="AE59" s="192">
        <v>0</v>
      </c>
      <c r="AF59" s="125">
        <f>ROUND(AE59*Valores!$C$2,2)</f>
        <v>0</v>
      </c>
      <c r="AG59" s="125">
        <f>ROUND(IF($F$4="NO",Valores!$C$63,Valores!$C$63/2),2)</f>
        <v>6482.98</v>
      </c>
      <c r="AH59" s="125">
        <f t="shared" si="5"/>
        <v>170886.98</v>
      </c>
      <c r="AI59" s="125">
        <f>Valores!$C$31</f>
        <v>0</v>
      </c>
      <c r="AJ59" s="125">
        <f>Valores!$C$88</f>
        <v>0</v>
      </c>
      <c r="AK59" s="125">
        <f>Valores!C$38*B59</f>
        <v>30000</v>
      </c>
      <c r="AL59" s="125">
        <f>IF($F$3="NO",0,Valores!$C$56)</f>
        <v>170.34</v>
      </c>
      <c r="AM59" s="125">
        <f t="shared" si="3"/>
        <v>30170.34</v>
      </c>
      <c r="AN59" s="125">
        <f>AH59*Valores!$C$71</f>
        <v>-18797.567800000001</v>
      </c>
      <c r="AO59" s="125">
        <f>AH59*-Valores!$C$72</f>
        <v>0</v>
      </c>
      <c r="AP59" s="125">
        <f>AH59*Valores!$C$73</f>
        <v>-7689.9141</v>
      </c>
      <c r="AQ59" s="125">
        <f>Valores!$C$100</f>
        <v>-280.91000000000003</v>
      </c>
      <c r="AR59" s="125">
        <f>IF($F$5=0,Valores!$C$101,(Valores!$C$101+$F$5*(Valores!$C$101)))</f>
        <v>-385</v>
      </c>
      <c r="AS59" s="125">
        <f t="shared" si="6"/>
        <v>173903.92810000002</v>
      </c>
      <c r="AT59" s="125">
        <f t="shared" si="0"/>
        <v>-18797.567800000001</v>
      </c>
      <c r="AU59" s="125">
        <f>AH59*Valores!$C$74</f>
        <v>-4613.9484600000005</v>
      </c>
      <c r="AV59" s="125">
        <f>AH59*Valores!$C$75</f>
        <v>-512.6609400000001</v>
      </c>
      <c r="AW59" s="125">
        <f t="shared" si="4"/>
        <v>177133.1428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2305.3000000000002</v>
      </c>
      <c r="G60" s="192">
        <v>2255</v>
      </c>
      <c r="H60" s="125">
        <f>ROUND(G60*Valores!$C$2,2)</f>
        <v>61158.31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12980.18</v>
      </c>
      <c r="N60" s="125">
        <f t="shared" si="1"/>
        <v>0</v>
      </c>
      <c r="O60" s="125">
        <f>Valores!$C$9</f>
        <v>29939.09</v>
      </c>
      <c r="P60" s="125">
        <f>Valores!$D$5</f>
        <v>13864.36</v>
      </c>
      <c r="Q60" s="125">
        <f>Valores!$C$22</f>
        <v>12369.22</v>
      </c>
      <c r="R60" s="125">
        <f>IF($F$4="NO",Valores!$C$45,Valores!$C$45/2)</f>
        <v>10169.9</v>
      </c>
      <c r="S60" s="125">
        <f>Valores!$C$19</f>
        <v>12901.01</v>
      </c>
      <c r="T60" s="125">
        <f t="shared" si="7"/>
        <v>12901.01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7582.51</v>
      </c>
      <c r="AA60" s="125">
        <f>Valores!$C$25</f>
        <v>567.05999999999995</v>
      </c>
      <c r="AB60" s="214">
        <v>0</v>
      </c>
      <c r="AC60" s="125">
        <f t="shared" si="2"/>
        <v>0</v>
      </c>
      <c r="AD60" s="125">
        <f>Valores!$C$26</f>
        <v>567.05999999999995</v>
      </c>
      <c r="AE60" s="192">
        <v>94</v>
      </c>
      <c r="AF60" s="125">
        <f>ROUND(AE60*Valores!$C$2,2)</f>
        <v>2549.39</v>
      </c>
      <c r="AG60" s="125">
        <f>ROUND(IF($F$4="NO",Valores!$C$63,Valores!$C$63/2),2)</f>
        <v>6482.98</v>
      </c>
      <c r="AH60" s="125">
        <f t="shared" si="5"/>
        <v>173436.37000000002</v>
      </c>
      <c r="AI60" s="125">
        <f>Valores!$C$31</f>
        <v>0</v>
      </c>
      <c r="AJ60" s="125">
        <f>Valores!$C$88</f>
        <v>0</v>
      </c>
      <c r="AK60" s="125">
        <f>Valores!C$38*B60</f>
        <v>30000</v>
      </c>
      <c r="AL60" s="125">
        <f>IF($F$3="NO",0,Valores!$C$56)</f>
        <v>170.34</v>
      </c>
      <c r="AM60" s="125">
        <f t="shared" si="3"/>
        <v>30170.34</v>
      </c>
      <c r="AN60" s="125">
        <f>AH60*Valores!$C$71</f>
        <v>-19078.000700000004</v>
      </c>
      <c r="AO60" s="125">
        <f>AH60*-Valores!$C$72</f>
        <v>0</v>
      </c>
      <c r="AP60" s="125">
        <f>AH60*Valores!$C$73</f>
        <v>-7804.6366500000004</v>
      </c>
      <c r="AQ60" s="125">
        <f>Valores!$C$100</f>
        <v>-280.91000000000003</v>
      </c>
      <c r="AR60" s="125">
        <f>IF($F$5=0,Valores!$C$101,(Valores!$C$101+$F$5*(Valores!$C$101)))</f>
        <v>-385</v>
      </c>
      <c r="AS60" s="125">
        <f t="shared" si="6"/>
        <v>176058.16265000001</v>
      </c>
      <c r="AT60" s="125">
        <f t="shared" si="0"/>
        <v>-19078.000700000004</v>
      </c>
      <c r="AU60" s="125">
        <f>AH60*Valores!$C$74</f>
        <v>-4682.7819900000004</v>
      </c>
      <c r="AV60" s="125">
        <f>AH60*Valores!$C$75</f>
        <v>-520.30911000000003</v>
      </c>
      <c r="AW60" s="125">
        <f t="shared" si="4"/>
        <v>179325.61820000003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2712.12</v>
      </c>
      <c r="G61" s="192">
        <v>3180</v>
      </c>
      <c r="H61" s="125">
        <f>ROUND(G61*Valores!$C$2,2)</f>
        <v>86245.42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17129.78</v>
      </c>
      <c r="N61" s="125">
        <f t="shared" si="1"/>
        <v>0</v>
      </c>
      <c r="O61" s="125">
        <f>Valores!$C$9</f>
        <v>29939.09</v>
      </c>
      <c r="P61" s="125">
        <f>Valores!$D$5</f>
        <v>13864.36</v>
      </c>
      <c r="Q61" s="125">
        <f>Valores!$C$22</f>
        <v>12369.22</v>
      </c>
      <c r="R61" s="125">
        <f>IF($F$4="NO",Valores!$C$48,Valores!$C$48/2)</f>
        <v>12340.01</v>
      </c>
      <c r="S61" s="125">
        <f>Valores!$C$19</f>
        <v>12901.01</v>
      </c>
      <c r="T61" s="125">
        <f t="shared" si="7"/>
        <v>12901.01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7582.51</v>
      </c>
      <c r="AA61" s="125">
        <f>Valores!$C$25</f>
        <v>567.05999999999995</v>
      </c>
      <c r="AB61" s="214">
        <v>0</v>
      </c>
      <c r="AC61" s="125">
        <f t="shared" si="2"/>
        <v>0</v>
      </c>
      <c r="AD61" s="125">
        <f>Valores!$C$26</f>
        <v>567.05999999999995</v>
      </c>
      <c r="AE61" s="192">
        <v>0</v>
      </c>
      <c r="AF61" s="125">
        <f>ROUND(AE61*Valores!$C$2,2)</f>
        <v>0</v>
      </c>
      <c r="AG61" s="125">
        <f>ROUND(IF($F$4="NO",Valores!$C$63,Valores!$C$63/2),2)</f>
        <v>6482.98</v>
      </c>
      <c r="AH61" s="125">
        <f t="shared" si="5"/>
        <v>202700.62000000005</v>
      </c>
      <c r="AI61" s="125">
        <f>Valores!$C$31</f>
        <v>0</v>
      </c>
      <c r="AJ61" s="125">
        <f>Valores!$C$88</f>
        <v>0</v>
      </c>
      <c r="AK61" s="125">
        <f>Valores!C$38*B61</f>
        <v>30000</v>
      </c>
      <c r="AL61" s="125">
        <f>IF($F$3="NO",0,Valores!$C$56)</f>
        <v>170.34</v>
      </c>
      <c r="AM61" s="125">
        <f t="shared" si="3"/>
        <v>30170.34</v>
      </c>
      <c r="AN61" s="125">
        <f>AH61*Valores!$C$71</f>
        <v>-22297.068200000005</v>
      </c>
      <c r="AO61" s="125">
        <f>AH61*-Valores!$C$72</f>
        <v>0</v>
      </c>
      <c r="AP61" s="125">
        <f>AH61*Valores!$C$73</f>
        <v>-9121.5279000000028</v>
      </c>
      <c r="AQ61" s="125">
        <f>Valores!$C$100</f>
        <v>-280.91000000000003</v>
      </c>
      <c r="AR61" s="125">
        <f>IF($F$5=0,Valores!$C$101,(Valores!$C$101+$F$5*(Valores!$C$101)))</f>
        <v>-385</v>
      </c>
      <c r="AS61" s="125">
        <f t="shared" si="6"/>
        <v>200786.45390000005</v>
      </c>
      <c r="AT61" s="125">
        <f t="shared" si="0"/>
        <v>-22297.068200000005</v>
      </c>
      <c r="AU61" s="125">
        <f>AH61*Valores!$C$74</f>
        <v>-5472.9167400000015</v>
      </c>
      <c r="AV61" s="125">
        <f>AH61*Valores!$C$75</f>
        <v>-608.10186000000022</v>
      </c>
      <c r="AW61" s="125">
        <f t="shared" si="4"/>
        <v>204492.87320000003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2251.06</v>
      </c>
      <c r="G62" s="192">
        <v>2352</v>
      </c>
      <c r="H62" s="125">
        <f>ROUND(G62*Valores!$C$2,2)</f>
        <v>63789.06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13366.65</v>
      </c>
      <c r="N62" s="125">
        <f t="shared" si="1"/>
        <v>0</v>
      </c>
      <c r="O62" s="125">
        <f>Valores!$C$9</f>
        <v>29939.09</v>
      </c>
      <c r="P62" s="125">
        <f>Valores!$D$5</f>
        <v>13864.36</v>
      </c>
      <c r="Q62" s="125">
        <f>Valores!$C$22</f>
        <v>12369.22</v>
      </c>
      <c r="R62" s="125">
        <f>IF($F$4="NO",Valores!$C$45,Valores!$C$45/2)</f>
        <v>10169.9</v>
      </c>
      <c r="S62" s="125">
        <f>Valores!$C$19</f>
        <v>12901.01</v>
      </c>
      <c r="T62" s="125">
        <f t="shared" si="7"/>
        <v>12901.01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7582.51</v>
      </c>
      <c r="AA62" s="125">
        <f>Valores!$C$25</f>
        <v>567.05999999999995</v>
      </c>
      <c r="AB62" s="214">
        <v>0</v>
      </c>
      <c r="AC62" s="125">
        <f t="shared" si="2"/>
        <v>0</v>
      </c>
      <c r="AD62" s="125">
        <f>Valores!$C$26</f>
        <v>567.05999999999995</v>
      </c>
      <c r="AE62" s="192">
        <v>0</v>
      </c>
      <c r="AF62" s="125">
        <f>ROUND(AE62*Valores!$C$2,2)</f>
        <v>0</v>
      </c>
      <c r="AG62" s="125">
        <f>ROUND(IF($F$4="NO",Valores!$C$63,Valores!$C$63/2),2)</f>
        <v>6482.98</v>
      </c>
      <c r="AH62" s="125">
        <f t="shared" si="5"/>
        <v>173849.96</v>
      </c>
      <c r="AI62" s="125">
        <f>Valores!$C$31</f>
        <v>0</v>
      </c>
      <c r="AJ62" s="125">
        <f>Valores!$C$88</f>
        <v>0</v>
      </c>
      <c r="AK62" s="125">
        <f>Valores!C$38*B62</f>
        <v>30000</v>
      </c>
      <c r="AL62" s="125">
        <f>IF($F$3="NO",0,Valores!$C$56)</f>
        <v>170.34</v>
      </c>
      <c r="AM62" s="125">
        <f t="shared" si="3"/>
        <v>30170.34</v>
      </c>
      <c r="AN62" s="125">
        <f>AH62*Valores!$C$71</f>
        <v>-19123.495599999998</v>
      </c>
      <c r="AO62" s="125">
        <f>AH62*-Valores!$C$72</f>
        <v>0</v>
      </c>
      <c r="AP62" s="125">
        <f>AH62*Valores!$C$73</f>
        <v>-7823.2481999999991</v>
      </c>
      <c r="AQ62" s="125">
        <f>Valores!$C$100</f>
        <v>-280.91000000000003</v>
      </c>
      <c r="AR62" s="125">
        <f>IF($F$5=0,Valores!$C$101,(Valores!$C$101+$F$5*(Valores!$C$101)))</f>
        <v>-385</v>
      </c>
      <c r="AS62" s="125">
        <f t="shared" si="6"/>
        <v>176407.64619999999</v>
      </c>
      <c r="AT62" s="125">
        <f t="shared" si="0"/>
        <v>-19123.495599999998</v>
      </c>
      <c r="AU62" s="125">
        <f>AH62*Valores!$C$74</f>
        <v>-4693.9489199999998</v>
      </c>
      <c r="AV62" s="125">
        <f>AH62*Valores!$C$75</f>
        <v>-521.54988000000003</v>
      </c>
      <c r="AW62" s="125">
        <f t="shared" si="4"/>
        <v>179681.30559999999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2196.8200000000002</v>
      </c>
      <c r="G63" s="192">
        <v>2354</v>
      </c>
      <c r="H63" s="125">
        <f>ROUND(G63*Valores!$C$2,2)</f>
        <v>63843.3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13366.65</v>
      </c>
      <c r="N63" s="125">
        <f t="shared" si="1"/>
        <v>0</v>
      </c>
      <c r="O63" s="125">
        <f>Valores!$C$9</f>
        <v>29939.09</v>
      </c>
      <c r="P63" s="125">
        <f>Valores!$D$5</f>
        <v>13864.36</v>
      </c>
      <c r="Q63" s="125">
        <f>Valores!$C$22</f>
        <v>12369.22</v>
      </c>
      <c r="R63" s="125">
        <f>IF($F$4="NO",Valores!$C$45,Valores!$C$45/2)</f>
        <v>10169.9</v>
      </c>
      <c r="S63" s="125">
        <f>Valores!$C$19</f>
        <v>12901.01</v>
      </c>
      <c r="T63" s="125">
        <f t="shared" si="7"/>
        <v>12901.01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7582.51</v>
      </c>
      <c r="AA63" s="125">
        <f>Valores!$C$25</f>
        <v>567.05999999999995</v>
      </c>
      <c r="AB63" s="214">
        <v>0</v>
      </c>
      <c r="AC63" s="125">
        <f t="shared" si="2"/>
        <v>0</v>
      </c>
      <c r="AD63" s="125">
        <f>Valores!$C$26</f>
        <v>567.05999999999995</v>
      </c>
      <c r="AE63" s="192">
        <v>94</v>
      </c>
      <c r="AF63" s="125">
        <f>ROUND(AE63*Valores!$C$2,2)</f>
        <v>2549.39</v>
      </c>
      <c r="AG63" s="125">
        <f>ROUND(IF($F$4="NO",Valores!$C$63,Valores!$C$63/2),2)</f>
        <v>6482.98</v>
      </c>
      <c r="AH63" s="125">
        <f t="shared" si="5"/>
        <v>176399.35000000003</v>
      </c>
      <c r="AI63" s="125">
        <f>Valores!$C$31</f>
        <v>0</v>
      </c>
      <c r="AJ63" s="125">
        <f>Valores!$C$88</f>
        <v>0</v>
      </c>
      <c r="AK63" s="125">
        <f>Valores!C$38*B63</f>
        <v>30000</v>
      </c>
      <c r="AL63" s="125">
        <f>IF($F$3="NO",0,Valores!$C$56)</f>
        <v>170.34</v>
      </c>
      <c r="AM63" s="125">
        <f t="shared" si="3"/>
        <v>30170.34</v>
      </c>
      <c r="AN63" s="125">
        <f>AH63*Valores!$C$71</f>
        <v>-19403.928500000005</v>
      </c>
      <c r="AO63" s="125">
        <f>AH63*-Valores!$C$72</f>
        <v>0</v>
      </c>
      <c r="AP63" s="125">
        <f>AH63*Valores!$C$73</f>
        <v>-7937.9707500000013</v>
      </c>
      <c r="AQ63" s="125">
        <f>Valores!$C$100</f>
        <v>-280.91000000000003</v>
      </c>
      <c r="AR63" s="125">
        <f>IF($F$5=0,Valores!$C$101,(Valores!$C$101+$F$5*(Valores!$C$101)))</f>
        <v>-385</v>
      </c>
      <c r="AS63" s="125">
        <f t="shared" si="6"/>
        <v>178561.88075000004</v>
      </c>
      <c r="AT63" s="125">
        <f t="shared" si="0"/>
        <v>-19403.928500000005</v>
      </c>
      <c r="AU63" s="125">
        <f>AH63*Valores!$C$74</f>
        <v>-4762.7824500000006</v>
      </c>
      <c r="AV63" s="125">
        <f>AH63*Valores!$C$75</f>
        <v>-529.19805000000008</v>
      </c>
      <c r="AW63" s="125">
        <f t="shared" si="4"/>
        <v>181873.78100000002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2196.8200000000002</v>
      </c>
      <c r="G64" s="192">
        <v>2094</v>
      </c>
      <c r="H64" s="125">
        <f>ROUND(G64*Valores!$C$2,2)</f>
        <v>56791.79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12308.93</v>
      </c>
      <c r="N64" s="125">
        <f t="shared" si="1"/>
        <v>0</v>
      </c>
      <c r="O64" s="125">
        <f>Valores!$C$9</f>
        <v>29939.09</v>
      </c>
      <c r="P64" s="125">
        <f>Valores!$D$5</f>
        <v>13864.36</v>
      </c>
      <c r="Q64" s="125">
        <f>Valores!$C$22</f>
        <v>12369.22</v>
      </c>
      <c r="R64" s="125">
        <f>IF($F$4="NO",Valores!$C$45,Valores!$C$45/2)</f>
        <v>10169.9</v>
      </c>
      <c r="S64" s="125">
        <f>Valores!$C$19</f>
        <v>12901.01</v>
      </c>
      <c r="T64" s="125">
        <f t="shared" si="7"/>
        <v>12901.01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7582.51</v>
      </c>
      <c r="AA64" s="125">
        <f>Valores!$C$25</f>
        <v>567.05999999999995</v>
      </c>
      <c r="AB64" s="214">
        <v>0</v>
      </c>
      <c r="AC64" s="125">
        <f t="shared" si="2"/>
        <v>0</v>
      </c>
      <c r="AD64" s="125">
        <f>Valores!$C$26</f>
        <v>567.05999999999995</v>
      </c>
      <c r="AE64" s="192">
        <v>0</v>
      </c>
      <c r="AF64" s="125">
        <f>ROUND(AE64*Valores!$C$2,2)</f>
        <v>0</v>
      </c>
      <c r="AG64" s="125">
        <f>ROUND(IF($F$4="NO",Valores!$C$63,Valores!$C$63/2),2)</f>
        <v>6482.98</v>
      </c>
      <c r="AH64" s="125">
        <f t="shared" si="5"/>
        <v>165740.73000000004</v>
      </c>
      <c r="AI64" s="125">
        <f>Valores!$C$31</f>
        <v>0</v>
      </c>
      <c r="AJ64" s="125">
        <f>Valores!$C$88</f>
        <v>0</v>
      </c>
      <c r="AK64" s="125">
        <f>Valores!C$38*B64</f>
        <v>30000</v>
      </c>
      <c r="AL64" s="125">
        <f>IF($F$3="NO",0,Valores!$C$56)</f>
        <v>170.34</v>
      </c>
      <c r="AM64" s="125">
        <f t="shared" si="3"/>
        <v>30170.34</v>
      </c>
      <c r="AN64" s="125">
        <f>AH64*Valores!$C$71</f>
        <v>-18231.480300000003</v>
      </c>
      <c r="AO64" s="125">
        <f>AH64*-Valores!$C$72</f>
        <v>0</v>
      </c>
      <c r="AP64" s="125">
        <f>AH64*Valores!$C$73</f>
        <v>-7458.3328500000016</v>
      </c>
      <c r="AQ64" s="125">
        <f>Valores!$C$100</f>
        <v>-280.91000000000003</v>
      </c>
      <c r="AR64" s="125">
        <f>IF($F$5=0,Valores!$C$101,(Valores!$C$101+$F$5*(Valores!$C$101)))</f>
        <v>-385</v>
      </c>
      <c r="AS64" s="125">
        <f t="shared" si="6"/>
        <v>169555.34685000003</v>
      </c>
      <c r="AT64" s="125">
        <f t="shared" si="0"/>
        <v>-18231.480300000003</v>
      </c>
      <c r="AU64" s="125">
        <f>AH64*Valores!$C$74</f>
        <v>-4474.999710000001</v>
      </c>
      <c r="AV64" s="125">
        <f>AH64*Valores!$C$75</f>
        <v>-497.22219000000013</v>
      </c>
      <c r="AW64" s="125">
        <f t="shared" si="4"/>
        <v>172707.36780000004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2169.6999999999998</v>
      </c>
      <c r="G65" s="192">
        <v>2095</v>
      </c>
      <c r="H65" s="125">
        <f>ROUND(G65*Valores!$C$2,2)</f>
        <v>56818.91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12308.93</v>
      </c>
      <c r="N65" s="125">
        <f t="shared" si="1"/>
        <v>0</v>
      </c>
      <c r="O65" s="125">
        <f>Valores!$C$9</f>
        <v>29939.09</v>
      </c>
      <c r="P65" s="125">
        <f>Valores!$D$5</f>
        <v>13864.36</v>
      </c>
      <c r="Q65" s="125">
        <f>Valores!$C$22</f>
        <v>12369.22</v>
      </c>
      <c r="R65" s="125">
        <f>IF($F$4="NO",Valores!$C$45,Valores!$C$45/2)</f>
        <v>10169.9</v>
      </c>
      <c r="S65" s="125">
        <f>Valores!$C$19</f>
        <v>12901.01</v>
      </c>
      <c r="T65" s="125">
        <f t="shared" si="7"/>
        <v>12901.01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7582.51</v>
      </c>
      <c r="AA65" s="125">
        <f>Valores!$C$25</f>
        <v>567.05999999999995</v>
      </c>
      <c r="AB65" s="214">
        <v>0</v>
      </c>
      <c r="AC65" s="125">
        <f t="shared" si="2"/>
        <v>0</v>
      </c>
      <c r="AD65" s="125">
        <f>Valores!$C$26</f>
        <v>567.05999999999995</v>
      </c>
      <c r="AE65" s="192">
        <v>94</v>
      </c>
      <c r="AF65" s="125">
        <f>ROUND(AE65*Valores!$C$2,2)</f>
        <v>2549.39</v>
      </c>
      <c r="AG65" s="125">
        <f>ROUND(IF($F$4="NO",Valores!$C$63,Valores!$C$63/2),2)</f>
        <v>6482.98</v>
      </c>
      <c r="AH65" s="125">
        <f t="shared" si="5"/>
        <v>168290.12000000005</v>
      </c>
      <c r="AI65" s="125">
        <f>Valores!$C$31</f>
        <v>0</v>
      </c>
      <c r="AJ65" s="125">
        <f>Valores!$C$88</f>
        <v>0</v>
      </c>
      <c r="AK65" s="125">
        <f>Valores!C$38*B65</f>
        <v>30000</v>
      </c>
      <c r="AL65" s="125">
        <f>IF($F$3="NO",0,Valores!$C$56)</f>
        <v>170.34</v>
      </c>
      <c r="AM65" s="125">
        <f t="shared" si="3"/>
        <v>30170.34</v>
      </c>
      <c r="AN65" s="125">
        <f>AH65*Valores!$C$71</f>
        <v>-18511.913200000006</v>
      </c>
      <c r="AO65" s="125">
        <f>AH65*-Valores!$C$72</f>
        <v>0</v>
      </c>
      <c r="AP65" s="125">
        <f>AH65*Valores!$C$73</f>
        <v>-7573.055400000002</v>
      </c>
      <c r="AQ65" s="125">
        <f>Valores!$C$100</f>
        <v>-280.91000000000003</v>
      </c>
      <c r="AR65" s="125">
        <f>IF($F$5=0,Valores!$C$101,(Valores!$C$101+$F$5*(Valores!$C$101)))</f>
        <v>-385</v>
      </c>
      <c r="AS65" s="125">
        <f t="shared" si="6"/>
        <v>171709.58140000005</v>
      </c>
      <c r="AT65" s="125">
        <f t="shared" si="0"/>
        <v>-18511.913200000006</v>
      </c>
      <c r="AU65" s="125">
        <f>AH65*Valores!$C$74</f>
        <v>-4543.8332400000018</v>
      </c>
      <c r="AV65" s="125">
        <f>AH65*Valores!$C$75</f>
        <v>-504.87036000000018</v>
      </c>
      <c r="AW65" s="125">
        <f t="shared" si="4"/>
        <v>174899.84320000003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2142.5700000000002</v>
      </c>
      <c r="G66" s="192">
        <v>1944</v>
      </c>
      <c r="H66" s="125">
        <f>ROUND(G66*Valores!$C$2,2)</f>
        <v>52723.61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11690.56</v>
      </c>
      <c r="N66" s="125">
        <f t="shared" si="1"/>
        <v>0</v>
      </c>
      <c r="O66" s="125">
        <f>Valores!$C$9</f>
        <v>29939.09</v>
      </c>
      <c r="P66" s="125">
        <f>Valores!$D$5</f>
        <v>13864.36</v>
      </c>
      <c r="Q66" s="125">
        <f>Valores!$C$22</f>
        <v>12369.22</v>
      </c>
      <c r="R66" s="125">
        <f>IF($F$4="NO",Valores!$C$45,Valores!$C$45/2)</f>
        <v>10169.9</v>
      </c>
      <c r="S66" s="125">
        <f>Valores!$C$19</f>
        <v>12901.01</v>
      </c>
      <c r="T66" s="125">
        <f t="shared" si="7"/>
        <v>12901.01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7582.51</v>
      </c>
      <c r="AA66" s="125">
        <f>Valores!$C$25</f>
        <v>567.05999999999995</v>
      </c>
      <c r="AB66" s="214">
        <v>0</v>
      </c>
      <c r="AC66" s="125">
        <f t="shared" si="2"/>
        <v>0</v>
      </c>
      <c r="AD66" s="125">
        <f>Valores!$C$26</f>
        <v>567.05999999999995</v>
      </c>
      <c r="AE66" s="192">
        <v>0</v>
      </c>
      <c r="AF66" s="125">
        <f>ROUND(AE66*Valores!$C$2,2)</f>
        <v>0</v>
      </c>
      <c r="AG66" s="125">
        <f>ROUND(IF($F$4="NO",Valores!$C$63,Valores!$C$63/2),2)</f>
        <v>6482.98</v>
      </c>
      <c r="AH66" s="125">
        <f t="shared" si="5"/>
        <v>160999.93000000002</v>
      </c>
      <c r="AI66" s="125">
        <f>Valores!$C$31</f>
        <v>0</v>
      </c>
      <c r="AJ66" s="125">
        <f>Valores!$C$88</f>
        <v>0</v>
      </c>
      <c r="AK66" s="125">
        <f>Valores!C$38*B66</f>
        <v>30000</v>
      </c>
      <c r="AL66" s="125">
        <f>IF($F$3="NO",0,Valores!$C$56)</f>
        <v>170.34</v>
      </c>
      <c r="AM66" s="125">
        <f t="shared" si="3"/>
        <v>30170.34</v>
      </c>
      <c r="AN66" s="125">
        <f>AH66*Valores!$C$71</f>
        <v>-17709.992300000002</v>
      </c>
      <c r="AO66" s="125">
        <f>AH66*-Valores!$C$72</f>
        <v>0</v>
      </c>
      <c r="AP66" s="125">
        <f>AH66*Valores!$C$73</f>
        <v>-7244.9968500000004</v>
      </c>
      <c r="AQ66" s="125">
        <f>Valores!$C$100</f>
        <v>-280.91000000000003</v>
      </c>
      <c r="AR66" s="125">
        <f>IF($F$5=0,Valores!$C$101,(Valores!$C$101+$F$5*(Valores!$C$101)))</f>
        <v>-385</v>
      </c>
      <c r="AS66" s="125">
        <f t="shared" si="6"/>
        <v>165549.37085000001</v>
      </c>
      <c r="AT66" s="125">
        <f t="shared" si="0"/>
        <v>-17709.992300000002</v>
      </c>
      <c r="AU66" s="125">
        <f>AH66*Valores!$C$74</f>
        <v>-4346.9981100000005</v>
      </c>
      <c r="AV66" s="125">
        <f>AH66*Valores!$C$75</f>
        <v>-482.99979000000008</v>
      </c>
      <c r="AW66" s="125">
        <f t="shared" si="4"/>
        <v>168630.27980000002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2142.5700000000002</v>
      </c>
      <c r="G67" s="192">
        <v>1944</v>
      </c>
      <c r="H67" s="125">
        <f>ROUND(G67*Valores!$C$2,2)</f>
        <v>52723.61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11690.56</v>
      </c>
      <c r="N67" s="125">
        <f t="shared" si="1"/>
        <v>0</v>
      </c>
      <c r="O67" s="125">
        <f>Valores!$C$9</f>
        <v>29939.09</v>
      </c>
      <c r="P67" s="125">
        <f>Valores!$D$5</f>
        <v>13864.36</v>
      </c>
      <c r="Q67" s="125">
        <f>Valores!$C$22</f>
        <v>12369.22</v>
      </c>
      <c r="R67" s="125">
        <f>IF($F$4="NO",Valores!$C$45,Valores!$C$45/2)</f>
        <v>10169.9</v>
      </c>
      <c r="S67" s="125">
        <f>Valores!$C$19</f>
        <v>12901.01</v>
      </c>
      <c r="T67" s="125">
        <f t="shared" si="7"/>
        <v>12901.01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7582.51</v>
      </c>
      <c r="AA67" s="125">
        <f>Valores!$C$25</f>
        <v>567.05999999999995</v>
      </c>
      <c r="AB67" s="214">
        <v>0</v>
      </c>
      <c r="AC67" s="125">
        <f t="shared" si="2"/>
        <v>0</v>
      </c>
      <c r="AD67" s="125">
        <f>Valores!$C$26</f>
        <v>567.05999999999995</v>
      </c>
      <c r="AE67" s="192">
        <v>94</v>
      </c>
      <c r="AF67" s="125">
        <f>ROUND(AE67*Valores!$C$2,2)</f>
        <v>2549.39</v>
      </c>
      <c r="AG67" s="125">
        <f>ROUND(IF($F$4="NO",Valores!$C$63,Valores!$C$63/2),2)</f>
        <v>6482.98</v>
      </c>
      <c r="AH67" s="125">
        <f t="shared" si="5"/>
        <v>163549.32000000004</v>
      </c>
      <c r="AI67" s="125">
        <f>Valores!$C$31</f>
        <v>0</v>
      </c>
      <c r="AJ67" s="125">
        <f>Valores!$C$88</f>
        <v>0</v>
      </c>
      <c r="AK67" s="125">
        <f>Valores!C$38*B67</f>
        <v>30000</v>
      </c>
      <c r="AL67" s="125">
        <f>IF($F$3="NO",0,Valores!$C$56)</f>
        <v>170.34</v>
      </c>
      <c r="AM67" s="125">
        <f t="shared" si="3"/>
        <v>30170.34</v>
      </c>
      <c r="AN67" s="125">
        <f>AH67*Valores!$C$71</f>
        <v>-17990.425200000005</v>
      </c>
      <c r="AO67" s="125">
        <f>AH67*-Valores!$C$72</f>
        <v>0</v>
      </c>
      <c r="AP67" s="125">
        <f>AH67*Valores!$C$73</f>
        <v>-7359.7194000000018</v>
      </c>
      <c r="AQ67" s="125">
        <f>Valores!$C$100</f>
        <v>-280.91000000000003</v>
      </c>
      <c r="AR67" s="125">
        <f>IF($F$5=0,Valores!$C$101,(Valores!$C$101+$F$5*(Valores!$C$101)))</f>
        <v>-385</v>
      </c>
      <c r="AS67" s="125">
        <f t="shared" si="6"/>
        <v>167703.60540000003</v>
      </c>
      <c r="AT67" s="125">
        <f t="shared" si="0"/>
        <v>-17990.425200000005</v>
      </c>
      <c r="AU67" s="125">
        <f>AH67*Valores!$C$74</f>
        <v>-4415.8316400000012</v>
      </c>
      <c r="AV67" s="125">
        <f>AH67*Valores!$C$75</f>
        <v>-490.64796000000013</v>
      </c>
      <c r="AW67" s="125">
        <f t="shared" si="4"/>
        <v>170822.75520000001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2712.12</v>
      </c>
      <c r="G68" s="192">
        <v>2864</v>
      </c>
      <c r="H68" s="125">
        <f>ROUND(G68*Valores!$C$2,2)</f>
        <v>77675.12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15437.95</v>
      </c>
      <c r="N68" s="125">
        <f t="shared" si="1"/>
        <v>0</v>
      </c>
      <c r="O68" s="125">
        <f>Valores!$C$9</f>
        <v>29939.09</v>
      </c>
      <c r="P68" s="125">
        <f>Valores!$D$5</f>
        <v>13864.36</v>
      </c>
      <c r="Q68" s="125">
        <v>0</v>
      </c>
      <c r="R68" s="125">
        <f>IF($F$4="NO",Valores!$C$44,Valores!$C$44/2)</f>
        <v>9631.44</v>
      </c>
      <c r="S68" s="125">
        <f>Valores!$C$19</f>
        <v>12901.01</v>
      </c>
      <c r="T68" s="125">
        <f t="shared" si="7"/>
        <v>12901.01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6318.76</v>
      </c>
      <c r="AA68" s="125">
        <f>Valores!$C$25</f>
        <v>567.05999999999995</v>
      </c>
      <c r="AB68" s="214">
        <v>0</v>
      </c>
      <c r="AC68" s="125">
        <f t="shared" si="2"/>
        <v>0</v>
      </c>
      <c r="AD68" s="125">
        <f>Valores!$C$26</f>
        <v>567.05999999999995</v>
      </c>
      <c r="AE68" s="192">
        <v>0</v>
      </c>
      <c r="AF68" s="125">
        <f>ROUND(AE68*Valores!$C$2,2)</f>
        <v>0</v>
      </c>
      <c r="AG68" s="125">
        <f>ROUND(IF($F$4="NO",Valores!$C$63,Valores!$C$63/2),2)</f>
        <v>6482.98</v>
      </c>
      <c r="AH68" s="125">
        <f t="shared" si="5"/>
        <v>176096.95</v>
      </c>
      <c r="AI68" s="125">
        <f>Valores!$C$31</f>
        <v>0</v>
      </c>
      <c r="AJ68" s="125">
        <f>Valores!$C$87</f>
        <v>0</v>
      </c>
      <c r="AK68" s="125">
        <f>Valores!C$38*B68</f>
        <v>30000</v>
      </c>
      <c r="AL68" s="125">
        <f>IF($F$3="NO",0,Valores!$C$55)</f>
        <v>327.60000000000002</v>
      </c>
      <c r="AM68" s="125">
        <f t="shared" si="3"/>
        <v>30327.599999999999</v>
      </c>
      <c r="AN68" s="125">
        <f>AH68*Valores!$C$71</f>
        <v>-19370.664500000003</v>
      </c>
      <c r="AO68" s="125">
        <f>AH68*-Valores!$C$72</f>
        <v>0</v>
      </c>
      <c r="AP68" s="125">
        <f>AH68*Valores!$C$73</f>
        <v>-7924.3627500000002</v>
      </c>
      <c r="AQ68" s="125">
        <f>Valores!$C$100</f>
        <v>-280.91000000000003</v>
      </c>
      <c r="AR68" s="125">
        <f>IF($F$5=0,Valores!$C$101,(Valores!$C$101+$F$5*(Valores!$C$101)))</f>
        <v>-385</v>
      </c>
      <c r="AS68" s="125">
        <f t="shared" si="6"/>
        <v>178463.61275</v>
      </c>
      <c r="AT68" s="125">
        <f t="shared" si="0"/>
        <v>-19370.664500000003</v>
      </c>
      <c r="AU68" s="125">
        <f>AH68*Valores!$C$74</f>
        <v>-4754.6176500000001</v>
      </c>
      <c r="AV68" s="125">
        <f>AH68*Valores!$C$75</f>
        <v>-528.29085000000009</v>
      </c>
      <c r="AW68" s="125">
        <f t="shared" si="4"/>
        <v>181770.97700000001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2142.5700000000002</v>
      </c>
      <c r="G69" s="192">
        <v>2161</v>
      </c>
      <c r="H69" s="125">
        <f>ROUND(G69*Valores!$C$2,2)</f>
        <v>58608.91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12573.36</v>
      </c>
      <c r="N69" s="125">
        <f t="shared" si="1"/>
        <v>0</v>
      </c>
      <c r="O69" s="125">
        <f>Valores!$C$9</f>
        <v>29939.09</v>
      </c>
      <c r="P69" s="125">
        <f>Valores!$D$5</f>
        <v>13864.36</v>
      </c>
      <c r="Q69" s="125">
        <f>Valores!$C$22</f>
        <v>12369.22</v>
      </c>
      <c r="R69" s="125">
        <f>IF($F$4="NO",Valores!$C$45,Valores!$C$45/2)</f>
        <v>10169.9</v>
      </c>
      <c r="S69" s="125">
        <f>Valores!$C$19</f>
        <v>12901.01</v>
      </c>
      <c r="T69" s="125">
        <f t="shared" si="7"/>
        <v>12901.01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7582.51</v>
      </c>
      <c r="AA69" s="125">
        <f>Valores!$C$25</f>
        <v>567.05999999999995</v>
      </c>
      <c r="AB69" s="214">
        <v>0</v>
      </c>
      <c r="AC69" s="125">
        <f t="shared" si="2"/>
        <v>0</v>
      </c>
      <c r="AD69" s="125">
        <f>Valores!$C$26</f>
        <v>567.05999999999995</v>
      </c>
      <c r="AE69" s="192">
        <v>0</v>
      </c>
      <c r="AF69" s="125">
        <f>ROUND(AE69*Valores!$C$2,2)</f>
        <v>0</v>
      </c>
      <c r="AG69" s="125">
        <f>ROUND(IF($F$4="NO",Valores!$C$63,Valores!$C$63/2),2)</f>
        <v>6482.98</v>
      </c>
      <c r="AH69" s="125">
        <f t="shared" si="5"/>
        <v>167768.03000000003</v>
      </c>
      <c r="AI69" s="125">
        <f>Valores!$C$31</f>
        <v>0</v>
      </c>
      <c r="AJ69" s="125">
        <f>Valores!$C$88</f>
        <v>0</v>
      </c>
      <c r="AK69" s="125">
        <f>Valores!C$38*B69</f>
        <v>30000</v>
      </c>
      <c r="AL69" s="125">
        <f>IF($F$3="NO",0,Valores!$C$56)</f>
        <v>170.34</v>
      </c>
      <c r="AM69" s="125">
        <f t="shared" si="3"/>
        <v>30170.34</v>
      </c>
      <c r="AN69" s="125">
        <f>AH69*Valores!$C$71</f>
        <v>-18454.483300000004</v>
      </c>
      <c r="AO69" s="125">
        <f>AH69*-Valores!$C$72</f>
        <v>0</v>
      </c>
      <c r="AP69" s="125">
        <f>AH69*Valores!$C$73</f>
        <v>-7549.5613500000009</v>
      </c>
      <c r="AQ69" s="125">
        <f>Valores!$C$100</f>
        <v>-280.91000000000003</v>
      </c>
      <c r="AR69" s="125">
        <f>IF($F$5=0,Valores!$C$101,(Valores!$C$101+$F$5*(Valores!$C$101)))</f>
        <v>-385</v>
      </c>
      <c r="AS69" s="125">
        <f t="shared" si="6"/>
        <v>171268.41535000002</v>
      </c>
      <c r="AT69" s="125">
        <f t="shared" si="0"/>
        <v>-18454.483300000004</v>
      </c>
      <c r="AU69" s="125">
        <f>AH69*Valores!$C$74</f>
        <v>-4529.7368100000003</v>
      </c>
      <c r="AV69" s="125">
        <f>AH69*Valores!$C$75</f>
        <v>-503.30409000000009</v>
      </c>
      <c r="AW69" s="125">
        <f t="shared" si="4"/>
        <v>174450.84580000001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2440.91</v>
      </c>
      <c r="G70" s="192">
        <v>3010</v>
      </c>
      <c r="H70" s="125">
        <f>ROUND(G70*Valores!$C$2,2)</f>
        <v>81634.81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16397.509999999998</v>
      </c>
      <c r="N70" s="125">
        <f t="shared" si="1"/>
        <v>0</v>
      </c>
      <c r="O70" s="125">
        <f>Valores!$C$9</f>
        <v>29939.09</v>
      </c>
      <c r="P70" s="125">
        <f>Valores!$D$5</f>
        <v>13864.36</v>
      </c>
      <c r="Q70" s="125">
        <f>Valores!$C$22</f>
        <v>12369.22</v>
      </c>
      <c r="R70" s="125">
        <f>IF($F$4="NO",Valores!$C$48,Valores!$C$48/2)</f>
        <v>12340.01</v>
      </c>
      <c r="S70" s="125">
        <f>Valores!$C$19</f>
        <v>12901.01</v>
      </c>
      <c r="T70" s="125">
        <f t="shared" si="7"/>
        <v>12901.01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7582.51</v>
      </c>
      <c r="AA70" s="125">
        <f>Valores!$C$25</f>
        <v>567.05999999999995</v>
      </c>
      <c r="AB70" s="214">
        <v>0</v>
      </c>
      <c r="AC70" s="125">
        <f t="shared" si="2"/>
        <v>0</v>
      </c>
      <c r="AD70" s="125">
        <f>Valores!$C$26</f>
        <v>567.05999999999995</v>
      </c>
      <c r="AE70" s="192">
        <v>0</v>
      </c>
      <c r="AF70" s="125">
        <f>ROUND(AE70*Valores!$C$2,2)</f>
        <v>0</v>
      </c>
      <c r="AG70" s="125">
        <f>ROUND(IF($F$4="NO",Valores!$C$63,Valores!$C$63/2),2)</f>
        <v>6482.98</v>
      </c>
      <c r="AH70" s="125">
        <f t="shared" si="5"/>
        <v>197086.53000000003</v>
      </c>
      <c r="AI70" s="125">
        <f>Valores!$C$31</f>
        <v>0</v>
      </c>
      <c r="AJ70" s="125">
        <f>Valores!$C$88</f>
        <v>0</v>
      </c>
      <c r="AK70" s="125">
        <f>Valores!C$38*B70</f>
        <v>30000</v>
      </c>
      <c r="AL70" s="125">
        <f>IF($F$3="NO",0,Valores!$C$56)</f>
        <v>170.34</v>
      </c>
      <c r="AM70" s="125">
        <f t="shared" si="3"/>
        <v>30170.34</v>
      </c>
      <c r="AN70" s="125">
        <f>AH70*Valores!$C$71</f>
        <v>-21679.518300000003</v>
      </c>
      <c r="AO70" s="125">
        <f>AH70*-Valores!$C$72</f>
        <v>0</v>
      </c>
      <c r="AP70" s="125">
        <f>AH70*Valores!$C$73</f>
        <v>-8868.8938500000004</v>
      </c>
      <c r="AQ70" s="125">
        <f>Valores!$C$100</f>
        <v>-280.91000000000003</v>
      </c>
      <c r="AR70" s="125">
        <f>IF($F$5=0,Valores!$C$101,(Valores!$C$101+$F$5*(Valores!$C$101)))</f>
        <v>-385</v>
      </c>
      <c r="AS70" s="125">
        <f t="shared" si="6"/>
        <v>196042.54785000003</v>
      </c>
      <c r="AT70" s="125">
        <f t="shared" si="0"/>
        <v>-21679.518300000003</v>
      </c>
      <c r="AU70" s="125">
        <f>AH70*Valores!$C$74</f>
        <v>-5321.3363100000006</v>
      </c>
      <c r="AV70" s="125">
        <f>AH70*Valores!$C$75</f>
        <v>-591.25959000000012</v>
      </c>
      <c r="AW70" s="125">
        <f t="shared" si="4"/>
        <v>199664.75580000001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2115.4499999999998</v>
      </c>
      <c r="G71" s="192">
        <v>2162</v>
      </c>
      <c r="H71" s="125">
        <f>ROUND(G71*Valores!$C$2,2)</f>
        <v>58636.03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12573.36</v>
      </c>
      <c r="N71" s="125">
        <f t="shared" si="1"/>
        <v>0</v>
      </c>
      <c r="O71" s="125">
        <f>Valores!$C$9</f>
        <v>29939.09</v>
      </c>
      <c r="P71" s="125">
        <f>Valores!$D$5</f>
        <v>13864.36</v>
      </c>
      <c r="Q71" s="125">
        <f>Valores!$C$22</f>
        <v>12369.22</v>
      </c>
      <c r="R71" s="125">
        <f>IF($F$4="NO",Valores!$C$45,Valores!$C$45/2)</f>
        <v>10169.9</v>
      </c>
      <c r="S71" s="125">
        <f>Valores!$C$19</f>
        <v>12901.01</v>
      </c>
      <c r="T71" s="125">
        <f t="shared" si="7"/>
        <v>12901.01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7582.51</v>
      </c>
      <c r="AA71" s="125">
        <f>Valores!$C$25</f>
        <v>567.05999999999995</v>
      </c>
      <c r="AB71" s="214">
        <v>0</v>
      </c>
      <c r="AC71" s="125">
        <f t="shared" si="2"/>
        <v>0</v>
      </c>
      <c r="AD71" s="125">
        <f>Valores!$C$26</f>
        <v>567.05999999999995</v>
      </c>
      <c r="AE71" s="192">
        <v>0</v>
      </c>
      <c r="AF71" s="125">
        <f>ROUND(AE71*Valores!$C$2,2)</f>
        <v>0</v>
      </c>
      <c r="AG71" s="125">
        <f>ROUND(IF($F$4="NO",Valores!$C$63,Valores!$C$63/2),2)</f>
        <v>6482.98</v>
      </c>
      <c r="AH71" s="125">
        <f t="shared" si="5"/>
        <v>167768.03000000003</v>
      </c>
      <c r="AI71" s="125">
        <f>Valores!$C$31</f>
        <v>0</v>
      </c>
      <c r="AJ71" s="125">
        <f>Valores!$C$88</f>
        <v>0</v>
      </c>
      <c r="AK71" s="125">
        <f>Valores!C$38*B71</f>
        <v>30000</v>
      </c>
      <c r="AL71" s="125">
        <f>IF($F$3="NO",0,Valores!$C$56)</f>
        <v>170.34</v>
      </c>
      <c r="AM71" s="125">
        <f t="shared" si="3"/>
        <v>30170.34</v>
      </c>
      <c r="AN71" s="125">
        <f>AH71*Valores!$C$71</f>
        <v>-18454.483300000004</v>
      </c>
      <c r="AO71" s="125">
        <f>AH71*-Valores!$C$72</f>
        <v>0</v>
      </c>
      <c r="AP71" s="125">
        <f>AH71*Valores!$C$73</f>
        <v>-7549.5613500000009</v>
      </c>
      <c r="AQ71" s="125">
        <f>Valores!$C$100</f>
        <v>-280.91000000000003</v>
      </c>
      <c r="AR71" s="125">
        <f>IF($F$5=0,Valores!$C$101,(Valores!$C$101+$F$5*(Valores!$C$101)))</f>
        <v>-385</v>
      </c>
      <c r="AS71" s="125">
        <f t="shared" si="6"/>
        <v>171268.41535000002</v>
      </c>
      <c r="AT71" s="125">
        <f t="shared" ref="AT71:AT133" si="10">AN71</f>
        <v>-18454.483300000004</v>
      </c>
      <c r="AU71" s="125">
        <f>AH71*Valores!$C$74</f>
        <v>-4529.7368100000003</v>
      </c>
      <c r="AV71" s="125">
        <f>AH71*Valores!$C$75</f>
        <v>-503.30409000000009</v>
      </c>
      <c r="AW71" s="125">
        <f t="shared" si="4"/>
        <v>174450.84580000001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2440.91</v>
      </c>
      <c r="G72" s="192">
        <v>2800</v>
      </c>
      <c r="H72" s="125">
        <f>ROUND(G72*Valores!$C$2,2)</f>
        <v>75939.360000000001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15543.19</v>
      </c>
      <c r="N72" s="125">
        <f t="shared" ref="N72:N135" si="11">ROUND(SUM(F72,H72,J72,L72,X72,R72)*$H$2,2)</f>
        <v>0</v>
      </c>
      <c r="O72" s="125">
        <f>Valores!$C$9</f>
        <v>29939.09</v>
      </c>
      <c r="P72" s="125">
        <f>Valores!$D$5</f>
        <v>13864.36</v>
      </c>
      <c r="Q72" s="125">
        <v>0</v>
      </c>
      <c r="R72" s="125">
        <f>IF($F$4="NO",Valores!$C$48,Valores!$C$48/2)</f>
        <v>12340.01</v>
      </c>
      <c r="S72" s="125">
        <f>Valores!$C$19</f>
        <v>12901.01</v>
      </c>
      <c r="T72" s="125">
        <f t="shared" si="7"/>
        <v>12901.01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7582.51</v>
      </c>
      <c r="AA72" s="125">
        <f>Valores!$C$25</f>
        <v>567.05999999999995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567.05999999999995</v>
      </c>
      <c r="AE72" s="192">
        <v>0</v>
      </c>
      <c r="AF72" s="125">
        <f>ROUND(AE72*Valores!$C$2,2)</f>
        <v>0</v>
      </c>
      <c r="AG72" s="125">
        <f>ROUND(IF($F$4="NO",Valores!$C$63,Valores!$C$63/2),2)</f>
        <v>6482.98</v>
      </c>
      <c r="AH72" s="125">
        <f t="shared" si="5"/>
        <v>178167.54000000004</v>
      </c>
      <c r="AI72" s="125">
        <f>Valores!$C$31</f>
        <v>0</v>
      </c>
      <c r="AJ72" s="125">
        <f>Valores!$C$88</f>
        <v>0</v>
      </c>
      <c r="AK72" s="125">
        <f>Valores!C$38*B72</f>
        <v>30000</v>
      </c>
      <c r="AL72" s="125">
        <f>IF($F$3="NO",0,Valores!$C$56)</f>
        <v>170.34</v>
      </c>
      <c r="AM72" s="125">
        <f t="shared" ref="AM72:AM135" si="13">SUM(AI72:AL72)</f>
        <v>30170.34</v>
      </c>
      <c r="AN72" s="125">
        <f>AH72*Valores!$C$71</f>
        <v>-19598.429400000005</v>
      </c>
      <c r="AO72" s="125">
        <f>AH72*-Valores!$C$72</f>
        <v>0</v>
      </c>
      <c r="AP72" s="125">
        <f>AH72*Valores!$C$73</f>
        <v>-8017.5393000000013</v>
      </c>
      <c r="AQ72" s="125">
        <f>Valores!$C$100</f>
        <v>-280.91000000000003</v>
      </c>
      <c r="AR72" s="125">
        <f>IF($F$5=0,Valores!$C$101,(Valores!$C$101+$F$5*(Valores!$C$101)))</f>
        <v>-385</v>
      </c>
      <c r="AS72" s="125">
        <f t="shared" si="6"/>
        <v>180056.00130000003</v>
      </c>
      <c r="AT72" s="125">
        <f t="shared" si="10"/>
        <v>-19598.429400000005</v>
      </c>
      <c r="AU72" s="125">
        <f>AH72*Valores!$C$74</f>
        <v>-4810.5235800000009</v>
      </c>
      <c r="AV72" s="125">
        <f>AH72*Valores!$C$75</f>
        <v>-534.50262000000009</v>
      </c>
      <c r="AW72" s="125">
        <f t="shared" ref="AW72:AW135" si="14">AH72+AM72+SUM(AT72:AV72)</f>
        <v>183394.42440000002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2142.5700000000002</v>
      </c>
      <c r="G73" s="192">
        <v>2161</v>
      </c>
      <c r="H73" s="125">
        <f>ROUND(G73*Valores!$C$2,2)</f>
        <v>58608.91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12573.36</v>
      </c>
      <c r="N73" s="125">
        <f t="shared" si="11"/>
        <v>0</v>
      </c>
      <c r="O73" s="125">
        <f>Valores!$C$9</f>
        <v>29939.09</v>
      </c>
      <c r="P73" s="125">
        <f>Valores!$D$5</f>
        <v>13864.36</v>
      </c>
      <c r="Q73" s="125">
        <f>Valores!$C$22</f>
        <v>12369.22</v>
      </c>
      <c r="R73" s="125">
        <f>IF($F$4="NO",Valores!$C$45,Valores!$C$45/2)</f>
        <v>10169.9</v>
      </c>
      <c r="S73" s="125">
        <f>Valores!$C$19</f>
        <v>12901.01</v>
      </c>
      <c r="T73" s="125">
        <f t="shared" si="7"/>
        <v>12901.01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7582.51</v>
      </c>
      <c r="AA73" s="125">
        <f>Valores!$C$25</f>
        <v>567.05999999999995</v>
      </c>
      <c r="AB73" s="214">
        <v>0</v>
      </c>
      <c r="AC73" s="125">
        <f t="shared" si="12"/>
        <v>0</v>
      </c>
      <c r="AD73" s="125">
        <f>Valores!$C$26</f>
        <v>567.05999999999995</v>
      </c>
      <c r="AE73" s="192">
        <v>0</v>
      </c>
      <c r="AF73" s="125">
        <f>ROUND(AE73*Valores!$C$2,2)</f>
        <v>0</v>
      </c>
      <c r="AG73" s="125">
        <f>ROUND(IF($F$4="NO",Valores!$C$63,Valores!$C$63/2),2)</f>
        <v>6482.98</v>
      </c>
      <c r="AH73" s="125">
        <f t="shared" ref="AH73:AH136" si="15">SUM(F73,H73,J73,L73,M73,N73,O73,P73,Q73,R73,T73,U73,V73,X73,Y73,Z73,AA73,AC73,AD73,AF73,AG73)</f>
        <v>167768.03000000003</v>
      </c>
      <c r="AI73" s="125">
        <f>Valores!$C$31</f>
        <v>0</v>
      </c>
      <c r="AJ73" s="125">
        <f>Valores!$C$88</f>
        <v>0</v>
      </c>
      <c r="AK73" s="125">
        <f>Valores!C$38*B73</f>
        <v>30000</v>
      </c>
      <c r="AL73" s="125">
        <f>IF($F$3="NO",0,Valores!$C$56)</f>
        <v>170.34</v>
      </c>
      <c r="AM73" s="125">
        <f t="shared" si="13"/>
        <v>30170.34</v>
      </c>
      <c r="AN73" s="125">
        <f>AH73*Valores!$C$71</f>
        <v>-18454.483300000004</v>
      </c>
      <c r="AO73" s="125">
        <f>AH73*-Valores!$C$72</f>
        <v>0</v>
      </c>
      <c r="AP73" s="125">
        <f>AH73*Valores!$C$73</f>
        <v>-7549.5613500000009</v>
      </c>
      <c r="AQ73" s="125">
        <f>Valores!$C$100</f>
        <v>-280.91000000000003</v>
      </c>
      <c r="AR73" s="125">
        <f>IF($F$5=0,Valores!$C$101,(Valores!$C$101+$F$5*(Valores!$C$101)))</f>
        <v>-385</v>
      </c>
      <c r="AS73" s="125">
        <f t="shared" ref="AS73:AS136" si="16">AH73+SUM(AM73:AR73)</f>
        <v>171268.41535000002</v>
      </c>
      <c r="AT73" s="125">
        <f t="shared" si="10"/>
        <v>-18454.483300000004</v>
      </c>
      <c r="AU73" s="125">
        <f>AH73*Valores!$C$74</f>
        <v>-4529.7368100000003</v>
      </c>
      <c r="AV73" s="125">
        <f>AH73*Valores!$C$75</f>
        <v>-503.30409000000009</v>
      </c>
      <c r="AW73" s="125">
        <f t="shared" si="14"/>
        <v>174450.84580000001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2440.91</v>
      </c>
      <c r="G74" s="192">
        <v>2720</v>
      </c>
      <c r="H74" s="125">
        <f>ROUND(G74*Valores!$C$2,2)</f>
        <v>73769.66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15217.74</v>
      </c>
      <c r="N74" s="125">
        <f t="shared" si="11"/>
        <v>0</v>
      </c>
      <c r="O74" s="125">
        <f>Valores!$C$9</f>
        <v>29939.09</v>
      </c>
      <c r="P74" s="125">
        <f>Valores!$D$5</f>
        <v>13864.36</v>
      </c>
      <c r="Q74" s="125">
        <v>0</v>
      </c>
      <c r="R74" s="125">
        <f>IF($F$4="NO",Valores!$C$48,Valores!$C$476/2)</f>
        <v>12340.01</v>
      </c>
      <c r="S74" s="125">
        <f>Valores!$C$19</f>
        <v>12901.01</v>
      </c>
      <c r="T74" s="125">
        <f t="shared" si="7"/>
        <v>12901.01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7582.51</v>
      </c>
      <c r="AA74" s="125">
        <f>Valores!$C$25</f>
        <v>567.05999999999995</v>
      </c>
      <c r="AB74" s="214">
        <v>0</v>
      </c>
      <c r="AC74" s="125">
        <f t="shared" si="12"/>
        <v>0</v>
      </c>
      <c r="AD74" s="125">
        <f>Valores!$C$26</f>
        <v>567.05999999999995</v>
      </c>
      <c r="AE74" s="192">
        <v>0</v>
      </c>
      <c r="AF74" s="125">
        <f>ROUND(AE74*Valores!$C$2,2)</f>
        <v>0</v>
      </c>
      <c r="AG74" s="125">
        <f>ROUND(IF($F$4="NO",Valores!$C$63,Valores!$C$63/2),2)</f>
        <v>6482.98</v>
      </c>
      <c r="AH74" s="125">
        <f t="shared" si="15"/>
        <v>175672.39000000004</v>
      </c>
      <c r="AI74" s="125">
        <f>Valores!$C$31</f>
        <v>0</v>
      </c>
      <c r="AJ74" s="125">
        <f>Valores!$C$88</f>
        <v>0</v>
      </c>
      <c r="AK74" s="125">
        <f>Valores!C$38*B74</f>
        <v>30000</v>
      </c>
      <c r="AL74" s="125">
        <f>IF($F$3="NO",0,Valores!$C$56)</f>
        <v>170.34</v>
      </c>
      <c r="AM74" s="125">
        <f t="shared" si="13"/>
        <v>30170.34</v>
      </c>
      <c r="AN74" s="125">
        <f>AH74*Valores!$C$71</f>
        <v>-19323.962900000006</v>
      </c>
      <c r="AO74" s="125">
        <f>AH74*-Valores!$C$72</f>
        <v>0</v>
      </c>
      <c r="AP74" s="125">
        <f>AH74*Valores!$C$73</f>
        <v>-7905.2575500000021</v>
      </c>
      <c r="AQ74" s="125">
        <f>Valores!$C$100</f>
        <v>-280.91000000000003</v>
      </c>
      <c r="AR74" s="125">
        <f>IF($F$5=0,Valores!$C$101,(Valores!$C$101+$F$5*(Valores!$C$101)))</f>
        <v>-385</v>
      </c>
      <c r="AS74" s="125">
        <f t="shared" si="16"/>
        <v>177947.59955000004</v>
      </c>
      <c r="AT74" s="125">
        <f t="shared" si="10"/>
        <v>-19323.962900000006</v>
      </c>
      <c r="AU74" s="125">
        <f>AH74*Valores!$C$74</f>
        <v>-4743.1545300000007</v>
      </c>
      <c r="AV74" s="125">
        <f>AH74*Valores!$C$75</f>
        <v>-527.01717000000019</v>
      </c>
      <c r="AW74" s="125">
        <f t="shared" si="14"/>
        <v>181248.59540000005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2115.4499999999998</v>
      </c>
      <c r="G75" s="192">
        <v>1284</v>
      </c>
      <c r="H75" s="125">
        <f>ROUND(G75*Valores!$C$2,2)</f>
        <v>34823.620000000003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8900.94</v>
      </c>
      <c r="N75" s="125">
        <f t="shared" si="11"/>
        <v>0</v>
      </c>
      <c r="O75" s="125">
        <f>Valores!$C$8</f>
        <v>29851.25</v>
      </c>
      <c r="P75" s="125">
        <f>Valores!$D$5</f>
        <v>13864.36</v>
      </c>
      <c r="Q75" s="125">
        <f>Valores!$C$22</f>
        <v>12369.22</v>
      </c>
      <c r="R75" s="125">
        <f>IF($F$4="NO",Valores!$C$44,Valores!$C$44/2)</f>
        <v>9631.44</v>
      </c>
      <c r="S75" s="125">
        <f>Valores!$C$20</f>
        <v>12769.11</v>
      </c>
      <c r="T75" s="125">
        <f t="shared" ref="T75:T138" si="17">ROUND(S75*(1+$H$2),2)</f>
        <v>12769.11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6318.76</v>
      </c>
      <c r="AA75" s="125">
        <f>Valores!$C$25</f>
        <v>567.05999999999995</v>
      </c>
      <c r="AB75" s="214">
        <v>0</v>
      </c>
      <c r="AC75" s="125">
        <f t="shared" si="12"/>
        <v>0</v>
      </c>
      <c r="AD75" s="125">
        <f>Valores!$C$26</f>
        <v>567.05999999999995</v>
      </c>
      <c r="AE75" s="192">
        <v>0</v>
      </c>
      <c r="AF75" s="125">
        <f>ROUND(AE75*Valores!$C$2,2)</f>
        <v>0</v>
      </c>
      <c r="AG75" s="125">
        <f>ROUND(IF($F$4="NO",Valores!$C$63,Valores!$C$63/2),2)</f>
        <v>6482.98</v>
      </c>
      <c r="AH75" s="125">
        <f t="shared" si="15"/>
        <v>138261.25000000003</v>
      </c>
      <c r="AI75" s="125">
        <f>Valores!$C$31</f>
        <v>0</v>
      </c>
      <c r="AJ75" s="125">
        <f>Valores!$C$87</f>
        <v>0</v>
      </c>
      <c r="AK75" s="125">
        <f>Valores!C$38*B75</f>
        <v>30000</v>
      </c>
      <c r="AL75" s="125">
        <f>IF($F$3="NO",0,Valores!$C$56)</f>
        <v>170.34</v>
      </c>
      <c r="AM75" s="125">
        <f t="shared" si="13"/>
        <v>30170.34</v>
      </c>
      <c r="AN75" s="125">
        <f>AH75*Valores!$C$71</f>
        <v>-15208.737500000003</v>
      </c>
      <c r="AO75" s="125">
        <f>AH75*-Valores!$C$72</f>
        <v>0</v>
      </c>
      <c r="AP75" s="125">
        <f>AH75*Valores!$C$73</f>
        <v>-6221.7562500000013</v>
      </c>
      <c r="AQ75" s="125">
        <f>Valores!$C$100</f>
        <v>-280.91000000000003</v>
      </c>
      <c r="AR75" s="125">
        <f>IF($F$5=0,Valores!$C$101,(Valores!$C$101+$F$5*(Valores!$C$101)))</f>
        <v>-385</v>
      </c>
      <c r="AS75" s="125">
        <f t="shared" si="16"/>
        <v>146335.18625000003</v>
      </c>
      <c r="AT75" s="125">
        <f t="shared" si="10"/>
        <v>-15208.737500000003</v>
      </c>
      <c r="AU75" s="125">
        <f>AH75*Valores!$C$74</f>
        <v>-3733.0537500000009</v>
      </c>
      <c r="AV75" s="125">
        <f>AH75*Valores!$C$75</f>
        <v>-414.78375000000011</v>
      </c>
      <c r="AW75" s="125">
        <f t="shared" si="14"/>
        <v>149075.01500000001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2115.4499999999998</v>
      </c>
      <c r="G76" s="192">
        <v>1284</v>
      </c>
      <c r="H76" s="125">
        <f>ROUND(G76*Valores!$C$2,2)</f>
        <v>34823.620000000003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8900.94</v>
      </c>
      <c r="N76" s="125">
        <f t="shared" si="11"/>
        <v>0</v>
      </c>
      <c r="O76" s="125">
        <f>Valores!$C$8</f>
        <v>29851.25</v>
      </c>
      <c r="P76" s="125">
        <f>Valores!$D$5</f>
        <v>13864.36</v>
      </c>
      <c r="Q76" s="125">
        <f>Valores!$C$22</f>
        <v>12369.22</v>
      </c>
      <c r="R76" s="125">
        <f>IF($F$4="NO",Valores!$C$44,Valores!$C$44/2)</f>
        <v>9631.44</v>
      </c>
      <c r="S76" s="125">
        <f>Valores!$C$20</f>
        <v>12769.11</v>
      </c>
      <c r="T76" s="125">
        <f t="shared" si="17"/>
        <v>12769.11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6318.76</v>
      </c>
      <c r="AA76" s="125">
        <f>Valores!$C$25</f>
        <v>567.05999999999995</v>
      </c>
      <c r="AB76" s="214">
        <v>0</v>
      </c>
      <c r="AC76" s="125">
        <f t="shared" si="12"/>
        <v>0</v>
      </c>
      <c r="AD76" s="125">
        <f>Valores!$C$26</f>
        <v>567.05999999999995</v>
      </c>
      <c r="AE76" s="192">
        <v>0</v>
      </c>
      <c r="AF76" s="125">
        <f>ROUND(AE76*Valores!$C$2,2)</f>
        <v>0</v>
      </c>
      <c r="AG76" s="125">
        <f>ROUND(IF($F$4="NO",Valores!$C$63,Valores!$C$63/2),2)</f>
        <v>6482.98</v>
      </c>
      <c r="AH76" s="125">
        <f t="shared" si="15"/>
        <v>138261.25000000003</v>
      </c>
      <c r="AI76" s="125">
        <f>Valores!$C$31</f>
        <v>0</v>
      </c>
      <c r="AJ76" s="125">
        <f>Valores!$C$87</f>
        <v>0</v>
      </c>
      <c r="AK76" s="125">
        <f>Valores!C$38*B76</f>
        <v>30000</v>
      </c>
      <c r="AL76" s="125">
        <v>0</v>
      </c>
      <c r="AM76" s="125">
        <f t="shared" si="13"/>
        <v>30000</v>
      </c>
      <c r="AN76" s="125">
        <f>AH76*Valores!$C$71</f>
        <v>-15208.737500000003</v>
      </c>
      <c r="AO76" s="125">
        <f>AH76*-Valores!$C$72</f>
        <v>0</v>
      </c>
      <c r="AP76" s="125">
        <f>AH76*Valores!$C$73</f>
        <v>-6221.7562500000013</v>
      </c>
      <c r="AQ76" s="125">
        <f>Valores!$C$100</f>
        <v>-280.91000000000003</v>
      </c>
      <c r="AR76" s="125">
        <f>IF($F$5=0,Valores!$C$101,(Valores!$C$101+$F$5*(Valores!$C$101)))</f>
        <v>-385</v>
      </c>
      <c r="AS76" s="125">
        <f t="shared" si="16"/>
        <v>146164.84625000003</v>
      </c>
      <c r="AT76" s="125">
        <f t="shared" si="10"/>
        <v>-15208.737500000003</v>
      </c>
      <c r="AU76" s="125">
        <f>AH76*Valores!$C$74</f>
        <v>-3733.0537500000009</v>
      </c>
      <c r="AV76" s="125">
        <f>AH76*Valores!$C$75</f>
        <v>-414.78375000000011</v>
      </c>
      <c r="AW76" s="125">
        <f t="shared" si="14"/>
        <v>148904.67500000002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2115.4499999999998</v>
      </c>
      <c r="G77" s="192">
        <v>1284</v>
      </c>
      <c r="H77" s="125">
        <f>ROUND(G77*Valores!$C$2,2)</f>
        <v>34823.620000000003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6985.58</v>
      </c>
      <c r="N77" s="125">
        <f t="shared" si="11"/>
        <v>0</v>
      </c>
      <c r="O77" s="125">
        <f>Valores!$C$14</f>
        <v>24936.25</v>
      </c>
      <c r="P77" s="125">
        <f>Valores!$D$5</f>
        <v>13864.36</v>
      </c>
      <c r="Q77" s="125">
        <f>Valores!$C$22</f>
        <v>12369.22</v>
      </c>
      <c r="R77" s="125">
        <f>IF($F$4="NO",Valores!$C$44,Valores!$C$44/2)</f>
        <v>9631.44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6318.76</v>
      </c>
      <c r="AA77" s="125">
        <f>Valores!$C$25</f>
        <v>567.05999999999995</v>
      </c>
      <c r="AB77" s="214">
        <v>0</v>
      </c>
      <c r="AC77" s="125">
        <f t="shared" si="12"/>
        <v>0</v>
      </c>
      <c r="AD77" s="125">
        <f>Valores!$C$26</f>
        <v>567.05999999999995</v>
      </c>
      <c r="AE77" s="192">
        <v>0</v>
      </c>
      <c r="AF77" s="125">
        <f>ROUND(AE77*Valores!$C$2,2)</f>
        <v>0</v>
      </c>
      <c r="AG77" s="125">
        <f>ROUND(IF($F$4="NO",Valores!$C$63,Valores!$C$63/2),2)</f>
        <v>6482.98</v>
      </c>
      <c r="AH77" s="125">
        <f t="shared" si="15"/>
        <v>118661.77999999998</v>
      </c>
      <c r="AI77" s="125">
        <f>Valores!$C$31</f>
        <v>0</v>
      </c>
      <c r="AJ77" s="125">
        <f>Valores!$C$87</f>
        <v>0</v>
      </c>
      <c r="AK77" s="125">
        <f>Valores!C$38*B77</f>
        <v>30000</v>
      </c>
      <c r="AL77" s="125">
        <v>0</v>
      </c>
      <c r="AM77" s="125">
        <f t="shared" si="13"/>
        <v>30000</v>
      </c>
      <c r="AN77" s="125">
        <f>AH77*Valores!$C$71</f>
        <v>-13052.795799999998</v>
      </c>
      <c r="AO77" s="125">
        <f>AH77*-Valores!$C$72</f>
        <v>0</v>
      </c>
      <c r="AP77" s="125">
        <f>AH77*Valores!$C$73</f>
        <v>-5339.780099999999</v>
      </c>
      <c r="AQ77" s="125">
        <f>Valores!$C$100</f>
        <v>-280.91000000000003</v>
      </c>
      <c r="AR77" s="125">
        <f>IF($F$5=0,Valores!$C$101,(Valores!$C$101+$F$5*(Valores!$C$101)))</f>
        <v>-385</v>
      </c>
      <c r="AS77" s="125">
        <f t="shared" si="16"/>
        <v>129603.29409999998</v>
      </c>
      <c r="AT77" s="125">
        <f t="shared" si="10"/>
        <v>-13052.795799999998</v>
      </c>
      <c r="AU77" s="125">
        <f>AH77*Valores!$C$74</f>
        <v>-3203.8680599999993</v>
      </c>
      <c r="AV77" s="125">
        <f>AH77*Valores!$C$75</f>
        <v>-355.98533999999995</v>
      </c>
      <c r="AW77" s="125">
        <f t="shared" si="14"/>
        <v>132049.13079999998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2223.94</v>
      </c>
      <c r="G78" s="192">
        <v>2038</v>
      </c>
      <c r="H78" s="125">
        <f>ROUND(G78*Valores!$C$2,2)</f>
        <v>55273.01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12004.41</v>
      </c>
      <c r="N78" s="125">
        <f t="shared" si="11"/>
        <v>0</v>
      </c>
      <c r="O78" s="125">
        <f>Valores!$C$9</f>
        <v>29939.09</v>
      </c>
      <c r="P78" s="125">
        <f>Valores!$D$5</f>
        <v>13864.36</v>
      </c>
      <c r="Q78" s="125">
        <f>Valores!$C$22</f>
        <v>12369.22</v>
      </c>
      <c r="R78" s="125">
        <f>IF($F$4="NO",Valores!$C$44,Valores!$C$44/2)</f>
        <v>9631.44</v>
      </c>
      <c r="S78" s="125">
        <f>Valores!$C$19</f>
        <v>12901.01</v>
      </c>
      <c r="T78" s="125">
        <f t="shared" si="17"/>
        <v>12901.01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6318.76</v>
      </c>
      <c r="AA78" s="125">
        <f>Valores!$C$25</f>
        <v>567.05999999999995</v>
      </c>
      <c r="AB78" s="214">
        <v>0</v>
      </c>
      <c r="AC78" s="125">
        <f t="shared" si="12"/>
        <v>0</v>
      </c>
      <c r="AD78" s="125">
        <f>Valores!$C$26</f>
        <v>567.05999999999995</v>
      </c>
      <c r="AE78" s="192">
        <v>0</v>
      </c>
      <c r="AF78" s="125">
        <f>ROUND(AE78*Valores!$C$2,2)</f>
        <v>0</v>
      </c>
      <c r="AG78" s="125">
        <f>ROUND(IF($F$4="NO",Valores!$C$63,Valores!$C$63/2),2)</f>
        <v>6482.98</v>
      </c>
      <c r="AH78" s="125">
        <f t="shared" si="15"/>
        <v>162142.34000000003</v>
      </c>
      <c r="AI78" s="125">
        <f>Valores!$C$31</f>
        <v>0</v>
      </c>
      <c r="AJ78" s="125">
        <f>Valores!$C$87</f>
        <v>0</v>
      </c>
      <c r="AK78" s="125">
        <f>Valores!C$38*B78</f>
        <v>30000</v>
      </c>
      <c r="AL78" s="125">
        <f>IF($F$3="NO",0,Valores!$C$56)</f>
        <v>170.34</v>
      </c>
      <c r="AM78" s="125">
        <f t="shared" si="13"/>
        <v>30170.34</v>
      </c>
      <c r="AN78" s="125">
        <f>AH78*Valores!$C$71</f>
        <v>-17835.657400000004</v>
      </c>
      <c r="AO78" s="125">
        <f>AH78*-Valores!$C$72</f>
        <v>0</v>
      </c>
      <c r="AP78" s="125">
        <f>AH78*Valores!$C$73</f>
        <v>-7296.4053000000013</v>
      </c>
      <c r="AQ78" s="125">
        <f>Valores!$C$100</f>
        <v>-280.91000000000003</v>
      </c>
      <c r="AR78" s="125">
        <f>IF($F$5=0,Valores!$C$101,(Valores!$C$101+$F$5*(Valores!$C$101)))</f>
        <v>-385</v>
      </c>
      <c r="AS78" s="125">
        <f t="shared" si="16"/>
        <v>166514.70730000001</v>
      </c>
      <c r="AT78" s="125">
        <f t="shared" si="10"/>
        <v>-17835.657400000004</v>
      </c>
      <c r="AU78" s="125">
        <f>AH78*Valores!$C$74</f>
        <v>-4377.8431800000008</v>
      </c>
      <c r="AV78" s="125">
        <f>AH78*Valores!$C$75</f>
        <v>-486.42702000000008</v>
      </c>
      <c r="AW78" s="125">
        <f t="shared" si="14"/>
        <v>169612.75240000003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2115.4499999999998</v>
      </c>
      <c r="G79" s="192">
        <v>2072</v>
      </c>
      <c r="H79" s="125">
        <f>ROUND(G79*Valores!$C$2,2)</f>
        <v>56195.13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12207.22</v>
      </c>
      <c r="N79" s="125">
        <f t="shared" si="11"/>
        <v>0</v>
      </c>
      <c r="O79" s="125">
        <f>Valores!$C$9</f>
        <v>29939.09</v>
      </c>
      <c r="P79" s="125">
        <f>Valores!$D$5</f>
        <v>13864.36</v>
      </c>
      <c r="Q79" s="125">
        <f>Valores!$C$22</f>
        <v>12369.22</v>
      </c>
      <c r="R79" s="125">
        <f>IF($F$4="NO",Valores!$C$45,Valores!$C$45/2)</f>
        <v>10169.9</v>
      </c>
      <c r="S79" s="125">
        <f>Valores!$C$19</f>
        <v>12901.01</v>
      </c>
      <c r="T79" s="125">
        <f t="shared" si="17"/>
        <v>12901.01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7582.51</v>
      </c>
      <c r="AA79" s="125">
        <f>Valores!$C$25</f>
        <v>567.05999999999995</v>
      </c>
      <c r="AB79" s="214">
        <v>0</v>
      </c>
      <c r="AC79" s="125">
        <f t="shared" si="12"/>
        <v>0</v>
      </c>
      <c r="AD79" s="125">
        <f>Valores!$C$26</f>
        <v>567.05999999999995</v>
      </c>
      <c r="AE79" s="192">
        <v>0</v>
      </c>
      <c r="AF79" s="125">
        <f>ROUND(AE79*Valores!$C$2,2)</f>
        <v>0</v>
      </c>
      <c r="AG79" s="125">
        <f>ROUND(IF($F$4="NO",Valores!$C$63,Valores!$C$63/2),2)</f>
        <v>6482.98</v>
      </c>
      <c r="AH79" s="125">
        <f t="shared" si="15"/>
        <v>164960.99000000002</v>
      </c>
      <c r="AI79" s="125">
        <f>Valores!$C$31</f>
        <v>0</v>
      </c>
      <c r="AJ79" s="125">
        <f>Valores!$C$88</f>
        <v>0</v>
      </c>
      <c r="AK79" s="125">
        <f>Valores!C$38*B79</f>
        <v>30000</v>
      </c>
      <c r="AL79" s="125">
        <f>IF($F$3="NO",0,Valores!$C$56)</f>
        <v>170.34</v>
      </c>
      <c r="AM79" s="125">
        <f t="shared" si="13"/>
        <v>30170.34</v>
      </c>
      <c r="AN79" s="125">
        <f>AH79*Valores!$C$71</f>
        <v>-18145.708900000001</v>
      </c>
      <c r="AO79" s="125">
        <f>AH79*-Valores!$C$72</f>
        <v>0</v>
      </c>
      <c r="AP79" s="125">
        <f>AH79*Valores!$C$73</f>
        <v>-7423.2445500000003</v>
      </c>
      <c r="AQ79" s="125">
        <f>Valores!$C$100</f>
        <v>-280.91000000000003</v>
      </c>
      <c r="AR79" s="125">
        <f>IF($F$5=0,Valores!$C$101,(Valores!$C$101+$F$5*(Valores!$C$101)))</f>
        <v>-385</v>
      </c>
      <c r="AS79" s="125">
        <f t="shared" si="16"/>
        <v>168896.46655000001</v>
      </c>
      <c r="AT79" s="125">
        <f t="shared" si="10"/>
        <v>-18145.708900000001</v>
      </c>
      <c r="AU79" s="125">
        <f>AH79*Valores!$C$74</f>
        <v>-4453.9467300000006</v>
      </c>
      <c r="AV79" s="125">
        <f>AH79*Valores!$C$75</f>
        <v>-494.88297000000006</v>
      </c>
      <c r="AW79" s="125">
        <f t="shared" si="14"/>
        <v>172036.79140000002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2115.4499999999998</v>
      </c>
      <c r="G80" s="192">
        <v>1770</v>
      </c>
      <c r="H80" s="125">
        <f>ROUND(G80*Valores!$C$2,2)</f>
        <v>48004.52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10978.63</v>
      </c>
      <c r="N80" s="125">
        <f t="shared" si="11"/>
        <v>0</v>
      </c>
      <c r="O80" s="125">
        <f>Valores!$C$9</f>
        <v>29939.09</v>
      </c>
      <c r="P80" s="125">
        <f>Valores!$D$5</f>
        <v>13864.36</v>
      </c>
      <c r="Q80" s="125">
        <f>Valores!$C$22</f>
        <v>12369.22</v>
      </c>
      <c r="R80" s="125">
        <f>IF($F$4="NO",Valores!$C$45,Valores!$C$45/2)</f>
        <v>10169.9</v>
      </c>
      <c r="S80" s="125">
        <f>Valores!$C$19</f>
        <v>12901.01</v>
      </c>
      <c r="T80" s="125">
        <f t="shared" si="17"/>
        <v>12901.01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7582.51</v>
      </c>
      <c r="AA80" s="125">
        <f>Valores!$C$25</f>
        <v>567.05999999999995</v>
      </c>
      <c r="AB80" s="214">
        <v>0</v>
      </c>
      <c r="AC80" s="125">
        <f t="shared" si="12"/>
        <v>0</v>
      </c>
      <c r="AD80" s="125">
        <f>Valores!$C$26</f>
        <v>567.05999999999995</v>
      </c>
      <c r="AE80" s="192">
        <v>0</v>
      </c>
      <c r="AF80" s="125">
        <f>ROUND(AE80*Valores!$C$2,2)</f>
        <v>0</v>
      </c>
      <c r="AG80" s="125">
        <f>ROUND(IF($F$4="NO",Valores!$C$63,Valores!$C$63/2),2)</f>
        <v>6482.98</v>
      </c>
      <c r="AH80" s="125">
        <f t="shared" si="15"/>
        <v>155541.79</v>
      </c>
      <c r="AI80" s="125">
        <f>Valores!$C$31</f>
        <v>0</v>
      </c>
      <c r="AJ80" s="125">
        <f>Valores!$C$88</f>
        <v>0</v>
      </c>
      <c r="AK80" s="125">
        <f>Valores!C$38*B80</f>
        <v>30000</v>
      </c>
      <c r="AL80" s="125">
        <f>IF($F$3="NO",0,Valores!$C$56)</f>
        <v>170.34</v>
      </c>
      <c r="AM80" s="125">
        <f t="shared" si="13"/>
        <v>30170.34</v>
      </c>
      <c r="AN80" s="125">
        <f>AH80*Valores!$C$71</f>
        <v>-17109.5969</v>
      </c>
      <c r="AO80" s="125">
        <f>AH80*-Valores!$C$72</f>
        <v>0</v>
      </c>
      <c r="AP80" s="125">
        <f>AH80*Valores!$C$73</f>
        <v>-6999.3805499999999</v>
      </c>
      <c r="AQ80" s="125">
        <f>Valores!$C$100</f>
        <v>-280.91000000000003</v>
      </c>
      <c r="AR80" s="125">
        <f>IF($F$5=0,Valores!$C$101,(Valores!$C$101+$F$5*(Valores!$C$101)))</f>
        <v>-385</v>
      </c>
      <c r="AS80" s="125">
        <f t="shared" si="16"/>
        <v>160937.24255</v>
      </c>
      <c r="AT80" s="125">
        <f t="shared" si="10"/>
        <v>-17109.5969</v>
      </c>
      <c r="AU80" s="125">
        <f>AH80*Valores!$C$74</f>
        <v>-4199.6283300000005</v>
      </c>
      <c r="AV80" s="125">
        <f>AH80*Valores!$C$75</f>
        <v>-466.62537000000003</v>
      </c>
      <c r="AW80" s="125">
        <f t="shared" si="14"/>
        <v>163936.2794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2088.33</v>
      </c>
      <c r="G81" s="192">
        <v>2073</v>
      </c>
      <c r="H81" s="125">
        <f>ROUND(G81*Valores!$C$2,2)</f>
        <v>56222.25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12207.22</v>
      </c>
      <c r="N81" s="125">
        <f t="shared" si="11"/>
        <v>0</v>
      </c>
      <c r="O81" s="125">
        <f>Valores!$C$9</f>
        <v>29939.09</v>
      </c>
      <c r="P81" s="125">
        <f>Valores!$D$5</f>
        <v>13864.36</v>
      </c>
      <c r="Q81" s="125">
        <f>Valores!$C$22</f>
        <v>12369.22</v>
      </c>
      <c r="R81" s="125">
        <f>IF($F$4="NO",Valores!$C$45,Valores!$C$45/2)</f>
        <v>10169.9</v>
      </c>
      <c r="S81" s="125">
        <f>Valores!$C$19</f>
        <v>12901.01</v>
      </c>
      <c r="T81" s="125">
        <f t="shared" si="17"/>
        <v>12901.01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7582.51</v>
      </c>
      <c r="AA81" s="125">
        <f>Valores!$C$25</f>
        <v>567.05999999999995</v>
      </c>
      <c r="AB81" s="214">
        <v>0</v>
      </c>
      <c r="AC81" s="125">
        <f t="shared" si="12"/>
        <v>0</v>
      </c>
      <c r="AD81" s="125">
        <f>Valores!$C$26</f>
        <v>567.05999999999995</v>
      </c>
      <c r="AE81" s="192">
        <v>0</v>
      </c>
      <c r="AF81" s="125">
        <f>ROUND(AE81*Valores!$C$2,2)</f>
        <v>0</v>
      </c>
      <c r="AG81" s="125">
        <f>ROUND(IF($F$4="NO",Valores!$C$63,Valores!$C$63/2),2)</f>
        <v>6482.98</v>
      </c>
      <c r="AH81" s="125">
        <f t="shared" si="15"/>
        <v>164960.99000000002</v>
      </c>
      <c r="AI81" s="125">
        <f>Valores!$C$31</f>
        <v>0</v>
      </c>
      <c r="AJ81" s="125">
        <f>Valores!$C$88</f>
        <v>0</v>
      </c>
      <c r="AK81" s="125">
        <f>Valores!C$38*B81</f>
        <v>30000</v>
      </c>
      <c r="AL81" s="125">
        <f>IF($F$3="NO",0,Valores!$C$56)</f>
        <v>170.34</v>
      </c>
      <c r="AM81" s="125">
        <f t="shared" si="13"/>
        <v>30170.34</v>
      </c>
      <c r="AN81" s="125">
        <f>AH81*Valores!$C$71</f>
        <v>-18145.708900000001</v>
      </c>
      <c r="AO81" s="125">
        <f>AH81*-Valores!$C$72</f>
        <v>0</v>
      </c>
      <c r="AP81" s="125">
        <f>AH81*Valores!$C$73</f>
        <v>-7423.2445500000003</v>
      </c>
      <c r="AQ81" s="125">
        <f>Valores!$C$100</f>
        <v>-280.91000000000003</v>
      </c>
      <c r="AR81" s="125">
        <f>IF($F$5=0,Valores!$C$101,(Valores!$C$101+$F$5*(Valores!$C$101)))</f>
        <v>-385</v>
      </c>
      <c r="AS81" s="125">
        <f t="shared" si="16"/>
        <v>168896.46655000001</v>
      </c>
      <c r="AT81" s="125">
        <f t="shared" si="10"/>
        <v>-18145.708900000001</v>
      </c>
      <c r="AU81" s="125">
        <f>AH81*Valores!$C$74</f>
        <v>-4453.9467300000006</v>
      </c>
      <c r="AV81" s="125">
        <f>AH81*Valores!$C$75</f>
        <v>-494.88297000000006</v>
      </c>
      <c r="AW81" s="125">
        <f t="shared" si="14"/>
        <v>172036.79140000002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2061.21</v>
      </c>
      <c r="G82" s="192">
        <v>1872</v>
      </c>
      <c r="H82" s="125">
        <f>ROUND(G82*Valores!$C$2,2)</f>
        <v>50770.89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11385.45</v>
      </c>
      <c r="N82" s="125">
        <f t="shared" si="11"/>
        <v>0</v>
      </c>
      <c r="O82" s="125">
        <f>Valores!$C$9</f>
        <v>29939.09</v>
      </c>
      <c r="P82" s="125">
        <f>Valores!$D$5</f>
        <v>13864.36</v>
      </c>
      <c r="Q82" s="125">
        <v>0</v>
      </c>
      <c r="R82" s="125">
        <f>IF($F$4="NO",Valores!$C$45,Valores!$C$45/2)</f>
        <v>10169.9</v>
      </c>
      <c r="S82" s="125">
        <f>Valores!$C$19</f>
        <v>12901.01</v>
      </c>
      <c r="T82" s="125">
        <f t="shared" si="17"/>
        <v>12901.01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7582.51</v>
      </c>
      <c r="AA82" s="125">
        <f>Valores!$C$25</f>
        <v>567.05999999999995</v>
      </c>
      <c r="AB82" s="214">
        <v>0</v>
      </c>
      <c r="AC82" s="125">
        <f t="shared" si="12"/>
        <v>0</v>
      </c>
      <c r="AD82" s="125">
        <f>Valores!$C$26</f>
        <v>567.05999999999995</v>
      </c>
      <c r="AE82" s="192">
        <v>0</v>
      </c>
      <c r="AF82" s="125">
        <f>ROUND(AE82*Valores!$C$2,2)</f>
        <v>0</v>
      </c>
      <c r="AG82" s="125">
        <f>ROUND(IF($F$4="NO",Valores!$C$63,Valores!$C$63/2),2)</f>
        <v>6482.98</v>
      </c>
      <c r="AH82" s="125">
        <f t="shared" si="15"/>
        <v>146291.52000000002</v>
      </c>
      <c r="AI82" s="125">
        <f>Valores!$C$31</f>
        <v>0</v>
      </c>
      <c r="AJ82" s="125">
        <f>Valores!$C$88</f>
        <v>0</v>
      </c>
      <c r="AK82" s="125">
        <f>Valores!C$38*B82</f>
        <v>30000</v>
      </c>
      <c r="AL82" s="125">
        <f>IF($F$3="NO",0,Valores!$C$56)</f>
        <v>170.34</v>
      </c>
      <c r="AM82" s="125">
        <f t="shared" si="13"/>
        <v>30170.34</v>
      </c>
      <c r="AN82" s="125">
        <f>AH82*Valores!$C$71</f>
        <v>-16092.067200000001</v>
      </c>
      <c r="AO82" s="125">
        <f>AH82*-Valores!$C$72</f>
        <v>0</v>
      </c>
      <c r="AP82" s="125">
        <f>AH82*Valores!$C$73</f>
        <v>-6583.1184000000003</v>
      </c>
      <c r="AQ82" s="125">
        <f>Valores!$C$100</f>
        <v>-280.91000000000003</v>
      </c>
      <c r="AR82" s="125">
        <f>IF($F$5=0,Valores!$C$101,(Valores!$C$101+$F$5*(Valores!$C$101)))</f>
        <v>-385</v>
      </c>
      <c r="AS82" s="125">
        <f t="shared" si="16"/>
        <v>153120.76440000001</v>
      </c>
      <c r="AT82" s="125">
        <f t="shared" si="10"/>
        <v>-16092.067200000001</v>
      </c>
      <c r="AU82" s="125">
        <f>AH82*Valores!$C$74</f>
        <v>-3949.8710400000004</v>
      </c>
      <c r="AV82" s="125">
        <f>AH82*Valores!$C$75</f>
        <v>-438.87456000000009</v>
      </c>
      <c r="AW82" s="125">
        <f t="shared" si="14"/>
        <v>155981.0472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2034.09</v>
      </c>
      <c r="G83" s="192">
        <v>1873</v>
      </c>
      <c r="H83" s="125">
        <f>ROUND(G83*Valores!$C$2,2)</f>
        <v>50798.01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11385.45</v>
      </c>
      <c r="N83" s="125">
        <f t="shared" si="11"/>
        <v>0</v>
      </c>
      <c r="O83" s="125">
        <f>Valores!$C$9</f>
        <v>29939.09</v>
      </c>
      <c r="P83" s="125">
        <f>Valores!$D$5</f>
        <v>13864.36</v>
      </c>
      <c r="Q83" s="125">
        <f>Valores!$C$22</f>
        <v>12369.22</v>
      </c>
      <c r="R83" s="125">
        <f>IF($F$4="NO",Valores!$C$45,Valores!$C$45/2)</f>
        <v>10169.9</v>
      </c>
      <c r="S83" s="125">
        <f>Valores!$C$19</f>
        <v>12901.01</v>
      </c>
      <c r="T83" s="125">
        <f t="shared" si="17"/>
        <v>12901.01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7582.51</v>
      </c>
      <c r="AA83" s="125">
        <f>Valores!$C$25</f>
        <v>567.05999999999995</v>
      </c>
      <c r="AB83" s="214">
        <v>0</v>
      </c>
      <c r="AC83" s="125">
        <f t="shared" si="12"/>
        <v>0</v>
      </c>
      <c r="AD83" s="125">
        <f>Valores!$C$26</f>
        <v>567.05999999999995</v>
      </c>
      <c r="AE83" s="192">
        <v>0</v>
      </c>
      <c r="AF83" s="125">
        <f>ROUND(AE83*Valores!$C$2,2)</f>
        <v>0</v>
      </c>
      <c r="AG83" s="125">
        <f>ROUND(IF($F$4="NO",Valores!$C$63,Valores!$C$63/2),2)</f>
        <v>6482.98</v>
      </c>
      <c r="AH83" s="125">
        <f t="shared" si="15"/>
        <v>158660.74000000002</v>
      </c>
      <c r="AI83" s="125">
        <f>Valores!$C$31</f>
        <v>0</v>
      </c>
      <c r="AJ83" s="125">
        <f>Valores!$C$88</f>
        <v>0</v>
      </c>
      <c r="AK83" s="125">
        <f>Valores!C$38*B83</f>
        <v>30000</v>
      </c>
      <c r="AL83" s="125">
        <f>IF($F$3="NO",0,Valores!$C$56)</f>
        <v>170.34</v>
      </c>
      <c r="AM83" s="125">
        <f t="shared" si="13"/>
        <v>30170.34</v>
      </c>
      <c r="AN83" s="125">
        <f>AH83*Valores!$C$71</f>
        <v>-17452.681400000001</v>
      </c>
      <c r="AO83" s="125">
        <f>AH83*-Valores!$C$72</f>
        <v>0</v>
      </c>
      <c r="AP83" s="125">
        <f>AH83*Valores!$C$73</f>
        <v>-7139.7333000000008</v>
      </c>
      <c r="AQ83" s="125">
        <f>Valores!$C$100</f>
        <v>-280.91000000000003</v>
      </c>
      <c r="AR83" s="125">
        <f>IF($F$5=0,Valores!$C$101,(Valores!$C$101+$F$5*(Valores!$C$101)))</f>
        <v>-385</v>
      </c>
      <c r="AS83" s="125">
        <f t="shared" si="16"/>
        <v>163572.75530000002</v>
      </c>
      <c r="AT83" s="125">
        <f t="shared" si="10"/>
        <v>-17452.681400000001</v>
      </c>
      <c r="AU83" s="125">
        <f>AH83*Valores!$C$74</f>
        <v>-4283.8399800000007</v>
      </c>
      <c r="AV83" s="125">
        <f>AH83*Valores!$C$75</f>
        <v>-475.9822200000001</v>
      </c>
      <c r="AW83" s="125">
        <f t="shared" si="14"/>
        <v>166618.57640000002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2061.21</v>
      </c>
      <c r="G84" s="192">
        <v>1752</v>
      </c>
      <c r="H84" s="125">
        <f>ROUND(G84*Valores!$C$2,2)</f>
        <v>47516.34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10816.5</v>
      </c>
      <c r="N84" s="125">
        <f t="shared" si="11"/>
        <v>0</v>
      </c>
      <c r="O84" s="125">
        <f>Valores!$C$8</f>
        <v>29851.25</v>
      </c>
      <c r="P84" s="125">
        <f>Valores!$D$5</f>
        <v>13864.36</v>
      </c>
      <c r="Q84" s="125">
        <f>Valores!$C$22</f>
        <v>12369.22</v>
      </c>
      <c r="R84" s="125">
        <f>IF($F$4="NO",Valores!$C$44,Valores!$C$44/2)</f>
        <v>9631.44</v>
      </c>
      <c r="S84" s="125">
        <f>Valores!$C$19</f>
        <v>12901.01</v>
      </c>
      <c r="T84" s="125">
        <f t="shared" si="17"/>
        <v>12901.01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6318.76</v>
      </c>
      <c r="AA84" s="125">
        <f>Valores!$C$25</f>
        <v>567.05999999999995</v>
      </c>
      <c r="AB84" s="214">
        <v>0</v>
      </c>
      <c r="AC84" s="125">
        <f t="shared" si="12"/>
        <v>0</v>
      </c>
      <c r="AD84" s="125">
        <f>Valores!$C$26</f>
        <v>567.05999999999995</v>
      </c>
      <c r="AE84" s="192">
        <v>0</v>
      </c>
      <c r="AF84" s="125">
        <f>ROUND(AE84*Valores!$C$2,2)</f>
        <v>0</v>
      </c>
      <c r="AG84" s="125">
        <f>ROUND(IF($F$4="NO",Valores!$C$63,Valores!$C$63/2),2)</f>
        <v>6482.98</v>
      </c>
      <c r="AH84" s="125">
        <f t="shared" si="15"/>
        <v>152947.19</v>
      </c>
      <c r="AI84" s="125">
        <f>Valores!$C$31</f>
        <v>0</v>
      </c>
      <c r="AJ84" s="125">
        <f>Valores!$C$87</f>
        <v>0</v>
      </c>
      <c r="AK84" s="125">
        <f>Valores!C$38*B84</f>
        <v>30000</v>
      </c>
      <c r="AL84" s="125">
        <f>IF($F$3="NO",0,Valores!$C$56)</f>
        <v>170.34</v>
      </c>
      <c r="AM84" s="125">
        <f t="shared" si="13"/>
        <v>30170.34</v>
      </c>
      <c r="AN84" s="125">
        <f>AH84*Valores!$C$71</f>
        <v>-16824.190900000001</v>
      </c>
      <c r="AO84" s="125">
        <f>AH84*-Valores!$C$72</f>
        <v>0</v>
      </c>
      <c r="AP84" s="125">
        <f>AH84*Valores!$C$73</f>
        <v>-6882.6235500000003</v>
      </c>
      <c r="AQ84" s="125">
        <f>Valores!$C$100</f>
        <v>-280.91000000000003</v>
      </c>
      <c r="AR84" s="125">
        <f>IF($F$5=0,Valores!$C$101,(Valores!$C$101+$F$5*(Valores!$C$101)))</f>
        <v>-385</v>
      </c>
      <c r="AS84" s="125">
        <f t="shared" si="16"/>
        <v>158744.80554999999</v>
      </c>
      <c r="AT84" s="125">
        <f t="shared" si="10"/>
        <v>-16824.190900000001</v>
      </c>
      <c r="AU84" s="125">
        <f>AH84*Valores!$C$74</f>
        <v>-4129.57413</v>
      </c>
      <c r="AV84" s="125">
        <f>AH84*Valores!$C$75</f>
        <v>-458.84156999999999</v>
      </c>
      <c r="AW84" s="125">
        <f t="shared" si="14"/>
        <v>161704.9234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2115.4499999999998</v>
      </c>
      <c r="G85" s="192">
        <v>1770</v>
      </c>
      <c r="H85" s="125">
        <f>ROUND(G85*Valores!$C$2,2)</f>
        <v>48004.52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10816.46</v>
      </c>
      <c r="N85" s="125">
        <f t="shared" si="11"/>
        <v>0</v>
      </c>
      <c r="O85" s="125">
        <f>Valores!$C$10</f>
        <v>25683.22</v>
      </c>
      <c r="P85" s="125">
        <f>Valores!$D$5</f>
        <v>13864.36</v>
      </c>
      <c r="Q85" s="125">
        <f>Valores!$C$22</f>
        <v>12369.22</v>
      </c>
      <c r="R85" s="125">
        <f>IF($F$4="NO",Valores!$C$43,Valores!$C$43/2)</f>
        <v>9088.77</v>
      </c>
      <c r="S85" s="125">
        <f>Valores!$C$19</f>
        <v>12901.01</v>
      </c>
      <c r="T85" s="125">
        <f t="shared" si="17"/>
        <v>12901.01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6318.76</v>
      </c>
      <c r="AA85" s="125">
        <f>Valores!$C$25</f>
        <v>567.05999999999995</v>
      </c>
      <c r="AB85" s="214">
        <v>0</v>
      </c>
      <c r="AC85" s="125">
        <f t="shared" si="12"/>
        <v>0</v>
      </c>
      <c r="AD85" s="125">
        <f>Valores!$C$26</f>
        <v>567.05999999999995</v>
      </c>
      <c r="AE85" s="192">
        <v>0</v>
      </c>
      <c r="AF85" s="125">
        <f>ROUND(AE85*Valores!$C$2,2)</f>
        <v>0</v>
      </c>
      <c r="AG85" s="125">
        <f>ROUND(IF($F$4="NO",Valores!$C$63,Valores!$C$63/2),2)</f>
        <v>6482.98</v>
      </c>
      <c r="AH85" s="125">
        <f t="shared" si="15"/>
        <v>148778.87000000002</v>
      </c>
      <c r="AI85" s="125">
        <f>Valores!$C$31</f>
        <v>0</v>
      </c>
      <c r="AJ85" s="125">
        <f>Valores!$C$87</f>
        <v>0</v>
      </c>
      <c r="AK85" s="125">
        <f>Valores!C$38*B85</f>
        <v>30000</v>
      </c>
      <c r="AL85" s="125">
        <f>IF($F$3="NO",0,Valores!$C$56)</f>
        <v>170.34</v>
      </c>
      <c r="AM85" s="125">
        <f t="shared" si="13"/>
        <v>30170.34</v>
      </c>
      <c r="AN85" s="125">
        <f>AH85*Valores!$C$71</f>
        <v>-16365.675700000003</v>
      </c>
      <c r="AO85" s="125">
        <f>AH85*-Valores!$C$72</f>
        <v>0</v>
      </c>
      <c r="AP85" s="125">
        <f>AH85*Valores!$C$73</f>
        <v>-6695.0491500000007</v>
      </c>
      <c r="AQ85" s="125">
        <f>Valores!$C$100</f>
        <v>-280.91000000000003</v>
      </c>
      <c r="AR85" s="125">
        <f>IF($F$5=0,Valores!$C$101,(Valores!$C$101+$F$5*(Valores!$C$101)))</f>
        <v>-385</v>
      </c>
      <c r="AS85" s="125">
        <f t="shared" si="16"/>
        <v>155222.57515000002</v>
      </c>
      <c r="AT85" s="125">
        <f t="shared" si="10"/>
        <v>-16365.675700000003</v>
      </c>
      <c r="AU85" s="125">
        <f>AH85*Valores!$C$74</f>
        <v>-4017.0294900000008</v>
      </c>
      <c r="AV85" s="125">
        <f>AH85*Valores!$C$75</f>
        <v>-446.33661000000006</v>
      </c>
      <c r="AW85" s="125">
        <f t="shared" si="14"/>
        <v>158120.16820000001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2061.21</v>
      </c>
      <c r="G86" s="192">
        <v>1872</v>
      </c>
      <c r="H86" s="125">
        <f>ROUND(G86*Valores!$C$2,2)</f>
        <v>50770.89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11223.28</v>
      </c>
      <c r="N86" s="125">
        <f t="shared" si="11"/>
        <v>0</v>
      </c>
      <c r="O86" s="125">
        <f>Valores!$C$10</f>
        <v>25683.22</v>
      </c>
      <c r="P86" s="125">
        <f>Valores!$D$5</f>
        <v>13864.36</v>
      </c>
      <c r="Q86" s="125">
        <v>0</v>
      </c>
      <c r="R86" s="125">
        <f>IF($F$4="NO",Valores!$C$43,Valores!$C$43/2)</f>
        <v>9088.77</v>
      </c>
      <c r="S86" s="125">
        <f>Valores!$C$19</f>
        <v>12901.01</v>
      </c>
      <c r="T86" s="125">
        <f t="shared" si="17"/>
        <v>12901.01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6318.76</v>
      </c>
      <c r="AA86" s="125">
        <f>Valores!$C$25</f>
        <v>567.05999999999995</v>
      </c>
      <c r="AB86" s="214">
        <v>0</v>
      </c>
      <c r="AC86" s="125">
        <f t="shared" si="12"/>
        <v>0</v>
      </c>
      <c r="AD86" s="125">
        <f>Valores!$C$26</f>
        <v>567.05999999999995</v>
      </c>
      <c r="AE86" s="192">
        <v>0</v>
      </c>
      <c r="AF86" s="125">
        <f>ROUND(AE86*Valores!$C$2,2)</f>
        <v>0</v>
      </c>
      <c r="AG86" s="125">
        <f>ROUND(IF($F$4="NO",Valores!$C$63,Valores!$C$63/2),2)</f>
        <v>6482.98</v>
      </c>
      <c r="AH86" s="125">
        <f t="shared" si="15"/>
        <v>139528.6</v>
      </c>
      <c r="AI86" s="125">
        <f>Valores!$C$31</f>
        <v>0</v>
      </c>
      <c r="AJ86" s="125">
        <f>Valores!$C$87</f>
        <v>0</v>
      </c>
      <c r="AK86" s="125">
        <f>Valores!C$38*B86</f>
        <v>30000</v>
      </c>
      <c r="AL86" s="125">
        <f>IF($F$3="NO",0,Valores!$C$56)</f>
        <v>170.34</v>
      </c>
      <c r="AM86" s="125">
        <f t="shared" si="13"/>
        <v>30170.34</v>
      </c>
      <c r="AN86" s="125">
        <f>AH86*Valores!$C$71</f>
        <v>-15348.146000000001</v>
      </c>
      <c r="AO86" s="125">
        <f>AH86*-Valores!$C$72</f>
        <v>0</v>
      </c>
      <c r="AP86" s="125">
        <f>AH86*Valores!$C$73</f>
        <v>-6278.7870000000003</v>
      </c>
      <c r="AQ86" s="125">
        <f>Valores!$C$100</f>
        <v>-280.91000000000003</v>
      </c>
      <c r="AR86" s="125">
        <f>IF($F$5=0,Valores!$C$101,(Valores!$C$101+$F$5*(Valores!$C$101)))</f>
        <v>-385</v>
      </c>
      <c r="AS86" s="125">
        <f t="shared" si="16"/>
        <v>147406.09700000001</v>
      </c>
      <c r="AT86" s="125">
        <f t="shared" si="10"/>
        <v>-15348.146000000001</v>
      </c>
      <c r="AU86" s="125">
        <f>AH86*Valores!$C$74</f>
        <v>-3767.2722000000003</v>
      </c>
      <c r="AV86" s="125">
        <f>AH86*Valores!$C$75</f>
        <v>-418.58580000000001</v>
      </c>
      <c r="AW86" s="125">
        <f t="shared" si="14"/>
        <v>150164.93599999999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4583.4799999999996</v>
      </c>
      <c r="G87" s="192">
        <f>1997</f>
        <v>1997</v>
      </c>
      <c r="H87" s="125">
        <f>ROUND(G87*Valores!$C$2,2)</f>
        <v>54161.04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12191.55</v>
      </c>
      <c r="N87" s="125">
        <f t="shared" si="11"/>
        <v>0</v>
      </c>
      <c r="O87" s="125">
        <f>Valores!$C$9</f>
        <v>29939.09</v>
      </c>
      <c r="P87" s="125">
        <f>Valores!$D$5</f>
        <v>13864.36</v>
      </c>
      <c r="Q87" s="125">
        <f>Valores!$C$22</f>
        <v>12369.22</v>
      </c>
      <c r="R87" s="125">
        <f>IF($F$4="NO",Valores!$C$44,Valores!$C$44/2)</f>
        <v>9631.44</v>
      </c>
      <c r="S87" s="125">
        <f>Valores!$C$19</f>
        <v>12901.01</v>
      </c>
      <c r="T87" s="125">
        <f t="shared" si="17"/>
        <v>12901.01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6318.76</v>
      </c>
      <c r="AA87" s="125">
        <f>Valores!$C$25</f>
        <v>567.05999999999995</v>
      </c>
      <c r="AB87" s="214">
        <v>0</v>
      </c>
      <c r="AC87" s="125">
        <f t="shared" si="12"/>
        <v>0</v>
      </c>
      <c r="AD87" s="125">
        <f>Valores!$C$26</f>
        <v>567.05999999999995</v>
      </c>
      <c r="AE87" s="192">
        <v>0</v>
      </c>
      <c r="AF87" s="125">
        <f>ROUND(AE87*Valores!$C$2,2)</f>
        <v>0</v>
      </c>
      <c r="AG87" s="125">
        <f>ROUND(IF($F$4="NO",Valores!$C$63,Valores!$C$63/2),2)</f>
        <v>6482.98</v>
      </c>
      <c r="AH87" s="125">
        <f t="shared" si="15"/>
        <v>163577.05000000002</v>
      </c>
      <c r="AI87" s="125">
        <f>Valores!$C$31</f>
        <v>0</v>
      </c>
      <c r="AJ87" s="125">
        <f>Valores!$C$87</f>
        <v>0</v>
      </c>
      <c r="AK87" s="125">
        <f>Valores!C$38*B87</f>
        <v>30000</v>
      </c>
      <c r="AL87" s="125">
        <f>IF($F$3="NO",0,Valores!$C$56)</f>
        <v>170.34</v>
      </c>
      <c r="AM87" s="125">
        <f t="shared" si="13"/>
        <v>30170.34</v>
      </c>
      <c r="AN87" s="125">
        <f>AH87*Valores!$C$71</f>
        <v>-17993.4755</v>
      </c>
      <c r="AO87" s="125">
        <f>AH87*-Valores!$C$72</f>
        <v>0</v>
      </c>
      <c r="AP87" s="125">
        <f>AH87*Valores!$C$73</f>
        <v>-7360.9672500000006</v>
      </c>
      <c r="AQ87" s="125">
        <f>Valores!$C$100</f>
        <v>-280.91000000000003</v>
      </c>
      <c r="AR87" s="125">
        <f>IF($F$5=0,Valores!$C$101,(Valores!$C$101+$F$5*(Valores!$C$101)))</f>
        <v>-385</v>
      </c>
      <c r="AS87" s="125">
        <f t="shared" si="16"/>
        <v>167727.03725000002</v>
      </c>
      <c r="AT87" s="125">
        <f t="shared" si="10"/>
        <v>-17993.4755</v>
      </c>
      <c r="AU87" s="125">
        <f>AH87*Valores!$C$74</f>
        <v>-4416.5803500000002</v>
      </c>
      <c r="AV87" s="125">
        <f>AH87*Valores!$C$75</f>
        <v>-490.73115000000007</v>
      </c>
      <c r="AW87" s="125">
        <f t="shared" si="14"/>
        <v>170846.603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5912.42</v>
      </c>
      <c r="G88" s="192">
        <f>1997</f>
        <v>1997</v>
      </c>
      <c r="H88" s="125">
        <f>ROUND(G88*Valores!$C$2,2)</f>
        <v>54161.04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12390.89</v>
      </c>
      <c r="N88" s="125">
        <f t="shared" si="11"/>
        <v>0</v>
      </c>
      <c r="O88" s="125">
        <f>Valores!$C$15</f>
        <v>35046.14</v>
      </c>
      <c r="P88" s="125">
        <f>Valores!$D$5</f>
        <v>13864.36</v>
      </c>
      <c r="Q88" s="125">
        <f>Valores!$C$22</f>
        <v>12369.22</v>
      </c>
      <c r="R88" s="125">
        <f>IF($F$4="NO",Valores!$C$44,Valores!$C$44/2)</f>
        <v>9631.44</v>
      </c>
      <c r="S88" s="125">
        <f>Valores!$C$19</f>
        <v>12901.01</v>
      </c>
      <c r="T88" s="125">
        <f t="shared" si="17"/>
        <v>12901.01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6318.76</v>
      </c>
      <c r="AA88" s="125">
        <f>Valores!$C$25</f>
        <v>567.05999999999995</v>
      </c>
      <c r="AB88" s="214">
        <v>0</v>
      </c>
      <c r="AC88" s="125">
        <f t="shared" si="12"/>
        <v>0</v>
      </c>
      <c r="AD88" s="125">
        <f>Valores!$C$26</f>
        <v>567.05999999999995</v>
      </c>
      <c r="AE88" s="192">
        <v>0</v>
      </c>
      <c r="AF88" s="125">
        <f>ROUND(AE88*Valores!$C$2,2)</f>
        <v>0</v>
      </c>
      <c r="AG88" s="125">
        <f>ROUND(IF($F$4="NO",Valores!$C$63,Valores!$C$63/2),2)</f>
        <v>6482.98</v>
      </c>
      <c r="AH88" s="125">
        <f t="shared" si="15"/>
        <v>170212.38000000003</v>
      </c>
      <c r="AI88" s="125">
        <f>Valores!$C$31</f>
        <v>0</v>
      </c>
      <c r="AJ88" s="125">
        <f>Valores!$C$87</f>
        <v>0</v>
      </c>
      <c r="AK88" s="125">
        <f>Valores!C$38*B88</f>
        <v>30000</v>
      </c>
      <c r="AL88" s="125">
        <f>IF($F$3="NO",0,Valores!$C$56)</f>
        <v>170.34</v>
      </c>
      <c r="AM88" s="125">
        <f t="shared" si="13"/>
        <v>30170.34</v>
      </c>
      <c r="AN88" s="125">
        <f>AH88*Valores!$C$71</f>
        <v>-18723.361800000002</v>
      </c>
      <c r="AO88" s="125">
        <f>AH88*-Valores!$C$72</f>
        <v>0</v>
      </c>
      <c r="AP88" s="125">
        <f>AH88*Valores!$C$73</f>
        <v>-7659.5571000000009</v>
      </c>
      <c r="AQ88" s="125">
        <f>Valores!$C$100</f>
        <v>-280.91000000000003</v>
      </c>
      <c r="AR88" s="125">
        <f>IF($F$5=0,Valores!$C$101,(Valores!$C$101+$F$5*(Valores!$C$101)))</f>
        <v>-385</v>
      </c>
      <c r="AS88" s="125">
        <f t="shared" si="16"/>
        <v>173333.89110000004</v>
      </c>
      <c r="AT88" s="125">
        <f t="shared" si="10"/>
        <v>-18723.361800000002</v>
      </c>
      <c r="AU88" s="125">
        <f>AH88*Valores!$C$74</f>
        <v>-4595.7342600000011</v>
      </c>
      <c r="AV88" s="125">
        <f>AH88*Valores!$C$75</f>
        <v>-510.6371400000001</v>
      </c>
      <c r="AW88" s="125">
        <f t="shared" si="14"/>
        <v>176552.98680000001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5912.42</v>
      </c>
      <c r="G89" s="192">
        <f>1997</f>
        <v>1997</v>
      </c>
      <c r="H89" s="125">
        <f>ROUND(G89*Valores!$C$2,2)</f>
        <v>54161.04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12390.89</v>
      </c>
      <c r="N89" s="125">
        <f t="shared" si="11"/>
        <v>0</v>
      </c>
      <c r="O89" s="125">
        <f>Valores!$C$15</f>
        <v>35046.14</v>
      </c>
      <c r="P89" s="125">
        <f>Valores!$D$5</f>
        <v>13864.36</v>
      </c>
      <c r="Q89" s="125">
        <f>Valores!$C$22</f>
        <v>12369.22</v>
      </c>
      <c r="R89" s="125">
        <f>IF($F$4="NO",Valores!$C$44,Valores!$C$44/2)</f>
        <v>9631.44</v>
      </c>
      <c r="S89" s="125">
        <f>Valores!$C$19</f>
        <v>12901.01</v>
      </c>
      <c r="T89" s="125">
        <f t="shared" si="17"/>
        <v>12901.01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6318.76</v>
      </c>
      <c r="AA89" s="125">
        <f>Valores!$C$25</f>
        <v>567.05999999999995</v>
      </c>
      <c r="AB89" s="214">
        <v>0</v>
      </c>
      <c r="AC89" s="125">
        <f t="shared" si="12"/>
        <v>0</v>
      </c>
      <c r="AD89" s="125">
        <f>Valores!$C$26</f>
        <v>567.05999999999995</v>
      </c>
      <c r="AE89" s="192">
        <v>19</v>
      </c>
      <c r="AF89" s="125">
        <f>ROUND(AE89*Valores!$C$2,2)</f>
        <v>515.29999999999995</v>
      </c>
      <c r="AG89" s="125">
        <f>ROUND(IF($F$4="NO",Valores!$C$63,Valores!$C$63/2),2)</f>
        <v>6482.98</v>
      </c>
      <c r="AH89" s="125">
        <f t="shared" si="15"/>
        <v>170727.68000000002</v>
      </c>
      <c r="AI89" s="125">
        <f>Valores!$C$31</f>
        <v>0</v>
      </c>
      <c r="AJ89" s="125">
        <f>Valores!$C$87</f>
        <v>0</v>
      </c>
      <c r="AK89" s="125">
        <f>Valores!C$38*B89</f>
        <v>30000</v>
      </c>
      <c r="AL89" s="125">
        <f>IF($F$3="NO",0,Valores!$C$56)</f>
        <v>170.34</v>
      </c>
      <c r="AM89" s="125">
        <f t="shared" si="13"/>
        <v>30170.34</v>
      </c>
      <c r="AN89" s="125">
        <f>AH89*Valores!$C$71</f>
        <v>-18780.044800000003</v>
      </c>
      <c r="AO89" s="125">
        <f>AH89*-Valores!$C$72</f>
        <v>0</v>
      </c>
      <c r="AP89" s="125">
        <f>AH89*Valores!$C$73</f>
        <v>-7682.7456000000011</v>
      </c>
      <c r="AQ89" s="125">
        <f>Valores!$C$100</f>
        <v>-280.91000000000003</v>
      </c>
      <c r="AR89" s="125">
        <f>IF($F$5=0,Valores!$C$101,(Valores!$C$101+$F$5*(Valores!$C$101)))</f>
        <v>-385</v>
      </c>
      <c r="AS89" s="125">
        <f t="shared" si="16"/>
        <v>173769.31960000002</v>
      </c>
      <c r="AT89" s="125">
        <f t="shared" si="10"/>
        <v>-18780.044800000003</v>
      </c>
      <c r="AU89" s="125">
        <f>AH89*Valores!$C$74</f>
        <v>-4609.6473600000008</v>
      </c>
      <c r="AV89" s="125">
        <f>AH89*Valores!$C$75</f>
        <v>-512.18304000000012</v>
      </c>
      <c r="AW89" s="125">
        <f t="shared" si="14"/>
        <v>176996.14480000001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5071.66</v>
      </c>
      <c r="G90" s="192">
        <v>1704</v>
      </c>
      <c r="H90" s="125">
        <f>ROUND(G90*Valores!$C$2,2)</f>
        <v>46214.52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11072.79</v>
      </c>
      <c r="N90" s="125">
        <f t="shared" si="11"/>
        <v>0</v>
      </c>
      <c r="O90" s="125">
        <f>Valores!$C$9</f>
        <v>29939.09</v>
      </c>
      <c r="P90" s="125">
        <f>Valores!$D$5</f>
        <v>13864.36</v>
      </c>
      <c r="Q90" s="125">
        <f>Valores!$C$22</f>
        <v>12369.22</v>
      </c>
      <c r="R90" s="125">
        <f>IF($F$4="NO",Valores!$C$44,Valores!$C$44/2)</f>
        <v>9631.44</v>
      </c>
      <c r="S90" s="125">
        <f>Valores!$C$19</f>
        <v>12901.01</v>
      </c>
      <c r="T90" s="125">
        <f t="shared" si="17"/>
        <v>12901.01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6318.76</v>
      </c>
      <c r="AA90" s="125">
        <f>Valores!$C$25</f>
        <v>567.05999999999995</v>
      </c>
      <c r="AB90" s="214">
        <v>0</v>
      </c>
      <c r="AC90" s="125">
        <f t="shared" si="12"/>
        <v>0</v>
      </c>
      <c r="AD90" s="125">
        <f>Valores!$C$26</f>
        <v>567.05999999999995</v>
      </c>
      <c r="AE90" s="192">
        <v>0</v>
      </c>
      <c r="AF90" s="125">
        <f>ROUND(AE90*Valores!$C$2,2)</f>
        <v>0</v>
      </c>
      <c r="AG90" s="125">
        <f>ROUND(IF($F$4="NO",Valores!$C$63,Valores!$C$63/2),2)</f>
        <v>6482.98</v>
      </c>
      <c r="AH90" s="125">
        <f t="shared" si="15"/>
        <v>154999.95000000001</v>
      </c>
      <c r="AI90" s="125">
        <f>Valores!$C$31</f>
        <v>0</v>
      </c>
      <c r="AJ90" s="125">
        <f>Valores!$C$87</f>
        <v>0</v>
      </c>
      <c r="AK90" s="125">
        <f>Valores!C$38*B90</f>
        <v>30000</v>
      </c>
      <c r="AL90" s="125">
        <f>IF($F$3="NO",0,Valores!$C$56)</f>
        <v>170.34</v>
      </c>
      <c r="AM90" s="125">
        <f t="shared" si="13"/>
        <v>30170.34</v>
      </c>
      <c r="AN90" s="125">
        <f>AH90*Valores!$C$71</f>
        <v>-17049.994500000001</v>
      </c>
      <c r="AO90" s="125">
        <f>AH90*-Valores!$C$72</f>
        <v>0</v>
      </c>
      <c r="AP90" s="125">
        <f>AH90*Valores!$C$73</f>
        <v>-6974.9977500000005</v>
      </c>
      <c r="AQ90" s="125">
        <f>Valores!$C$100</f>
        <v>-280.91000000000003</v>
      </c>
      <c r="AR90" s="125">
        <f>IF($F$5=0,Valores!$C$101,(Valores!$C$101+$F$5*(Valores!$C$101)))</f>
        <v>-385</v>
      </c>
      <c r="AS90" s="125">
        <f t="shared" si="16"/>
        <v>160479.38775000002</v>
      </c>
      <c r="AT90" s="125">
        <f t="shared" si="10"/>
        <v>-17049.994500000001</v>
      </c>
      <c r="AU90" s="125">
        <f>AH90*Valores!$C$74</f>
        <v>-4184.9986500000005</v>
      </c>
      <c r="AV90" s="125">
        <f>AH90*Valores!$C$75</f>
        <v>-464.99985000000004</v>
      </c>
      <c r="AW90" s="125">
        <f t="shared" si="14"/>
        <v>163470.29700000002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5071.66</v>
      </c>
      <c r="G91" s="192">
        <v>1704</v>
      </c>
      <c r="H91" s="125">
        <f>ROUND(G91*Valores!$C$2,2)</f>
        <v>46214.52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11072.79</v>
      </c>
      <c r="N91" s="125">
        <f t="shared" si="11"/>
        <v>0</v>
      </c>
      <c r="O91" s="125">
        <f>Valores!$C$9</f>
        <v>29939.09</v>
      </c>
      <c r="P91" s="125">
        <f>Valores!$D$5</f>
        <v>13864.36</v>
      </c>
      <c r="Q91" s="125">
        <f>Valores!$C$22</f>
        <v>12369.22</v>
      </c>
      <c r="R91" s="125">
        <f>IF($F$4="NO",Valores!$C$44,Valores!$C$44/2)</f>
        <v>9631.44</v>
      </c>
      <c r="S91" s="125">
        <f>Valores!$C$19</f>
        <v>12901.01</v>
      </c>
      <c r="T91" s="125">
        <f t="shared" si="17"/>
        <v>12901.01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6318.76</v>
      </c>
      <c r="AA91" s="125">
        <f>Valores!$C$25</f>
        <v>567.05999999999995</v>
      </c>
      <c r="AB91" s="214">
        <v>0</v>
      </c>
      <c r="AC91" s="125">
        <f t="shared" si="12"/>
        <v>0</v>
      </c>
      <c r="AD91" s="125">
        <f>Valores!$C$26</f>
        <v>567.05999999999995</v>
      </c>
      <c r="AE91" s="192">
        <v>19</v>
      </c>
      <c r="AF91" s="125">
        <f>ROUND(AE91*Valores!$C$2,2)</f>
        <v>515.29999999999995</v>
      </c>
      <c r="AG91" s="125">
        <f>ROUND(IF($F$4="NO",Valores!$C$63,Valores!$C$63/2),2)</f>
        <v>6482.98</v>
      </c>
      <c r="AH91" s="125">
        <f t="shared" si="15"/>
        <v>155515.25</v>
      </c>
      <c r="AI91" s="125">
        <f>Valores!$C$31</f>
        <v>0</v>
      </c>
      <c r="AJ91" s="125">
        <f>Valores!$C$87</f>
        <v>0</v>
      </c>
      <c r="AK91" s="125">
        <f>Valores!C$38*B91</f>
        <v>30000</v>
      </c>
      <c r="AL91" s="125">
        <f>IF($F$3="NO",0,Valores!$C$56)</f>
        <v>170.34</v>
      </c>
      <c r="AM91" s="125">
        <f t="shared" si="13"/>
        <v>30170.34</v>
      </c>
      <c r="AN91" s="125">
        <f>AH91*Valores!$C$71</f>
        <v>-17106.677500000002</v>
      </c>
      <c r="AO91" s="125">
        <f>AH91*-Valores!$C$72</f>
        <v>0</v>
      </c>
      <c r="AP91" s="125">
        <f>AH91*Valores!$C$73</f>
        <v>-6998.1862499999997</v>
      </c>
      <c r="AQ91" s="125">
        <f>Valores!$C$100</f>
        <v>-280.91000000000003</v>
      </c>
      <c r="AR91" s="125">
        <f>IF($F$5=0,Valores!$C$101,(Valores!$C$101+$F$5*(Valores!$C$101)))</f>
        <v>-385</v>
      </c>
      <c r="AS91" s="125">
        <f t="shared" si="16"/>
        <v>160914.81625</v>
      </c>
      <c r="AT91" s="125">
        <f t="shared" si="10"/>
        <v>-17106.677500000002</v>
      </c>
      <c r="AU91" s="125">
        <f>AH91*Valores!$C$74</f>
        <v>-4198.9117500000002</v>
      </c>
      <c r="AV91" s="125">
        <f>AH91*Valores!$C$75</f>
        <v>-466.54575</v>
      </c>
      <c r="AW91" s="125">
        <f t="shared" si="14"/>
        <v>163913.45499999999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4366.51</v>
      </c>
      <c r="G92" s="192">
        <f>1480</f>
        <v>1480</v>
      </c>
      <c r="H92" s="125">
        <f>ROUND(G92*Valores!$C$2,2)</f>
        <v>40139.379999999997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10055.75</v>
      </c>
      <c r="N92" s="125">
        <f t="shared" si="11"/>
        <v>0</v>
      </c>
      <c r="O92" s="125">
        <f>Valores!$C$9</f>
        <v>29939.09</v>
      </c>
      <c r="P92" s="125">
        <f>Valores!$D$5</f>
        <v>13864.36</v>
      </c>
      <c r="Q92" s="125">
        <f>Valores!$C$22</f>
        <v>12369.22</v>
      </c>
      <c r="R92" s="125">
        <f>IF($F$4="NO",Valores!$C$44,Valores!$C$44/2)</f>
        <v>9631.44</v>
      </c>
      <c r="S92" s="125">
        <f>Valores!$C$19</f>
        <v>12901.01</v>
      </c>
      <c r="T92" s="125">
        <f t="shared" si="17"/>
        <v>12901.01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6318.76</v>
      </c>
      <c r="AA92" s="125">
        <f>Valores!$C$25</f>
        <v>567.05999999999995</v>
      </c>
      <c r="AB92" s="214">
        <v>0</v>
      </c>
      <c r="AC92" s="125">
        <f t="shared" si="12"/>
        <v>0</v>
      </c>
      <c r="AD92" s="125">
        <f>Valores!$C$26</f>
        <v>567.05999999999995</v>
      </c>
      <c r="AE92" s="192">
        <v>0</v>
      </c>
      <c r="AF92" s="125">
        <f>ROUND(AE92*Valores!$C$2,2)</f>
        <v>0</v>
      </c>
      <c r="AG92" s="125">
        <f>ROUND(IF($F$4="NO",Valores!$C$63,Valores!$C$63/2),2)</f>
        <v>6482.98</v>
      </c>
      <c r="AH92" s="125">
        <f t="shared" si="15"/>
        <v>147202.62000000002</v>
      </c>
      <c r="AI92" s="125">
        <f>Valores!$C$31</f>
        <v>0</v>
      </c>
      <c r="AJ92" s="125">
        <f>Valores!$C$87</f>
        <v>0</v>
      </c>
      <c r="AK92" s="125">
        <f>Valores!C$38*B92</f>
        <v>30000</v>
      </c>
      <c r="AL92" s="125">
        <f>IF($F$3="NO",0,Valores!$C$56)</f>
        <v>170.34</v>
      </c>
      <c r="AM92" s="125">
        <f t="shared" si="13"/>
        <v>30170.34</v>
      </c>
      <c r="AN92" s="125">
        <f>AH92*Valores!$C$71</f>
        <v>-16192.288200000003</v>
      </c>
      <c r="AO92" s="125">
        <f>AH92*-Valores!$C$72</f>
        <v>0</v>
      </c>
      <c r="AP92" s="125">
        <f>AH92*Valores!$C$73</f>
        <v>-6624.1179000000011</v>
      </c>
      <c r="AQ92" s="125">
        <f>Valores!$C$100</f>
        <v>-280.91000000000003</v>
      </c>
      <c r="AR92" s="125">
        <f>IF($F$5=0,Valores!$C$101,(Valores!$C$101+$F$5*(Valores!$C$101)))</f>
        <v>-385</v>
      </c>
      <c r="AS92" s="125">
        <f t="shared" si="16"/>
        <v>153890.64390000002</v>
      </c>
      <c r="AT92" s="125">
        <f t="shared" si="10"/>
        <v>-16192.288200000003</v>
      </c>
      <c r="AU92" s="125">
        <f>AH92*Valores!$C$74</f>
        <v>-3974.4707400000007</v>
      </c>
      <c r="AV92" s="125">
        <f>AH92*Valores!$C$75</f>
        <v>-441.60786000000007</v>
      </c>
      <c r="AW92" s="125">
        <f t="shared" si="14"/>
        <v>156764.5932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4366.51</v>
      </c>
      <c r="G93" s="192">
        <f>1480</f>
        <v>1480</v>
      </c>
      <c r="H93" s="125">
        <f>ROUND(G93*Valores!$C$2,2)</f>
        <v>40139.379999999997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10055.75</v>
      </c>
      <c r="N93" s="125">
        <f t="shared" si="11"/>
        <v>0</v>
      </c>
      <c r="O93" s="125">
        <f>Valores!$C$9</f>
        <v>29939.09</v>
      </c>
      <c r="P93" s="125">
        <f>Valores!$D$5</f>
        <v>13864.36</v>
      </c>
      <c r="Q93" s="125">
        <f>Valores!$C$22</f>
        <v>12369.22</v>
      </c>
      <c r="R93" s="125">
        <f>IF($F$4="NO",Valores!$C$44,Valores!$C$44/2)</f>
        <v>9631.44</v>
      </c>
      <c r="S93" s="125">
        <f>Valores!$C$19</f>
        <v>12901.01</v>
      </c>
      <c r="T93" s="125">
        <f t="shared" si="17"/>
        <v>12901.01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6318.76</v>
      </c>
      <c r="AA93" s="125">
        <f>Valores!$C$25</f>
        <v>567.05999999999995</v>
      </c>
      <c r="AB93" s="214">
        <v>0</v>
      </c>
      <c r="AC93" s="125">
        <f t="shared" si="12"/>
        <v>0</v>
      </c>
      <c r="AD93" s="125">
        <f>Valores!$C$26</f>
        <v>567.05999999999995</v>
      </c>
      <c r="AE93" s="192">
        <v>19</v>
      </c>
      <c r="AF93" s="125">
        <f>ROUND(AE93*Valores!$C$2,2)</f>
        <v>515.29999999999995</v>
      </c>
      <c r="AG93" s="125">
        <f>ROUND(IF($F$4="NO",Valores!$C$63,Valores!$C$63/2),2)</f>
        <v>6482.98</v>
      </c>
      <c r="AH93" s="125">
        <f t="shared" si="15"/>
        <v>147717.92000000001</v>
      </c>
      <c r="AI93" s="125">
        <f>Valores!$C$31</f>
        <v>0</v>
      </c>
      <c r="AJ93" s="125">
        <f>Valores!$C$87</f>
        <v>0</v>
      </c>
      <c r="AK93" s="125">
        <f>Valores!C$38*B93</f>
        <v>30000</v>
      </c>
      <c r="AL93" s="125">
        <f>IF($F$3="NO",0,Valores!$C$56)</f>
        <v>170.34</v>
      </c>
      <c r="AM93" s="125">
        <f t="shared" si="13"/>
        <v>30170.34</v>
      </c>
      <c r="AN93" s="125">
        <f>AH93*Valores!$C$71</f>
        <v>-16248.971200000002</v>
      </c>
      <c r="AO93" s="125">
        <f>AH93*-Valores!$C$72</f>
        <v>0</v>
      </c>
      <c r="AP93" s="125">
        <f>AH93*Valores!$C$73</f>
        <v>-6647.3064000000004</v>
      </c>
      <c r="AQ93" s="125">
        <f>Valores!$C$100</f>
        <v>-280.91000000000003</v>
      </c>
      <c r="AR93" s="125">
        <f>IF($F$5=0,Valores!$C$101,(Valores!$C$101+$F$5*(Valores!$C$101)))</f>
        <v>-385</v>
      </c>
      <c r="AS93" s="125">
        <f t="shared" si="16"/>
        <v>154326.0724</v>
      </c>
      <c r="AT93" s="125">
        <f t="shared" si="10"/>
        <v>-16248.971200000002</v>
      </c>
      <c r="AU93" s="125">
        <f>AH93*Valores!$C$74</f>
        <v>-3988.3838400000004</v>
      </c>
      <c r="AV93" s="125">
        <f>AH93*Valores!$C$75</f>
        <v>-443.15376000000003</v>
      </c>
      <c r="AW93" s="125">
        <f t="shared" si="14"/>
        <v>157207.7512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4854.6899999999996</v>
      </c>
      <c r="G94" s="192">
        <v>1712</v>
      </c>
      <c r="H94" s="125">
        <f>ROUND(G94*Valores!$C$2,2)</f>
        <v>46431.49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11072.79</v>
      </c>
      <c r="N94" s="125">
        <f t="shared" si="11"/>
        <v>0</v>
      </c>
      <c r="O94" s="125">
        <f>Valores!$C$9</f>
        <v>29939.09</v>
      </c>
      <c r="P94" s="125">
        <f>Valores!$D$5</f>
        <v>13864.36</v>
      </c>
      <c r="Q94" s="125">
        <f>Valores!$C$22</f>
        <v>12369.22</v>
      </c>
      <c r="R94" s="125">
        <f>IF($F$4="NO",Valores!$C$44,Valores!$C$44/2)</f>
        <v>9631.44</v>
      </c>
      <c r="S94" s="125">
        <f>Valores!$C$19</f>
        <v>12901.01</v>
      </c>
      <c r="T94" s="125">
        <f t="shared" si="17"/>
        <v>12901.01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6318.76</v>
      </c>
      <c r="AA94" s="125">
        <f>Valores!$C$25</f>
        <v>567.05999999999995</v>
      </c>
      <c r="AB94" s="214">
        <v>0</v>
      </c>
      <c r="AC94" s="125">
        <f t="shared" si="12"/>
        <v>0</v>
      </c>
      <c r="AD94" s="125">
        <f>Valores!$C$26</f>
        <v>567.05999999999995</v>
      </c>
      <c r="AE94" s="192">
        <v>0</v>
      </c>
      <c r="AF94" s="125">
        <f>ROUND(AE94*Valores!$C$2,2)</f>
        <v>0</v>
      </c>
      <c r="AG94" s="125">
        <f>ROUND(IF($F$4="NO",Valores!$C$63,Valores!$C$63/2),2)</f>
        <v>6482.98</v>
      </c>
      <c r="AH94" s="125">
        <f t="shared" si="15"/>
        <v>154999.95000000001</v>
      </c>
      <c r="AI94" s="125">
        <f>Valores!$C$31</f>
        <v>0</v>
      </c>
      <c r="AJ94" s="125">
        <f>Valores!$C$87</f>
        <v>0</v>
      </c>
      <c r="AK94" s="125">
        <f>Valores!C$38*B94</f>
        <v>30000</v>
      </c>
      <c r="AL94" s="125">
        <f>IF($F$3="NO",0,Valores!$C$56)</f>
        <v>170.34</v>
      </c>
      <c r="AM94" s="125">
        <f t="shared" si="13"/>
        <v>30170.34</v>
      </c>
      <c r="AN94" s="125">
        <f>AH94*Valores!$C$71</f>
        <v>-17049.994500000001</v>
      </c>
      <c r="AO94" s="125">
        <f>AH94*-Valores!$C$72</f>
        <v>0</v>
      </c>
      <c r="AP94" s="125">
        <f>AH94*Valores!$C$73</f>
        <v>-6974.9977500000005</v>
      </c>
      <c r="AQ94" s="125">
        <f>Valores!$C$100</f>
        <v>-280.91000000000003</v>
      </c>
      <c r="AR94" s="125">
        <f>IF($F$5=0,Valores!$C$101,(Valores!$C$101+$F$5*(Valores!$C$101)))</f>
        <v>-385</v>
      </c>
      <c r="AS94" s="125">
        <f t="shared" si="16"/>
        <v>160479.38775000002</v>
      </c>
      <c r="AT94" s="125">
        <f t="shared" si="10"/>
        <v>-17049.994500000001</v>
      </c>
      <c r="AU94" s="125">
        <f>AH94*Valores!$C$74</f>
        <v>-4184.9986500000005</v>
      </c>
      <c r="AV94" s="125">
        <f>AH94*Valores!$C$75</f>
        <v>-464.99985000000004</v>
      </c>
      <c r="AW94" s="125">
        <f t="shared" si="14"/>
        <v>163470.29700000002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1735.76</v>
      </c>
      <c r="G95" s="192">
        <v>2086</v>
      </c>
      <c r="H95" s="125">
        <f>ROUND(G95*Valores!$C$2,2)</f>
        <v>56574.82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12207.22</v>
      </c>
      <c r="N95" s="125">
        <f t="shared" si="11"/>
        <v>0</v>
      </c>
      <c r="O95" s="125">
        <f>Valores!$C$9</f>
        <v>29939.09</v>
      </c>
      <c r="P95" s="125">
        <f>Valores!$D$5</f>
        <v>13864.36</v>
      </c>
      <c r="Q95" s="125">
        <f>Valores!$C$22</f>
        <v>12369.22</v>
      </c>
      <c r="R95" s="125">
        <f>IF($F$4="NO",Valores!$C$45,Valores!$C$45/2)</f>
        <v>10169.9</v>
      </c>
      <c r="S95" s="125">
        <f>Valores!$C$19</f>
        <v>12901.01</v>
      </c>
      <c r="T95" s="125">
        <f t="shared" si="17"/>
        <v>12901.01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7582.51</v>
      </c>
      <c r="AA95" s="125">
        <f>Valores!$C$25</f>
        <v>567.05999999999995</v>
      </c>
      <c r="AB95" s="214">
        <v>0</v>
      </c>
      <c r="AC95" s="125">
        <f t="shared" si="12"/>
        <v>0</v>
      </c>
      <c r="AD95" s="125">
        <f>Valores!$C$26</f>
        <v>567.05999999999995</v>
      </c>
      <c r="AE95" s="192">
        <v>0</v>
      </c>
      <c r="AF95" s="125">
        <f>ROUND(AE95*Valores!$C$2,2)</f>
        <v>0</v>
      </c>
      <c r="AG95" s="125">
        <f>ROUND(IF($F$4="NO",Valores!$C$63,Valores!$C$63/2),2)</f>
        <v>6482.98</v>
      </c>
      <c r="AH95" s="125">
        <f t="shared" si="15"/>
        <v>164960.99000000002</v>
      </c>
      <c r="AI95" s="125">
        <f>Valores!$C$31</f>
        <v>0</v>
      </c>
      <c r="AJ95" s="125">
        <f>Valores!$C$88</f>
        <v>0</v>
      </c>
      <c r="AK95" s="125">
        <f>Valores!C$38*B95</f>
        <v>30000</v>
      </c>
      <c r="AL95" s="125">
        <f>IF($F$3="NO",0,Valores!$C$56)</f>
        <v>170.34</v>
      </c>
      <c r="AM95" s="125">
        <f t="shared" si="13"/>
        <v>30170.34</v>
      </c>
      <c r="AN95" s="125">
        <f>AH95*Valores!$C$71</f>
        <v>-18145.708900000001</v>
      </c>
      <c r="AO95" s="125">
        <f>AH95*-Valores!$C$72</f>
        <v>0</v>
      </c>
      <c r="AP95" s="125">
        <f>AH95*Valores!$C$73</f>
        <v>-7423.2445500000003</v>
      </c>
      <c r="AQ95" s="125">
        <f>Valores!$C$100</f>
        <v>-280.91000000000003</v>
      </c>
      <c r="AR95" s="125">
        <f>IF($F$5=0,Valores!$C$101,(Valores!$C$101+$F$5*(Valores!$C$101)))</f>
        <v>-385</v>
      </c>
      <c r="AS95" s="125">
        <f t="shared" si="16"/>
        <v>168896.46655000001</v>
      </c>
      <c r="AT95" s="125">
        <f t="shared" si="10"/>
        <v>-18145.708900000001</v>
      </c>
      <c r="AU95" s="125">
        <f>AH95*Valores!$C$74</f>
        <v>-4453.9467300000006</v>
      </c>
      <c r="AV95" s="125">
        <f>AH95*Valores!$C$75</f>
        <v>-494.88297000000006</v>
      </c>
      <c r="AW95" s="125">
        <f t="shared" si="14"/>
        <v>172036.79140000002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2413.79</v>
      </c>
      <c r="G96" s="192">
        <v>2481</v>
      </c>
      <c r="H96" s="125">
        <f>ROUND(G96*Valores!$C$2,2)</f>
        <v>67287.7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13835.09</v>
      </c>
      <c r="N96" s="125">
        <f t="shared" si="11"/>
        <v>0</v>
      </c>
      <c r="O96" s="125">
        <f>Valores!$C$8</f>
        <v>29851.25</v>
      </c>
      <c r="P96" s="125">
        <f>Valores!$D$5</f>
        <v>13864.36</v>
      </c>
      <c r="Q96" s="125">
        <v>0</v>
      </c>
      <c r="R96" s="125">
        <f>IF($F$4="NO",Valores!$C$44,Valores!$C$44/2)</f>
        <v>9631.44</v>
      </c>
      <c r="S96" s="125">
        <f>Valores!$C$19</f>
        <v>12901.01</v>
      </c>
      <c r="T96" s="125">
        <f t="shared" si="17"/>
        <v>12901.01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6318.76</v>
      </c>
      <c r="AA96" s="125">
        <f>Valores!$C$25</f>
        <v>567.05999999999995</v>
      </c>
      <c r="AB96" s="214">
        <v>0</v>
      </c>
      <c r="AC96" s="125">
        <f t="shared" si="12"/>
        <v>0</v>
      </c>
      <c r="AD96" s="125">
        <f>Valores!$C$26</f>
        <v>567.05999999999995</v>
      </c>
      <c r="AE96" s="192">
        <v>0</v>
      </c>
      <c r="AF96" s="125">
        <f>ROUND(AE96*Valores!$C$2,2)</f>
        <v>0</v>
      </c>
      <c r="AG96" s="125">
        <f>ROUND(IF($F$4="NO",Valores!$C$63,Valores!$C$63/2),2)</f>
        <v>6482.98</v>
      </c>
      <c r="AH96" s="125">
        <f t="shared" si="15"/>
        <v>163720.5</v>
      </c>
      <c r="AI96" s="125">
        <f>Valores!$C$31</f>
        <v>0</v>
      </c>
      <c r="AJ96" s="125">
        <f>Valores!$C$87</f>
        <v>0</v>
      </c>
      <c r="AK96" s="125">
        <f>Valores!C$38*B96</f>
        <v>30000</v>
      </c>
      <c r="AL96" s="125">
        <f>IF($F$3="NO",0,Valores!$C$56)</f>
        <v>170.34</v>
      </c>
      <c r="AM96" s="125">
        <f t="shared" si="13"/>
        <v>30170.34</v>
      </c>
      <c r="AN96" s="125">
        <f>AH96*Valores!$C$71</f>
        <v>-18009.255000000001</v>
      </c>
      <c r="AO96" s="125">
        <f>AH96*-Valores!$C$72</f>
        <v>0</v>
      </c>
      <c r="AP96" s="125">
        <f>AH96*Valores!$C$73</f>
        <v>-7367.4224999999997</v>
      </c>
      <c r="AQ96" s="125">
        <f>Valores!$C$100</f>
        <v>-280.91000000000003</v>
      </c>
      <c r="AR96" s="125">
        <f>IF($F$5=0,Valores!$C$101,(Valores!$C$101+$F$5*(Valores!$C$101)))</f>
        <v>-385</v>
      </c>
      <c r="AS96" s="125">
        <f t="shared" si="16"/>
        <v>167848.2525</v>
      </c>
      <c r="AT96" s="125">
        <f t="shared" si="10"/>
        <v>-18009.255000000001</v>
      </c>
      <c r="AU96" s="125">
        <f>AH96*Valores!$C$74</f>
        <v>-4420.4534999999996</v>
      </c>
      <c r="AV96" s="125">
        <f>AH96*Valores!$C$75</f>
        <v>-491.16149999999999</v>
      </c>
      <c r="AW96" s="125">
        <f t="shared" si="14"/>
        <v>170969.97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2413.79</v>
      </c>
      <c r="G97" s="192">
        <v>2381</v>
      </c>
      <c r="H97" s="125">
        <f>ROUND(G97*Valores!$C$2,2)</f>
        <v>64575.58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13428.27</v>
      </c>
      <c r="N97" s="125">
        <f t="shared" si="11"/>
        <v>0</v>
      </c>
      <c r="O97" s="125">
        <f>Valores!$C$16</f>
        <v>23436.25</v>
      </c>
      <c r="P97" s="125">
        <f>Valores!$D$5</f>
        <v>13864.36</v>
      </c>
      <c r="Q97" s="125">
        <f>Valores!$C$22</f>
        <v>12369.22</v>
      </c>
      <c r="R97" s="125">
        <f>IF($F$4="NO",Valores!$C$44,Valores!$C$44/2)</f>
        <v>9631.44</v>
      </c>
      <c r="S97" s="125">
        <f>Valores!$C$19</f>
        <v>12901.01</v>
      </c>
      <c r="T97" s="125">
        <f t="shared" si="17"/>
        <v>12901.01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6318.76</v>
      </c>
      <c r="AA97" s="125">
        <f>Valores!$C$25</f>
        <v>567.05999999999995</v>
      </c>
      <c r="AB97" s="214">
        <v>0</v>
      </c>
      <c r="AC97" s="125">
        <f t="shared" si="12"/>
        <v>0</v>
      </c>
      <c r="AD97" s="125">
        <f>Valores!$C$26</f>
        <v>567.05999999999995</v>
      </c>
      <c r="AE97" s="192">
        <v>0</v>
      </c>
      <c r="AF97" s="125">
        <f>ROUND(AE97*Valores!$C$2,2)</f>
        <v>0</v>
      </c>
      <c r="AG97" s="125">
        <f>ROUND(IF($F$4="NO",Valores!$C$63,Valores!$C$63/2),2)</f>
        <v>6482.98</v>
      </c>
      <c r="AH97" s="125">
        <f t="shared" si="15"/>
        <v>166555.78000000003</v>
      </c>
      <c r="AI97" s="125">
        <f>Valores!$C$31</f>
        <v>0</v>
      </c>
      <c r="AJ97" s="125">
        <f>Valores!$C$87</f>
        <v>0</v>
      </c>
      <c r="AK97" s="125">
        <f>Valores!C$38*B97</f>
        <v>30000</v>
      </c>
      <c r="AL97" s="125">
        <f>IF($F$3="NO",0,Valores!$C$56)</f>
        <v>170.34</v>
      </c>
      <c r="AM97" s="125">
        <f t="shared" si="13"/>
        <v>30170.34</v>
      </c>
      <c r="AN97" s="125">
        <f>AH97*Valores!$C$71</f>
        <v>-18321.135800000004</v>
      </c>
      <c r="AO97" s="125">
        <f>AH97*-Valores!$C$72</f>
        <v>0</v>
      </c>
      <c r="AP97" s="125">
        <f>AH97*Valores!$C$73</f>
        <v>-7495.0101000000013</v>
      </c>
      <c r="AQ97" s="125">
        <f>Valores!$C$100</f>
        <v>-280.91000000000003</v>
      </c>
      <c r="AR97" s="125">
        <f>IF($F$5=0,Valores!$C$101,(Valores!$C$101+$F$5*(Valores!$C$101)))</f>
        <v>-385</v>
      </c>
      <c r="AS97" s="125">
        <f t="shared" si="16"/>
        <v>170244.06410000002</v>
      </c>
      <c r="AT97" s="125">
        <f t="shared" si="10"/>
        <v>-18321.135800000004</v>
      </c>
      <c r="AU97" s="125">
        <f>AH97*Valores!$C$74</f>
        <v>-4497.0060600000006</v>
      </c>
      <c r="AV97" s="125">
        <f>AH97*Valores!$C$75</f>
        <v>-499.66734000000008</v>
      </c>
      <c r="AW97" s="125">
        <f t="shared" si="14"/>
        <v>173408.31080000004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2413.79</v>
      </c>
      <c r="G98" s="192">
        <v>1768</v>
      </c>
      <c r="H98" s="125">
        <f>ROUND(G98*Valores!$C$2,2)</f>
        <v>47950.28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10934.48</v>
      </c>
      <c r="N98" s="125">
        <f t="shared" si="11"/>
        <v>0</v>
      </c>
      <c r="O98" s="125">
        <f>Valores!$C$16</f>
        <v>23436.25</v>
      </c>
      <c r="P98" s="125">
        <f>Valores!$D$5</f>
        <v>13864.36</v>
      </c>
      <c r="Q98" s="125">
        <f>Valores!$C$22</f>
        <v>12369.22</v>
      </c>
      <c r="R98" s="125">
        <f>IF($F$4="NO",Valores!$C$44,Valores!$C$44/2)</f>
        <v>9631.44</v>
      </c>
      <c r="S98" s="125">
        <f>Valores!$C$19</f>
        <v>12901.01</v>
      </c>
      <c r="T98" s="125">
        <f t="shared" si="17"/>
        <v>12901.01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6318.76</v>
      </c>
      <c r="AA98" s="125">
        <f>Valores!$C$25</f>
        <v>567.05999999999995</v>
      </c>
      <c r="AB98" s="214">
        <v>0</v>
      </c>
      <c r="AC98" s="125">
        <f t="shared" si="12"/>
        <v>0</v>
      </c>
      <c r="AD98" s="125">
        <f>Valores!$C$26</f>
        <v>567.05999999999995</v>
      </c>
      <c r="AE98" s="192">
        <v>0</v>
      </c>
      <c r="AF98" s="125">
        <f>ROUND(AE98*Valores!$C$2,2)</f>
        <v>0</v>
      </c>
      <c r="AG98" s="125">
        <f>ROUND(IF($F$4="NO",Valores!$C$63,Valores!$C$63/2),2)</f>
        <v>6482.98</v>
      </c>
      <c r="AH98" s="125">
        <f t="shared" si="15"/>
        <v>147436.69000000003</v>
      </c>
      <c r="AI98" s="125">
        <f>Valores!$C$31</f>
        <v>0</v>
      </c>
      <c r="AJ98" s="125">
        <f>Valores!$C$87</f>
        <v>0</v>
      </c>
      <c r="AK98" s="125">
        <f>Valores!C$38*B98</f>
        <v>30000</v>
      </c>
      <c r="AL98" s="125">
        <f>IF($F$3="NO",0,Valores!$C$56)</f>
        <v>170.34</v>
      </c>
      <c r="AM98" s="125">
        <f t="shared" si="13"/>
        <v>30170.34</v>
      </c>
      <c r="AN98" s="125">
        <f>AH98*Valores!$C$71</f>
        <v>-16218.035900000004</v>
      </c>
      <c r="AO98" s="125">
        <f>AH98*-Valores!$C$72</f>
        <v>0</v>
      </c>
      <c r="AP98" s="125">
        <f>AH98*Valores!$C$73</f>
        <v>-6634.6510500000013</v>
      </c>
      <c r="AQ98" s="125">
        <f>Valores!$C$100</f>
        <v>-280.91000000000003</v>
      </c>
      <c r="AR98" s="125">
        <f>IF($F$5=0,Valores!$C$101,(Valores!$C$101+$F$5*(Valores!$C$101)))</f>
        <v>-385</v>
      </c>
      <c r="AS98" s="125">
        <f t="shared" si="16"/>
        <v>154088.43305000002</v>
      </c>
      <c r="AT98" s="125">
        <f t="shared" si="10"/>
        <v>-16218.035900000004</v>
      </c>
      <c r="AU98" s="125">
        <f>AH98*Valores!$C$74</f>
        <v>-3980.7906300000009</v>
      </c>
      <c r="AV98" s="125">
        <f>AH98*Valores!$C$75</f>
        <v>-442.31007000000011</v>
      </c>
      <c r="AW98" s="125">
        <f t="shared" si="14"/>
        <v>156965.89340000003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2413.79</v>
      </c>
      <c r="G99" s="192">
        <v>1768</v>
      </c>
      <c r="H99" s="125">
        <f>ROUND(G99*Valores!$C$2,2)</f>
        <v>47950.28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10934.48</v>
      </c>
      <c r="N99" s="125">
        <f t="shared" si="11"/>
        <v>0</v>
      </c>
      <c r="O99" s="125">
        <f>Valores!$C$8</f>
        <v>29851.25</v>
      </c>
      <c r="P99" s="125">
        <f>Valores!$D$5</f>
        <v>13864.36</v>
      </c>
      <c r="Q99" s="125">
        <f>Valores!$C$22</f>
        <v>12369.22</v>
      </c>
      <c r="R99" s="125">
        <f>IF($F$4="NO",Valores!$C$44,Valores!$C$44/2)</f>
        <v>9631.44</v>
      </c>
      <c r="S99" s="125">
        <f>Valores!$C$19</f>
        <v>12901.01</v>
      </c>
      <c r="T99" s="125">
        <f t="shared" si="17"/>
        <v>12901.01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6318.76</v>
      </c>
      <c r="AA99" s="125">
        <f>Valores!$C$25</f>
        <v>567.05999999999995</v>
      </c>
      <c r="AB99" s="214">
        <v>0</v>
      </c>
      <c r="AC99" s="125">
        <f t="shared" si="12"/>
        <v>0</v>
      </c>
      <c r="AD99" s="125">
        <f>Valores!$C$26</f>
        <v>567.05999999999995</v>
      </c>
      <c r="AE99" s="192">
        <v>0</v>
      </c>
      <c r="AF99" s="125">
        <f>ROUND(AE99*Valores!$C$2,2)</f>
        <v>0</v>
      </c>
      <c r="AG99" s="125">
        <f>ROUND(IF($F$4="NO",Valores!$C$63,Valores!$C$63/2),2)</f>
        <v>6482.98</v>
      </c>
      <c r="AH99" s="125">
        <f t="shared" si="15"/>
        <v>153851.69000000003</v>
      </c>
      <c r="AI99" s="125">
        <f>Valores!$C$31</f>
        <v>0</v>
      </c>
      <c r="AJ99" s="125">
        <f>Valores!$C$87</f>
        <v>0</v>
      </c>
      <c r="AK99" s="125">
        <f>Valores!C$38*B99</f>
        <v>30000</v>
      </c>
      <c r="AL99" s="125">
        <f>IF($F$3="NO",0,Valores!$C$56)</f>
        <v>170.34</v>
      </c>
      <c r="AM99" s="125">
        <f t="shared" si="13"/>
        <v>30170.34</v>
      </c>
      <c r="AN99" s="125">
        <f>AH99*Valores!$C$71</f>
        <v>-16923.685900000004</v>
      </c>
      <c r="AO99" s="125">
        <f>AH99*-Valores!$C$72</f>
        <v>0</v>
      </c>
      <c r="AP99" s="125">
        <f>AH99*Valores!$C$73</f>
        <v>-6923.3260500000015</v>
      </c>
      <c r="AQ99" s="125">
        <f>Valores!$C$100</f>
        <v>-280.91000000000003</v>
      </c>
      <c r="AR99" s="125">
        <f>IF($F$5=0,Valores!$C$101,(Valores!$C$101+$F$5*(Valores!$C$101)))</f>
        <v>-385</v>
      </c>
      <c r="AS99" s="125">
        <f t="shared" si="16"/>
        <v>159509.10805000004</v>
      </c>
      <c r="AT99" s="125">
        <f t="shared" si="10"/>
        <v>-16923.685900000004</v>
      </c>
      <c r="AU99" s="125">
        <f>AH99*Valores!$C$74</f>
        <v>-4153.9956300000013</v>
      </c>
      <c r="AV99" s="125">
        <f>AH99*Valores!$C$75</f>
        <v>-461.55507000000011</v>
      </c>
      <c r="AW99" s="125">
        <f t="shared" si="14"/>
        <v>162482.79340000002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2413.79</v>
      </c>
      <c r="G100" s="192">
        <v>2211</v>
      </c>
      <c r="H100" s="125">
        <f>ROUND(G100*Valores!$C$2,2)</f>
        <v>59964.97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12736.68</v>
      </c>
      <c r="N100" s="125">
        <f t="shared" si="11"/>
        <v>0</v>
      </c>
      <c r="O100" s="125">
        <f>Valores!$C$8</f>
        <v>29851.25</v>
      </c>
      <c r="P100" s="125">
        <f>Valores!$D$5</f>
        <v>13864.36</v>
      </c>
      <c r="Q100" s="125">
        <f>Valores!$C$22</f>
        <v>12369.22</v>
      </c>
      <c r="R100" s="125">
        <f>IF($F$4="NO",Valores!$C$44,Valores!$C$44/2)</f>
        <v>9631.44</v>
      </c>
      <c r="S100" s="125">
        <f>Valores!$C$19</f>
        <v>12901.01</v>
      </c>
      <c r="T100" s="125">
        <f t="shared" si="17"/>
        <v>12901.01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6318.76</v>
      </c>
      <c r="AA100" s="125">
        <f>Valores!$C$25</f>
        <v>567.05999999999995</v>
      </c>
      <c r="AB100" s="214">
        <v>0</v>
      </c>
      <c r="AC100" s="125">
        <f t="shared" si="12"/>
        <v>0</v>
      </c>
      <c r="AD100" s="125">
        <f>Valores!$C$26</f>
        <v>567.05999999999995</v>
      </c>
      <c r="AE100" s="192">
        <v>0</v>
      </c>
      <c r="AF100" s="125">
        <f>ROUND(AE100*Valores!$C$2,2)</f>
        <v>0</v>
      </c>
      <c r="AG100" s="125">
        <f>ROUND(IF($F$4="NO",Valores!$C$63,Valores!$C$63/2),2)</f>
        <v>6482.98</v>
      </c>
      <c r="AH100" s="125">
        <f t="shared" si="15"/>
        <v>167668.58000000002</v>
      </c>
      <c r="AI100" s="125">
        <f>Valores!$C$31</f>
        <v>0</v>
      </c>
      <c r="AJ100" s="125">
        <f>Valores!$C$87</f>
        <v>0</v>
      </c>
      <c r="AK100" s="125">
        <f>Valores!C$38*B100</f>
        <v>30000</v>
      </c>
      <c r="AL100" s="125">
        <f>IF($F$3="NO",0,Valores!$C$56)</f>
        <v>170.34</v>
      </c>
      <c r="AM100" s="125">
        <f t="shared" si="13"/>
        <v>30170.34</v>
      </c>
      <c r="AN100" s="125">
        <f>AH100*Valores!$C$71</f>
        <v>-18443.543800000003</v>
      </c>
      <c r="AO100" s="125">
        <f>AH100*-Valores!$C$72</f>
        <v>0</v>
      </c>
      <c r="AP100" s="125">
        <f>AH100*Valores!$C$73</f>
        <v>-7545.0861000000004</v>
      </c>
      <c r="AQ100" s="125">
        <f>Valores!$C$100</f>
        <v>-280.91000000000003</v>
      </c>
      <c r="AR100" s="125">
        <f>IF($F$5=0,Valores!$C$101,(Valores!$C$101+$F$5*(Valores!$C$101)))</f>
        <v>-385</v>
      </c>
      <c r="AS100" s="125">
        <f t="shared" si="16"/>
        <v>171184.38010000001</v>
      </c>
      <c r="AT100" s="125">
        <f t="shared" si="10"/>
        <v>-18443.543800000003</v>
      </c>
      <c r="AU100" s="125">
        <f>AH100*Valores!$C$74</f>
        <v>-4527.0516600000001</v>
      </c>
      <c r="AV100" s="125">
        <f>AH100*Valores!$C$75</f>
        <v>-503.00574000000006</v>
      </c>
      <c r="AW100" s="125">
        <f t="shared" si="14"/>
        <v>174365.31880000001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2413.79</v>
      </c>
      <c r="G101" s="192">
        <v>1956</v>
      </c>
      <c r="H101" s="125">
        <f>ROUND(G101*Valores!$C$2,2)</f>
        <v>53049.07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11699.3</v>
      </c>
      <c r="N101" s="125">
        <f t="shared" si="11"/>
        <v>0</v>
      </c>
      <c r="O101" s="125">
        <f>Valores!$C$16</f>
        <v>23436.25</v>
      </c>
      <c r="P101" s="125">
        <f>Valores!$D$5</f>
        <v>13864.36</v>
      </c>
      <c r="Q101" s="125">
        <v>0</v>
      </c>
      <c r="R101" s="125">
        <f>IF($F$4="NO",Valores!$C$44,Valores!$C$44/2)</f>
        <v>9631.44</v>
      </c>
      <c r="S101" s="125">
        <f>Valores!$C$19</f>
        <v>12901.01</v>
      </c>
      <c r="T101" s="125">
        <f t="shared" si="17"/>
        <v>12901.01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6318.76</v>
      </c>
      <c r="AA101" s="125">
        <f>Valores!$C$25</f>
        <v>567.05999999999995</v>
      </c>
      <c r="AB101" s="214">
        <v>0</v>
      </c>
      <c r="AC101" s="125">
        <f t="shared" si="12"/>
        <v>0</v>
      </c>
      <c r="AD101" s="125">
        <f>Valores!$C$26</f>
        <v>567.05999999999995</v>
      </c>
      <c r="AE101" s="192">
        <v>0</v>
      </c>
      <c r="AF101" s="125">
        <f>ROUND(AE101*Valores!$C$2,2)</f>
        <v>0</v>
      </c>
      <c r="AG101" s="125">
        <f>ROUND(IF($F$4="NO",Valores!$C$63,Valores!$C$63/2),2)</f>
        <v>6482.98</v>
      </c>
      <c r="AH101" s="125">
        <f t="shared" si="15"/>
        <v>140931.08000000002</v>
      </c>
      <c r="AI101" s="125">
        <f>Valores!$C$31</f>
        <v>0</v>
      </c>
      <c r="AJ101" s="125">
        <f>Valores!$C$87</f>
        <v>0</v>
      </c>
      <c r="AK101" s="125">
        <f>Valores!C$38*B101</f>
        <v>30000</v>
      </c>
      <c r="AL101" s="125">
        <f>IF($F$3="NO",0,Valores!$C$56)</f>
        <v>170.34</v>
      </c>
      <c r="AM101" s="125">
        <f t="shared" si="13"/>
        <v>30170.34</v>
      </c>
      <c r="AN101" s="125">
        <f>AH101*Valores!$C$71</f>
        <v>-15502.418800000001</v>
      </c>
      <c r="AO101" s="125">
        <f>AH101*-Valores!$C$72</f>
        <v>0</v>
      </c>
      <c r="AP101" s="125">
        <f>AH101*Valores!$C$73</f>
        <v>-6341.8986000000004</v>
      </c>
      <c r="AQ101" s="125">
        <f>Valores!$C$100</f>
        <v>-280.91000000000003</v>
      </c>
      <c r="AR101" s="125">
        <f>IF($F$5=0,Valores!$C$101,(Valores!$C$101+$F$5*(Valores!$C$101)))</f>
        <v>-385</v>
      </c>
      <c r="AS101" s="125">
        <f t="shared" si="16"/>
        <v>148591.19260000001</v>
      </c>
      <c r="AT101" s="125">
        <f t="shared" si="10"/>
        <v>-15502.418800000001</v>
      </c>
      <c r="AU101" s="125">
        <f>AH101*Valores!$C$74</f>
        <v>-3805.1391600000002</v>
      </c>
      <c r="AV101" s="125">
        <f>AH101*Valores!$C$75</f>
        <v>-422.79324000000008</v>
      </c>
      <c r="AW101" s="125">
        <f t="shared" si="14"/>
        <v>151371.06880000001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2413.79</v>
      </c>
      <c r="G102" s="192">
        <v>1267</v>
      </c>
      <c r="H102" s="125">
        <f>ROUND(G102*Valores!$C$2,2)</f>
        <v>34362.559999999998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8896.32</v>
      </c>
      <c r="N102" s="125">
        <f t="shared" si="11"/>
        <v>0</v>
      </c>
      <c r="O102" s="125">
        <f>Valores!$C$16</f>
        <v>23436.25</v>
      </c>
      <c r="P102" s="125">
        <f>Valores!$D$5</f>
        <v>13864.36</v>
      </c>
      <c r="Q102" s="125">
        <v>0</v>
      </c>
      <c r="R102" s="125">
        <f>IF($F$4="NO",Valores!$C$44,Valores!$C$44/2)</f>
        <v>9631.44</v>
      </c>
      <c r="S102" s="125">
        <f>Valores!$C$19</f>
        <v>12901.01</v>
      </c>
      <c r="T102" s="125">
        <f t="shared" si="17"/>
        <v>12901.01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6318.76</v>
      </c>
      <c r="AA102" s="125">
        <f>Valores!$C$25</f>
        <v>567.05999999999995</v>
      </c>
      <c r="AB102" s="214">
        <v>0</v>
      </c>
      <c r="AC102" s="125">
        <f t="shared" si="12"/>
        <v>0</v>
      </c>
      <c r="AD102" s="125">
        <f>Valores!$C$26</f>
        <v>567.05999999999995</v>
      </c>
      <c r="AE102" s="192">
        <v>0</v>
      </c>
      <c r="AF102" s="125">
        <f>ROUND(AE102*Valores!$C$2,2)</f>
        <v>0</v>
      </c>
      <c r="AG102" s="125">
        <f>ROUND(IF($F$4="NO",Valores!$C$63,Valores!$C$63/2),2)</f>
        <v>6482.98</v>
      </c>
      <c r="AH102" s="125">
        <f t="shared" si="15"/>
        <v>119441.58999999998</v>
      </c>
      <c r="AI102" s="125">
        <f>Valores!$C$31</f>
        <v>0</v>
      </c>
      <c r="AJ102" s="125">
        <f>Valores!$C$87</f>
        <v>0</v>
      </c>
      <c r="AK102" s="125">
        <f>Valores!C$38*B102</f>
        <v>30000</v>
      </c>
      <c r="AL102" s="125">
        <f>IF($F$3="NO",0,Valores!$C$56)</f>
        <v>170.34</v>
      </c>
      <c r="AM102" s="125">
        <f t="shared" si="13"/>
        <v>30170.34</v>
      </c>
      <c r="AN102" s="125">
        <f>AH102*Valores!$C$71</f>
        <v>-13138.574899999998</v>
      </c>
      <c r="AO102" s="125">
        <f>AH102*-Valores!$C$72</f>
        <v>0</v>
      </c>
      <c r="AP102" s="125">
        <f>AH102*Valores!$C$73</f>
        <v>-5374.8715499999989</v>
      </c>
      <c r="AQ102" s="125">
        <f>Valores!$C$100</f>
        <v>-280.91000000000003</v>
      </c>
      <c r="AR102" s="125">
        <f>IF($F$5=0,Valores!$C$101,(Valores!$C$101+$F$5*(Valores!$C$101)))</f>
        <v>-385</v>
      </c>
      <c r="AS102" s="125">
        <f t="shared" si="16"/>
        <v>130432.57354999999</v>
      </c>
      <c r="AT102" s="125">
        <f t="shared" si="10"/>
        <v>-13138.574899999998</v>
      </c>
      <c r="AU102" s="125">
        <f>AH102*Valores!$C$74</f>
        <v>-3224.9229299999993</v>
      </c>
      <c r="AV102" s="125">
        <f>AH102*Valores!$C$75</f>
        <v>-358.32476999999994</v>
      </c>
      <c r="AW102" s="125">
        <f t="shared" si="14"/>
        <v>132890.10740000001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1817.12</v>
      </c>
      <c r="G103" s="192">
        <v>2108</v>
      </c>
      <c r="H103" s="125">
        <f>ROUND(G103*Valores!$C$2,2)</f>
        <v>57171.49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12045.59</v>
      </c>
      <c r="N103" s="125">
        <f t="shared" si="11"/>
        <v>0</v>
      </c>
      <c r="O103" s="125">
        <f>Valores!$C$14</f>
        <v>24936.25</v>
      </c>
      <c r="P103" s="125">
        <f>Valores!$D$5</f>
        <v>13864.36</v>
      </c>
      <c r="Q103" s="125">
        <v>0</v>
      </c>
      <c r="R103" s="125">
        <f>IF($F$4="NO",Valores!$C$42,Valores!$C$42/2)</f>
        <v>8546.2199999999993</v>
      </c>
      <c r="S103" s="125">
        <f>Valores!$C$20</f>
        <v>12769.11</v>
      </c>
      <c r="T103" s="125">
        <f t="shared" si="17"/>
        <v>12769.11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6318.76</v>
      </c>
      <c r="AA103" s="125">
        <f>Valores!$C$25</f>
        <v>567.05999999999995</v>
      </c>
      <c r="AB103" s="214">
        <v>0</v>
      </c>
      <c r="AC103" s="125">
        <f t="shared" si="12"/>
        <v>0</v>
      </c>
      <c r="AD103" s="125">
        <f>Valores!$C$26</f>
        <v>567.05999999999995</v>
      </c>
      <c r="AE103" s="192">
        <v>0</v>
      </c>
      <c r="AF103" s="125">
        <f>ROUND(AE103*Valores!$C$2,2)</f>
        <v>0</v>
      </c>
      <c r="AG103" s="125">
        <f>ROUND(IF($F$4="NO",Valores!$C$63,Valores!$C$63/2),2)</f>
        <v>6482.98</v>
      </c>
      <c r="AH103" s="125">
        <f t="shared" si="15"/>
        <v>145086.00000000003</v>
      </c>
      <c r="AI103" s="125">
        <f>Valores!$C$31</f>
        <v>0</v>
      </c>
      <c r="AJ103" s="125">
        <f>Valores!$C$87</f>
        <v>0</v>
      </c>
      <c r="AK103" s="125">
        <f>Valores!C$38*B103</f>
        <v>30000</v>
      </c>
      <c r="AL103" s="125">
        <f>IF($F$3="NO",0,Valores!$C$56)</f>
        <v>170.34</v>
      </c>
      <c r="AM103" s="125">
        <f t="shared" si="13"/>
        <v>30170.34</v>
      </c>
      <c r="AN103" s="125">
        <f>AH103*Valores!$C$71</f>
        <v>-15959.460000000003</v>
      </c>
      <c r="AO103" s="125">
        <f>AH103*-Valores!$C$72</f>
        <v>0</v>
      </c>
      <c r="AP103" s="125">
        <f>AH103*Valores!$C$73</f>
        <v>-6528.8700000000008</v>
      </c>
      <c r="AQ103" s="125">
        <f>Valores!$C$100</f>
        <v>-280.91000000000003</v>
      </c>
      <c r="AR103" s="125">
        <f>IF($F$5=0,Valores!$C$101,(Valores!$C$101+$F$5*(Valores!$C$101)))</f>
        <v>-385</v>
      </c>
      <c r="AS103" s="125">
        <f t="shared" si="16"/>
        <v>152102.10000000003</v>
      </c>
      <c r="AT103" s="125">
        <f t="shared" si="10"/>
        <v>-15959.460000000003</v>
      </c>
      <c r="AU103" s="125">
        <f>AH103*Valores!$C$74</f>
        <v>-3917.3220000000006</v>
      </c>
      <c r="AV103" s="125">
        <f>AH103*Valores!$C$75</f>
        <v>-435.2580000000001</v>
      </c>
      <c r="AW103" s="125">
        <f t="shared" si="14"/>
        <v>154944.30000000002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1220.45</v>
      </c>
      <c r="G104" s="192">
        <v>1502</v>
      </c>
      <c r="H104" s="125">
        <f>ROUND(G104*Valores!$C$2,2)</f>
        <v>40736.04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9490.77</v>
      </c>
      <c r="N104" s="125">
        <f t="shared" si="11"/>
        <v>0</v>
      </c>
      <c r="O104" s="125">
        <f>Valores!$C$14</f>
        <v>24936.25</v>
      </c>
      <c r="P104" s="125">
        <f>Valores!$D$5</f>
        <v>13864.36</v>
      </c>
      <c r="Q104" s="125">
        <v>0</v>
      </c>
      <c r="R104" s="125">
        <f>IF($F$4="NO",Valores!$C$42,Valores!$C$42/2)</f>
        <v>8546.2199999999993</v>
      </c>
      <c r="S104" s="125">
        <f>Valores!$C$20</f>
        <v>12769.11</v>
      </c>
      <c r="T104" s="125">
        <f t="shared" si="17"/>
        <v>12769.11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6318.76</v>
      </c>
      <c r="AA104" s="125">
        <f>Valores!$C$25</f>
        <v>567.05999999999995</v>
      </c>
      <c r="AB104" s="214">
        <v>0</v>
      </c>
      <c r="AC104" s="125">
        <f t="shared" si="12"/>
        <v>0</v>
      </c>
      <c r="AD104" s="125">
        <f>Valores!$C$26</f>
        <v>567.05999999999995</v>
      </c>
      <c r="AE104" s="192">
        <v>0</v>
      </c>
      <c r="AF104" s="125">
        <f>ROUND(AE104*Valores!$C$2,2)</f>
        <v>0</v>
      </c>
      <c r="AG104" s="125">
        <f>ROUND(IF($F$4="NO",Valores!$C$63,Valores!$C$63/2),2)</f>
        <v>6482.98</v>
      </c>
      <c r="AH104" s="125">
        <f t="shared" si="15"/>
        <v>125499.05999999998</v>
      </c>
      <c r="AI104" s="125">
        <f>Valores!$C$31</f>
        <v>0</v>
      </c>
      <c r="AJ104" s="125">
        <f>Valores!$C$87</f>
        <v>0</v>
      </c>
      <c r="AK104" s="125">
        <f>Valores!C$38*B104</f>
        <v>30000</v>
      </c>
      <c r="AL104" s="125">
        <f>IF($F$3="NO",0,Valores!$C$56)</f>
        <v>170.34</v>
      </c>
      <c r="AM104" s="125">
        <f t="shared" si="13"/>
        <v>30170.34</v>
      </c>
      <c r="AN104" s="125">
        <f>AH104*Valores!$C$71</f>
        <v>-13804.896599999998</v>
      </c>
      <c r="AO104" s="125">
        <f>AH104*-Valores!$C$72</f>
        <v>0</v>
      </c>
      <c r="AP104" s="125">
        <f>AH104*Valores!$C$73</f>
        <v>-5647.457699999999</v>
      </c>
      <c r="AQ104" s="125">
        <f>Valores!$C$100</f>
        <v>-280.91000000000003</v>
      </c>
      <c r="AR104" s="125">
        <f>IF($F$5=0,Valores!$C$101,(Valores!$C$101+$F$5*(Valores!$C$101)))</f>
        <v>-385</v>
      </c>
      <c r="AS104" s="125">
        <f t="shared" si="16"/>
        <v>135551.13569999998</v>
      </c>
      <c r="AT104" s="125">
        <f t="shared" si="10"/>
        <v>-13804.896599999998</v>
      </c>
      <c r="AU104" s="125">
        <f>AH104*Valores!$C$74</f>
        <v>-3388.4746199999995</v>
      </c>
      <c r="AV104" s="125">
        <f>AH104*Valores!$C$75</f>
        <v>-376.49717999999996</v>
      </c>
      <c r="AW104" s="125">
        <f t="shared" si="14"/>
        <v>138099.53159999999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1654.39</v>
      </c>
      <c r="G105" s="192">
        <v>2114</v>
      </c>
      <c r="H105" s="125">
        <f>ROUND(G105*Valores!$C$2,2)</f>
        <v>57334.22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12045.59</v>
      </c>
      <c r="N105" s="125">
        <f t="shared" si="11"/>
        <v>0</v>
      </c>
      <c r="O105" s="125">
        <f>Valores!$C$14</f>
        <v>24936.25</v>
      </c>
      <c r="P105" s="125">
        <f>Valores!$D$5</f>
        <v>13864.36</v>
      </c>
      <c r="Q105" s="125">
        <v>0</v>
      </c>
      <c r="R105" s="125">
        <f>IF($F$4="NO",Valores!$C$42,Valores!$C$42/2)</f>
        <v>8546.2199999999993</v>
      </c>
      <c r="S105" s="125">
        <f>Valores!$C$20</f>
        <v>12769.11</v>
      </c>
      <c r="T105" s="125">
        <f t="shared" si="17"/>
        <v>12769.11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6318.76</v>
      </c>
      <c r="AA105" s="125">
        <f>Valores!$C$25</f>
        <v>567.05999999999995</v>
      </c>
      <c r="AB105" s="214">
        <v>0</v>
      </c>
      <c r="AC105" s="125">
        <f t="shared" si="12"/>
        <v>0</v>
      </c>
      <c r="AD105" s="125">
        <f>Valores!$C$26</f>
        <v>567.05999999999995</v>
      </c>
      <c r="AE105" s="192">
        <v>0</v>
      </c>
      <c r="AF105" s="125">
        <f>ROUND(AE105*Valores!$C$2,2)</f>
        <v>0</v>
      </c>
      <c r="AG105" s="125">
        <f>ROUND(IF($F$4="NO",Valores!$C$63,Valores!$C$63/2),2)</f>
        <v>6482.98</v>
      </c>
      <c r="AH105" s="125">
        <f t="shared" si="15"/>
        <v>145086.00000000003</v>
      </c>
      <c r="AI105" s="125">
        <f>Valores!$C$31</f>
        <v>0</v>
      </c>
      <c r="AJ105" s="125">
        <f>Valores!$C$87</f>
        <v>0</v>
      </c>
      <c r="AK105" s="125">
        <f>Valores!C$38*B105</f>
        <v>30000</v>
      </c>
      <c r="AL105" s="125">
        <f>IF($F$3="NO",0,Valores!$C$56)</f>
        <v>170.34</v>
      </c>
      <c r="AM105" s="125">
        <f t="shared" si="13"/>
        <v>30170.34</v>
      </c>
      <c r="AN105" s="125">
        <f>AH105*Valores!$C$71</f>
        <v>-15959.460000000003</v>
      </c>
      <c r="AO105" s="125">
        <f>AH105*-Valores!$C$72</f>
        <v>0</v>
      </c>
      <c r="AP105" s="125">
        <f>AH105*Valores!$C$73</f>
        <v>-6528.8700000000008</v>
      </c>
      <c r="AQ105" s="125">
        <f>Valores!$C$100</f>
        <v>-280.91000000000003</v>
      </c>
      <c r="AR105" s="125">
        <f>IF($F$5=0,Valores!$C$101,(Valores!$C$101+$F$5*(Valores!$C$101)))</f>
        <v>-385</v>
      </c>
      <c r="AS105" s="125">
        <f t="shared" si="16"/>
        <v>152102.10000000003</v>
      </c>
      <c r="AT105" s="125">
        <f t="shared" si="10"/>
        <v>-15959.460000000003</v>
      </c>
      <c r="AU105" s="125">
        <f>AH105*Valores!$C$74</f>
        <v>-3917.3220000000006</v>
      </c>
      <c r="AV105" s="125">
        <f>AH105*Valores!$C$75</f>
        <v>-435.2580000000001</v>
      </c>
      <c r="AW105" s="125">
        <f t="shared" si="14"/>
        <v>154944.30000000002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1600.15</v>
      </c>
      <c r="G106" s="192">
        <v>2013</v>
      </c>
      <c r="H106" s="125">
        <f>ROUND(G106*Valores!$C$2,2)</f>
        <v>54594.98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11626.57</v>
      </c>
      <c r="N106" s="125">
        <f t="shared" si="11"/>
        <v>0</v>
      </c>
      <c r="O106" s="125">
        <f>Valores!$C$14</f>
        <v>24936.25</v>
      </c>
      <c r="P106" s="125">
        <f>Valores!$D$5</f>
        <v>13864.36</v>
      </c>
      <c r="Q106" s="125">
        <v>0</v>
      </c>
      <c r="R106" s="125">
        <f>IF($F$4="NO",Valores!$C$42,Valores!$C$42/2)</f>
        <v>8546.2199999999993</v>
      </c>
      <c r="S106" s="125">
        <f>Valores!$C$20</f>
        <v>12769.11</v>
      </c>
      <c r="T106" s="125">
        <f t="shared" si="17"/>
        <v>12769.11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6318.76</v>
      </c>
      <c r="AA106" s="125">
        <f>Valores!$C$25</f>
        <v>567.05999999999995</v>
      </c>
      <c r="AB106" s="214">
        <v>0</v>
      </c>
      <c r="AC106" s="125">
        <f t="shared" si="12"/>
        <v>0</v>
      </c>
      <c r="AD106" s="125">
        <f>Valores!$C$26</f>
        <v>567.05999999999995</v>
      </c>
      <c r="AE106" s="192">
        <v>0</v>
      </c>
      <c r="AF106" s="125">
        <f>ROUND(AE106*Valores!$C$2,2)</f>
        <v>0</v>
      </c>
      <c r="AG106" s="125">
        <f>ROUND(IF($F$4="NO",Valores!$C$63,Valores!$C$63/2),2)</f>
        <v>6482.98</v>
      </c>
      <c r="AH106" s="125">
        <f t="shared" si="15"/>
        <v>141873.50000000003</v>
      </c>
      <c r="AI106" s="125">
        <f>Valores!$C$31</f>
        <v>0</v>
      </c>
      <c r="AJ106" s="125">
        <f>Valores!$C$87</f>
        <v>0</v>
      </c>
      <c r="AK106" s="125">
        <f>Valores!C$38*B106</f>
        <v>30000</v>
      </c>
      <c r="AL106" s="125">
        <f>IF($F$3="NO",0,Valores!$C$56)</f>
        <v>170.34</v>
      </c>
      <c r="AM106" s="125">
        <f t="shared" si="13"/>
        <v>30170.34</v>
      </c>
      <c r="AN106" s="125">
        <f>AH106*Valores!$C$71</f>
        <v>-15606.085000000003</v>
      </c>
      <c r="AO106" s="125">
        <f>AH106*-Valores!$C$72</f>
        <v>0</v>
      </c>
      <c r="AP106" s="125">
        <f>AH106*Valores!$C$73</f>
        <v>-6384.3075000000008</v>
      </c>
      <c r="AQ106" s="125">
        <f>Valores!$C$100</f>
        <v>-280.91000000000003</v>
      </c>
      <c r="AR106" s="125">
        <f>IF($F$5=0,Valores!$C$101,(Valores!$C$101+$F$5*(Valores!$C$101)))</f>
        <v>-385</v>
      </c>
      <c r="AS106" s="125">
        <f t="shared" si="16"/>
        <v>149387.53750000003</v>
      </c>
      <c r="AT106" s="125">
        <f t="shared" si="10"/>
        <v>-15606.085000000003</v>
      </c>
      <c r="AU106" s="125">
        <f>AH106*Valores!$C$74</f>
        <v>-3830.5845000000008</v>
      </c>
      <c r="AV106" s="125">
        <f>AH106*Valores!$C$75</f>
        <v>-425.62050000000011</v>
      </c>
      <c r="AW106" s="125">
        <f t="shared" si="14"/>
        <v>152181.55000000002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1518.79</v>
      </c>
      <c r="G107" s="192">
        <v>1720</v>
      </c>
      <c r="H107" s="125">
        <f>ROUND(G107*Valores!$C$2,2)</f>
        <v>46648.46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10422.39</v>
      </c>
      <c r="N107" s="125">
        <f t="shared" si="11"/>
        <v>0</v>
      </c>
      <c r="O107" s="125">
        <f>Valores!$C$14</f>
        <v>24936.25</v>
      </c>
      <c r="P107" s="125">
        <f>Valores!$D$5</f>
        <v>13864.36</v>
      </c>
      <c r="Q107" s="125">
        <v>0</v>
      </c>
      <c r="R107" s="125">
        <f>IF($F$4="NO",Valores!$C$42,Valores!$C$42/2)</f>
        <v>8546.2199999999993</v>
      </c>
      <c r="S107" s="125">
        <f>Valores!$C$20</f>
        <v>12769.11</v>
      </c>
      <c r="T107" s="125">
        <f t="shared" si="17"/>
        <v>12769.11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6318.76</v>
      </c>
      <c r="AA107" s="125">
        <f>Valores!$C$25</f>
        <v>567.05999999999995</v>
      </c>
      <c r="AB107" s="214">
        <v>0</v>
      </c>
      <c r="AC107" s="125">
        <f t="shared" si="12"/>
        <v>0</v>
      </c>
      <c r="AD107" s="125">
        <f>Valores!$C$26</f>
        <v>567.05999999999995</v>
      </c>
      <c r="AE107" s="192">
        <v>0</v>
      </c>
      <c r="AF107" s="125">
        <f>ROUND(AE107*Valores!$C$2,2)</f>
        <v>0</v>
      </c>
      <c r="AG107" s="125">
        <f>ROUND(IF($F$4="NO",Valores!$C$63,Valores!$C$63/2),2)</f>
        <v>6482.98</v>
      </c>
      <c r="AH107" s="125">
        <f t="shared" si="15"/>
        <v>132641.44</v>
      </c>
      <c r="AI107" s="125">
        <f>Valores!$C$31</f>
        <v>0</v>
      </c>
      <c r="AJ107" s="125">
        <f>Valores!$C$87</f>
        <v>0</v>
      </c>
      <c r="AK107" s="125">
        <f>Valores!C$38*B107</f>
        <v>30000</v>
      </c>
      <c r="AL107" s="125">
        <f>IF($F$3="NO",0,Valores!$C$56)</f>
        <v>170.34</v>
      </c>
      <c r="AM107" s="125">
        <f t="shared" si="13"/>
        <v>30170.34</v>
      </c>
      <c r="AN107" s="125">
        <f>AH107*Valores!$C$71</f>
        <v>-14590.5584</v>
      </c>
      <c r="AO107" s="125">
        <f>AH107*-Valores!$C$72</f>
        <v>0</v>
      </c>
      <c r="AP107" s="125">
        <f>AH107*Valores!$C$73</f>
        <v>-5968.8648000000003</v>
      </c>
      <c r="AQ107" s="125">
        <f>Valores!$C$100</f>
        <v>-280.91000000000003</v>
      </c>
      <c r="AR107" s="125">
        <f>IF($F$5=0,Valores!$C$101,(Valores!$C$101+$F$5*(Valores!$C$101)))</f>
        <v>-385</v>
      </c>
      <c r="AS107" s="125">
        <f t="shared" si="16"/>
        <v>141586.44680000001</v>
      </c>
      <c r="AT107" s="125">
        <f t="shared" si="10"/>
        <v>-14590.5584</v>
      </c>
      <c r="AU107" s="125">
        <f>AH107*Valores!$C$74</f>
        <v>-3581.3188799999998</v>
      </c>
      <c r="AV107" s="125">
        <f>AH107*Valores!$C$75</f>
        <v>-397.92432000000002</v>
      </c>
      <c r="AW107" s="125">
        <f t="shared" si="14"/>
        <v>144241.97839999999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1220.45</v>
      </c>
      <c r="G108" s="192">
        <v>1502</v>
      </c>
      <c r="H108" s="125">
        <f>ROUND(G108*Valores!$C$2,2)</f>
        <v>40736.04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9490.77</v>
      </c>
      <c r="N108" s="125">
        <f t="shared" si="11"/>
        <v>0</v>
      </c>
      <c r="O108" s="125">
        <f>Valores!$C$14</f>
        <v>24936.25</v>
      </c>
      <c r="P108" s="125">
        <f>Valores!$D$5</f>
        <v>13864.36</v>
      </c>
      <c r="Q108" s="125">
        <v>0</v>
      </c>
      <c r="R108" s="125">
        <f>IF($F$4="NO",Valores!$C$42,Valores!$C$42/2)</f>
        <v>8546.2199999999993</v>
      </c>
      <c r="S108" s="125">
        <f>Valores!$C$20</f>
        <v>12769.11</v>
      </c>
      <c r="T108" s="125">
        <f t="shared" si="17"/>
        <v>12769.11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6318.76</v>
      </c>
      <c r="AA108" s="125">
        <f>Valores!$C$25</f>
        <v>567.05999999999995</v>
      </c>
      <c r="AB108" s="214">
        <v>0</v>
      </c>
      <c r="AC108" s="125">
        <f t="shared" si="12"/>
        <v>0</v>
      </c>
      <c r="AD108" s="125">
        <f>Valores!$C$26</f>
        <v>567.05999999999995</v>
      </c>
      <c r="AE108" s="192">
        <v>0</v>
      </c>
      <c r="AF108" s="125">
        <f>ROUND(AE108*Valores!$C$2,2)</f>
        <v>0</v>
      </c>
      <c r="AG108" s="125">
        <f>ROUND(IF($F$4="NO",Valores!$C$63,Valores!$C$63/2),2)</f>
        <v>6482.98</v>
      </c>
      <c r="AH108" s="125">
        <f t="shared" si="15"/>
        <v>125499.05999999998</v>
      </c>
      <c r="AI108" s="125">
        <f>Valores!$C$31</f>
        <v>0</v>
      </c>
      <c r="AJ108" s="125">
        <f>Valores!$C$87</f>
        <v>0</v>
      </c>
      <c r="AK108" s="125">
        <f>Valores!C$38*B108</f>
        <v>30000</v>
      </c>
      <c r="AL108" s="125">
        <f>IF($F$3="NO",0,Valores!$C$56)</f>
        <v>170.34</v>
      </c>
      <c r="AM108" s="125">
        <f t="shared" si="13"/>
        <v>30170.34</v>
      </c>
      <c r="AN108" s="125">
        <f>AH108*Valores!$C$71</f>
        <v>-13804.896599999998</v>
      </c>
      <c r="AO108" s="125">
        <f>AH108*-Valores!$C$72</f>
        <v>0</v>
      </c>
      <c r="AP108" s="125">
        <f>AH108*Valores!$C$73</f>
        <v>-5647.457699999999</v>
      </c>
      <c r="AQ108" s="125">
        <f>Valores!$C$100</f>
        <v>-280.91000000000003</v>
      </c>
      <c r="AR108" s="125">
        <f>IF($F$5=0,Valores!$C$101,(Valores!$C$101+$F$5*(Valores!$C$101)))</f>
        <v>-385</v>
      </c>
      <c r="AS108" s="125">
        <f t="shared" si="16"/>
        <v>135551.13569999998</v>
      </c>
      <c r="AT108" s="125">
        <f t="shared" si="10"/>
        <v>-13804.896599999998</v>
      </c>
      <c r="AU108" s="125">
        <f>AH108*Valores!$C$74</f>
        <v>-3388.4746199999995</v>
      </c>
      <c r="AV108" s="125">
        <f>AH108*Valores!$C$75</f>
        <v>-376.49717999999996</v>
      </c>
      <c r="AW108" s="125">
        <f t="shared" si="14"/>
        <v>138099.53159999999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1220.45</v>
      </c>
      <c r="G109" s="192">
        <v>1139</v>
      </c>
      <c r="H109" s="125">
        <f>ROUND(G109*Valores!$C$2,2)</f>
        <v>30891.05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8014.02</v>
      </c>
      <c r="N109" s="125">
        <f t="shared" si="11"/>
        <v>0</v>
      </c>
      <c r="O109" s="125">
        <f>Valores!$C$14</f>
        <v>24936.25</v>
      </c>
      <c r="P109" s="125">
        <f>Valores!$D$5</f>
        <v>13864.36</v>
      </c>
      <c r="Q109" s="125">
        <v>0</v>
      </c>
      <c r="R109" s="125">
        <f>IF($F$4="NO",Valores!$C$42,Valores!$C$42/2)</f>
        <v>8546.2199999999993</v>
      </c>
      <c r="S109" s="125">
        <f>Valores!$C$20</f>
        <v>12769.11</v>
      </c>
      <c r="T109" s="125">
        <f t="shared" si="17"/>
        <v>12769.11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6318.76</v>
      </c>
      <c r="AA109" s="125">
        <f>Valores!$C$25</f>
        <v>567.05999999999995</v>
      </c>
      <c r="AB109" s="214">
        <v>0</v>
      </c>
      <c r="AC109" s="125">
        <f t="shared" si="12"/>
        <v>0</v>
      </c>
      <c r="AD109" s="125">
        <f>Valores!$C$26</f>
        <v>567.05999999999995</v>
      </c>
      <c r="AE109" s="192">
        <v>0</v>
      </c>
      <c r="AF109" s="125">
        <f>ROUND(AE109*Valores!$C$2,2)</f>
        <v>0</v>
      </c>
      <c r="AG109" s="125">
        <f>ROUND(IF($F$4="NO",Valores!$C$63,Valores!$C$63/2),2)</f>
        <v>6482.98</v>
      </c>
      <c r="AH109" s="125">
        <f t="shared" si="15"/>
        <v>114177.31999999999</v>
      </c>
      <c r="AI109" s="125">
        <f>Valores!$C$31</f>
        <v>0</v>
      </c>
      <c r="AJ109" s="125">
        <f>Valores!$C$87</f>
        <v>0</v>
      </c>
      <c r="AK109" s="125">
        <f>Valores!C$38*B109</f>
        <v>30000</v>
      </c>
      <c r="AL109" s="125">
        <f>IF($F$3="NO",0,Valores!$C$56)</f>
        <v>170.34</v>
      </c>
      <c r="AM109" s="125">
        <f t="shared" si="13"/>
        <v>30170.34</v>
      </c>
      <c r="AN109" s="125">
        <f>AH109*Valores!$C$71</f>
        <v>-12559.5052</v>
      </c>
      <c r="AO109" s="125">
        <f>AH109*-Valores!$C$72</f>
        <v>0</v>
      </c>
      <c r="AP109" s="125">
        <f>AH109*Valores!$C$73</f>
        <v>-5137.9793999999993</v>
      </c>
      <c r="AQ109" s="125">
        <f>Valores!$C$100</f>
        <v>-280.91000000000003</v>
      </c>
      <c r="AR109" s="125">
        <f>IF($F$5=0,Valores!$C$101,(Valores!$C$101+$F$5*(Valores!$C$101)))</f>
        <v>-385</v>
      </c>
      <c r="AS109" s="125">
        <f t="shared" si="16"/>
        <v>125984.26539999999</v>
      </c>
      <c r="AT109" s="125">
        <f t="shared" si="10"/>
        <v>-12559.5052</v>
      </c>
      <c r="AU109" s="125">
        <f>AH109*Valores!$C$74</f>
        <v>-3082.7876399999996</v>
      </c>
      <c r="AV109" s="125">
        <f>AH109*Valores!$C$75</f>
        <v>-342.53195999999997</v>
      </c>
      <c r="AW109" s="125">
        <f t="shared" si="14"/>
        <v>128362.8352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1247.58</v>
      </c>
      <c r="G110" s="192">
        <v>1102</v>
      </c>
      <c r="H110" s="125">
        <f>ROUND(G110*Valores!$C$2,2)</f>
        <v>29887.56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7867.57</v>
      </c>
      <c r="N110" s="125">
        <f t="shared" si="11"/>
        <v>0</v>
      </c>
      <c r="O110" s="125">
        <f>Valores!$C$14</f>
        <v>24936.25</v>
      </c>
      <c r="P110" s="125">
        <f>Valores!$D$5</f>
        <v>13864.36</v>
      </c>
      <c r="Q110" s="125">
        <v>0</v>
      </c>
      <c r="R110" s="125">
        <f>IF($F$4="NO",Valores!$C$42,Valores!$C$42/2)</f>
        <v>8546.2199999999993</v>
      </c>
      <c r="S110" s="125">
        <f>Valores!$C$20</f>
        <v>12769.11</v>
      </c>
      <c r="T110" s="125">
        <f t="shared" si="17"/>
        <v>12769.11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6318.76</v>
      </c>
      <c r="AA110" s="125">
        <f>Valores!$C$25</f>
        <v>567.05999999999995</v>
      </c>
      <c r="AB110" s="214">
        <v>0</v>
      </c>
      <c r="AC110" s="125">
        <f t="shared" si="12"/>
        <v>0</v>
      </c>
      <c r="AD110" s="125">
        <f>Valores!$C$26</f>
        <v>567.05999999999995</v>
      </c>
      <c r="AE110" s="192">
        <v>0</v>
      </c>
      <c r="AF110" s="125">
        <f>ROUND(AE110*Valores!$C$2,2)</f>
        <v>0</v>
      </c>
      <c r="AG110" s="125">
        <f>ROUND(IF($F$4="NO",Valores!$C$63,Valores!$C$63/2),2)</f>
        <v>6482.98</v>
      </c>
      <c r="AH110" s="125">
        <f t="shared" si="15"/>
        <v>113054.51</v>
      </c>
      <c r="AI110" s="125">
        <f>Valores!$C$31</f>
        <v>0</v>
      </c>
      <c r="AJ110" s="125">
        <f>Valores!$C$87</f>
        <v>0</v>
      </c>
      <c r="AK110" s="125">
        <f>Valores!C$38*B110</f>
        <v>30000</v>
      </c>
      <c r="AL110" s="125">
        <f>IF($F$3="NO",0,Valores!$C$56)</f>
        <v>170.34</v>
      </c>
      <c r="AM110" s="125">
        <f t="shared" si="13"/>
        <v>30170.34</v>
      </c>
      <c r="AN110" s="125">
        <f>AH110*Valores!$C$71</f>
        <v>-12435.9961</v>
      </c>
      <c r="AO110" s="125">
        <f>AH110*-Valores!$C$72</f>
        <v>0</v>
      </c>
      <c r="AP110" s="125">
        <f>AH110*Valores!$C$73</f>
        <v>-5087.4529499999999</v>
      </c>
      <c r="AQ110" s="125">
        <f>Valores!$C$100</f>
        <v>-280.91000000000003</v>
      </c>
      <c r="AR110" s="125">
        <f>IF($F$5=0,Valores!$C$101,(Valores!$C$101+$F$5*(Valores!$C$101)))</f>
        <v>-385</v>
      </c>
      <c r="AS110" s="125">
        <f t="shared" si="16"/>
        <v>125035.49094999999</v>
      </c>
      <c r="AT110" s="125">
        <f t="shared" si="10"/>
        <v>-12435.9961</v>
      </c>
      <c r="AU110" s="125">
        <f>AH110*Valores!$C$74</f>
        <v>-3052.4717699999997</v>
      </c>
      <c r="AV110" s="125">
        <f>AH110*Valores!$C$75</f>
        <v>-339.16352999999998</v>
      </c>
      <c r="AW110" s="125">
        <f t="shared" si="14"/>
        <v>127397.21860000001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1790</v>
      </c>
      <c r="G111" s="192">
        <v>1911</v>
      </c>
      <c r="H111" s="125">
        <f>ROUND(G111*Valores!$C$2,2)</f>
        <v>51828.61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11240.09</v>
      </c>
      <c r="N111" s="125">
        <f t="shared" si="11"/>
        <v>0</v>
      </c>
      <c r="O111" s="125">
        <f>Valores!$C$14</f>
        <v>24936.25</v>
      </c>
      <c r="P111" s="125">
        <f>Valores!$D$5</f>
        <v>13864.36</v>
      </c>
      <c r="Q111" s="125">
        <f>Valores!$C$22</f>
        <v>12369.22</v>
      </c>
      <c r="R111" s="125">
        <f>IF($F$4="NO",Valores!$C$42,Valores!$C$42/2)</f>
        <v>8546.2199999999993</v>
      </c>
      <c r="S111" s="125">
        <f>Valores!$C$20</f>
        <v>12769.11</v>
      </c>
      <c r="T111" s="125">
        <f t="shared" si="17"/>
        <v>12769.11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6318.76</v>
      </c>
      <c r="AA111" s="125">
        <f>Valores!$C$25</f>
        <v>567.05999999999995</v>
      </c>
      <c r="AB111" s="214">
        <v>0</v>
      </c>
      <c r="AC111" s="125">
        <f t="shared" si="12"/>
        <v>0</v>
      </c>
      <c r="AD111" s="125">
        <f>Valores!$C$26</f>
        <v>567.05999999999995</v>
      </c>
      <c r="AE111" s="192">
        <v>94</v>
      </c>
      <c r="AF111" s="125">
        <f>ROUND(AE111*Valores!$C$2,2)</f>
        <v>2549.39</v>
      </c>
      <c r="AG111" s="125">
        <f>ROUND(IF($F$4="NO",Valores!$C$63,Valores!$C$63/2),2)</f>
        <v>6482.98</v>
      </c>
      <c r="AH111" s="125">
        <f t="shared" si="15"/>
        <v>153829.11000000002</v>
      </c>
      <c r="AI111" s="125">
        <f>Valores!$C$31</f>
        <v>0</v>
      </c>
      <c r="AJ111" s="125">
        <f>Valores!$C$87</f>
        <v>0</v>
      </c>
      <c r="AK111" s="125">
        <f>Valores!C$38*B111</f>
        <v>30000</v>
      </c>
      <c r="AL111" s="125">
        <f>IF($F$3="NO",0,Valores!$C$56)</f>
        <v>170.34</v>
      </c>
      <c r="AM111" s="125">
        <f t="shared" si="13"/>
        <v>30170.34</v>
      </c>
      <c r="AN111" s="125">
        <f>AH111*Valores!$C$71</f>
        <v>-16921.202100000002</v>
      </c>
      <c r="AO111" s="125">
        <f>AH111*-Valores!$C$72</f>
        <v>0</v>
      </c>
      <c r="AP111" s="125">
        <f>AH111*Valores!$C$73</f>
        <v>-6922.3099500000008</v>
      </c>
      <c r="AQ111" s="125">
        <f>Valores!$C$100</f>
        <v>-280.91000000000003</v>
      </c>
      <c r="AR111" s="125">
        <f>IF($F$5=0,Valores!$C$101,(Valores!$C$101+$F$5*(Valores!$C$101)))</f>
        <v>-385</v>
      </c>
      <c r="AS111" s="125">
        <f t="shared" si="16"/>
        <v>159490.02795000002</v>
      </c>
      <c r="AT111" s="125">
        <f t="shared" si="10"/>
        <v>-16921.202100000002</v>
      </c>
      <c r="AU111" s="125">
        <f>AH111*Valores!$C$74</f>
        <v>-4153.3859700000003</v>
      </c>
      <c r="AV111" s="125">
        <f>AH111*Valores!$C$75</f>
        <v>-461.48733000000004</v>
      </c>
      <c r="AW111" s="125">
        <f t="shared" si="14"/>
        <v>162463.37460000001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1654.39</v>
      </c>
      <c r="G112" s="192">
        <v>1545</v>
      </c>
      <c r="H112" s="125">
        <f>ROUND(G112*Valores!$C$2,2)</f>
        <v>41902.25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9730.7999999999993</v>
      </c>
      <c r="N112" s="125">
        <f t="shared" si="11"/>
        <v>0</v>
      </c>
      <c r="O112" s="125">
        <f>Valores!$C$14</f>
        <v>24936.25</v>
      </c>
      <c r="P112" s="125">
        <f>Valores!$D$5</f>
        <v>13864.36</v>
      </c>
      <c r="Q112" s="125">
        <f>Valores!$C$22</f>
        <v>12369.22</v>
      </c>
      <c r="R112" s="125">
        <f>IF($F$4="NO",Valores!$C$42,Valores!$C$42/2)</f>
        <v>8546.2199999999993</v>
      </c>
      <c r="S112" s="125">
        <f>Valores!$C$20</f>
        <v>12769.11</v>
      </c>
      <c r="T112" s="125">
        <f t="shared" si="17"/>
        <v>12769.11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6318.76</v>
      </c>
      <c r="AA112" s="125">
        <f>Valores!$C$25</f>
        <v>567.05999999999995</v>
      </c>
      <c r="AB112" s="214">
        <v>0</v>
      </c>
      <c r="AC112" s="125">
        <f t="shared" si="12"/>
        <v>0</v>
      </c>
      <c r="AD112" s="125">
        <f>Valores!$C$26</f>
        <v>567.05999999999995</v>
      </c>
      <c r="AE112" s="192">
        <v>94</v>
      </c>
      <c r="AF112" s="125">
        <f>ROUND(AE112*Valores!$C$2,2)</f>
        <v>2549.39</v>
      </c>
      <c r="AG112" s="125">
        <f>ROUND(IF($F$4="NO",Valores!$C$63,Valores!$C$63/2),2)</f>
        <v>6482.98</v>
      </c>
      <c r="AH112" s="125">
        <f t="shared" si="15"/>
        <v>142257.85000000003</v>
      </c>
      <c r="AI112" s="125">
        <f>Valores!$C$31</f>
        <v>0</v>
      </c>
      <c r="AJ112" s="125">
        <f>Valores!$C$87</f>
        <v>0</v>
      </c>
      <c r="AK112" s="125">
        <f>Valores!C$38*B112</f>
        <v>30000</v>
      </c>
      <c r="AL112" s="125">
        <f>IF($F$3="NO",0,Valores!$C$56)</f>
        <v>170.34</v>
      </c>
      <c r="AM112" s="125">
        <f t="shared" si="13"/>
        <v>30170.34</v>
      </c>
      <c r="AN112" s="125">
        <f>AH112*Valores!$C$71</f>
        <v>-15648.363500000003</v>
      </c>
      <c r="AO112" s="125">
        <f>AH112*-Valores!$C$72</f>
        <v>0</v>
      </c>
      <c r="AP112" s="125">
        <f>AH112*Valores!$C$73</f>
        <v>-6401.603250000001</v>
      </c>
      <c r="AQ112" s="125">
        <f>Valores!$C$100</f>
        <v>-280.91000000000003</v>
      </c>
      <c r="AR112" s="125">
        <f>IF($F$5=0,Valores!$C$101,(Valores!$C$101+$F$5*(Valores!$C$101)))</f>
        <v>-385</v>
      </c>
      <c r="AS112" s="125">
        <f t="shared" si="16"/>
        <v>149712.31325000004</v>
      </c>
      <c r="AT112" s="125">
        <f t="shared" si="10"/>
        <v>-15648.363500000003</v>
      </c>
      <c r="AU112" s="125">
        <f>AH112*Valores!$C$74</f>
        <v>-3840.9619500000008</v>
      </c>
      <c r="AV112" s="125">
        <f>AH112*Valores!$C$75</f>
        <v>-426.77355000000011</v>
      </c>
      <c r="AW112" s="125">
        <f t="shared" si="14"/>
        <v>152512.09100000001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5912.42</v>
      </c>
      <c r="G113" s="192">
        <v>2100</v>
      </c>
      <c r="H113" s="125">
        <f>ROUND(G113*Valores!$C$2,2)</f>
        <v>56954.52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12627.34</v>
      </c>
      <c r="N113" s="125">
        <f t="shared" si="11"/>
        <v>0</v>
      </c>
      <c r="O113" s="125">
        <f>Valores!$C$14</f>
        <v>24936.25</v>
      </c>
      <c r="P113" s="125">
        <f>Valores!$D$5</f>
        <v>13864.36</v>
      </c>
      <c r="Q113" s="125">
        <f>Valores!$C$22</f>
        <v>12369.22</v>
      </c>
      <c r="R113" s="125">
        <f>IF($F$4="NO",Valores!$C$42,Valores!$C$42/2)</f>
        <v>8546.2199999999993</v>
      </c>
      <c r="S113" s="125">
        <f>Valores!$C$20</f>
        <v>12769.11</v>
      </c>
      <c r="T113" s="125">
        <f t="shared" si="17"/>
        <v>12769.11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6318.76</v>
      </c>
      <c r="AA113" s="125">
        <f>Valores!$C$25</f>
        <v>567.05999999999995</v>
      </c>
      <c r="AB113" s="214">
        <v>0</v>
      </c>
      <c r="AC113" s="125">
        <f t="shared" si="12"/>
        <v>0</v>
      </c>
      <c r="AD113" s="125">
        <f>Valores!$C$26</f>
        <v>567.05999999999995</v>
      </c>
      <c r="AE113" s="192">
        <v>0</v>
      </c>
      <c r="AF113" s="125">
        <f>ROUND(AE113*Valores!$C$2,2)</f>
        <v>0</v>
      </c>
      <c r="AG113" s="125">
        <f>ROUND(IF($F$4="NO",Valores!$C$63,Valores!$C$63/2),2)</f>
        <v>6482.98</v>
      </c>
      <c r="AH113" s="125">
        <f t="shared" si="15"/>
        <v>161915.30000000002</v>
      </c>
      <c r="AI113" s="125">
        <f>Valores!$C$31</f>
        <v>0</v>
      </c>
      <c r="AJ113" s="125">
        <f>Valores!$C$87</f>
        <v>0</v>
      </c>
      <c r="AK113" s="125">
        <f>Valores!C$38*B113</f>
        <v>30000</v>
      </c>
      <c r="AL113" s="125">
        <f>IF($F$3="NO",0,Valores!$C$56)</f>
        <v>170.34</v>
      </c>
      <c r="AM113" s="125">
        <f t="shared" si="13"/>
        <v>30170.34</v>
      </c>
      <c r="AN113" s="125">
        <f>AH113*Valores!$C$71</f>
        <v>-17810.683000000001</v>
      </c>
      <c r="AO113" s="125">
        <f>AH113*-Valores!$C$72</f>
        <v>0</v>
      </c>
      <c r="AP113" s="125">
        <f>AH113*Valores!$C$73</f>
        <v>-7286.1885000000002</v>
      </c>
      <c r="AQ113" s="125">
        <f>Valores!$C$100</f>
        <v>-280.91000000000003</v>
      </c>
      <c r="AR113" s="125">
        <f>IF($F$5=0,Valores!$C$101,(Valores!$C$101+$F$5*(Valores!$C$101)))</f>
        <v>-385</v>
      </c>
      <c r="AS113" s="125">
        <f t="shared" si="16"/>
        <v>166322.85850000003</v>
      </c>
      <c r="AT113" s="125">
        <f t="shared" si="10"/>
        <v>-17810.683000000001</v>
      </c>
      <c r="AU113" s="125">
        <f>AH113*Valores!$C$74</f>
        <v>-4371.7131000000008</v>
      </c>
      <c r="AV113" s="125">
        <f>AH113*Valores!$C$75</f>
        <v>-485.74590000000006</v>
      </c>
      <c r="AW113" s="125">
        <f t="shared" si="14"/>
        <v>169417.49800000002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5966.66</v>
      </c>
      <c r="G114" s="192">
        <v>1995</v>
      </c>
      <c r="H114" s="125">
        <f>ROUND(G114*Valores!$C$2,2)</f>
        <v>54106.79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12208.32</v>
      </c>
      <c r="N114" s="125">
        <f t="shared" si="11"/>
        <v>0</v>
      </c>
      <c r="O114" s="125">
        <f>Valores!$C$14</f>
        <v>24936.25</v>
      </c>
      <c r="P114" s="125">
        <f>Valores!$D$5</f>
        <v>13864.36</v>
      </c>
      <c r="Q114" s="125">
        <f>Valores!$C$22</f>
        <v>12369.22</v>
      </c>
      <c r="R114" s="125">
        <f>IF($F$4="NO",Valores!$C$42,Valores!$C$42/2)</f>
        <v>8546.2199999999993</v>
      </c>
      <c r="S114" s="125">
        <f>Valores!$C$20</f>
        <v>12769.11</v>
      </c>
      <c r="T114" s="125">
        <f t="shared" si="17"/>
        <v>12769.11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6318.76</v>
      </c>
      <c r="AA114" s="125">
        <f>Valores!$C$25</f>
        <v>567.05999999999995</v>
      </c>
      <c r="AB114" s="214">
        <v>0</v>
      </c>
      <c r="AC114" s="125">
        <f t="shared" si="12"/>
        <v>0</v>
      </c>
      <c r="AD114" s="125">
        <f>Valores!$C$26</f>
        <v>567.05999999999995</v>
      </c>
      <c r="AE114" s="192">
        <v>0</v>
      </c>
      <c r="AF114" s="125">
        <f>ROUND(AE114*Valores!$C$2,2)</f>
        <v>0</v>
      </c>
      <c r="AG114" s="125">
        <f>ROUND(IF($F$4="NO",Valores!$C$63,Valores!$C$63/2),2)</f>
        <v>6482.98</v>
      </c>
      <c r="AH114" s="125">
        <f t="shared" si="15"/>
        <v>158702.79</v>
      </c>
      <c r="AI114" s="125">
        <f>Valores!$C$31</f>
        <v>0</v>
      </c>
      <c r="AJ114" s="125">
        <f>Valores!$C$87</f>
        <v>0</v>
      </c>
      <c r="AK114" s="125">
        <f>Valores!C$38*B114</f>
        <v>30000</v>
      </c>
      <c r="AL114" s="125">
        <f>IF($F$3="NO",0,Valores!$C$56)</f>
        <v>170.34</v>
      </c>
      <c r="AM114" s="125">
        <f t="shared" si="13"/>
        <v>30170.34</v>
      </c>
      <c r="AN114" s="125">
        <f>AH114*Valores!$C$71</f>
        <v>-17457.3069</v>
      </c>
      <c r="AO114" s="125">
        <f>AH114*-Valores!$C$72</f>
        <v>0</v>
      </c>
      <c r="AP114" s="125">
        <f>AH114*Valores!$C$73</f>
        <v>-7141.6255499999997</v>
      </c>
      <c r="AQ114" s="125">
        <f>Valores!$C$100</f>
        <v>-280.91000000000003</v>
      </c>
      <c r="AR114" s="125">
        <f>IF($F$5=0,Valores!$C$101,(Valores!$C$101+$F$5*(Valores!$C$101)))</f>
        <v>-385</v>
      </c>
      <c r="AS114" s="125">
        <f t="shared" si="16"/>
        <v>163608.28755000001</v>
      </c>
      <c r="AT114" s="125">
        <f t="shared" si="10"/>
        <v>-17457.3069</v>
      </c>
      <c r="AU114" s="125">
        <f>AH114*Valores!$C$74</f>
        <v>-4284.9753300000002</v>
      </c>
      <c r="AV114" s="125">
        <f>AH114*Valores!$C$75</f>
        <v>-476.10837000000004</v>
      </c>
      <c r="AW114" s="125">
        <f t="shared" si="14"/>
        <v>166654.73939999999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5071.66</v>
      </c>
      <c r="G115" s="192">
        <v>1704</v>
      </c>
      <c r="H115" s="125">
        <f>ROUND(G115*Valores!$C$2,2)</f>
        <v>46214.52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10890.23</v>
      </c>
      <c r="N115" s="125">
        <f t="shared" si="11"/>
        <v>0</v>
      </c>
      <c r="O115" s="125">
        <f>Valores!$C$14</f>
        <v>24936.25</v>
      </c>
      <c r="P115" s="125">
        <f>Valores!$D$5</f>
        <v>13864.36</v>
      </c>
      <c r="Q115" s="125">
        <f>Valores!$C$22</f>
        <v>12369.22</v>
      </c>
      <c r="R115" s="125">
        <f>IF($F$4="NO",Valores!$C$42,Valores!$C$42/2)</f>
        <v>8546.2199999999993</v>
      </c>
      <c r="S115" s="125">
        <f>Valores!$C$20</f>
        <v>12769.11</v>
      </c>
      <c r="T115" s="125">
        <f t="shared" si="17"/>
        <v>12769.11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6318.76</v>
      </c>
      <c r="AA115" s="125">
        <f>Valores!$C$25</f>
        <v>567.05999999999995</v>
      </c>
      <c r="AB115" s="214">
        <v>0</v>
      </c>
      <c r="AC115" s="125">
        <f t="shared" si="12"/>
        <v>0</v>
      </c>
      <c r="AD115" s="125">
        <f>Valores!$C$26</f>
        <v>567.05999999999995</v>
      </c>
      <c r="AE115" s="192">
        <v>0</v>
      </c>
      <c r="AF115" s="125">
        <f>ROUND(AE115*Valores!$C$2,2)</f>
        <v>0</v>
      </c>
      <c r="AG115" s="125">
        <f>ROUND(IF($F$4="NO",Valores!$C$63,Valores!$C$63/2),2)</f>
        <v>6482.98</v>
      </c>
      <c r="AH115" s="125">
        <f t="shared" si="15"/>
        <v>148597.43000000002</v>
      </c>
      <c r="AI115" s="125">
        <f>Valores!$C$31</f>
        <v>0</v>
      </c>
      <c r="AJ115" s="125">
        <f>Valores!$C$87</f>
        <v>0</v>
      </c>
      <c r="AK115" s="125">
        <f>Valores!C$38*B115</f>
        <v>30000</v>
      </c>
      <c r="AL115" s="125">
        <f>IF($F$3="NO",0,Valores!$C$56)</f>
        <v>170.34</v>
      </c>
      <c r="AM115" s="125">
        <f t="shared" si="13"/>
        <v>30170.34</v>
      </c>
      <c r="AN115" s="125">
        <f>AH115*Valores!$C$71</f>
        <v>-16345.717300000002</v>
      </c>
      <c r="AO115" s="125">
        <f>AH115*-Valores!$C$72</f>
        <v>0</v>
      </c>
      <c r="AP115" s="125">
        <f>AH115*Valores!$C$73</f>
        <v>-6686.8843500000012</v>
      </c>
      <c r="AQ115" s="125">
        <f>Valores!$C$100</f>
        <v>-280.91000000000003</v>
      </c>
      <c r="AR115" s="125">
        <f>IF($F$5=0,Valores!$C$101,(Valores!$C$101+$F$5*(Valores!$C$101)))</f>
        <v>-385</v>
      </c>
      <c r="AS115" s="125">
        <f t="shared" si="16"/>
        <v>155069.25835000002</v>
      </c>
      <c r="AT115" s="125">
        <f t="shared" si="10"/>
        <v>-16345.717300000002</v>
      </c>
      <c r="AU115" s="125">
        <f>AH115*Valores!$C$74</f>
        <v>-4012.1306100000006</v>
      </c>
      <c r="AV115" s="125">
        <f>AH115*Valores!$C$75</f>
        <v>-445.79229000000009</v>
      </c>
      <c r="AW115" s="125">
        <f t="shared" si="14"/>
        <v>157964.12980000002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4366.51</v>
      </c>
      <c r="G116" s="192">
        <v>1480</v>
      </c>
      <c r="H116" s="125">
        <f>ROUND(G116*Valores!$C$2,2)</f>
        <v>40139.379999999997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9873.18</v>
      </c>
      <c r="N116" s="125">
        <f t="shared" si="11"/>
        <v>0</v>
      </c>
      <c r="O116" s="125">
        <f>Valores!$C$14</f>
        <v>24936.25</v>
      </c>
      <c r="P116" s="125">
        <f>Valores!$D$5</f>
        <v>13864.36</v>
      </c>
      <c r="Q116" s="125">
        <f>Valores!$C$22</f>
        <v>12369.22</v>
      </c>
      <c r="R116" s="125">
        <f>IF($F$4="NO",Valores!$C$42,Valores!$C$42/2)</f>
        <v>8546.2199999999993</v>
      </c>
      <c r="S116" s="125">
        <f>Valores!$C$20</f>
        <v>12769.11</v>
      </c>
      <c r="T116" s="125">
        <f t="shared" si="17"/>
        <v>12769.11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6318.76</v>
      </c>
      <c r="AA116" s="125">
        <f>Valores!$C$25</f>
        <v>567.05999999999995</v>
      </c>
      <c r="AB116" s="214">
        <v>0</v>
      </c>
      <c r="AC116" s="125">
        <f t="shared" si="12"/>
        <v>0</v>
      </c>
      <c r="AD116" s="125">
        <f>Valores!$C$26</f>
        <v>567.05999999999995</v>
      </c>
      <c r="AE116" s="192">
        <v>0</v>
      </c>
      <c r="AF116" s="125">
        <f>ROUND(AE116*Valores!$C$2,2)</f>
        <v>0</v>
      </c>
      <c r="AG116" s="125">
        <f>ROUND(IF($F$4="NO",Valores!$C$63,Valores!$C$63/2),2)</f>
        <v>6482.98</v>
      </c>
      <c r="AH116" s="125">
        <f t="shared" si="15"/>
        <v>140800.09000000003</v>
      </c>
      <c r="AI116" s="125">
        <f>Valores!$C$31</f>
        <v>0</v>
      </c>
      <c r="AJ116" s="125">
        <f>Valores!$C$87</f>
        <v>0</v>
      </c>
      <c r="AK116" s="125">
        <f>Valores!C$38*B116</f>
        <v>30000</v>
      </c>
      <c r="AL116" s="125">
        <f>IF($F$3="NO",0,Valores!$C$56)</f>
        <v>170.34</v>
      </c>
      <c r="AM116" s="125">
        <f t="shared" si="13"/>
        <v>30170.34</v>
      </c>
      <c r="AN116" s="125">
        <f>AH116*Valores!$C$71</f>
        <v>-15488.009900000003</v>
      </c>
      <c r="AO116" s="125">
        <f>AH116*-Valores!$C$72</f>
        <v>0</v>
      </c>
      <c r="AP116" s="125">
        <f>AH116*Valores!$C$73</f>
        <v>-6336.0040500000014</v>
      </c>
      <c r="AQ116" s="125">
        <f>Valores!$C$100</f>
        <v>-280.91000000000003</v>
      </c>
      <c r="AR116" s="125">
        <f>IF($F$5=0,Valores!$C$101,(Valores!$C$101+$F$5*(Valores!$C$101)))</f>
        <v>-385</v>
      </c>
      <c r="AS116" s="125">
        <f t="shared" si="16"/>
        <v>148480.50605000003</v>
      </c>
      <c r="AT116" s="125">
        <f t="shared" si="10"/>
        <v>-15488.009900000003</v>
      </c>
      <c r="AU116" s="125">
        <f>AH116*Valores!$C$74</f>
        <v>-3801.6024300000008</v>
      </c>
      <c r="AV116" s="125">
        <f>AH116*Valores!$C$75</f>
        <v>-422.40027000000009</v>
      </c>
      <c r="AW116" s="125">
        <f t="shared" si="14"/>
        <v>151258.41740000003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34660.89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8396.43</v>
      </c>
      <c r="N117" s="125">
        <f t="shared" si="11"/>
        <v>0</v>
      </c>
      <c r="O117" s="125">
        <f>Valores!$C$14</f>
        <v>24936.25</v>
      </c>
      <c r="P117" s="125">
        <f>Valores!$D$5</f>
        <v>13864.36</v>
      </c>
      <c r="Q117" s="125">
        <f>Valores!$C$22</f>
        <v>12369.22</v>
      </c>
      <c r="R117" s="125">
        <f>IF($F$4="NO",Valores!$C$42,Valores!$C$42/2)</f>
        <v>8546.2199999999993</v>
      </c>
      <c r="S117" s="125">
        <f>Valores!$C$20</f>
        <v>12769.11</v>
      </c>
      <c r="T117" s="125">
        <f t="shared" si="17"/>
        <v>12769.11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6318.76</v>
      </c>
      <c r="AA117" s="125">
        <f>Valores!$C$25</f>
        <v>567.05999999999995</v>
      </c>
      <c r="AB117" s="214">
        <v>0</v>
      </c>
      <c r="AC117" s="125">
        <f t="shared" si="12"/>
        <v>0</v>
      </c>
      <c r="AD117" s="125">
        <f>Valores!$C$26</f>
        <v>567.05999999999995</v>
      </c>
      <c r="AE117" s="192">
        <v>0</v>
      </c>
      <c r="AF117" s="125">
        <f>ROUND(AE117*Valores!$C$2,2)</f>
        <v>0</v>
      </c>
      <c r="AG117" s="125">
        <f>ROUND(IF($F$4="NO",Valores!$C$63,Valores!$C$63/2),2)</f>
        <v>6482.98</v>
      </c>
      <c r="AH117" s="125">
        <f t="shared" si="15"/>
        <v>129478.34</v>
      </c>
      <c r="AI117" s="125">
        <f>Valores!$C$31</f>
        <v>0</v>
      </c>
      <c r="AJ117" s="125">
        <f>Valores!$C$87</f>
        <v>0</v>
      </c>
      <c r="AK117" s="125">
        <f>Valores!C$38*B117</f>
        <v>30000</v>
      </c>
      <c r="AL117" s="125">
        <f>IF($F$3="NO",0,Valores!$C$56)</f>
        <v>170.34</v>
      </c>
      <c r="AM117" s="125">
        <f t="shared" si="13"/>
        <v>30170.34</v>
      </c>
      <c r="AN117" s="125">
        <f>AH117*Valores!$C$71</f>
        <v>-14242.617399999999</v>
      </c>
      <c r="AO117" s="125">
        <f>AH117*-Valores!$C$72</f>
        <v>0</v>
      </c>
      <c r="AP117" s="125">
        <f>AH117*Valores!$C$73</f>
        <v>-5826.5252999999993</v>
      </c>
      <c r="AQ117" s="125">
        <f>Valores!$C$100</f>
        <v>-280.91000000000003</v>
      </c>
      <c r="AR117" s="125">
        <f>IF($F$5=0,Valores!$C$101,(Valores!$C$101+$F$5*(Valores!$C$101)))</f>
        <v>-385</v>
      </c>
      <c r="AS117" s="125">
        <f t="shared" si="16"/>
        <v>138913.62729999999</v>
      </c>
      <c r="AT117" s="125">
        <f t="shared" si="10"/>
        <v>-14242.617399999999</v>
      </c>
      <c r="AU117" s="125">
        <f>AH117*Valores!$C$74</f>
        <v>-3495.91518</v>
      </c>
      <c r="AV117" s="125">
        <f>AH117*Valores!$C$75</f>
        <v>-388.43502000000001</v>
      </c>
      <c r="AW117" s="125">
        <f t="shared" si="14"/>
        <v>141521.71239999999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2088.33</v>
      </c>
      <c r="G118" s="192">
        <v>2073</v>
      </c>
      <c r="H118" s="125">
        <f>ROUND(G118*Valores!$C$2,2)</f>
        <v>56222.25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12126.45</v>
      </c>
      <c r="N118" s="125">
        <f t="shared" si="11"/>
        <v>0</v>
      </c>
      <c r="O118" s="125">
        <f>Valores!$C$8</f>
        <v>29851.25</v>
      </c>
      <c r="P118" s="125">
        <f>Valores!$D$5</f>
        <v>13864.36</v>
      </c>
      <c r="Q118" s="125">
        <f>Valores!$C$22</f>
        <v>12369.22</v>
      </c>
      <c r="R118" s="125">
        <f>IF($F$4="NO",Valores!$C$44,Valores!$C$44/2)</f>
        <v>9631.44</v>
      </c>
      <c r="S118" s="125">
        <f>Valores!$C$19</f>
        <v>12901.01</v>
      </c>
      <c r="T118" s="125">
        <f t="shared" si="17"/>
        <v>12901.01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6318.76</v>
      </c>
      <c r="AA118" s="125">
        <f>Valores!$C$25</f>
        <v>567.05999999999995</v>
      </c>
      <c r="AB118" s="214">
        <v>0</v>
      </c>
      <c r="AC118" s="125">
        <f t="shared" si="12"/>
        <v>0</v>
      </c>
      <c r="AD118" s="125">
        <f>Valores!$C$26</f>
        <v>567.05999999999995</v>
      </c>
      <c r="AE118" s="192">
        <v>0</v>
      </c>
      <c r="AF118" s="125">
        <f>ROUND(AE118*Valores!$C$2,2)</f>
        <v>0</v>
      </c>
      <c r="AG118" s="125">
        <f>ROUND(IF($F$4="NO",Valores!$C$63,Valores!$C$63/2),2)</f>
        <v>6482.98</v>
      </c>
      <c r="AH118" s="125">
        <f t="shared" si="15"/>
        <v>162990.17000000001</v>
      </c>
      <c r="AI118" s="125">
        <f>Valores!$C$31</f>
        <v>0</v>
      </c>
      <c r="AJ118" s="125">
        <f>Valores!$C$87</f>
        <v>0</v>
      </c>
      <c r="AK118" s="125">
        <f>Valores!C$38*B118</f>
        <v>30000</v>
      </c>
      <c r="AL118" s="125">
        <f>IF($F$3="NO",0,Valores!$C$56)</f>
        <v>170.34</v>
      </c>
      <c r="AM118" s="125">
        <f t="shared" si="13"/>
        <v>30170.34</v>
      </c>
      <c r="AN118" s="125">
        <f>AH118*Valores!$C$71</f>
        <v>-17928.918700000002</v>
      </c>
      <c r="AO118" s="125">
        <f>AH118*-Valores!$C$72</f>
        <v>0</v>
      </c>
      <c r="AP118" s="125">
        <f>AH118*Valores!$C$73</f>
        <v>-7334.5576500000006</v>
      </c>
      <c r="AQ118" s="125">
        <f>Valores!$C$100</f>
        <v>-280.91000000000003</v>
      </c>
      <c r="AR118" s="125">
        <f>IF($F$5=0,Valores!$C$101,(Valores!$C$101+$F$5*(Valores!$C$101)))</f>
        <v>-385</v>
      </c>
      <c r="AS118" s="125">
        <f t="shared" si="16"/>
        <v>167231.12365000002</v>
      </c>
      <c r="AT118" s="125">
        <f t="shared" si="10"/>
        <v>-17928.918700000002</v>
      </c>
      <c r="AU118" s="125">
        <f>AH118*Valores!$C$74</f>
        <v>-4400.73459</v>
      </c>
      <c r="AV118" s="125">
        <f>AH118*Valores!$C$75</f>
        <v>-488.97051000000005</v>
      </c>
      <c r="AW118" s="125">
        <f t="shared" si="14"/>
        <v>170341.88620000001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2088.33</v>
      </c>
      <c r="G119" s="192">
        <v>2043</v>
      </c>
      <c r="H119" s="125">
        <f>ROUND(G119*Valores!$C$2,2)</f>
        <v>55408.61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12004.41</v>
      </c>
      <c r="N119" s="125">
        <f t="shared" si="11"/>
        <v>0</v>
      </c>
      <c r="O119" s="125">
        <f>Valores!$C$9</f>
        <v>29939.09</v>
      </c>
      <c r="P119" s="125">
        <f>Valores!$D$5</f>
        <v>13864.36</v>
      </c>
      <c r="Q119" s="125">
        <f>Valores!$C$22</f>
        <v>12369.22</v>
      </c>
      <c r="R119" s="125">
        <f>IF($F$4="NO",Valores!$C$44,Valores!$C$44/2)</f>
        <v>9631.44</v>
      </c>
      <c r="S119" s="125">
        <f>Valores!$C$19</f>
        <v>12901.01</v>
      </c>
      <c r="T119" s="125">
        <f t="shared" si="17"/>
        <v>12901.01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6318.76</v>
      </c>
      <c r="AA119" s="125">
        <f>Valores!$C$25</f>
        <v>567.05999999999995</v>
      </c>
      <c r="AB119" s="214">
        <v>0</v>
      </c>
      <c r="AC119" s="125">
        <f t="shared" si="12"/>
        <v>0</v>
      </c>
      <c r="AD119" s="125">
        <f>Valores!$C$26</f>
        <v>567.05999999999995</v>
      </c>
      <c r="AE119" s="192">
        <v>0</v>
      </c>
      <c r="AF119" s="125">
        <f>ROUND(AE119*Valores!$C$2,2)</f>
        <v>0</v>
      </c>
      <c r="AG119" s="125">
        <f>ROUND(IF($F$4="NO",Valores!$C$63,Valores!$C$63/2),2)</f>
        <v>6482.98</v>
      </c>
      <c r="AH119" s="125">
        <f t="shared" si="15"/>
        <v>162142.33000000002</v>
      </c>
      <c r="AI119" s="125">
        <f>Valores!$C$31</f>
        <v>0</v>
      </c>
      <c r="AJ119" s="125">
        <f>Valores!$C$87</f>
        <v>0</v>
      </c>
      <c r="AK119" s="125">
        <f>Valores!C$38*B119</f>
        <v>30000</v>
      </c>
      <c r="AL119" s="125">
        <f>IF($F$3="NO",0,Valores!$C$56)</f>
        <v>170.34</v>
      </c>
      <c r="AM119" s="125">
        <f t="shared" si="13"/>
        <v>30170.34</v>
      </c>
      <c r="AN119" s="125">
        <f>AH119*Valores!$C$71</f>
        <v>-17835.656300000002</v>
      </c>
      <c r="AO119" s="125">
        <f>AH119*-Valores!$C$72</f>
        <v>0</v>
      </c>
      <c r="AP119" s="125">
        <f>AH119*Valores!$C$73</f>
        <v>-7296.4048500000008</v>
      </c>
      <c r="AQ119" s="125">
        <f>Valores!$C$100</f>
        <v>-280.91000000000003</v>
      </c>
      <c r="AR119" s="125">
        <f>IF($F$5=0,Valores!$C$101,(Valores!$C$101+$F$5*(Valores!$C$101)))</f>
        <v>-385</v>
      </c>
      <c r="AS119" s="125">
        <f t="shared" si="16"/>
        <v>166514.69885000002</v>
      </c>
      <c r="AT119" s="125">
        <f t="shared" si="10"/>
        <v>-17835.656300000002</v>
      </c>
      <c r="AU119" s="125">
        <f>AH119*Valores!$C$74</f>
        <v>-4377.8429100000003</v>
      </c>
      <c r="AV119" s="125">
        <f>AH119*Valores!$C$75</f>
        <v>-486.42699000000005</v>
      </c>
      <c r="AW119" s="125">
        <f t="shared" si="14"/>
        <v>169612.7438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2061.21</v>
      </c>
      <c r="G120" s="192">
        <v>1954</v>
      </c>
      <c r="H120" s="125">
        <f>ROUND(G120*Valores!$C$2,2)</f>
        <v>52994.82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11638.27</v>
      </c>
      <c r="N120" s="125">
        <f t="shared" si="11"/>
        <v>0</v>
      </c>
      <c r="O120" s="125">
        <f>Valores!$C$9</f>
        <v>29939.09</v>
      </c>
      <c r="P120" s="125">
        <f>Valores!$D$5</f>
        <v>13864.36</v>
      </c>
      <c r="Q120" s="125">
        <f>Valores!$C$22</f>
        <v>12369.22</v>
      </c>
      <c r="R120" s="125">
        <f>IF($F$4="NO",Valores!$C$44,Valores!$C$44/2)</f>
        <v>9631.44</v>
      </c>
      <c r="S120" s="125">
        <f>Valores!$C$19</f>
        <v>12901.01</v>
      </c>
      <c r="T120" s="125">
        <f t="shared" si="17"/>
        <v>12901.01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6318.76</v>
      </c>
      <c r="AA120" s="125">
        <f>Valores!$C$25</f>
        <v>567.05999999999995</v>
      </c>
      <c r="AB120" s="214">
        <v>0</v>
      </c>
      <c r="AC120" s="125">
        <f t="shared" si="12"/>
        <v>0</v>
      </c>
      <c r="AD120" s="125">
        <f>Valores!$C$26</f>
        <v>567.05999999999995</v>
      </c>
      <c r="AE120" s="192">
        <v>0</v>
      </c>
      <c r="AF120" s="125">
        <f>ROUND(AE120*Valores!$C$2,2)</f>
        <v>0</v>
      </c>
      <c r="AG120" s="125">
        <f>ROUND(IF($F$4="NO",Valores!$C$63,Valores!$C$63/2),2)</f>
        <v>6482.98</v>
      </c>
      <c r="AH120" s="125">
        <f t="shared" si="15"/>
        <v>159335.28000000003</v>
      </c>
      <c r="AI120" s="125">
        <f>Valores!$C$31</f>
        <v>0</v>
      </c>
      <c r="AJ120" s="125">
        <f>Valores!$C$87</f>
        <v>0</v>
      </c>
      <c r="AK120" s="125">
        <f>Valores!C$38*B120</f>
        <v>30000</v>
      </c>
      <c r="AL120" s="125">
        <f>IF($F$3="NO",0,Valores!$C$56)</f>
        <v>170.34</v>
      </c>
      <c r="AM120" s="125">
        <f t="shared" si="13"/>
        <v>30170.34</v>
      </c>
      <c r="AN120" s="125">
        <f>AH120*Valores!$C$71</f>
        <v>-17526.880800000003</v>
      </c>
      <c r="AO120" s="125">
        <f>AH120*-Valores!$C$72</f>
        <v>0</v>
      </c>
      <c r="AP120" s="125">
        <f>AH120*Valores!$C$73</f>
        <v>-7170.0876000000007</v>
      </c>
      <c r="AQ120" s="125">
        <f>Valores!$C$100</f>
        <v>-280.91000000000003</v>
      </c>
      <c r="AR120" s="125">
        <f>IF($F$5=0,Valores!$C$101,(Valores!$C$101+$F$5*(Valores!$C$101)))</f>
        <v>-385</v>
      </c>
      <c r="AS120" s="125">
        <f t="shared" si="16"/>
        <v>164142.74160000004</v>
      </c>
      <c r="AT120" s="125">
        <f t="shared" si="10"/>
        <v>-17526.880800000003</v>
      </c>
      <c r="AU120" s="125">
        <f>AH120*Valores!$C$74</f>
        <v>-4302.052560000001</v>
      </c>
      <c r="AV120" s="125">
        <f>AH120*Valores!$C$75</f>
        <v>-478.00584000000009</v>
      </c>
      <c r="AW120" s="125">
        <f t="shared" si="14"/>
        <v>167198.68080000003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7431.21</v>
      </c>
      <c r="G121" s="192">
        <v>1163</v>
      </c>
      <c r="H121" s="125">
        <f>ROUND(G121*Valores!$C$2,2)</f>
        <v>31541.96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9225.84</v>
      </c>
      <c r="N121" s="125">
        <f t="shared" si="11"/>
        <v>0</v>
      </c>
      <c r="O121" s="125">
        <f>Valores!$C$9</f>
        <v>29939.09</v>
      </c>
      <c r="P121" s="125">
        <f>Valores!$D$5</f>
        <v>13864.36</v>
      </c>
      <c r="Q121" s="125">
        <f>Valores!$C$22</f>
        <v>12369.22</v>
      </c>
      <c r="R121" s="125">
        <f>IF($F$4="NO",Valores!$C$44,Valores!$C$44/2)</f>
        <v>9631.44</v>
      </c>
      <c r="S121" s="125">
        <f>Valores!$C$19</f>
        <v>12901.01</v>
      </c>
      <c r="T121" s="125">
        <f t="shared" si="17"/>
        <v>12901.01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6318.76</v>
      </c>
      <c r="AA121" s="125">
        <f>Valores!$C$25</f>
        <v>567.05999999999995</v>
      </c>
      <c r="AB121" s="214">
        <v>0</v>
      </c>
      <c r="AC121" s="125">
        <f t="shared" si="12"/>
        <v>0</v>
      </c>
      <c r="AD121" s="125">
        <f>Valores!$C$26</f>
        <v>567.05999999999995</v>
      </c>
      <c r="AE121" s="192">
        <v>0</v>
      </c>
      <c r="AF121" s="125">
        <f>ROUND(AE121*Valores!$C$2,2)</f>
        <v>0</v>
      </c>
      <c r="AG121" s="125">
        <f>ROUND(IF($F$4="NO",Valores!$C$63,Valores!$C$63/2),2)</f>
        <v>6482.98</v>
      </c>
      <c r="AH121" s="125">
        <f t="shared" si="15"/>
        <v>140839.99</v>
      </c>
      <c r="AI121" s="125">
        <f>Valores!$C$31</f>
        <v>0</v>
      </c>
      <c r="AJ121" s="125">
        <f>Valores!$C$87</f>
        <v>0</v>
      </c>
      <c r="AK121" s="125">
        <f>Valores!C$38*B121</f>
        <v>30000</v>
      </c>
      <c r="AL121" s="125">
        <f>IF($F$3="NO",0,Valores!$C$56)</f>
        <v>170.34</v>
      </c>
      <c r="AM121" s="125">
        <f t="shared" si="13"/>
        <v>30170.34</v>
      </c>
      <c r="AN121" s="125">
        <f>AH121*Valores!$C$71</f>
        <v>-15492.398899999998</v>
      </c>
      <c r="AO121" s="125">
        <f>AH121*-Valores!$C$72</f>
        <v>0</v>
      </c>
      <c r="AP121" s="125">
        <f>AH121*Valores!$C$73</f>
        <v>-6337.7995499999997</v>
      </c>
      <c r="AQ121" s="125">
        <f>Valores!$C$100</f>
        <v>-280.91000000000003</v>
      </c>
      <c r="AR121" s="125">
        <f>IF($F$5=0,Valores!$C$101,(Valores!$C$101+$F$5*(Valores!$C$101)))</f>
        <v>-385</v>
      </c>
      <c r="AS121" s="125">
        <f t="shared" si="16"/>
        <v>148514.22154999999</v>
      </c>
      <c r="AT121" s="125">
        <f t="shared" si="10"/>
        <v>-15492.398899999998</v>
      </c>
      <c r="AU121" s="125">
        <f>AH121*Valores!$C$74</f>
        <v>-3802.6797299999998</v>
      </c>
      <c r="AV121" s="125">
        <f>AH121*Valores!$C$75</f>
        <v>-422.51997</v>
      </c>
      <c r="AW121" s="125">
        <f t="shared" si="14"/>
        <v>151292.73139999999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75939.360000000001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15076.5</v>
      </c>
      <c r="N122" s="125">
        <f t="shared" si="11"/>
        <v>0</v>
      </c>
      <c r="O122" s="125">
        <f>Valores!$C$16</f>
        <v>23436.25</v>
      </c>
      <c r="P122" s="125">
        <f>Valores!$D$5</f>
        <v>13864.36</v>
      </c>
      <c r="Q122" s="125">
        <f>Valores!$C$22</f>
        <v>12369.22</v>
      </c>
      <c r="R122" s="125">
        <f>IF($F$4="NO",Valores!$C$46,Valores!$C$46/2)</f>
        <v>11801.55</v>
      </c>
      <c r="S122" s="125">
        <f>Valores!$C$20</f>
        <v>12769.11</v>
      </c>
      <c r="T122" s="125">
        <f t="shared" si="17"/>
        <v>12769.11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6318.76</v>
      </c>
      <c r="AA122" s="125">
        <f>Valores!$C$25</f>
        <v>567.05999999999995</v>
      </c>
      <c r="AB122" s="214">
        <v>0</v>
      </c>
      <c r="AC122" s="125">
        <f t="shared" si="12"/>
        <v>0</v>
      </c>
      <c r="AD122" s="125">
        <f>Valores!$C$26</f>
        <v>567.05999999999995</v>
      </c>
      <c r="AE122" s="192">
        <v>0</v>
      </c>
      <c r="AF122" s="125">
        <f>ROUND(AE122*Valores!$C$2,2)</f>
        <v>0</v>
      </c>
      <c r="AG122" s="125">
        <f>ROUND(IF($F$4="NO",Valores!$C$63,Valores!$C$63/2),2)</f>
        <v>6482.98</v>
      </c>
      <c r="AH122" s="125">
        <f t="shared" si="15"/>
        <v>179192.21</v>
      </c>
      <c r="AI122" s="125">
        <f>Valores!$C$31</f>
        <v>0</v>
      </c>
      <c r="AJ122" s="125">
        <f>Valores!$C$87</f>
        <v>0</v>
      </c>
      <c r="AK122" s="125">
        <f>Valores!C$38*B122</f>
        <v>30000</v>
      </c>
      <c r="AL122" s="125">
        <f>IF($F$3="NO",0,Valores!$C$55)</f>
        <v>327.60000000000002</v>
      </c>
      <c r="AM122" s="125">
        <f t="shared" si="13"/>
        <v>30327.599999999999</v>
      </c>
      <c r="AN122" s="125">
        <f>AH122*Valores!$C$71</f>
        <v>-19711.143099999998</v>
      </c>
      <c r="AO122" s="125">
        <f>AH122*-Valores!$C$72</f>
        <v>0</v>
      </c>
      <c r="AP122" s="125">
        <f>AH122*Valores!$C$73</f>
        <v>-8063.649449999999</v>
      </c>
      <c r="AQ122" s="125">
        <f>Valores!$C$100</f>
        <v>-280.91000000000003</v>
      </c>
      <c r="AR122" s="125">
        <f>IF($F$5=0,Valores!$C$101,(Valores!$C$101+$F$5*(Valores!$C$101)))</f>
        <v>-385</v>
      </c>
      <c r="AS122" s="125">
        <f t="shared" si="16"/>
        <v>181079.10744999998</v>
      </c>
      <c r="AT122" s="125">
        <f t="shared" si="10"/>
        <v>-19711.143099999998</v>
      </c>
      <c r="AU122" s="125">
        <f>AH122*Valores!$C$74</f>
        <v>-4838.1896699999998</v>
      </c>
      <c r="AV122" s="125">
        <f>AH122*Valores!$C$75</f>
        <v>-537.57663000000002</v>
      </c>
      <c r="AW122" s="125">
        <f t="shared" si="14"/>
        <v>184432.90059999999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77295.42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15683.76</v>
      </c>
      <c r="N123" s="125">
        <f t="shared" si="11"/>
        <v>0</v>
      </c>
      <c r="O123" s="125">
        <f>Valores!$C$9</f>
        <v>29939.09</v>
      </c>
      <c r="P123" s="125">
        <f>Valores!$D$5</f>
        <v>13864.36</v>
      </c>
      <c r="Q123" s="125">
        <f>Valores!$C$22</f>
        <v>12369.22</v>
      </c>
      <c r="R123" s="125">
        <f>IF($F$4="NO",Valores!$C$47,Valores!$C$47/2)</f>
        <v>14493.86</v>
      </c>
      <c r="S123" s="125">
        <f>Valores!$C$20</f>
        <v>12769.11</v>
      </c>
      <c r="T123" s="125">
        <f t="shared" si="17"/>
        <v>12769.11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12637.52</v>
      </c>
      <c r="AA123" s="125">
        <f>Valores!$C$25</f>
        <v>567.05999999999995</v>
      </c>
      <c r="AB123" s="214">
        <v>0</v>
      </c>
      <c r="AC123" s="125">
        <f t="shared" si="12"/>
        <v>0</v>
      </c>
      <c r="AD123" s="125">
        <f>Valores!$C$26</f>
        <v>567.05999999999995</v>
      </c>
      <c r="AE123" s="192">
        <v>0</v>
      </c>
      <c r="AF123" s="125">
        <f>ROUND(AE123*Valores!$C$2,2)</f>
        <v>0</v>
      </c>
      <c r="AG123" s="125">
        <f>ROUND(IF($F$4="NO",Valores!$C$63,Valores!$C$63/2),2)</f>
        <v>6482.98</v>
      </c>
      <c r="AH123" s="125">
        <f t="shared" si="15"/>
        <v>196669.44</v>
      </c>
      <c r="AI123" s="125">
        <f>Valores!$C$31</f>
        <v>0</v>
      </c>
      <c r="AJ123" s="125">
        <f>Valores!$C$89</f>
        <v>0</v>
      </c>
      <c r="AK123" s="125">
        <f>Valores!C$38*B123</f>
        <v>30000</v>
      </c>
      <c r="AL123" s="125">
        <f>IF($F$3="NO",0,Valores!$C$55)</f>
        <v>327.60000000000002</v>
      </c>
      <c r="AM123" s="125">
        <f t="shared" si="13"/>
        <v>30327.599999999999</v>
      </c>
      <c r="AN123" s="125">
        <f>AH123*Valores!$C$71</f>
        <v>-21633.6384</v>
      </c>
      <c r="AO123" s="125">
        <f>AH123*-Valores!$C$72</f>
        <v>0</v>
      </c>
      <c r="AP123" s="125">
        <f>AH123*Valores!$C$73</f>
        <v>-8850.1247999999996</v>
      </c>
      <c r="AQ123" s="125">
        <f>Valores!$C$100</f>
        <v>-280.91000000000003</v>
      </c>
      <c r="AR123" s="125">
        <f>IF($F$5=0,Valores!$C$101,(Valores!$C$101+$F$5*(Valores!$C$101)))</f>
        <v>-385</v>
      </c>
      <c r="AS123" s="125">
        <f t="shared" si="16"/>
        <v>195847.36679999999</v>
      </c>
      <c r="AT123" s="125">
        <f t="shared" si="10"/>
        <v>-21633.6384</v>
      </c>
      <c r="AU123" s="125">
        <f>AH123*Valores!$C$74</f>
        <v>-5310.0748800000001</v>
      </c>
      <c r="AV123" s="125">
        <f>AH123*Valores!$C$75</f>
        <v>-590.00832000000003</v>
      </c>
      <c r="AW123" s="125">
        <f t="shared" si="14"/>
        <v>199463.31840000002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47055.28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10336.969999999999</v>
      </c>
      <c r="N124" s="125">
        <f t="shared" si="11"/>
        <v>0</v>
      </c>
      <c r="O124" s="125">
        <f>Valores!$C$16</f>
        <v>23436.25</v>
      </c>
      <c r="P124" s="125">
        <f>Valores!$D$5</f>
        <v>13864.36</v>
      </c>
      <c r="Q124" s="125">
        <v>0</v>
      </c>
      <c r="R124" s="125">
        <f>IF($F$4="NO",Valores!$C$43,Valores!$C$43/2)</f>
        <v>9088.77</v>
      </c>
      <c r="S124" s="125">
        <f>Valores!$C$20</f>
        <v>12769.11</v>
      </c>
      <c r="T124" s="125">
        <f t="shared" si="17"/>
        <v>12769.11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6318.76</v>
      </c>
      <c r="AA124" s="125">
        <f>Valores!$C$25</f>
        <v>567.05999999999995</v>
      </c>
      <c r="AB124" s="214">
        <v>0</v>
      </c>
      <c r="AC124" s="125">
        <f t="shared" si="12"/>
        <v>0</v>
      </c>
      <c r="AD124" s="125">
        <f>Valores!$C$26</f>
        <v>567.05999999999995</v>
      </c>
      <c r="AE124" s="192">
        <v>0</v>
      </c>
      <c r="AF124" s="125">
        <f>ROUND(AE124*Valores!$C$2,2)</f>
        <v>0</v>
      </c>
      <c r="AG124" s="125">
        <f>ROUND(IF($F$4="NO",Valores!$C$63,Valores!$C$63/2),2)</f>
        <v>6482.98</v>
      </c>
      <c r="AH124" s="125">
        <f t="shared" si="15"/>
        <v>130486.59999999999</v>
      </c>
      <c r="AI124" s="125">
        <f>Valores!$C$31</f>
        <v>0</v>
      </c>
      <c r="AJ124" s="125">
        <f>Valores!$C$87</f>
        <v>0</v>
      </c>
      <c r="AK124" s="125">
        <f>Valores!C$38*B124</f>
        <v>30000</v>
      </c>
      <c r="AL124" s="125">
        <f>IF($F$3="NO",0,Valores!$C$56)</f>
        <v>170.34</v>
      </c>
      <c r="AM124" s="125">
        <f t="shared" si="13"/>
        <v>30170.34</v>
      </c>
      <c r="AN124" s="125">
        <f>AH124*Valores!$C$71</f>
        <v>-14353.526</v>
      </c>
      <c r="AO124" s="125">
        <f>AH124*-Valores!$C$72</f>
        <v>0</v>
      </c>
      <c r="AP124" s="125">
        <f>AH124*Valores!$C$73</f>
        <v>-5871.896999999999</v>
      </c>
      <c r="AQ124" s="125">
        <f>Valores!$C$100</f>
        <v>-280.91000000000003</v>
      </c>
      <c r="AR124" s="125">
        <f>IF($F$5=0,Valores!$C$101,(Valores!$C$101+$F$5*(Valores!$C$101)))</f>
        <v>-385</v>
      </c>
      <c r="AS124" s="125">
        <f t="shared" si="16"/>
        <v>139765.60699999999</v>
      </c>
      <c r="AT124" s="125">
        <f t="shared" si="10"/>
        <v>-14353.526</v>
      </c>
      <c r="AU124" s="125">
        <f>AH124*Valores!$C$74</f>
        <v>-3523.1381999999999</v>
      </c>
      <c r="AV124" s="125">
        <f>AH124*Valores!$C$75</f>
        <v>-391.45979999999997</v>
      </c>
      <c r="AW124" s="125">
        <f t="shared" si="14"/>
        <v>142388.81599999999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1952.73</v>
      </c>
      <c r="G125" s="192">
        <v>1590</v>
      </c>
      <c r="H125" s="125">
        <f>ROUND(G125*Valores!$C$2,2)</f>
        <v>43122.71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10040</v>
      </c>
      <c r="N125" s="125">
        <f t="shared" si="11"/>
        <v>0</v>
      </c>
      <c r="O125" s="125">
        <f>Valores!$C$16</f>
        <v>23436.25</v>
      </c>
      <c r="P125" s="125">
        <f>Valores!$D$5</f>
        <v>13864.36</v>
      </c>
      <c r="Q125" s="125">
        <f>Valores!$C$22</f>
        <v>12369.22</v>
      </c>
      <c r="R125" s="125">
        <f>IF($F$4="NO",Valores!$C$43,Valores!$C$43/2)</f>
        <v>9088.77</v>
      </c>
      <c r="S125" s="125">
        <f>Valores!$C$20</f>
        <v>12769.11</v>
      </c>
      <c r="T125" s="125">
        <f t="shared" si="17"/>
        <v>12769.11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6318.76</v>
      </c>
      <c r="AA125" s="125">
        <f>Valores!$C$25</f>
        <v>567.05999999999995</v>
      </c>
      <c r="AB125" s="214">
        <v>0</v>
      </c>
      <c r="AC125" s="125">
        <f t="shared" si="12"/>
        <v>0</v>
      </c>
      <c r="AD125" s="125">
        <f>Valores!$C$26</f>
        <v>567.05999999999995</v>
      </c>
      <c r="AE125" s="192">
        <v>0</v>
      </c>
      <c r="AF125" s="125">
        <f>ROUND(AE125*Valores!$C$2,2)</f>
        <v>0</v>
      </c>
      <c r="AG125" s="125">
        <f>ROUND(IF($F$4="NO",Valores!$C$63,Valores!$C$63/2),2)</f>
        <v>6482.98</v>
      </c>
      <c r="AH125" s="125">
        <f t="shared" si="15"/>
        <v>140579.01</v>
      </c>
      <c r="AI125" s="125">
        <f>Valores!$C$31</f>
        <v>0</v>
      </c>
      <c r="AJ125" s="125">
        <f>Valores!$C$87</f>
        <v>0</v>
      </c>
      <c r="AK125" s="125">
        <f>Valores!C$38*B125</f>
        <v>30000</v>
      </c>
      <c r="AL125" s="125">
        <f>IF($F$3="NO",0,Valores!$C$56)</f>
        <v>170.34</v>
      </c>
      <c r="AM125" s="125">
        <f t="shared" si="13"/>
        <v>30170.34</v>
      </c>
      <c r="AN125" s="125">
        <f>AH125*Valores!$C$71</f>
        <v>-15463.691100000002</v>
      </c>
      <c r="AO125" s="125">
        <f>AH125*-Valores!$C$72</f>
        <v>0</v>
      </c>
      <c r="AP125" s="125">
        <f>AH125*Valores!$C$73</f>
        <v>-6326.0554499999998</v>
      </c>
      <c r="AQ125" s="125">
        <f>Valores!$C$100</f>
        <v>-280.91000000000003</v>
      </c>
      <c r="AR125" s="125">
        <f>IF($F$5=0,Valores!$C$101,(Valores!$C$101+$F$5*(Valores!$C$101)))</f>
        <v>-385</v>
      </c>
      <c r="AS125" s="125">
        <f t="shared" si="16"/>
        <v>148293.69345000002</v>
      </c>
      <c r="AT125" s="125">
        <f t="shared" si="10"/>
        <v>-15463.691100000002</v>
      </c>
      <c r="AU125" s="125">
        <f>AH125*Valores!$C$74</f>
        <v>-3795.6332700000003</v>
      </c>
      <c r="AV125" s="125">
        <f>AH125*Valores!$C$75</f>
        <v>-421.73703000000006</v>
      </c>
      <c r="AW125" s="125">
        <f t="shared" si="14"/>
        <v>151068.2886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1952.73</v>
      </c>
      <c r="G126" s="192">
        <v>1590</v>
      </c>
      <c r="H126" s="125">
        <f>ROUND(G126*Valores!$C$2,2)</f>
        <v>43122.71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10040</v>
      </c>
      <c r="N126" s="125">
        <f t="shared" si="11"/>
        <v>0</v>
      </c>
      <c r="O126" s="125">
        <f>Valores!$C$16</f>
        <v>23436.25</v>
      </c>
      <c r="P126" s="125">
        <f>Valores!$D$5</f>
        <v>13864.36</v>
      </c>
      <c r="Q126" s="125">
        <f>Valores!$C$22</f>
        <v>12369.22</v>
      </c>
      <c r="R126" s="125">
        <f>IF($F$4="NO",Valores!$C$43,Valores!$C$43/2)</f>
        <v>9088.77</v>
      </c>
      <c r="S126" s="125">
        <f>Valores!$C$20</f>
        <v>12769.11</v>
      </c>
      <c r="T126" s="125">
        <f t="shared" si="17"/>
        <v>12769.11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6318.76</v>
      </c>
      <c r="AA126" s="125">
        <f>Valores!$C$25</f>
        <v>567.05999999999995</v>
      </c>
      <c r="AB126" s="214">
        <v>0</v>
      </c>
      <c r="AC126" s="125">
        <f t="shared" si="12"/>
        <v>0</v>
      </c>
      <c r="AD126" s="125">
        <f>Valores!$C$26</f>
        <v>567.05999999999995</v>
      </c>
      <c r="AE126" s="192">
        <v>94</v>
      </c>
      <c r="AF126" s="125">
        <f>ROUND(AE126*Valores!$C$2,2)</f>
        <v>2549.39</v>
      </c>
      <c r="AG126" s="125">
        <f>ROUND(IF($F$4="NO",Valores!$C$63,Valores!$C$63/2),2)</f>
        <v>6482.98</v>
      </c>
      <c r="AH126" s="125">
        <f t="shared" si="15"/>
        <v>143128.40000000002</v>
      </c>
      <c r="AI126" s="125">
        <f>Valores!$C$31</f>
        <v>0</v>
      </c>
      <c r="AJ126" s="125">
        <f>Valores!$C$87</f>
        <v>0</v>
      </c>
      <c r="AK126" s="125">
        <f>Valores!C$38*B126</f>
        <v>30000</v>
      </c>
      <c r="AL126" s="125">
        <f>IF($F$3="NO",0,Valores!$C$56)</f>
        <v>170.34</v>
      </c>
      <c r="AM126" s="125">
        <f t="shared" si="13"/>
        <v>30170.34</v>
      </c>
      <c r="AN126" s="125">
        <f>AH126*Valores!$C$71</f>
        <v>-15744.124000000003</v>
      </c>
      <c r="AO126" s="125">
        <f>AH126*-Valores!$C$72</f>
        <v>0</v>
      </c>
      <c r="AP126" s="125">
        <f>AH126*Valores!$C$73</f>
        <v>-6440.7780000000012</v>
      </c>
      <c r="AQ126" s="125">
        <f>Valores!$C$100</f>
        <v>-280.91000000000003</v>
      </c>
      <c r="AR126" s="125">
        <f>IF($F$5=0,Valores!$C$101,(Valores!$C$101+$F$5*(Valores!$C$101)))</f>
        <v>-385</v>
      </c>
      <c r="AS126" s="125">
        <f t="shared" si="16"/>
        <v>150447.92800000001</v>
      </c>
      <c r="AT126" s="125">
        <f t="shared" si="10"/>
        <v>-15744.124000000003</v>
      </c>
      <c r="AU126" s="125">
        <f>AH126*Valores!$C$74</f>
        <v>-3864.4668000000006</v>
      </c>
      <c r="AV126" s="125">
        <f>AH126*Valores!$C$75</f>
        <v>-429.38520000000005</v>
      </c>
      <c r="AW126" s="125">
        <f t="shared" si="14"/>
        <v>153260.76400000002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2088.33</v>
      </c>
      <c r="G127" s="192">
        <v>2043</v>
      </c>
      <c r="H127" s="125">
        <f>ROUND(G127*Valores!$C$2,2)</f>
        <v>55408.61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12004.41</v>
      </c>
      <c r="N127" s="125">
        <f t="shared" si="11"/>
        <v>0</v>
      </c>
      <c r="O127" s="125">
        <f>Valores!$C$11</f>
        <v>24183.22</v>
      </c>
      <c r="P127" s="125">
        <f>Valores!$D$5</f>
        <v>13864.36</v>
      </c>
      <c r="Q127" s="125">
        <f>Valores!$C$22</f>
        <v>12369.22</v>
      </c>
      <c r="R127" s="125">
        <f>IF($F$4="NO",Valores!$C$44,Valores!$C$44/2)</f>
        <v>9631.44</v>
      </c>
      <c r="S127" s="125">
        <f>Valores!$C$19</f>
        <v>12901.01</v>
      </c>
      <c r="T127" s="125">
        <f t="shared" si="17"/>
        <v>12901.01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6318.76</v>
      </c>
      <c r="AA127" s="125">
        <f>Valores!$C$25</f>
        <v>567.05999999999995</v>
      </c>
      <c r="AB127" s="214">
        <v>0</v>
      </c>
      <c r="AC127" s="125">
        <f t="shared" si="12"/>
        <v>0</v>
      </c>
      <c r="AD127" s="125">
        <f>Valores!$C$26</f>
        <v>567.05999999999995</v>
      </c>
      <c r="AE127" s="192">
        <v>0</v>
      </c>
      <c r="AF127" s="125">
        <f>ROUND(AE127*Valores!$C$2,2)</f>
        <v>0</v>
      </c>
      <c r="AG127" s="125">
        <f>ROUND(IF($F$4="NO",Valores!$C$63,Valores!$C$63/2),2)</f>
        <v>6482.98</v>
      </c>
      <c r="AH127" s="125">
        <f t="shared" si="15"/>
        <v>156386.46000000002</v>
      </c>
      <c r="AI127" s="125">
        <f>Valores!$C$31</f>
        <v>0</v>
      </c>
      <c r="AJ127" s="125">
        <f>Valores!$C$87</f>
        <v>0</v>
      </c>
      <c r="AK127" s="125">
        <f>Valores!C$38*B127</f>
        <v>30000</v>
      </c>
      <c r="AL127" s="125">
        <f>IF($F$3="NO",0,Valores!$C$56)</f>
        <v>170.34</v>
      </c>
      <c r="AM127" s="125">
        <f t="shared" si="13"/>
        <v>30170.34</v>
      </c>
      <c r="AN127" s="125">
        <f>AH127*Valores!$C$71</f>
        <v>-17202.510600000001</v>
      </c>
      <c r="AO127" s="125">
        <f>AH127*-Valores!$C$72</f>
        <v>0</v>
      </c>
      <c r="AP127" s="125">
        <f>AH127*Valores!$C$73</f>
        <v>-7037.3907000000008</v>
      </c>
      <c r="AQ127" s="125">
        <f>Valores!$C$100</f>
        <v>-280.91000000000003</v>
      </c>
      <c r="AR127" s="125">
        <f>IF($F$5=0,Valores!$C$101,(Valores!$C$101+$F$5*(Valores!$C$101)))</f>
        <v>-385</v>
      </c>
      <c r="AS127" s="125">
        <f t="shared" si="16"/>
        <v>161650.98870000002</v>
      </c>
      <c r="AT127" s="125">
        <f t="shared" si="10"/>
        <v>-17202.510600000001</v>
      </c>
      <c r="AU127" s="125">
        <f>AH127*Valores!$C$74</f>
        <v>-4222.4344200000005</v>
      </c>
      <c r="AV127" s="125">
        <f>AH127*Valores!$C$75</f>
        <v>-469.15938000000006</v>
      </c>
      <c r="AW127" s="125">
        <f t="shared" si="14"/>
        <v>164662.69560000001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1654.39</v>
      </c>
      <c r="G128" s="192">
        <v>1217</v>
      </c>
      <c r="H128" s="125">
        <f>ROUND(G128*Valores!$C$2,2)</f>
        <v>33006.5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8497.6</v>
      </c>
      <c r="N128" s="125">
        <f t="shared" si="11"/>
        <v>0</v>
      </c>
      <c r="O128" s="125">
        <f>Valores!$C$16</f>
        <v>23436.25</v>
      </c>
      <c r="P128" s="125">
        <f>Valores!$D$5</f>
        <v>13864.36</v>
      </c>
      <c r="Q128" s="125">
        <f>Valores!$C$22</f>
        <v>12369.22</v>
      </c>
      <c r="R128" s="125">
        <f>IF($F$4="NO",Valores!$C$43,Valores!$C$43/2)</f>
        <v>9088.77</v>
      </c>
      <c r="S128" s="125">
        <f>Valores!$C$19</f>
        <v>12901.01</v>
      </c>
      <c r="T128" s="125">
        <f t="shared" si="17"/>
        <v>12901.01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6318.76</v>
      </c>
      <c r="AA128" s="125">
        <f>Valores!$C$25</f>
        <v>567.05999999999995</v>
      </c>
      <c r="AB128" s="214">
        <v>0</v>
      </c>
      <c r="AC128" s="125">
        <f t="shared" si="12"/>
        <v>0</v>
      </c>
      <c r="AD128" s="125">
        <f>Valores!$C$26</f>
        <v>567.05999999999995</v>
      </c>
      <c r="AE128" s="192">
        <v>0</v>
      </c>
      <c r="AF128" s="125">
        <f>ROUND(AE128*Valores!$C$2,2)</f>
        <v>0</v>
      </c>
      <c r="AG128" s="125">
        <f>ROUND(IF($F$4="NO",Valores!$C$63,Valores!$C$63/2),2)</f>
        <v>6482.98</v>
      </c>
      <c r="AH128" s="125">
        <f t="shared" si="15"/>
        <v>128753.95999999998</v>
      </c>
      <c r="AI128" s="125">
        <f>Valores!$C$31</f>
        <v>0</v>
      </c>
      <c r="AJ128" s="125">
        <f>Valores!$C$87</f>
        <v>0</v>
      </c>
      <c r="AK128" s="125">
        <f>Valores!C$38*B128</f>
        <v>30000</v>
      </c>
      <c r="AL128" s="125">
        <f>IF($F$3="NO",0,Valores!$C$56)</f>
        <v>170.34</v>
      </c>
      <c r="AM128" s="125">
        <f t="shared" si="13"/>
        <v>30170.34</v>
      </c>
      <c r="AN128" s="125">
        <f>AH128*Valores!$C$71</f>
        <v>-14162.935599999997</v>
      </c>
      <c r="AO128" s="125">
        <f>AH128*-Valores!$C$72</f>
        <v>0</v>
      </c>
      <c r="AP128" s="125">
        <f>AH128*Valores!$C$73</f>
        <v>-5793.9281999999985</v>
      </c>
      <c r="AQ128" s="125">
        <f>Valores!$C$100</f>
        <v>-280.91000000000003</v>
      </c>
      <c r="AR128" s="125">
        <f>IF($F$5=0,Valores!$C$101,(Valores!$C$101+$F$5*(Valores!$C$101)))</f>
        <v>-385</v>
      </c>
      <c r="AS128" s="125">
        <f t="shared" si="16"/>
        <v>138301.52619999999</v>
      </c>
      <c r="AT128" s="125">
        <f t="shared" si="10"/>
        <v>-14162.935599999997</v>
      </c>
      <c r="AU128" s="125">
        <f>AH128*Valores!$C$74</f>
        <v>-3476.3569199999993</v>
      </c>
      <c r="AV128" s="125">
        <f>AH128*Valores!$C$75</f>
        <v>-386.26187999999996</v>
      </c>
      <c r="AW128" s="125">
        <f t="shared" si="14"/>
        <v>140898.74559999999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1952.73</v>
      </c>
      <c r="G129" s="192">
        <v>1206</v>
      </c>
      <c r="H129" s="125">
        <f>ROUND(G129*Valores!$C$2,2)</f>
        <v>32708.17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8497.6</v>
      </c>
      <c r="N129" s="125">
        <f t="shared" si="11"/>
        <v>0</v>
      </c>
      <c r="O129" s="125">
        <f>Valores!$C$16</f>
        <v>23436.25</v>
      </c>
      <c r="P129" s="125">
        <f>Valores!$D$5</f>
        <v>13864.36</v>
      </c>
      <c r="Q129" s="125">
        <f>Valores!$C$22</f>
        <v>12369.22</v>
      </c>
      <c r="R129" s="125">
        <f>IF($F$4="NO",Valores!$C$43,Valores!$C$43/2)</f>
        <v>9088.77</v>
      </c>
      <c r="S129" s="125">
        <f>Valores!$C$19</f>
        <v>12901.01</v>
      </c>
      <c r="T129" s="125">
        <f t="shared" si="17"/>
        <v>12901.01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6318.76</v>
      </c>
      <c r="AA129" s="125">
        <f>Valores!$C$25</f>
        <v>567.05999999999995</v>
      </c>
      <c r="AB129" s="214">
        <v>0</v>
      </c>
      <c r="AC129" s="125">
        <f t="shared" si="12"/>
        <v>0</v>
      </c>
      <c r="AD129" s="125">
        <f>Valores!$C$26</f>
        <v>567.05999999999995</v>
      </c>
      <c r="AE129" s="192">
        <v>94</v>
      </c>
      <c r="AF129" s="125">
        <f>ROUND(AE129*Valores!$C$2,2)</f>
        <v>2549.39</v>
      </c>
      <c r="AG129" s="125">
        <f>ROUND(IF($F$4="NO",Valores!$C$63,Valores!$C$63/2),2)</f>
        <v>6482.98</v>
      </c>
      <c r="AH129" s="125">
        <f t="shared" si="15"/>
        <v>131303.35999999999</v>
      </c>
      <c r="AI129" s="125">
        <f>Valores!$C$31</f>
        <v>0</v>
      </c>
      <c r="AJ129" s="125">
        <f>Valores!$C$87</f>
        <v>0</v>
      </c>
      <c r="AK129" s="125">
        <f>Valores!C$38*B129</f>
        <v>30000</v>
      </c>
      <c r="AL129" s="125">
        <f>IF($F$3="NO",0,Valores!$C$56)</f>
        <v>170.34</v>
      </c>
      <c r="AM129" s="125">
        <f t="shared" si="13"/>
        <v>30170.34</v>
      </c>
      <c r="AN129" s="125">
        <f>AH129*Valores!$C$71</f>
        <v>-14443.369599999998</v>
      </c>
      <c r="AO129" s="125">
        <f>AH129*-Valores!$C$72</f>
        <v>0</v>
      </c>
      <c r="AP129" s="125">
        <f>AH129*Valores!$C$73</f>
        <v>-5908.6511999999993</v>
      </c>
      <c r="AQ129" s="125">
        <f>Valores!$C$100</f>
        <v>-280.91000000000003</v>
      </c>
      <c r="AR129" s="125">
        <f>IF($F$5=0,Valores!$C$101,(Valores!$C$101+$F$5*(Valores!$C$101)))</f>
        <v>-385</v>
      </c>
      <c r="AS129" s="125">
        <f t="shared" si="16"/>
        <v>140455.76919999998</v>
      </c>
      <c r="AT129" s="125">
        <f t="shared" si="10"/>
        <v>-14443.369599999998</v>
      </c>
      <c r="AU129" s="125">
        <f>AH129*Valores!$C$74</f>
        <v>-3545.1907199999996</v>
      </c>
      <c r="AV129" s="125">
        <f>AH129*Valores!$C$75</f>
        <v>-393.91007999999999</v>
      </c>
      <c r="AW129" s="125">
        <f t="shared" si="14"/>
        <v>143091.22959999999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1654.39</v>
      </c>
      <c r="G130" s="192">
        <v>1217</v>
      </c>
      <c r="H130" s="125">
        <f>ROUND(G130*Valores!$C$2,2)</f>
        <v>33006.5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8477.82</v>
      </c>
      <c r="N130" s="125">
        <f t="shared" si="11"/>
        <v>0</v>
      </c>
      <c r="O130" s="125">
        <f>Valores!$C$16</f>
        <v>23436.25</v>
      </c>
      <c r="P130" s="125">
        <f>Valores!$D$5</f>
        <v>13864.36</v>
      </c>
      <c r="Q130" s="125">
        <v>0</v>
      </c>
      <c r="R130" s="125">
        <f>IF($F$4="NO",Valores!$C$43,Valores!$C$43/2)</f>
        <v>9088.77</v>
      </c>
      <c r="S130" s="125">
        <f>Valores!$C$20</f>
        <v>12769.11</v>
      </c>
      <c r="T130" s="125">
        <f t="shared" si="17"/>
        <v>12769.11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6318.76</v>
      </c>
      <c r="AA130" s="125">
        <f>Valores!$C$25</f>
        <v>567.05999999999995</v>
      </c>
      <c r="AB130" s="214">
        <v>0</v>
      </c>
      <c r="AC130" s="125">
        <f t="shared" si="12"/>
        <v>0</v>
      </c>
      <c r="AD130" s="125">
        <f>Valores!$C$26</f>
        <v>567.05999999999995</v>
      </c>
      <c r="AE130" s="192">
        <v>0</v>
      </c>
      <c r="AF130" s="125">
        <f>ROUND(AE130*Valores!$C$2,2)</f>
        <v>0</v>
      </c>
      <c r="AG130" s="125">
        <f>ROUND(IF($F$4="NO",Valores!$C$63,Valores!$C$63/2),2)</f>
        <v>6482.98</v>
      </c>
      <c r="AH130" s="125">
        <f t="shared" si="15"/>
        <v>116233.05999999998</v>
      </c>
      <c r="AI130" s="125">
        <f>Valores!$C$31</f>
        <v>0</v>
      </c>
      <c r="AJ130" s="125">
        <f>Valores!$C$87</f>
        <v>0</v>
      </c>
      <c r="AK130" s="125">
        <f>Valores!C$38*B130</f>
        <v>30000</v>
      </c>
      <c r="AL130" s="125">
        <f>IF($F$3="NO",0,Valores!$C$56)</f>
        <v>170.34</v>
      </c>
      <c r="AM130" s="125">
        <f t="shared" si="13"/>
        <v>30170.34</v>
      </c>
      <c r="AN130" s="125">
        <f>AH130*Valores!$C$71</f>
        <v>-12785.636599999998</v>
      </c>
      <c r="AO130" s="125">
        <f>AH130*-Valores!$C$72</f>
        <v>0</v>
      </c>
      <c r="AP130" s="125">
        <f>AH130*Valores!$C$73</f>
        <v>-5230.4876999999988</v>
      </c>
      <c r="AQ130" s="125">
        <f>Valores!$C$100</f>
        <v>-280.91000000000003</v>
      </c>
      <c r="AR130" s="125">
        <f>IF($F$5=0,Valores!$C$101,(Valores!$C$101+$F$5*(Valores!$C$101)))</f>
        <v>-385</v>
      </c>
      <c r="AS130" s="125">
        <f t="shared" si="16"/>
        <v>127721.36569999999</v>
      </c>
      <c r="AT130" s="125">
        <f t="shared" si="10"/>
        <v>-12785.636599999998</v>
      </c>
      <c r="AU130" s="125">
        <f>AH130*Valores!$C$74</f>
        <v>-3138.2926199999997</v>
      </c>
      <c r="AV130" s="125">
        <f>AH130*Valores!$C$75</f>
        <v>-348.69917999999996</v>
      </c>
      <c r="AW130" s="125">
        <f t="shared" si="14"/>
        <v>130130.77159999999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34660.89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8559.2199999999993</v>
      </c>
      <c r="N131" s="125">
        <f t="shared" si="11"/>
        <v>0</v>
      </c>
      <c r="O131" s="125">
        <f>Valores!$C$16</f>
        <v>23436.25</v>
      </c>
      <c r="P131" s="125">
        <f>Valores!$D$5</f>
        <v>13864.36</v>
      </c>
      <c r="Q131" s="125">
        <f>Valores!$C$22</f>
        <v>12369.22</v>
      </c>
      <c r="R131" s="125">
        <f>IF($F$4="NO",Valores!$C$44,Valores!$C$44/2)</f>
        <v>9631.44</v>
      </c>
      <c r="S131" s="125">
        <f>Valores!$C$20</f>
        <v>12769.11</v>
      </c>
      <c r="T131" s="125">
        <f t="shared" si="17"/>
        <v>12769.11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6318.76</v>
      </c>
      <c r="AA131" s="125">
        <f>Valores!$C$25</f>
        <v>567.05999999999995</v>
      </c>
      <c r="AB131" s="214">
        <v>0</v>
      </c>
      <c r="AC131" s="125">
        <f t="shared" si="12"/>
        <v>0</v>
      </c>
      <c r="AD131" s="125">
        <f>Valores!$C$26</f>
        <v>567.05999999999995</v>
      </c>
      <c r="AE131" s="192">
        <v>0</v>
      </c>
      <c r="AF131" s="125">
        <f>ROUND(AE131*Valores!$C$2,2)</f>
        <v>0</v>
      </c>
      <c r="AG131" s="125">
        <f>ROUND(IF($F$4="NO",Valores!$C$63,Valores!$C$63/2),2)</f>
        <v>6482.98</v>
      </c>
      <c r="AH131" s="125">
        <f t="shared" si="15"/>
        <v>129226.34999999999</v>
      </c>
      <c r="AI131" s="125">
        <f>Valores!$C$31</f>
        <v>0</v>
      </c>
      <c r="AJ131" s="125">
        <f>Valores!$C$87</f>
        <v>0</v>
      </c>
      <c r="AK131" s="125">
        <f>Valores!C$38*B131</f>
        <v>30000</v>
      </c>
      <c r="AL131" s="125">
        <f>IF($F$3="NO",0,Valores!$C$56)</f>
        <v>170.34</v>
      </c>
      <c r="AM131" s="125">
        <f t="shared" si="13"/>
        <v>30170.34</v>
      </c>
      <c r="AN131" s="125">
        <f>AH131*Valores!$C$71</f>
        <v>-14214.898499999999</v>
      </c>
      <c r="AO131" s="125">
        <f>AH131*-Valores!$C$72</f>
        <v>0</v>
      </c>
      <c r="AP131" s="125">
        <f>AH131*Valores!$C$73</f>
        <v>-5815.1857499999996</v>
      </c>
      <c r="AQ131" s="125">
        <f>Valores!$C$100</f>
        <v>-280.91000000000003</v>
      </c>
      <c r="AR131" s="125">
        <f>IF($F$5=0,Valores!$C$101,(Valores!$C$101+$F$5*(Valores!$C$101)))</f>
        <v>-385</v>
      </c>
      <c r="AS131" s="125">
        <f t="shared" si="16"/>
        <v>138700.69574999998</v>
      </c>
      <c r="AT131" s="125">
        <f t="shared" si="10"/>
        <v>-14214.898499999999</v>
      </c>
      <c r="AU131" s="125">
        <f>AH131*Valores!$C$74</f>
        <v>-3489.1114499999999</v>
      </c>
      <c r="AV131" s="125">
        <f>AH131*Valores!$C$75</f>
        <v>-387.67904999999996</v>
      </c>
      <c r="AW131" s="125">
        <f t="shared" si="14"/>
        <v>141305.00099999999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34660.89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8579</v>
      </c>
      <c r="N132" s="125">
        <f t="shared" si="11"/>
        <v>0</v>
      </c>
      <c r="O132" s="125">
        <f>Valores!$C$16</f>
        <v>23436.25</v>
      </c>
      <c r="P132" s="125">
        <f>Valores!$D$5</f>
        <v>13864.36</v>
      </c>
      <c r="Q132" s="125">
        <f>Valores!$C$22</f>
        <v>12369.22</v>
      </c>
      <c r="R132" s="125">
        <f>IF($F$4="NO",Valores!$C$44,Valores!$C$44/2)</f>
        <v>9631.44</v>
      </c>
      <c r="S132" s="125">
        <f>Valores!$C$19</f>
        <v>12901.01</v>
      </c>
      <c r="T132" s="125">
        <f t="shared" si="17"/>
        <v>12901.01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6318.76</v>
      </c>
      <c r="AA132" s="125">
        <f>Valores!$C$25</f>
        <v>567.05999999999995</v>
      </c>
      <c r="AB132" s="214">
        <v>0</v>
      </c>
      <c r="AC132" s="125">
        <f t="shared" si="12"/>
        <v>0</v>
      </c>
      <c r="AD132" s="125">
        <f>Valores!$C$26</f>
        <v>567.05999999999995</v>
      </c>
      <c r="AE132" s="192">
        <v>94</v>
      </c>
      <c r="AF132" s="125">
        <f>ROUND(AE132*Valores!$C$2,2)</f>
        <v>2549.39</v>
      </c>
      <c r="AG132" s="125">
        <f>ROUND(IF($F$4="NO",Valores!$C$63,Valores!$C$63/2),2)</f>
        <v>6482.98</v>
      </c>
      <c r="AH132" s="125">
        <f t="shared" si="15"/>
        <v>131927.41999999998</v>
      </c>
      <c r="AI132" s="125">
        <f>Valores!$C$31</f>
        <v>0</v>
      </c>
      <c r="AJ132" s="125">
        <f>Valores!$C$87</f>
        <v>0</v>
      </c>
      <c r="AK132" s="125">
        <f>Valores!C$38*B132</f>
        <v>30000</v>
      </c>
      <c r="AL132" s="125">
        <f>IF($F$3="NO",0,Valores!$C$56)</f>
        <v>170.34</v>
      </c>
      <c r="AM132" s="125">
        <f t="shared" si="13"/>
        <v>30170.34</v>
      </c>
      <c r="AN132" s="125">
        <f>AH132*Valores!$C$71</f>
        <v>-14512.016199999998</v>
      </c>
      <c r="AO132" s="125">
        <f>AH132*-Valores!$C$72</f>
        <v>0</v>
      </c>
      <c r="AP132" s="125">
        <f>AH132*Valores!$C$73</f>
        <v>-5936.7338999999993</v>
      </c>
      <c r="AQ132" s="125">
        <f>Valores!$C$100</f>
        <v>-280.91000000000003</v>
      </c>
      <c r="AR132" s="125">
        <f>IF($F$5=0,Valores!$C$101,(Valores!$C$101+$F$5*(Valores!$C$101)))</f>
        <v>-385</v>
      </c>
      <c r="AS132" s="125">
        <f t="shared" si="16"/>
        <v>140983.09989999997</v>
      </c>
      <c r="AT132" s="125">
        <f t="shared" si="10"/>
        <v>-14512.016199999998</v>
      </c>
      <c r="AU132" s="125">
        <f>AH132*Valores!$C$74</f>
        <v>-3562.0403399999996</v>
      </c>
      <c r="AV132" s="125">
        <f>AH132*Valores!$C$75</f>
        <v>-395.78225999999995</v>
      </c>
      <c r="AW132" s="125">
        <f t="shared" si="14"/>
        <v>143627.92119999998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25385.439999999999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7086.5</v>
      </c>
      <c r="N133" s="125">
        <f t="shared" si="11"/>
        <v>0</v>
      </c>
      <c r="O133" s="125">
        <f>Valores!$C$16</f>
        <v>23436.25</v>
      </c>
      <c r="P133" s="125">
        <f>Valores!$D$5</f>
        <v>13864.36</v>
      </c>
      <c r="Q133" s="125">
        <f>Valores!$C$23</f>
        <v>11512.45</v>
      </c>
      <c r="R133" s="125">
        <f>IF($F$4="NO",Valores!$C$43,Valores!$C$43/2)</f>
        <v>9088.77</v>
      </c>
      <c r="S133" s="125">
        <f>Valores!$C$20</f>
        <v>12769.11</v>
      </c>
      <c r="T133" s="125">
        <f t="shared" si="17"/>
        <v>12769.11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6318.76</v>
      </c>
      <c r="AA133" s="125">
        <f>Valores!$C$25</f>
        <v>567.05999999999995</v>
      </c>
      <c r="AB133" s="214">
        <v>0</v>
      </c>
      <c r="AC133" s="125">
        <f t="shared" si="12"/>
        <v>0</v>
      </c>
      <c r="AD133" s="125">
        <f>Valores!$C$26</f>
        <v>567.05999999999995</v>
      </c>
      <c r="AE133" s="192">
        <v>94</v>
      </c>
      <c r="AF133" s="125">
        <f>ROUND(AE133*Valores!$C$2,2)</f>
        <v>2549.39</v>
      </c>
      <c r="AG133" s="125">
        <f>ROUND(IF($F$4="NO",Valores!$C$63,Valores!$C$63/2),2)</f>
        <v>6482.98</v>
      </c>
      <c r="AH133" s="125">
        <f t="shared" si="15"/>
        <v>119628.12999999999</v>
      </c>
      <c r="AI133" s="125">
        <f>Valores!$C$31</f>
        <v>0</v>
      </c>
      <c r="AJ133" s="125">
        <f>Valores!$C$87</f>
        <v>0</v>
      </c>
      <c r="AK133" s="125">
        <f>Valores!C$38*B133</f>
        <v>30000</v>
      </c>
      <c r="AL133" s="125">
        <f>IF($F$3="NO",0,Valores!$C$56)</f>
        <v>170.34</v>
      </c>
      <c r="AM133" s="125">
        <f t="shared" si="13"/>
        <v>30170.34</v>
      </c>
      <c r="AN133" s="125">
        <f>AH133*Valores!$C$71</f>
        <v>-13159.094299999999</v>
      </c>
      <c r="AO133" s="125">
        <f>AH133*-Valores!$C$72</f>
        <v>0</v>
      </c>
      <c r="AP133" s="125">
        <f>AH133*Valores!$C$73</f>
        <v>-5383.2658499999998</v>
      </c>
      <c r="AQ133" s="125">
        <f>Valores!$C$100</f>
        <v>-280.91000000000003</v>
      </c>
      <c r="AR133" s="125">
        <f>IF($F$5=0,Valores!$C$101,(Valores!$C$101+$F$5*(Valores!$C$101)))</f>
        <v>-385</v>
      </c>
      <c r="AS133" s="125">
        <f t="shared" si="16"/>
        <v>130590.19984999999</v>
      </c>
      <c r="AT133" s="125">
        <f t="shared" si="10"/>
        <v>-13159.094299999999</v>
      </c>
      <c r="AU133" s="125">
        <f>AH133*Valores!$C$74</f>
        <v>-3229.9595099999997</v>
      </c>
      <c r="AV133" s="125">
        <f>AH133*Valores!$C$75</f>
        <v>-358.88439</v>
      </c>
      <c r="AW133" s="125">
        <f t="shared" si="14"/>
        <v>133050.5318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34660.89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8477.82</v>
      </c>
      <c r="N134" s="125">
        <f t="shared" si="11"/>
        <v>0</v>
      </c>
      <c r="O134" s="125">
        <f>Valores!$C$8</f>
        <v>29851.25</v>
      </c>
      <c r="P134" s="125">
        <f>Valores!$D$5</f>
        <v>13864.36</v>
      </c>
      <c r="Q134" s="125">
        <v>0</v>
      </c>
      <c r="R134" s="125">
        <f>IF($F$4="NO",Valores!$C$43,Valores!$C$43/2)</f>
        <v>9088.77</v>
      </c>
      <c r="S134" s="125">
        <f>Valores!$C$20</f>
        <v>12769.11</v>
      </c>
      <c r="T134" s="125">
        <f t="shared" si="17"/>
        <v>12769.11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6318.76</v>
      </c>
      <c r="AA134" s="125">
        <f>Valores!$C$25</f>
        <v>567.05999999999995</v>
      </c>
      <c r="AB134" s="214">
        <v>0</v>
      </c>
      <c r="AC134" s="125">
        <f t="shared" si="12"/>
        <v>0</v>
      </c>
      <c r="AD134" s="125">
        <f>Valores!$C$26</f>
        <v>567.05999999999995</v>
      </c>
      <c r="AE134" s="192">
        <v>94</v>
      </c>
      <c r="AF134" s="125">
        <f>ROUND(AE134*Valores!$C$2,2)</f>
        <v>2549.39</v>
      </c>
      <c r="AG134" s="125">
        <f>ROUND(IF($F$4="NO",Valores!$C$63,Valores!$C$63/2),2)</f>
        <v>6482.98</v>
      </c>
      <c r="AH134" s="125">
        <f t="shared" si="15"/>
        <v>125197.44999999998</v>
      </c>
      <c r="AI134" s="125">
        <f>Valores!$C$31</f>
        <v>0</v>
      </c>
      <c r="AJ134" s="125">
        <f>Valores!$C$87</f>
        <v>0</v>
      </c>
      <c r="AK134" s="125">
        <f>Valores!C$38*B134</f>
        <v>30000</v>
      </c>
      <c r="AL134" s="125">
        <f>IF($F$3="NO",0,Valores!$C$56)</f>
        <v>170.34</v>
      </c>
      <c r="AM134" s="125">
        <f t="shared" si="13"/>
        <v>30170.34</v>
      </c>
      <c r="AN134" s="125">
        <f>AH134*Valores!$C$71</f>
        <v>-13771.719499999997</v>
      </c>
      <c r="AO134" s="125">
        <f>AH134*-Valores!$C$72</f>
        <v>0</v>
      </c>
      <c r="AP134" s="125">
        <f>AH134*Valores!$C$73</f>
        <v>-5633.8852499999994</v>
      </c>
      <c r="AQ134" s="125">
        <f>Valores!$C$100</f>
        <v>-280.91000000000003</v>
      </c>
      <c r="AR134" s="125">
        <f>IF($F$5=0,Valores!$C$101,(Valores!$C$101+$F$5*(Valores!$C$101)))</f>
        <v>-385</v>
      </c>
      <c r="AS134" s="125">
        <f t="shared" si="16"/>
        <v>135296.27524999998</v>
      </c>
      <c r="AT134" s="125">
        <f t="shared" ref="AT134:AT196" si="18">AN134</f>
        <v>-13771.719499999997</v>
      </c>
      <c r="AU134" s="125">
        <f>AH134*Valores!$C$74</f>
        <v>-3380.3311499999995</v>
      </c>
      <c r="AV134" s="125">
        <f>AH134*Valores!$C$75</f>
        <v>-375.59234999999995</v>
      </c>
      <c r="AW134" s="125">
        <f t="shared" si="14"/>
        <v>137840.147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34660.89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8579</v>
      </c>
      <c r="N135" s="125">
        <f t="shared" si="11"/>
        <v>0</v>
      </c>
      <c r="O135" s="125">
        <f>Valores!$C$8</f>
        <v>29851.25</v>
      </c>
      <c r="P135" s="125">
        <f>Valores!$D$5</f>
        <v>13864.36</v>
      </c>
      <c r="Q135" s="125">
        <f>Valores!$C$22</f>
        <v>12369.22</v>
      </c>
      <c r="R135" s="125">
        <f>IF($F$4="NO",Valores!$C$44,Valores!$C$44/2)</f>
        <v>9631.44</v>
      </c>
      <c r="S135" s="125">
        <f>Valores!$C$19</f>
        <v>12901.01</v>
      </c>
      <c r="T135" s="125">
        <f t="shared" si="17"/>
        <v>12901.01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6318.76</v>
      </c>
      <c r="AA135" s="125">
        <f>Valores!$C$25</f>
        <v>567.05999999999995</v>
      </c>
      <c r="AB135" s="214">
        <v>0</v>
      </c>
      <c r="AC135" s="125">
        <f t="shared" si="12"/>
        <v>0</v>
      </c>
      <c r="AD135" s="125">
        <f>Valores!$C$26</f>
        <v>567.05999999999995</v>
      </c>
      <c r="AE135" s="192">
        <v>0</v>
      </c>
      <c r="AF135" s="125">
        <f>ROUND(AE135*Valores!$C$2,2)</f>
        <v>0</v>
      </c>
      <c r="AG135" s="125">
        <f>ROUND(IF($F$4="NO",Valores!$C$63,Valores!$C$63/2),2)</f>
        <v>6482.98</v>
      </c>
      <c r="AH135" s="125">
        <f t="shared" si="15"/>
        <v>135793.03</v>
      </c>
      <c r="AI135" s="125">
        <f>Valores!$C$31</f>
        <v>0</v>
      </c>
      <c r="AJ135" s="125">
        <f>Valores!$C$87</f>
        <v>0</v>
      </c>
      <c r="AK135" s="125">
        <f>Valores!C$38*B135</f>
        <v>30000</v>
      </c>
      <c r="AL135" s="125">
        <f>IF($F$3="NO",0,Valores!$C$56)</f>
        <v>170.34</v>
      </c>
      <c r="AM135" s="125">
        <f t="shared" si="13"/>
        <v>30170.34</v>
      </c>
      <c r="AN135" s="125">
        <f>AH135*Valores!$C$71</f>
        <v>-14937.2333</v>
      </c>
      <c r="AO135" s="125">
        <f>AH135*-Valores!$C$72</f>
        <v>0</v>
      </c>
      <c r="AP135" s="125">
        <f>AH135*Valores!$C$73</f>
        <v>-6110.6863499999999</v>
      </c>
      <c r="AQ135" s="125">
        <f>Valores!$C$100</f>
        <v>-280.91000000000003</v>
      </c>
      <c r="AR135" s="125">
        <f>IF($F$5=0,Valores!$C$101,(Valores!$C$101+$F$5*(Valores!$C$101)))</f>
        <v>-385</v>
      </c>
      <c r="AS135" s="125">
        <f t="shared" si="16"/>
        <v>144249.54035</v>
      </c>
      <c r="AT135" s="125">
        <f t="shared" si="18"/>
        <v>-14937.2333</v>
      </c>
      <c r="AU135" s="125">
        <f>AH135*Valores!$C$74</f>
        <v>-3666.4118100000001</v>
      </c>
      <c r="AV135" s="125">
        <f>AH135*Valores!$C$75</f>
        <v>-407.37909000000002</v>
      </c>
      <c r="AW135" s="125">
        <f t="shared" si="14"/>
        <v>146952.34580000001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34660.89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8579</v>
      </c>
      <c r="N136" s="125">
        <f t="shared" ref="N136:N199" si="19">ROUND(SUM(F136,H136,J136,L136,X136,R136)*$H$2,2)</f>
        <v>0</v>
      </c>
      <c r="O136" s="125">
        <f>Valores!$C$8</f>
        <v>29851.25</v>
      </c>
      <c r="P136" s="125">
        <f>Valores!$D$5</f>
        <v>13864.36</v>
      </c>
      <c r="Q136" s="125">
        <f>Valores!$C$22</f>
        <v>12369.22</v>
      </c>
      <c r="R136" s="125">
        <f>IF($F$4="NO",Valores!$C$44,Valores!$C$44/2)</f>
        <v>9631.44</v>
      </c>
      <c r="S136" s="125">
        <f>Valores!$C$19</f>
        <v>12901.01</v>
      </c>
      <c r="T136" s="125">
        <f t="shared" si="17"/>
        <v>12901.01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6318.76</v>
      </c>
      <c r="AA136" s="125">
        <f>Valores!$C$25</f>
        <v>567.05999999999995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567.05999999999995</v>
      </c>
      <c r="AE136" s="192">
        <v>0</v>
      </c>
      <c r="AF136" s="125">
        <f>ROUND(AE136*Valores!$C$2,2)</f>
        <v>0</v>
      </c>
      <c r="AG136" s="125">
        <f>ROUND(IF($F$4="NO",Valores!$C$63,Valores!$C$63/2),2)</f>
        <v>6482.98</v>
      </c>
      <c r="AH136" s="125">
        <f t="shared" si="15"/>
        <v>135793.03</v>
      </c>
      <c r="AI136" s="125">
        <f>Valores!$C$31</f>
        <v>0</v>
      </c>
      <c r="AJ136" s="125">
        <f>Valores!$C$87</f>
        <v>0</v>
      </c>
      <c r="AK136" s="125">
        <f>Valores!C$38*B136</f>
        <v>30000</v>
      </c>
      <c r="AL136" s="125">
        <f>IF($F$3="NO",0,Valores!$C$56)</f>
        <v>170.34</v>
      </c>
      <c r="AM136" s="125">
        <f t="shared" ref="AM136:AM199" si="21">SUM(AI136:AL136)</f>
        <v>30170.34</v>
      </c>
      <c r="AN136" s="125">
        <f>AH136*Valores!$C$71</f>
        <v>-14937.2333</v>
      </c>
      <c r="AO136" s="125">
        <f>AH136*-Valores!$C$72</f>
        <v>0</v>
      </c>
      <c r="AP136" s="125">
        <f>AH136*Valores!$C$73</f>
        <v>-6110.6863499999999</v>
      </c>
      <c r="AQ136" s="125">
        <f>Valores!$C$100</f>
        <v>-280.91000000000003</v>
      </c>
      <c r="AR136" s="125">
        <f>IF($F$5=0,Valores!$C$101,(Valores!$C$101+$F$5*(Valores!$C$101)))</f>
        <v>-385</v>
      </c>
      <c r="AS136" s="125">
        <f t="shared" si="16"/>
        <v>144249.54035</v>
      </c>
      <c r="AT136" s="125">
        <f t="shared" si="18"/>
        <v>-14937.2333</v>
      </c>
      <c r="AU136" s="125">
        <f>AH136*Valores!$C$74</f>
        <v>-3666.4118100000001</v>
      </c>
      <c r="AV136" s="125">
        <f>AH136*Valores!$C$75</f>
        <v>-407.37909000000002</v>
      </c>
      <c r="AW136" s="125">
        <f t="shared" ref="AW136:AW199" si="22">AH136+AM136+SUM(AT136:AV136)</f>
        <v>146952.34580000001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34660.89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8579</v>
      </c>
      <c r="N137" s="125">
        <f t="shared" si="19"/>
        <v>0</v>
      </c>
      <c r="O137" s="125">
        <f>Valores!$C$16</f>
        <v>23436.25</v>
      </c>
      <c r="P137" s="125">
        <f>Valores!$D$5</f>
        <v>13864.36</v>
      </c>
      <c r="Q137" s="125">
        <v>0</v>
      </c>
      <c r="R137" s="125">
        <f>IF($F$4="NO",Valores!$C$44,Valores!$C$44/2)</f>
        <v>9631.44</v>
      </c>
      <c r="S137" s="125">
        <f>Valores!$C$19</f>
        <v>12901.01</v>
      </c>
      <c r="T137" s="125">
        <f t="shared" si="17"/>
        <v>12901.01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6318.76</v>
      </c>
      <c r="AA137" s="125">
        <f>Valores!$C$25</f>
        <v>567.05999999999995</v>
      </c>
      <c r="AB137" s="214">
        <v>0</v>
      </c>
      <c r="AC137" s="125">
        <f t="shared" si="20"/>
        <v>0</v>
      </c>
      <c r="AD137" s="125">
        <f>Valores!$C$26</f>
        <v>567.05999999999995</v>
      </c>
      <c r="AE137" s="192">
        <v>0</v>
      </c>
      <c r="AF137" s="125">
        <f>ROUND(AE137*Valores!$C$2,2)</f>
        <v>0</v>
      </c>
      <c r="AG137" s="125">
        <f>ROUND(IF($F$4="NO",Valores!$C$63,Valores!$C$63/2),2)</f>
        <v>6482.98</v>
      </c>
      <c r="AH137" s="125">
        <f t="shared" ref="AH137:AH200" si="23">SUM(F137,H137,J137,L137,M137,N137,O137,P137,Q137,R137,T137,U137,V137,X137,Y137,Z137,AA137,AC137,AD137,AF137,AG137)</f>
        <v>117008.80999999998</v>
      </c>
      <c r="AI137" s="125">
        <f>Valores!$C$31</f>
        <v>0</v>
      </c>
      <c r="AJ137" s="125">
        <f>Valores!$C$87</f>
        <v>0</v>
      </c>
      <c r="AK137" s="125">
        <f>Valores!C$38*B137</f>
        <v>30000</v>
      </c>
      <c r="AL137" s="125">
        <f>IF($F$3="NO",0,Valores!$C$56)</f>
        <v>170.34</v>
      </c>
      <c r="AM137" s="125">
        <f t="shared" si="21"/>
        <v>30170.34</v>
      </c>
      <c r="AN137" s="125">
        <f>AH137*Valores!$C$71</f>
        <v>-12870.969099999998</v>
      </c>
      <c r="AO137" s="125">
        <f>AH137*-Valores!$C$72</f>
        <v>0</v>
      </c>
      <c r="AP137" s="125">
        <f>AH137*Valores!$C$73</f>
        <v>-5265.3964499999993</v>
      </c>
      <c r="AQ137" s="125">
        <f>Valores!$C$100</f>
        <v>-280.91000000000003</v>
      </c>
      <c r="AR137" s="125">
        <f>IF($F$5=0,Valores!$C$101,(Valores!$C$101+$F$5*(Valores!$C$101)))</f>
        <v>-385</v>
      </c>
      <c r="AS137" s="125">
        <f t="shared" ref="AS137:AS200" si="24">AH137+SUM(AM137:AR137)</f>
        <v>128376.87444999999</v>
      </c>
      <c r="AT137" s="125">
        <f t="shared" si="18"/>
        <v>-12870.969099999998</v>
      </c>
      <c r="AU137" s="125">
        <f>AH137*Valores!$C$74</f>
        <v>-3159.2378699999995</v>
      </c>
      <c r="AV137" s="125">
        <f>AH137*Valores!$C$75</f>
        <v>-351.02642999999995</v>
      </c>
      <c r="AW137" s="125">
        <f t="shared" si="22"/>
        <v>130797.9166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16706.66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5885.87</v>
      </c>
      <c r="N138" s="125">
        <f t="shared" si="19"/>
        <v>0</v>
      </c>
      <c r="O138" s="125">
        <f>Valores!$C$8</f>
        <v>29851.25</v>
      </c>
      <c r="P138" s="125">
        <f>Valores!$D$5</f>
        <v>13864.36</v>
      </c>
      <c r="Q138" s="125">
        <f>Valores!$C$22</f>
        <v>12369.22</v>
      </c>
      <c r="R138" s="125">
        <f>IF($F$4="NO",Valores!$C$44,Valores!$C$44/2)</f>
        <v>9631.44</v>
      </c>
      <c r="S138" s="125">
        <f>Valores!$C$19</f>
        <v>12901.01</v>
      </c>
      <c r="T138" s="125">
        <f t="shared" si="17"/>
        <v>12901.01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6318.76</v>
      </c>
      <c r="AA138" s="125">
        <f>Valores!$C$25</f>
        <v>567.05999999999995</v>
      </c>
      <c r="AB138" s="214">
        <v>0</v>
      </c>
      <c r="AC138" s="125">
        <f t="shared" si="20"/>
        <v>0</v>
      </c>
      <c r="AD138" s="125">
        <f>Valores!$C$26</f>
        <v>567.05999999999995</v>
      </c>
      <c r="AE138" s="192">
        <v>0</v>
      </c>
      <c r="AF138" s="125">
        <f>ROUND(AE138*Valores!$C$2,2)</f>
        <v>0</v>
      </c>
      <c r="AG138" s="125">
        <f>ROUND(IF($F$4="NO",Valores!$C$63,Valores!$C$63/2),2)</f>
        <v>6482.98</v>
      </c>
      <c r="AH138" s="125">
        <f t="shared" si="23"/>
        <v>115145.66999999998</v>
      </c>
      <c r="AI138" s="125">
        <f>Valores!$C$31</f>
        <v>0</v>
      </c>
      <c r="AJ138" s="125">
        <f>Valores!$C$87</f>
        <v>0</v>
      </c>
      <c r="AK138" s="125">
        <f>Valores!C$38*B138</f>
        <v>30000</v>
      </c>
      <c r="AL138" s="125">
        <f>IF($F$3="NO",0,Valores!$C$56)</f>
        <v>170.34</v>
      </c>
      <c r="AM138" s="125">
        <f t="shared" si="21"/>
        <v>30170.34</v>
      </c>
      <c r="AN138" s="125">
        <f>AH138*Valores!$C$71</f>
        <v>-12666.023699999998</v>
      </c>
      <c r="AO138" s="125">
        <f>AH138*-Valores!$C$72</f>
        <v>0</v>
      </c>
      <c r="AP138" s="125">
        <f>AH138*Valores!$C$73</f>
        <v>-5181.5551499999992</v>
      </c>
      <c r="AQ138" s="125">
        <f>Valores!$C$100</f>
        <v>-280.91000000000003</v>
      </c>
      <c r="AR138" s="125">
        <f>IF($F$5=0,Valores!$C$101,(Valores!$C$101+$F$5*(Valores!$C$101)))</f>
        <v>-385</v>
      </c>
      <c r="AS138" s="125">
        <f t="shared" si="24"/>
        <v>126802.52114999999</v>
      </c>
      <c r="AT138" s="125">
        <f t="shared" si="18"/>
        <v>-12666.023699999998</v>
      </c>
      <c r="AU138" s="125">
        <f>AH138*Valores!$C$74</f>
        <v>-3108.9330899999995</v>
      </c>
      <c r="AV138" s="125">
        <f>AH138*Valores!$C$75</f>
        <v>-345.43700999999999</v>
      </c>
      <c r="AW138" s="125">
        <f t="shared" si="22"/>
        <v>129195.61619999999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34660.89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8559.2199999999993</v>
      </c>
      <c r="N139" s="125">
        <f t="shared" si="19"/>
        <v>0</v>
      </c>
      <c r="O139" s="125">
        <f>Valores!$C$16</f>
        <v>23436.25</v>
      </c>
      <c r="P139" s="125">
        <f>Valores!$D$5</f>
        <v>13864.36</v>
      </c>
      <c r="Q139" s="125">
        <v>0</v>
      </c>
      <c r="R139" s="125">
        <f>IF($F$4="NO",Valores!$C$44,Valores!$C$44/2)</f>
        <v>9631.44</v>
      </c>
      <c r="S139" s="125">
        <f>Valores!$C$20</f>
        <v>12769.11</v>
      </c>
      <c r="T139" s="125">
        <f t="shared" ref="T139:T202" si="25">ROUND(S139*(1+$H$2),2)</f>
        <v>12769.11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6318.76</v>
      </c>
      <c r="AA139" s="125">
        <f>Valores!$C$25</f>
        <v>567.05999999999995</v>
      </c>
      <c r="AB139" s="214">
        <v>0</v>
      </c>
      <c r="AC139" s="125">
        <f t="shared" si="20"/>
        <v>0</v>
      </c>
      <c r="AD139" s="125">
        <f>Valores!$C$26</f>
        <v>567.05999999999995</v>
      </c>
      <c r="AE139" s="192">
        <v>0</v>
      </c>
      <c r="AF139" s="125">
        <f>ROUND(AE139*Valores!$C$2,2)</f>
        <v>0</v>
      </c>
      <c r="AG139" s="125">
        <f>ROUND(IF($F$4="NO",Valores!$C$63,Valores!$C$63/2),2)</f>
        <v>6482.98</v>
      </c>
      <c r="AH139" s="125">
        <f t="shared" si="23"/>
        <v>116857.12999999999</v>
      </c>
      <c r="AI139" s="125">
        <f>Valores!$C$31</f>
        <v>0</v>
      </c>
      <c r="AJ139" s="125">
        <f>Valores!$C$87</f>
        <v>0</v>
      </c>
      <c r="AK139" s="125">
        <f>Valores!C$38*B139</f>
        <v>30000</v>
      </c>
      <c r="AL139" s="125">
        <f>(IF($F$3="NO",0,Valores!$C$58))</f>
        <v>155.18</v>
      </c>
      <c r="AM139" s="125">
        <f t="shared" si="21"/>
        <v>30155.18</v>
      </c>
      <c r="AN139" s="125">
        <f>AH139*Valores!$C$71</f>
        <v>-12854.284299999999</v>
      </c>
      <c r="AO139" s="125">
        <f>AH139*-Valores!$C$72</f>
        <v>0</v>
      </c>
      <c r="AP139" s="125">
        <f>AH139*Valores!$C$73</f>
        <v>-5258.5708499999992</v>
      </c>
      <c r="AQ139" s="125">
        <f>Valores!$C$100</f>
        <v>-280.91000000000003</v>
      </c>
      <c r="AR139" s="125">
        <f>IF($F$5=0,Valores!$C$101,(Valores!$C$101+$F$5*(Valores!$C$101)))</f>
        <v>-385</v>
      </c>
      <c r="AS139" s="125">
        <f t="shared" si="24"/>
        <v>128233.54484999999</v>
      </c>
      <c r="AT139" s="125">
        <f t="shared" si="18"/>
        <v>-12854.284299999999</v>
      </c>
      <c r="AU139" s="125">
        <f>AH139*Valores!$C$74</f>
        <v>-3155.1425099999997</v>
      </c>
      <c r="AV139" s="125">
        <f>AH139*Valores!$C$75</f>
        <v>-350.57138999999995</v>
      </c>
      <c r="AW139" s="125">
        <f t="shared" si="22"/>
        <v>130652.3118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53781.34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11447.07</v>
      </c>
      <c r="N140" s="125">
        <f t="shared" si="19"/>
        <v>0</v>
      </c>
      <c r="O140" s="125">
        <f>Valores!$C$8</f>
        <v>29851.25</v>
      </c>
      <c r="P140" s="125">
        <f>Valores!$D$5</f>
        <v>13864.36</v>
      </c>
      <c r="Q140" s="125">
        <f>Valores!$C$22</f>
        <v>12369.22</v>
      </c>
      <c r="R140" s="125">
        <f>IF($F$4="NO",Valores!$C$44,Valores!$C$44/2)</f>
        <v>9631.44</v>
      </c>
      <c r="S140" s="125">
        <f>Valores!$C$19</f>
        <v>12901.01</v>
      </c>
      <c r="T140" s="125">
        <f t="shared" si="25"/>
        <v>12901.01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6318.76</v>
      </c>
      <c r="AA140" s="125">
        <f>Valores!$C$25</f>
        <v>567.05999999999995</v>
      </c>
      <c r="AB140" s="214">
        <v>0</v>
      </c>
      <c r="AC140" s="125">
        <f t="shared" si="20"/>
        <v>0</v>
      </c>
      <c r="AD140" s="125">
        <f>Valores!$C$26</f>
        <v>567.05999999999995</v>
      </c>
      <c r="AE140" s="192">
        <v>94</v>
      </c>
      <c r="AF140" s="125">
        <f>ROUND(AE140*Valores!$C$2,2)</f>
        <v>2549.39</v>
      </c>
      <c r="AG140" s="125">
        <f>ROUND(IF($F$4="NO",Valores!$C$63,Valores!$C$63/2),2)</f>
        <v>6482.98</v>
      </c>
      <c r="AH140" s="125">
        <f t="shared" si="23"/>
        <v>160330.94000000003</v>
      </c>
      <c r="AI140" s="125">
        <f>Valores!$C$31</f>
        <v>0</v>
      </c>
      <c r="AJ140" s="125">
        <f>Valores!$C$87</f>
        <v>0</v>
      </c>
      <c r="AK140" s="125">
        <f>Valores!C$38*B140</f>
        <v>30000</v>
      </c>
      <c r="AL140" s="125">
        <f>IF($F$3="NO",0,Valores!$C$56)</f>
        <v>170.34</v>
      </c>
      <c r="AM140" s="125">
        <f t="shared" si="21"/>
        <v>30170.34</v>
      </c>
      <c r="AN140" s="125">
        <f>AH140*Valores!$C$71</f>
        <v>-17636.403400000003</v>
      </c>
      <c r="AO140" s="125">
        <f>AH140*-Valores!$C$72</f>
        <v>0</v>
      </c>
      <c r="AP140" s="125">
        <f>AH140*Valores!$C$73</f>
        <v>-7214.8923000000013</v>
      </c>
      <c r="AQ140" s="125">
        <f>Valores!$C$100</f>
        <v>-280.91000000000003</v>
      </c>
      <c r="AR140" s="125">
        <f>IF($F$5=0,Valores!$C$101,(Valores!$C$101+$F$5*(Valores!$C$101)))</f>
        <v>-385</v>
      </c>
      <c r="AS140" s="125">
        <f t="shared" si="24"/>
        <v>164984.07430000004</v>
      </c>
      <c r="AT140" s="125">
        <f t="shared" si="18"/>
        <v>-17636.403400000003</v>
      </c>
      <c r="AU140" s="125">
        <f>AH140*Valores!$C$74</f>
        <v>-4328.9353800000008</v>
      </c>
      <c r="AV140" s="125">
        <f>AH140*Valores!$C$75</f>
        <v>-480.99282000000011</v>
      </c>
      <c r="AW140" s="125">
        <f t="shared" si="22"/>
        <v>168054.94840000002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37373.01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8966.0300000000007</v>
      </c>
      <c r="N141" s="125">
        <f t="shared" si="19"/>
        <v>0</v>
      </c>
      <c r="O141" s="125">
        <f>Valores!$C$16</f>
        <v>23436.25</v>
      </c>
      <c r="P141" s="125">
        <f>Valores!$D$5</f>
        <v>13864.36</v>
      </c>
      <c r="Q141" s="125">
        <f>Valores!$C$22</f>
        <v>12369.22</v>
      </c>
      <c r="R141" s="125">
        <f>IF($F$4="NO",Valores!$C$44,Valores!$C$44/2)</f>
        <v>9631.44</v>
      </c>
      <c r="S141" s="125">
        <f>Valores!$C$20</f>
        <v>12769.11</v>
      </c>
      <c r="T141" s="125">
        <f t="shared" si="25"/>
        <v>12769.11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6318.76</v>
      </c>
      <c r="AA141" s="125">
        <f>Valores!$C$25</f>
        <v>567.05999999999995</v>
      </c>
      <c r="AB141" s="214">
        <v>0</v>
      </c>
      <c r="AC141" s="125">
        <f t="shared" si="20"/>
        <v>0</v>
      </c>
      <c r="AD141" s="125">
        <f>Valores!$C$26</f>
        <v>567.05999999999995</v>
      </c>
      <c r="AE141" s="192">
        <v>0</v>
      </c>
      <c r="AF141" s="125">
        <f>ROUND(AE141*Valores!$C$2,2)</f>
        <v>0</v>
      </c>
      <c r="AG141" s="125">
        <f>ROUND(IF($F$4="NO",Valores!$C$63,Valores!$C$63/2),2)</f>
        <v>6482.98</v>
      </c>
      <c r="AH141" s="125">
        <f t="shared" si="23"/>
        <v>132345.28</v>
      </c>
      <c r="AI141" s="125">
        <f>Valores!$C$31</f>
        <v>0</v>
      </c>
      <c r="AJ141" s="125">
        <f>Valores!$C$87</f>
        <v>0</v>
      </c>
      <c r="AK141" s="125">
        <f>Valores!C$38*B141</f>
        <v>30000</v>
      </c>
      <c r="AL141" s="125">
        <f>IF($F$3="NO",0,Valores!$C$56)</f>
        <v>170.34</v>
      </c>
      <c r="AM141" s="125">
        <f t="shared" si="21"/>
        <v>30170.34</v>
      </c>
      <c r="AN141" s="125">
        <f>AH141*Valores!$C$71</f>
        <v>-14557.980799999999</v>
      </c>
      <c r="AO141" s="125">
        <f>AH141*-Valores!$C$72</f>
        <v>0</v>
      </c>
      <c r="AP141" s="125">
        <f>AH141*Valores!$C$73</f>
        <v>-5955.5375999999997</v>
      </c>
      <c r="AQ141" s="125">
        <f>Valores!$C$100</f>
        <v>-280.91000000000003</v>
      </c>
      <c r="AR141" s="125">
        <f>IF($F$5=0,Valores!$C$101,(Valores!$C$101+$F$5*(Valores!$C$101)))</f>
        <v>-385</v>
      </c>
      <c r="AS141" s="125">
        <f t="shared" si="24"/>
        <v>141336.19159999999</v>
      </c>
      <c r="AT141" s="125">
        <f t="shared" si="18"/>
        <v>-14557.980799999999</v>
      </c>
      <c r="AU141" s="125">
        <f>AH141*Valores!$C$74</f>
        <v>-3573.3225600000001</v>
      </c>
      <c r="AV141" s="125">
        <f>AH141*Valores!$C$75</f>
        <v>-397.03584000000001</v>
      </c>
      <c r="AW141" s="125">
        <f t="shared" si="22"/>
        <v>143987.28080000001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34660.89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8579</v>
      </c>
      <c r="N142" s="125">
        <f t="shared" si="19"/>
        <v>0</v>
      </c>
      <c r="O142" s="125">
        <f>Valores!$C$16</f>
        <v>23436.25</v>
      </c>
      <c r="P142" s="125">
        <f>Valores!$D$5</f>
        <v>13864.36</v>
      </c>
      <c r="Q142" s="125">
        <f>Valores!$C$22</f>
        <v>12369.22</v>
      </c>
      <c r="R142" s="125">
        <f>IF($F$4="NO",Valores!$C$44,Valores!$C$44/2)</f>
        <v>9631.44</v>
      </c>
      <c r="S142" s="125">
        <f>Valores!$C$19</f>
        <v>12901.01</v>
      </c>
      <c r="T142" s="125">
        <f t="shared" si="25"/>
        <v>12901.01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6318.76</v>
      </c>
      <c r="AA142" s="125">
        <f>Valores!$C$25</f>
        <v>567.05999999999995</v>
      </c>
      <c r="AB142" s="214">
        <v>0</v>
      </c>
      <c r="AC142" s="125">
        <f t="shared" si="20"/>
        <v>0</v>
      </c>
      <c r="AD142" s="125">
        <f>Valores!$C$26</f>
        <v>567.05999999999995</v>
      </c>
      <c r="AE142" s="192">
        <v>0</v>
      </c>
      <c r="AF142" s="125">
        <f>ROUND(AE142*Valores!$C$2,2)</f>
        <v>0</v>
      </c>
      <c r="AG142" s="125">
        <f>ROUND(IF($F$4="NO",Valores!$C$63,Valores!$C$63/2),2)</f>
        <v>6482.98</v>
      </c>
      <c r="AH142" s="125">
        <f t="shared" si="23"/>
        <v>129378.02999999998</v>
      </c>
      <c r="AI142" s="125">
        <f>Valores!$C$31</f>
        <v>0</v>
      </c>
      <c r="AJ142" s="125">
        <f>Valores!$C$87</f>
        <v>0</v>
      </c>
      <c r="AK142" s="125">
        <f>Valores!C$38*B142</f>
        <v>30000</v>
      </c>
      <c r="AL142" s="125">
        <f>IF($F$3="NO",0,Valores!$C$56)</f>
        <v>170.34</v>
      </c>
      <c r="AM142" s="125">
        <f t="shared" si="21"/>
        <v>30170.34</v>
      </c>
      <c r="AN142" s="125">
        <f>AH142*Valores!$C$71</f>
        <v>-14231.583299999998</v>
      </c>
      <c r="AO142" s="125">
        <f>AH142*-Valores!$C$72</f>
        <v>0</v>
      </c>
      <c r="AP142" s="125">
        <f>AH142*Valores!$C$73</f>
        <v>-5822.0113499999989</v>
      </c>
      <c r="AQ142" s="125">
        <f>Valores!$C$100</f>
        <v>-280.91000000000003</v>
      </c>
      <c r="AR142" s="125">
        <f>IF($F$5=0,Valores!$C$101,(Valores!$C$101+$F$5*(Valores!$C$101)))</f>
        <v>-385</v>
      </c>
      <c r="AS142" s="125">
        <f t="shared" si="24"/>
        <v>138828.86534999998</v>
      </c>
      <c r="AT142" s="125">
        <f t="shared" si="18"/>
        <v>-14231.583299999998</v>
      </c>
      <c r="AU142" s="125">
        <f>AH142*Valores!$C$74</f>
        <v>-3493.2068099999997</v>
      </c>
      <c r="AV142" s="125">
        <f>AH142*Valores!$C$75</f>
        <v>-388.13408999999996</v>
      </c>
      <c r="AW142" s="125">
        <f t="shared" si="22"/>
        <v>141435.44579999999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34660.89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8579</v>
      </c>
      <c r="N143" s="125">
        <f t="shared" si="19"/>
        <v>0</v>
      </c>
      <c r="O143" s="125">
        <f>Valores!$C$16</f>
        <v>23436.25</v>
      </c>
      <c r="P143" s="125">
        <f>Valores!$D$5</f>
        <v>13864.36</v>
      </c>
      <c r="Q143" s="125">
        <f>Valores!$C$22</f>
        <v>12369.22</v>
      </c>
      <c r="R143" s="125">
        <f>IF($F$4="NO",Valores!$C$44,Valores!$C$44/2)</f>
        <v>9631.44</v>
      </c>
      <c r="S143" s="125">
        <f>Valores!$C$19</f>
        <v>12901.01</v>
      </c>
      <c r="T143" s="125">
        <f t="shared" si="25"/>
        <v>12901.01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6318.76</v>
      </c>
      <c r="AA143" s="125">
        <f>Valores!$C$25</f>
        <v>567.05999999999995</v>
      </c>
      <c r="AB143" s="214">
        <v>0</v>
      </c>
      <c r="AC143" s="125">
        <f t="shared" si="20"/>
        <v>0</v>
      </c>
      <c r="AD143" s="125">
        <f>Valores!$C$26</f>
        <v>567.05999999999995</v>
      </c>
      <c r="AE143" s="192">
        <v>0</v>
      </c>
      <c r="AF143" s="125">
        <f>ROUND(AE143*Valores!$C$2,2)</f>
        <v>0</v>
      </c>
      <c r="AG143" s="125">
        <f>ROUND(IF($F$4="NO",Valores!$C$63,Valores!$C$63/2),2)</f>
        <v>6482.98</v>
      </c>
      <c r="AH143" s="125">
        <f t="shared" si="23"/>
        <v>129378.02999999998</v>
      </c>
      <c r="AI143" s="125">
        <f>Valores!$C$31</f>
        <v>0</v>
      </c>
      <c r="AJ143" s="125">
        <f>Valores!$C$87</f>
        <v>0</v>
      </c>
      <c r="AK143" s="125">
        <f>Valores!C$38*B143</f>
        <v>30000</v>
      </c>
      <c r="AL143" s="125">
        <f>IF($F$3="NO",0,Valores!$C$56)</f>
        <v>170.34</v>
      </c>
      <c r="AM143" s="125">
        <f t="shared" si="21"/>
        <v>30170.34</v>
      </c>
      <c r="AN143" s="125">
        <f>AH143*Valores!$C$71</f>
        <v>-14231.583299999998</v>
      </c>
      <c r="AO143" s="125">
        <f>AH143*-Valores!$C$72</f>
        <v>0</v>
      </c>
      <c r="AP143" s="125">
        <f>AH143*Valores!$C$73</f>
        <v>-5822.0113499999989</v>
      </c>
      <c r="AQ143" s="125">
        <f>Valores!$C$100</f>
        <v>-280.91000000000003</v>
      </c>
      <c r="AR143" s="125">
        <f>IF($F$5=0,Valores!$C$101,(Valores!$C$101+$F$5*(Valores!$C$101)))</f>
        <v>-385</v>
      </c>
      <c r="AS143" s="125">
        <f t="shared" si="24"/>
        <v>138828.86534999998</v>
      </c>
      <c r="AT143" s="125">
        <f t="shared" si="18"/>
        <v>-14231.583299999998</v>
      </c>
      <c r="AU143" s="125">
        <f>AH143*Valores!$C$74</f>
        <v>-3493.2068099999997</v>
      </c>
      <c r="AV143" s="125">
        <f>AH143*Valores!$C$75</f>
        <v>-388.13408999999996</v>
      </c>
      <c r="AW143" s="125">
        <f t="shared" si="22"/>
        <v>141435.44579999999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34660.89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8579</v>
      </c>
      <c r="N144" s="125">
        <f t="shared" si="19"/>
        <v>0</v>
      </c>
      <c r="O144" s="125">
        <f>Valores!$C$16</f>
        <v>23436.25</v>
      </c>
      <c r="P144" s="125">
        <f>Valores!$D$5</f>
        <v>13864.36</v>
      </c>
      <c r="Q144" s="125">
        <f>Valores!$C$22</f>
        <v>12369.22</v>
      </c>
      <c r="R144" s="125">
        <f>IF($F$4="NO",Valores!$C$44,Valores!$C$44/2)</f>
        <v>9631.44</v>
      </c>
      <c r="S144" s="125">
        <f>Valores!$C$19</f>
        <v>12901.01</v>
      </c>
      <c r="T144" s="125">
        <f t="shared" si="25"/>
        <v>12901.01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6318.76</v>
      </c>
      <c r="AA144" s="125">
        <f>Valores!$C$25</f>
        <v>567.05999999999995</v>
      </c>
      <c r="AB144" s="214">
        <v>0</v>
      </c>
      <c r="AC144" s="125">
        <f t="shared" si="20"/>
        <v>0</v>
      </c>
      <c r="AD144" s="125">
        <f>Valores!$C$26</f>
        <v>567.05999999999995</v>
      </c>
      <c r="AE144" s="192">
        <v>0</v>
      </c>
      <c r="AF144" s="125">
        <f>ROUND(AE144*Valores!$C$2,2)</f>
        <v>0</v>
      </c>
      <c r="AG144" s="125">
        <f>ROUND(IF($F$4="NO",Valores!$C$63,Valores!$C$63/2),2)</f>
        <v>6482.98</v>
      </c>
      <c r="AH144" s="125">
        <f t="shared" si="23"/>
        <v>129378.02999999998</v>
      </c>
      <c r="AI144" s="125">
        <f>Valores!$C$31</f>
        <v>0</v>
      </c>
      <c r="AJ144" s="125">
        <f>Valores!$C$87</f>
        <v>0</v>
      </c>
      <c r="AK144" s="125">
        <f>Valores!C$38*B144</f>
        <v>30000</v>
      </c>
      <c r="AL144" s="125">
        <f>IF($F$3="NO",0,Valores!$C$56)</f>
        <v>170.34</v>
      </c>
      <c r="AM144" s="125">
        <f t="shared" si="21"/>
        <v>30170.34</v>
      </c>
      <c r="AN144" s="125">
        <f>AH144*Valores!$C$71</f>
        <v>-14231.583299999998</v>
      </c>
      <c r="AO144" s="125">
        <f>AH144*-Valores!$C$72</f>
        <v>0</v>
      </c>
      <c r="AP144" s="125">
        <f>AH144*Valores!$C$73</f>
        <v>-5822.0113499999989</v>
      </c>
      <c r="AQ144" s="125">
        <f>Valores!$C$100</f>
        <v>-280.91000000000003</v>
      </c>
      <c r="AR144" s="125">
        <f>IF($F$5=0,Valores!$C$101,(Valores!$C$101+$F$5*(Valores!$C$101)))</f>
        <v>-385</v>
      </c>
      <c r="AS144" s="125">
        <f t="shared" si="24"/>
        <v>138828.86534999998</v>
      </c>
      <c r="AT144" s="125">
        <f t="shared" si="18"/>
        <v>-14231.583299999998</v>
      </c>
      <c r="AU144" s="125">
        <f>AH144*Valores!$C$74</f>
        <v>-3493.2068099999997</v>
      </c>
      <c r="AV144" s="125">
        <f>AH144*Valores!$C$75</f>
        <v>-388.13408999999996</v>
      </c>
      <c r="AW144" s="125">
        <f t="shared" si="22"/>
        <v>141435.44579999999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34660.89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8579</v>
      </c>
      <c r="N145" s="125">
        <f t="shared" si="19"/>
        <v>0</v>
      </c>
      <c r="O145" s="125">
        <f>Valores!$C$16</f>
        <v>23436.25</v>
      </c>
      <c r="P145" s="125">
        <f>Valores!$D$5</f>
        <v>13864.36</v>
      </c>
      <c r="Q145" s="125">
        <f>Valores!$C$22</f>
        <v>12369.22</v>
      </c>
      <c r="R145" s="125">
        <f>IF($F$4="NO",Valores!$C$44,Valores!$C$44/2)</f>
        <v>9631.44</v>
      </c>
      <c r="S145" s="125">
        <f>Valores!$C$19</f>
        <v>12901.01</v>
      </c>
      <c r="T145" s="125">
        <f t="shared" si="25"/>
        <v>12901.01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6318.76</v>
      </c>
      <c r="AA145" s="125">
        <f>Valores!$C$25</f>
        <v>567.05999999999995</v>
      </c>
      <c r="AB145" s="214">
        <v>0</v>
      </c>
      <c r="AC145" s="125">
        <f t="shared" si="20"/>
        <v>0</v>
      </c>
      <c r="AD145" s="125">
        <f>Valores!$C$26</f>
        <v>567.05999999999995</v>
      </c>
      <c r="AE145" s="192">
        <v>94</v>
      </c>
      <c r="AF145" s="125">
        <f>ROUND(AE145*Valores!$C$2,2)</f>
        <v>2549.39</v>
      </c>
      <c r="AG145" s="125">
        <f>ROUND(IF($F$4="NO",Valores!$C$63,Valores!$C$63/2),2)</f>
        <v>6482.98</v>
      </c>
      <c r="AH145" s="125">
        <f t="shared" si="23"/>
        <v>131927.41999999998</v>
      </c>
      <c r="AI145" s="125">
        <f>Valores!$C$31</f>
        <v>0</v>
      </c>
      <c r="AJ145" s="125">
        <f>Valores!$C$87</f>
        <v>0</v>
      </c>
      <c r="AK145" s="125">
        <f>Valores!C$38*B145</f>
        <v>30000</v>
      </c>
      <c r="AL145" s="125">
        <f>IF($F$3="NO",0,Valores!$C$56)</f>
        <v>170.34</v>
      </c>
      <c r="AM145" s="125">
        <f t="shared" si="21"/>
        <v>30170.34</v>
      </c>
      <c r="AN145" s="125">
        <f>AH145*Valores!$C$71</f>
        <v>-14512.016199999998</v>
      </c>
      <c r="AO145" s="125">
        <f>AH145*-Valores!$C$72</f>
        <v>0</v>
      </c>
      <c r="AP145" s="125">
        <f>AH145*Valores!$C$73</f>
        <v>-5936.7338999999993</v>
      </c>
      <c r="AQ145" s="125">
        <f>Valores!$C$100</f>
        <v>-280.91000000000003</v>
      </c>
      <c r="AR145" s="125">
        <f>IF($F$5=0,Valores!$C$101,(Valores!$C$101+$F$5*(Valores!$C$101)))</f>
        <v>-385</v>
      </c>
      <c r="AS145" s="125">
        <f t="shared" si="24"/>
        <v>140983.09989999997</v>
      </c>
      <c r="AT145" s="125">
        <f t="shared" si="18"/>
        <v>-14512.016199999998</v>
      </c>
      <c r="AU145" s="125">
        <f>AH145*Valores!$C$74</f>
        <v>-3562.0403399999996</v>
      </c>
      <c r="AV145" s="125">
        <f>AH145*Valores!$C$75</f>
        <v>-395.78225999999995</v>
      </c>
      <c r="AW145" s="125">
        <f t="shared" si="22"/>
        <v>143627.92119999998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34660.89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8579</v>
      </c>
      <c r="N146" s="125">
        <f t="shared" si="19"/>
        <v>0</v>
      </c>
      <c r="O146" s="125">
        <f>Valores!$C$16</f>
        <v>23436.25</v>
      </c>
      <c r="P146" s="125">
        <f>Valores!$D$5</f>
        <v>13864.36</v>
      </c>
      <c r="Q146" s="125">
        <f>Valores!$C$22</f>
        <v>12369.22</v>
      </c>
      <c r="R146" s="125">
        <f>IF($F$4="NO",Valores!$C$44,Valores!$C$44/2)</f>
        <v>9631.44</v>
      </c>
      <c r="S146" s="125">
        <f>Valores!$C$19</f>
        <v>12901.01</v>
      </c>
      <c r="T146" s="125">
        <f t="shared" si="25"/>
        <v>12901.01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6318.76</v>
      </c>
      <c r="AA146" s="125">
        <f>Valores!$C$25</f>
        <v>567.05999999999995</v>
      </c>
      <c r="AB146" s="214">
        <v>0</v>
      </c>
      <c r="AC146" s="125">
        <f t="shared" si="20"/>
        <v>0</v>
      </c>
      <c r="AD146" s="125">
        <f>Valores!$C$26</f>
        <v>567.05999999999995</v>
      </c>
      <c r="AE146" s="192">
        <v>0</v>
      </c>
      <c r="AF146" s="125">
        <f>ROUND(AE146*Valores!$C$2,2)</f>
        <v>0</v>
      </c>
      <c r="AG146" s="125">
        <f>ROUND(IF($F$4="NO",Valores!$C$63,Valores!$C$63/2),2)</f>
        <v>6482.98</v>
      </c>
      <c r="AH146" s="125">
        <f t="shared" si="23"/>
        <v>129378.02999999998</v>
      </c>
      <c r="AI146" s="125">
        <f>Valores!$C$31</f>
        <v>0</v>
      </c>
      <c r="AJ146" s="125">
        <f>Valores!$C$87</f>
        <v>0</v>
      </c>
      <c r="AK146" s="125">
        <f>Valores!C$38*B146</f>
        <v>30000</v>
      </c>
      <c r="AL146" s="125">
        <f>IF($F$3="NO",0,Valores!$C$56)</f>
        <v>170.34</v>
      </c>
      <c r="AM146" s="125">
        <f t="shared" si="21"/>
        <v>30170.34</v>
      </c>
      <c r="AN146" s="125">
        <f>AH146*Valores!$C$71</f>
        <v>-14231.583299999998</v>
      </c>
      <c r="AO146" s="125">
        <f>AH146*-Valores!$C$72</f>
        <v>0</v>
      </c>
      <c r="AP146" s="125">
        <f>AH146*Valores!$C$73</f>
        <v>-5822.0113499999989</v>
      </c>
      <c r="AQ146" s="125">
        <f>Valores!$C$100</f>
        <v>-280.91000000000003</v>
      </c>
      <c r="AR146" s="125">
        <f>IF($F$5=0,Valores!$C$101,(Valores!$C$101+$F$5*(Valores!$C$101)))</f>
        <v>-385</v>
      </c>
      <c r="AS146" s="125">
        <f t="shared" si="24"/>
        <v>138828.86534999998</v>
      </c>
      <c r="AT146" s="125">
        <f t="shared" si="18"/>
        <v>-14231.583299999998</v>
      </c>
      <c r="AU146" s="125">
        <f>AH146*Valores!$C$74</f>
        <v>-3493.2068099999997</v>
      </c>
      <c r="AV146" s="125">
        <f>AH146*Valores!$C$75</f>
        <v>-388.13408999999996</v>
      </c>
      <c r="AW146" s="125">
        <f t="shared" si="22"/>
        <v>141435.44579999999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34660.89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8559.2199999999993</v>
      </c>
      <c r="N147" s="125">
        <f t="shared" si="19"/>
        <v>0</v>
      </c>
      <c r="O147" s="125">
        <f>Valores!$C$16</f>
        <v>23436.25</v>
      </c>
      <c r="P147" s="125">
        <f>Valores!$D$5</f>
        <v>13864.36</v>
      </c>
      <c r="Q147" s="125">
        <v>0</v>
      </c>
      <c r="R147" s="125">
        <f>IF($F$4="NO",Valores!$C$44,Valores!$C$44/2)</f>
        <v>9631.44</v>
      </c>
      <c r="S147" s="125">
        <f>Valores!$C$20</f>
        <v>12769.11</v>
      </c>
      <c r="T147" s="125">
        <f t="shared" si="25"/>
        <v>12769.11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6318.76</v>
      </c>
      <c r="AA147" s="125">
        <f>Valores!$C$25</f>
        <v>567.05999999999995</v>
      </c>
      <c r="AB147" s="214">
        <v>0</v>
      </c>
      <c r="AC147" s="125">
        <f t="shared" si="20"/>
        <v>0</v>
      </c>
      <c r="AD147" s="125">
        <f>Valores!$C$26</f>
        <v>567.05999999999995</v>
      </c>
      <c r="AE147" s="192">
        <v>0</v>
      </c>
      <c r="AF147" s="125">
        <f>ROUND(AE147*Valores!$C$2,2)</f>
        <v>0</v>
      </c>
      <c r="AG147" s="125">
        <f>ROUND(IF($F$4="NO",Valores!$C$63,Valores!$C$63/2),2)</f>
        <v>6482.98</v>
      </c>
      <c r="AH147" s="125">
        <f t="shared" si="23"/>
        <v>116857.12999999999</v>
      </c>
      <c r="AI147" s="125">
        <f>Valores!$C$31</f>
        <v>0</v>
      </c>
      <c r="AJ147" s="125">
        <f>Valores!$C$87</f>
        <v>0</v>
      </c>
      <c r="AK147" s="125">
        <f>Valores!C$38*B147</f>
        <v>30000</v>
      </c>
      <c r="AL147" s="125">
        <f>IF($F$3="NO",0,Valores!$C$56)</f>
        <v>170.34</v>
      </c>
      <c r="AM147" s="125">
        <f t="shared" si="21"/>
        <v>30170.34</v>
      </c>
      <c r="AN147" s="125">
        <f>AH147*Valores!$C$71</f>
        <v>-12854.284299999999</v>
      </c>
      <c r="AO147" s="125">
        <f>AH147*-Valores!$C$72</f>
        <v>0</v>
      </c>
      <c r="AP147" s="125">
        <f>AH147*Valores!$C$73</f>
        <v>-5258.5708499999992</v>
      </c>
      <c r="AQ147" s="125">
        <f>Valores!$C$100</f>
        <v>-280.91000000000003</v>
      </c>
      <c r="AR147" s="125">
        <f>IF($F$5=0,Valores!$C$101,(Valores!$C$101+$F$5*(Valores!$C$101)))</f>
        <v>-385</v>
      </c>
      <c r="AS147" s="125">
        <f t="shared" si="24"/>
        <v>128248.70484999999</v>
      </c>
      <c r="AT147" s="125">
        <f t="shared" si="18"/>
        <v>-12854.284299999999</v>
      </c>
      <c r="AU147" s="125">
        <f>AH147*Valores!$C$74</f>
        <v>-3155.1425099999997</v>
      </c>
      <c r="AV147" s="125">
        <f>AH147*Valores!$C$75</f>
        <v>-350.57138999999995</v>
      </c>
      <c r="AW147" s="125">
        <f t="shared" si="22"/>
        <v>130667.4718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34660.89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8559.2199999999993</v>
      </c>
      <c r="N148" s="125">
        <f t="shared" si="19"/>
        <v>0</v>
      </c>
      <c r="O148" s="125">
        <f>Valores!$C$16</f>
        <v>23436.25</v>
      </c>
      <c r="P148" s="125">
        <f>Valores!$D$5</f>
        <v>13864.36</v>
      </c>
      <c r="Q148" s="125">
        <v>0</v>
      </c>
      <c r="R148" s="125">
        <f>IF($F$4="NO",Valores!$C$44,Valores!$C$44/2)</f>
        <v>9631.44</v>
      </c>
      <c r="S148" s="125">
        <f>Valores!$C$20</f>
        <v>12769.11</v>
      </c>
      <c r="T148" s="125">
        <f t="shared" si="25"/>
        <v>12769.11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6318.76</v>
      </c>
      <c r="AA148" s="125">
        <f>Valores!$C$25</f>
        <v>567.05999999999995</v>
      </c>
      <c r="AB148" s="214">
        <v>0</v>
      </c>
      <c r="AC148" s="125">
        <f t="shared" si="20"/>
        <v>0</v>
      </c>
      <c r="AD148" s="125">
        <f>Valores!$C$26</f>
        <v>567.05999999999995</v>
      </c>
      <c r="AE148" s="192">
        <v>0</v>
      </c>
      <c r="AF148" s="125">
        <f>ROUND(AE148*Valores!$C$2,2)</f>
        <v>0</v>
      </c>
      <c r="AG148" s="125">
        <f>ROUND(IF($F$4="NO",Valores!$C$63,Valores!$C$63/2),2)</f>
        <v>6482.98</v>
      </c>
      <c r="AH148" s="125">
        <f t="shared" si="23"/>
        <v>116857.12999999999</v>
      </c>
      <c r="AI148" s="125">
        <f>Valores!$C$31</f>
        <v>0</v>
      </c>
      <c r="AJ148" s="125">
        <f>Valores!$C$87</f>
        <v>0</v>
      </c>
      <c r="AK148" s="125">
        <f>Valores!C$38*B148</f>
        <v>30000</v>
      </c>
      <c r="AL148" s="125">
        <f>IF($F$3="NO",0,Valores!$C$56)</f>
        <v>170.34</v>
      </c>
      <c r="AM148" s="125">
        <f t="shared" si="21"/>
        <v>30170.34</v>
      </c>
      <c r="AN148" s="125">
        <f>AH148*Valores!$C$71</f>
        <v>-12854.284299999999</v>
      </c>
      <c r="AO148" s="125">
        <f>AH148*-Valores!$C$72</f>
        <v>0</v>
      </c>
      <c r="AP148" s="125">
        <f>AH148*Valores!$C$73</f>
        <v>-5258.5708499999992</v>
      </c>
      <c r="AQ148" s="125">
        <f>Valores!$C$100</f>
        <v>-280.91000000000003</v>
      </c>
      <c r="AR148" s="125">
        <f>IF($F$5=0,Valores!$C$101,(Valores!$C$101+$F$5*(Valores!$C$101)))</f>
        <v>-385</v>
      </c>
      <c r="AS148" s="125">
        <f t="shared" si="24"/>
        <v>128248.70484999999</v>
      </c>
      <c r="AT148" s="125">
        <f t="shared" si="18"/>
        <v>-12854.284299999999</v>
      </c>
      <c r="AU148" s="125">
        <f>AH148*Valores!$C$74</f>
        <v>-3155.1425099999997</v>
      </c>
      <c r="AV148" s="125">
        <f>AH148*Valores!$C$75</f>
        <v>-350.57138999999995</v>
      </c>
      <c r="AW148" s="125">
        <f t="shared" si="22"/>
        <v>130667.4718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28748.47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7692.14</v>
      </c>
      <c r="N149" s="125">
        <f t="shared" si="19"/>
        <v>0</v>
      </c>
      <c r="O149" s="125">
        <f>Valores!$C$16</f>
        <v>23436.25</v>
      </c>
      <c r="P149" s="125">
        <f>Valores!$D$5</f>
        <v>13864.36</v>
      </c>
      <c r="Q149" s="125">
        <f>Valores!$C$22</f>
        <v>12369.22</v>
      </c>
      <c r="R149" s="125">
        <f>IF($F$4="NO",Valores!$C$44,Valores!$C$44/2)</f>
        <v>9631.44</v>
      </c>
      <c r="S149" s="125">
        <f>Valores!$C$19</f>
        <v>12901.01</v>
      </c>
      <c r="T149" s="125">
        <f t="shared" si="25"/>
        <v>12901.01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6318.76</v>
      </c>
      <c r="AA149" s="125">
        <f>Valores!$C$25</f>
        <v>567.05999999999995</v>
      </c>
      <c r="AB149" s="214">
        <v>0</v>
      </c>
      <c r="AC149" s="125">
        <f t="shared" si="20"/>
        <v>0</v>
      </c>
      <c r="AD149" s="125">
        <f>Valores!$C$26</f>
        <v>567.05999999999995</v>
      </c>
      <c r="AE149" s="192">
        <v>0</v>
      </c>
      <c r="AF149" s="125">
        <f>ROUND(AE149*Valores!$C$2,2)</f>
        <v>0</v>
      </c>
      <c r="AG149" s="125">
        <f>ROUND(IF($F$4="NO",Valores!$C$63,Valores!$C$63/2),2)</f>
        <v>6482.98</v>
      </c>
      <c r="AH149" s="125">
        <f t="shared" si="23"/>
        <v>122578.74999999999</v>
      </c>
      <c r="AI149" s="125">
        <f>Valores!$C$31</f>
        <v>0</v>
      </c>
      <c r="AJ149" s="125">
        <f>Valores!$C$87</f>
        <v>0</v>
      </c>
      <c r="AK149" s="125">
        <f>Valores!C$38*B149</f>
        <v>30000</v>
      </c>
      <c r="AL149" s="125">
        <f>IF($F$3="NO",0,Valores!$C$56)</f>
        <v>170.34</v>
      </c>
      <c r="AM149" s="125">
        <f t="shared" si="21"/>
        <v>30170.34</v>
      </c>
      <c r="AN149" s="125">
        <f>AH149*Valores!$C$71</f>
        <v>-13483.662499999999</v>
      </c>
      <c r="AO149" s="125">
        <f>AH149*-Valores!$C$72</f>
        <v>0</v>
      </c>
      <c r="AP149" s="125">
        <f>AH149*Valores!$C$73</f>
        <v>-5516.0437499999989</v>
      </c>
      <c r="AQ149" s="125">
        <f>Valores!$C$100</f>
        <v>-280.91000000000003</v>
      </c>
      <c r="AR149" s="125">
        <f>IF($F$5=0,Valores!$C$101,(Valores!$C$101+$F$5*(Valores!$C$101)))</f>
        <v>-385</v>
      </c>
      <c r="AS149" s="125">
        <f t="shared" si="24"/>
        <v>133083.47374999998</v>
      </c>
      <c r="AT149" s="125">
        <f t="shared" si="18"/>
        <v>-13483.662499999999</v>
      </c>
      <c r="AU149" s="125">
        <f>AH149*Valores!$C$74</f>
        <v>-3309.6262499999993</v>
      </c>
      <c r="AV149" s="125">
        <f>AH149*Valores!$C$75</f>
        <v>-367.73624999999998</v>
      </c>
      <c r="AW149" s="125">
        <f t="shared" si="22"/>
        <v>135588.065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34660.89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8559.2199999999993</v>
      </c>
      <c r="N150" s="125">
        <f t="shared" si="19"/>
        <v>0</v>
      </c>
      <c r="O150" s="125">
        <f>Valores!$C$16</f>
        <v>23436.25</v>
      </c>
      <c r="P150" s="125">
        <f>Valores!$D$5</f>
        <v>13864.36</v>
      </c>
      <c r="Q150" s="125">
        <f>Valores!$C$22</f>
        <v>12369.22</v>
      </c>
      <c r="R150" s="125">
        <f>IF($F$4="NO",Valores!$C$44,Valores!$C$44/2)</f>
        <v>9631.44</v>
      </c>
      <c r="S150" s="125">
        <f>Valores!$C$20</f>
        <v>12769.11</v>
      </c>
      <c r="T150" s="125">
        <f t="shared" si="25"/>
        <v>12769.11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6318.76</v>
      </c>
      <c r="AA150" s="125">
        <f>Valores!$C$25</f>
        <v>567.05999999999995</v>
      </c>
      <c r="AB150" s="214">
        <v>0</v>
      </c>
      <c r="AC150" s="125">
        <f t="shared" si="20"/>
        <v>0</v>
      </c>
      <c r="AD150" s="125">
        <f>Valores!$C$26</f>
        <v>567.05999999999995</v>
      </c>
      <c r="AE150" s="192">
        <v>0</v>
      </c>
      <c r="AF150" s="125">
        <f>ROUND(AE150*Valores!$C$2,2)</f>
        <v>0</v>
      </c>
      <c r="AG150" s="125">
        <f>ROUND(IF($F$4="NO",Valores!$C$63,Valores!$C$63/2),2)</f>
        <v>6482.98</v>
      </c>
      <c r="AH150" s="125">
        <f t="shared" si="23"/>
        <v>129226.34999999999</v>
      </c>
      <c r="AI150" s="125">
        <f>Valores!$C$31</f>
        <v>0</v>
      </c>
      <c r="AJ150" s="125">
        <f>Valores!$C$87</f>
        <v>0</v>
      </c>
      <c r="AK150" s="125">
        <f>Valores!C$38*B150</f>
        <v>30000</v>
      </c>
      <c r="AL150" s="125">
        <f>IF($F$3="NO",0,Valores!$C$56)</f>
        <v>170.34</v>
      </c>
      <c r="AM150" s="125">
        <f t="shared" si="21"/>
        <v>30170.34</v>
      </c>
      <c r="AN150" s="125">
        <f>AH150*Valores!$C$71</f>
        <v>-14214.898499999999</v>
      </c>
      <c r="AO150" s="125">
        <f>AH150*-Valores!$C$72</f>
        <v>0</v>
      </c>
      <c r="AP150" s="125">
        <f>AH150*Valores!$C$73</f>
        <v>-5815.1857499999996</v>
      </c>
      <c r="AQ150" s="125">
        <f>Valores!$C$100</f>
        <v>-280.91000000000003</v>
      </c>
      <c r="AR150" s="125">
        <f>IF($F$5=0,Valores!$C$101,(Valores!$C$101+$F$5*(Valores!$C$101)))</f>
        <v>-385</v>
      </c>
      <c r="AS150" s="125">
        <f t="shared" si="24"/>
        <v>138700.69574999998</v>
      </c>
      <c r="AT150" s="125">
        <f t="shared" si="18"/>
        <v>-14214.898499999999</v>
      </c>
      <c r="AU150" s="125">
        <f>AH150*Valores!$C$74</f>
        <v>-3489.1114499999999</v>
      </c>
      <c r="AV150" s="125">
        <f>AH150*Valores!$C$75</f>
        <v>-387.67904999999996</v>
      </c>
      <c r="AW150" s="125">
        <f t="shared" si="22"/>
        <v>141305.00099999999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34660.89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8579</v>
      </c>
      <c r="N151" s="125">
        <f t="shared" si="19"/>
        <v>0</v>
      </c>
      <c r="O151" s="125">
        <f>Valores!$C$16</f>
        <v>23436.25</v>
      </c>
      <c r="P151" s="125">
        <f>Valores!$D$5</f>
        <v>13864.36</v>
      </c>
      <c r="Q151" s="125">
        <f>Valores!$C$22</f>
        <v>12369.22</v>
      </c>
      <c r="R151" s="125">
        <f>IF($F$4="NO",Valores!$C$44,Valores!$C$44/2)</f>
        <v>9631.44</v>
      </c>
      <c r="S151" s="125">
        <f>Valores!$C$19</f>
        <v>12901.01</v>
      </c>
      <c r="T151" s="125">
        <f t="shared" si="25"/>
        <v>12901.01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6318.76</v>
      </c>
      <c r="AA151" s="125">
        <f>Valores!$C$25</f>
        <v>567.05999999999995</v>
      </c>
      <c r="AB151" s="214">
        <v>0</v>
      </c>
      <c r="AC151" s="125">
        <f t="shared" si="20"/>
        <v>0</v>
      </c>
      <c r="AD151" s="125">
        <f>Valores!$C$26</f>
        <v>567.05999999999995</v>
      </c>
      <c r="AE151" s="192">
        <v>0</v>
      </c>
      <c r="AF151" s="125">
        <f>ROUND(AE151*Valores!$C$2,2)</f>
        <v>0</v>
      </c>
      <c r="AG151" s="125">
        <f>ROUND(IF($F$4="NO",Valores!$C$63,Valores!$C$63/2),2)</f>
        <v>6482.98</v>
      </c>
      <c r="AH151" s="125">
        <f t="shared" si="23"/>
        <v>129378.02999999998</v>
      </c>
      <c r="AI151" s="125">
        <f>Valores!$C$31</f>
        <v>0</v>
      </c>
      <c r="AJ151" s="125">
        <f>Valores!$C$87</f>
        <v>0</v>
      </c>
      <c r="AK151" s="125">
        <f>Valores!C$38*B151</f>
        <v>30000</v>
      </c>
      <c r="AL151" s="125">
        <f>IF($F$3="NO",0,Valores!$C$56)</f>
        <v>170.34</v>
      </c>
      <c r="AM151" s="125">
        <f t="shared" si="21"/>
        <v>30170.34</v>
      </c>
      <c r="AN151" s="125">
        <f>AH151*Valores!$C$71</f>
        <v>-14231.583299999998</v>
      </c>
      <c r="AO151" s="125">
        <f>AH151*-Valores!$C$72</f>
        <v>0</v>
      </c>
      <c r="AP151" s="125">
        <f>AH151*Valores!$C$73</f>
        <v>-5822.0113499999989</v>
      </c>
      <c r="AQ151" s="125">
        <f>Valores!$C$100</f>
        <v>-280.91000000000003</v>
      </c>
      <c r="AR151" s="125">
        <f>IF($F$5=0,Valores!$C$101,(Valores!$C$101+$F$5*(Valores!$C$101)))</f>
        <v>-385</v>
      </c>
      <c r="AS151" s="125">
        <f t="shared" si="24"/>
        <v>138828.86534999998</v>
      </c>
      <c r="AT151" s="125">
        <f t="shared" si="18"/>
        <v>-14231.583299999998</v>
      </c>
      <c r="AU151" s="125">
        <f>AH151*Valores!$C$74</f>
        <v>-3493.2068099999997</v>
      </c>
      <c r="AV151" s="125">
        <f>AH151*Valores!$C$75</f>
        <v>-388.13408999999996</v>
      </c>
      <c r="AW151" s="125">
        <f t="shared" si="22"/>
        <v>141435.44579999999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28884.080000000002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7631.08</v>
      </c>
      <c r="N152" s="125">
        <f t="shared" si="19"/>
        <v>0</v>
      </c>
      <c r="O152" s="125">
        <f>Valores!$C$16</f>
        <v>23436.25</v>
      </c>
      <c r="P152" s="125">
        <f>Valores!$D$5</f>
        <v>13864.36</v>
      </c>
      <c r="Q152" s="125">
        <f>Valores!$C$23</f>
        <v>11512.45</v>
      </c>
      <c r="R152" s="125">
        <f>IF($F$4="NO",Valores!$C$43,Valores!$C$43/2)</f>
        <v>9088.77</v>
      </c>
      <c r="S152" s="125">
        <f>Valores!$C$19</f>
        <v>12901.01</v>
      </c>
      <c r="T152" s="125">
        <f t="shared" si="25"/>
        <v>12901.01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6318.76</v>
      </c>
      <c r="AA152" s="125">
        <f>Valores!$C$25</f>
        <v>567.05999999999995</v>
      </c>
      <c r="AB152" s="214">
        <v>0</v>
      </c>
      <c r="AC152" s="125">
        <f t="shared" si="20"/>
        <v>0</v>
      </c>
      <c r="AD152" s="125">
        <f>Valores!$C$26</f>
        <v>567.05999999999995</v>
      </c>
      <c r="AE152" s="192">
        <v>0</v>
      </c>
      <c r="AF152" s="125">
        <f>ROUND(AE152*Valores!$C$2,2)</f>
        <v>0</v>
      </c>
      <c r="AG152" s="125">
        <f>ROUND(IF($F$4="NO",Valores!$C$63,Valores!$C$63/2),2)</f>
        <v>6482.98</v>
      </c>
      <c r="AH152" s="125">
        <f t="shared" si="23"/>
        <v>121253.85999999999</v>
      </c>
      <c r="AI152" s="125">
        <f>Valores!$C$31</f>
        <v>0</v>
      </c>
      <c r="AJ152" s="125">
        <f>Valores!$C$87</f>
        <v>0</v>
      </c>
      <c r="AK152" s="125">
        <f>Valores!C$38*B152</f>
        <v>30000</v>
      </c>
      <c r="AL152" s="125">
        <f>IF($F$3="NO",0,Valores!$C$56)</f>
        <v>170.34</v>
      </c>
      <c r="AM152" s="125">
        <f t="shared" si="21"/>
        <v>30170.34</v>
      </c>
      <c r="AN152" s="125">
        <f>AH152*Valores!$C$71</f>
        <v>-13337.924599999998</v>
      </c>
      <c r="AO152" s="125">
        <f>AH152*-Valores!$C$72</f>
        <v>0</v>
      </c>
      <c r="AP152" s="125">
        <f>AH152*Valores!$C$73</f>
        <v>-5456.4236999999994</v>
      </c>
      <c r="AQ152" s="125">
        <f>Valores!$C$100</f>
        <v>-280.91000000000003</v>
      </c>
      <c r="AR152" s="125">
        <f>IF($F$5=0,Valores!$C$101,(Valores!$C$101+$F$5*(Valores!$C$101)))</f>
        <v>-385</v>
      </c>
      <c r="AS152" s="125">
        <f t="shared" si="24"/>
        <v>131963.9417</v>
      </c>
      <c r="AT152" s="125">
        <f t="shared" si="18"/>
        <v>-13337.924599999998</v>
      </c>
      <c r="AU152" s="125">
        <f>AH152*Valores!$C$74</f>
        <v>-3273.8542199999997</v>
      </c>
      <c r="AV152" s="125">
        <f>AH152*Valores!$C$75</f>
        <v>-363.76157999999998</v>
      </c>
      <c r="AW152" s="125">
        <f t="shared" si="22"/>
        <v>134448.65959999998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25683.78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7151.03</v>
      </c>
      <c r="N153" s="125">
        <f t="shared" si="19"/>
        <v>0</v>
      </c>
      <c r="O153" s="125">
        <f>Valores!$C$16</f>
        <v>23436.25</v>
      </c>
      <c r="P153" s="125">
        <f>Valores!$D$5</f>
        <v>13864.36</v>
      </c>
      <c r="Q153" s="125">
        <f>Valores!$C$23</f>
        <v>11512.45</v>
      </c>
      <c r="R153" s="125">
        <f>IF($F$4="NO",Valores!$C$43,Valores!$C$43/2)</f>
        <v>9088.77</v>
      </c>
      <c r="S153" s="125">
        <f>Valores!$C$19</f>
        <v>12901.01</v>
      </c>
      <c r="T153" s="125">
        <f t="shared" si="25"/>
        <v>12901.01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6318.76</v>
      </c>
      <c r="AA153" s="125">
        <f>Valores!$C$25</f>
        <v>567.05999999999995</v>
      </c>
      <c r="AB153" s="214">
        <v>0</v>
      </c>
      <c r="AC153" s="125">
        <f t="shared" si="20"/>
        <v>0</v>
      </c>
      <c r="AD153" s="125">
        <f>Valores!$C$26</f>
        <v>567.05999999999995</v>
      </c>
      <c r="AE153" s="192">
        <v>0</v>
      </c>
      <c r="AF153" s="125">
        <f>ROUND(AE153*Valores!$C$2,2)</f>
        <v>0</v>
      </c>
      <c r="AG153" s="125">
        <f>ROUND(IF($F$4="NO",Valores!$C$63,Valores!$C$63/2),2)</f>
        <v>6482.98</v>
      </c>
      <c r="AH153" s="125">
        <f t="shared" si="23"/>
        <v>117573.50999999998</v>
      </c>
      <c r="AI153" s="125">
        <f>Valores!$C$31</f>
        <v>0</v>
      </c>
      <c r="AJ153" s="125">
        <f>Valores!$C$87</f>
        <v>0</v>
      </c>
      <c r="AK153" s="125">
        <f>Valores!C$38*B153</f>
        <v>30000</v>
      </c>
      <c r="AL153" s="125">
        <f>IF($F$3="NO",0,Valores!$C$56)</f>
        <v>170.34</v>
      </c>
      <c r="AM153" s="125">
        <f t="shared" si="21"/>
        <v>30170.34</v>
      </c>
      <c r="AN153" s="125">
        <f>AH153*Valores!$C$71</f>
        <v>-12933.086099999999</v>
      </c>
      <c r="AO153" s="125">
        <f>AH153*-Valores!$C$72</f>
        <v>0</v>
      </c>
      <c r="AP153" s="125">
        <f>AH153*Valores!$C$73</f>
        <v>-5290.8079499999985</v>
      </c>
      <c r="AQ153" s="125">
        <f>Valores!$C$100</f>
        <v>-280.91000000000003</v>
      </c>
      <c r="AR153" s="125">
        <f>IF($F$5=0,Valores!$C$101,(Valores!$C$101+$F$5*(Valores!$C$101)))</f>
        <v>-385</v>
      </c>
      <c r="AS153" s="125">
        <f t="shared" si="24"/>
        <v>128854.04594999999</v>
      </c>
      <c r="AT153" s="125">
        <f t="shared" si="18"/>
        <v>-12933.086099999999</v>
      </c>
      <c r="AU153" s="125">
        <f>AH153*Valores!$C$74</f>
        <v>-3174.4847699999996</v>
      </c>
      <c r="AV153" s="125">
        <f>AH153*Valores!$C$75</f>
        <v>-352.72052999999994</v>
      </c>
      <c r="AW153" s="125">
        <f t="shared" si="22"/>
        <v>131283.55859999999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48818.16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11431.95</v>
      </c>
      <c r="N154" s="125">
        <f t="shared" si="19"/>
        <v>0</v>
      </c>
      <c r="O154" s="125">
        <f>Valores!$C$8</f>
        <v>29851.25</v>
      </c>
      <c r="P154" s="125">
        <f>Valores!$D$5</f>
        <v>13864.36</v>
      </c>
      <c r="Q154" s="125">
        <f>Valores!$C$22</f>
        <v>12369.22</v>
      </c>
      <c r="R154" s="125">
        <f>IF($F$4="NO",Valores!$C$47,Valores!$C$47/2)</f>
        <v>14493.86</v>
      </c>
      <c r="S154" s="125">
        <f>Valores!$C$19</f>
        <v>12901.01</v>
      </c>
      <c r="T154" s="125">
        <f t="shared" si="25"/>
        <v>12901.01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12637.52</v>
      </c>
      <c r="AA154" s="125">
        <f>Valores!$C$25</f>
        <v>567.05999999999995</v>
      </c>
      <c r="AB154" s="214">
        <v>0</v>
      </c>
      <c r="AC154" s="125">
        <f t="shared" si="20"/>
        <v>0</v>
      </c>
      <c r="AD154" s="125">
        <f>Valores!$C$26</f>
        <v>567.05999999999995</v>
      </c>
      <c r="AE154" s="192">
        <v>0</v>
      </c>
      <c r="AF154" s="125">
        <f>ROUND(AE154*Valores!$C$2,2)</f>
        <v>0</v>
      </c>
      <c r="AG154" s="125">
        <f>ROUND(IF($F$4="NO",Valores!$C$63,Valores!$C$63/2),2)</f>
        <v>6482.98</v>
      </c>
      <c r="AH154" s="125">
        <f t="shared" si="23"/>
        <v>163984.43</v>
      </c>
      <c r="AI154" s="125">
        <f>Valores!$C$31</f>
        <v>0</v>
      </c>
      <c r="AJ154" s="125">
        <f>Valores!$C$89</f>
        <v>0</v>
      </c>
      <c r="AK154" s="125">
        <f>Valores!C$38*B154</f>
        <v>30000</v>
      </c>
      <c r="AL154" s="125">
        <f>IF($F$3="NO",0,Valores!$C$56)</f>
        <v>170.34</v>
      </c>
      <c r="AM154" s="125">
        <f t="shared" si="21"/>
        <v>30170.34</v>
      </c>
      <c r="AN154" s="125">
        <f>AH154*Valores!$C$71</f>
        <v>-18038.2873</v>
      </c>
      <c r="AO154" s="125">
        <f>AH154*-Valores!$C$72</f>
        <v>0</v>
      </c>
      <c r="AP154" s="125">
        <f>AH154*Valores!$C$73</f>
        <v>-7379.2993499999993</v>
      </c>
      <c r="AQ154" s="125">
        <f>Valores!$C$100</f>
        <v>-280.91000000000003</v>
      </c>
      <c r="AR154" s="125">
        <f>IF($F$5=0,Valores!$C$101,(Valores!$C$101+$F$5*(Valores!$C$101)))</f>
        <v>-385</v>
      </c>
      <c r="AS154" s="125">
        <f t="shared" si="24"/>
        <v>168071.27335</v>
      </c>
      <c r="AT154" s="125">
        <f t="shared" si="18"/>
        <v>-18038.2873</v>
      </c>
      <c r="AU154" s="125">
        <f>AH154*Valores!$C$74</f>
        <v>-4427.5796099999998</v>
      </c>
      <c r="AV154" s="125">
        <f>AH154*Valores!$C$75</f>
        <v>-491.95328999999998</v>
      </c>
      <c r="AW154" s="125">
        <f t="shared" si="22"/>
        <v>171196.9498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34660.89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8579</v>
      </c>
      <c r="N155" s="125">
        <f t="shared" si="19"/>
        <v>0</v>
      </c>
      <c r="O155" s="125">
        <f>Valores!$C$8</f>
        <v>29851.25</v>
      </c>
      <c r="P155" s="125">
        <f>Valores!$D$5</f>
        <v>13864.36</v>
      </c>
      <c r="Q155" s="125">
        <f>Valores!$C$22</f>
        <v>12369.22</v>
      </c>
      <c r="R155" s="125">
        <f>IF($F$4="NO",Valores!$C$44,Valores!$C$44/2)</f>
        <v>9631.44</v>
      </c>
      <c r="S155" s="125">
        <f>Valores!$C$19</f>
        <v>12901.01</v>
      </c>
      <c r="T155" s="125">
        <f t="shared" si="25"/>
        <v>12901.01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6318.76</v>
      </c>
      <c r="AA155" s="125">
        <f>Valores!$C$25</f>
        <v>567.05999999999995</v>
      </c>
      <c r="AB155" s="214">
        <v>0</v>
      </c>
      <c r="AC155" s="125">
        <f t="shared" si="20"/>
        <v>0</v>
      </c>
      <c r="AD155" s="125">
        <f>Valores!$C$26</f>
        <v>567.05999999999995</v>
      </c>
      <c r="AE155" s="192">
        <v>0</v>
      </c>
      <c r="AF155" s="125">
        <f>ROUND(AE155*Valores!$C$2,2)</f>
        <v>0</v>
      </c>
      <c r="AG155" s="125">
        <f>ROUND(IF($F$4="NO",Valores!$C$63,Valores!$C$63/2),2)</f>
        <v>6482.98</v>
      </c>
      <c r="AH155" s="125">
        <f t="shared" si="23"/>
        <v>135793.03</v>
      </c>
      <c r="AI155" s="125">
        <f>Valores!$C$31</f>
        <v>0</v>
      </c>
      <c r="AJ155" s="125">
        <f>Valores!$C$87</f>
        <v>0</v>
      </c>
      <c r="AK155" s="125">
        <f>Valores!C$38*B155</f>
        <v>30000</v>
      </c>
      <c r="AL155" s="125">
        <f>IF($F$3="NO",0,Valores!$C$56)</f>
        <v>170.34</v>
      </c>
      <c r="AM155" s="125">
        <f t="shared" si="21"/>
        <v>30170.34</v>
      </c>
      <c r="AN155" s="125">
        <f>AH155*Valores!$C$71</f>
        <v>-14937.2333</v>
      </c>
      <c r="AO155" s="125">
        <f>AH155*-Valores!$C$72</f>
        <v>0</v>
      </c>
      <c r="AP155" s="125">
        <f>AH155*Valores!$C$73</f>
        <v>-6110.6863499999999</v>
      </c>
      <c r="AQ155" s="125">
        <f>Valores!$C$100</f>
        <v>-280.91000000000003</v>
      </c>
      <c r="AR155" s="125">
        <f>IF($F$5=0,Valores!$C$101,(Valores!$C$101+$F$5*(Valores!$C$101)))</f>
        <v>-385</v>
      </c>
      <c r="AS155" s="125">
        <f t="shared" si="24"/>
        <v>144249.54035</v>
      </c>
      <c r="AT155" s="125">
        <f t="shared" si="18"/>
        <v>-14937.2333</v>
      </c>
      <c r="AU155" s="125">
        <f>AH155*Valores!$C$74</f>
        <v>-3666.4118100000001</v>
      </c>
      <c r="AV155" s="125">
        <f>AH155*Valores!$C$75</f>
        <v>-407.37909000000002</v>
      </c>
      <c r="AW155" s="125">
        <f t="shared" si="22"/>
        <v>146952.34580000001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32925.14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8318.64</v>
      </c>
      <c r="N156" s="125">
        <f t="shared" si="19"/>
        <v>0</v>
      </c>
      <c r="O156" s="125">
        <f>Valores!$C$16</f>
        <v>23436.25</v>
      </c>
      <c r="P156" s="125">
        <f>Valores!$D$5</f>
        <v>13864.36</v>
      </c>
      <c r="Q156" s="125">
        <f>Valores!$C$22</f>
        <v>12369.22</v>
      </c>
      <c r="R156" s="125">
        <f>IF($F$4="NO",Valores!$C$44,Valores!$C$44/2)</f>
        <v>9631.44</v>
      </c>
      <c r="S156" s="125">
        <f>Valores!$C$19</f>
        <v>12901.01</v>
      </c>
      <c r="T156" s="125">
        <f t="shared" si="25"/>
        <v>12901.01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6318.76</v>
      </c>
      <c r="AA156" s="125">
        <f>Valores!$C$25</f>
        <v>567.05999999999995</v>
      </c>
      <c r="AB156" s="214">
        <v>0</v>
      </c>
      <c r="AC156" s="125">
        <f t="shared" si="20"/>
        <v>0</v>
      </c>
      <c r="AD156" s="125">
        <f>Valores!$C$26</f>
        <v>567.05999999999995</v>
      </c>
      <c r="AE156" s="192">
        <v>0</v>
      </c>
      <c r="AF156" s="125">
        <f>ROUND(AE156*Valores!$C$2,2)</f>
        <v>0</v>
      </c>
      <c r="AG156" s="125">
        <f>ROUND(IF($F$4="NO",Valores!$C$63,Valores!$C$63/2),2)</f>
        <v>6482.98</v>
      </c>
      <c r="AH156" s="125">
        <f t="shared" si="23"/>
        <v>127381.91999999998</v>
      </c>
      <c r="AI156" s="125">
        <f>Valores!$C$31</f>
        <v>0</v>
      </c>
      <c r="AJ156" s="125">
        <f>Valores!$C$87</f>
        <v>0</v>
      </c>
      <c r="AK156" s="125">
        <f>Valores!C$38*B156</f>
        <v>30000</v>
      </c>
      <c r="AL156" s="125">
        <f>IF($F$3="NO",0,Valores!$C$56)</f>
        <v>170.34</v>
      </c>
      <c r="AM156" s="125">
        <f t="shared" si="21"/>
        <v>30170.34</v>
      </c>
      <c r="AN156" s="125">
        <f>AH156*Valores!$C$71</f>
        <v>-14012.011199999999</v>
      </c>
      <c r="AO156" s="125">
        <f>AH156*-Valores!$C$72</f>
        <v>0</v>
      </c>
      <c r="AP156" s="125">
        <f>AH156*Valores!$C$73</f>
        <v>-5732.1863999999987</v>
      </c>
      <c r="AQ156" s="125">
        <f>Valores!$C$100</f>
        <v>-280.91000000000003</v>
      </c>
      <c r="AR156" s="125">
        <f>IF($F$5=0,Valores!$C$101,(Valores!$C$101+$F$5*(Valores!$C$101)))</f>
        <v>-385</v>
      </c>
      <c r="AS156" s="125">
        <f t="shared" si="24"/>
        <v>137142.15239999999</v>
      </c>
      <c r="AT156" s="125">
        <f t="shared" si="18"/>
        <v>-14012.011199999999</v>
      </c>
      <c r="AU156" s="125">
        <f>AH156*Valores!$C$74</f>
        <v>-3439.3118399999994</v>
      </c>
      <c r="AV156" s="125">
        <f>AH156*Valores!$C$75</f>
        <v>-382.14575999999994</v>
      </c>
      <c r="AW156" s="125">
        <f t="shared" si="22"/>
        <v>139718.79119999998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32111.5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8176.81</v>
      </c>
      <c r="N157" s="125">
        <f t="shared" si="19"/>
        <v>0</v>
      </c>
      <c r="O157" s="125">
        <f>Valores!$C$16</f>
        <v>23436.25</v>
      </c>
      <c r="P157" s="125">
        <f>Valores!$D$5</f>
        <v>13864.36</v>
      </c>
      <c r="Q157" s="125">
        <v>0</v>
      </c>
      <c r="R157" s="125">
        <f>IF($F$4="NO",Valores!$C$44,Valores!$C$44/2)</f>
        <v>9631.44</v>
      </c>
      <c r="S157" s="125">
        <f>Valores!$C$20</f>
        <v>12769.11</v>
      </c>
      <c r="T157" s="125">
        <f t="shared" si="25"/>
        <v>12769.11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6318.76</v>
      </c>
      <c r="AA157" s="125">
        <f>Valores!$C$25</f>
        <v>567.05999999999995</v>
      </c>
      <c r="AB157" s="214">
        <v>0</v>
      </c>
      <c r="AC157" s="125">
        <f t="shared" si="20"/>
        <v>0</v>
      </c>
      <c r="AD157" s="125">
        <f>Valores!$C$26</f>
        <v>567.05999999999995</v>
      </c>
      <c r="AE157" s="192">
        <v>0</v>
      </c>
      <c r="AF157" s="125">
        <f>ROUND(AE157*Valores!$C$2,2)</f>
        <v>0</v>
      </c>
      <c r="AG157" s="125">
        <f>ROUND(IF($F$4="NO",Valores!$C$63,Valores!$C$63/2),2)</f>
        <v>6482.98</v>
      </c>
      <c r="AH157" s="125">
        <f t="shared" si="23"/>
        <v>113925.32999999999</v>
      </c>
      <c r="AI157" s="125">
        <f>Valores!$C$31</f>
        <v>0</v>
      </c>
      <c r="AJ157" s="125">
        <f>Valores!$C$87</f>
        <v>0</v>
      </c>
      <c r="AK157" s="125">
        <f>Valores!C$38*B157</f>
        <v>30000</v>
      </c>
      <c r="AL157" s="125">
        <f>IF($F$3="NO",0,Valores!$C$56)</f>
        <v>170.34</v>
      </c>
      <c r="AM157" s="125">
        <f t="shared" si="21"/>
        <v>30170.34</v>
      </c>
      <c r="AN157" s="125">
        <f>AH157*Valores!$C$71</f>
        <v>-12531.786299999998</v>
      </c>
      <c r="AO157" s="125">
        <f>AH157*-Valores!$C$72</f>
        <v>0</v>
      </c>
      <c r="AP157" s="125">
        <f>AH157*Valores!$C$73</f>
        <v>-5126.6398499999996</v>
      </c>
      <c r="AQ157" s="125">
        <f>Valores!$C$100</f>
        <v>-280.91000000000003</v>
      </c>
      <c r="AR157" s="125">
        <f>IF($F$5=0,Valores!$C$101,(Valores!$C$101+$F$5*(Valores!$C$101)))</f>
        <v>-385</v>
      </c>
      <c r="AS157" s="125">
        <f t="shared" si="24"/>
        <v>125771.33385</v>
      </c>
      <c r="AT157" s="125">
        <f t="shared" si="18"/>
        <v>-12531.786299999998</v>
      </c>
      <c r="AU157" s="125">
        <f>AH157*Valores!$C$74</f>
        <v>-3075.9839099999995</v>
      </c>
      <c r="AV157" s="125">
        <f>AH157*Valores!$C$75</f>
        <v>-341.77598999999998</v>
      </c>
      <c r="AW157" s="125">
        <f t="shared" si="22"/>
        <v>128146.12379999999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26334.69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7248.67</v>
      </c>
      <c r="N158" s="125">
        <f t="shared" si="19"/>
        <v>0</v>
      </c>
      <c r="O158" s="125">
        <f>Valores!$C$16</f>
        <v>23436.25</v>
      </c>
      <c r="P158" s="125">
        <f>Valores!$D$5</f>
        <v>13864.36</v>
      </c>
      <c r="Q158" s="125">
        <f>Valores!$C$23</f>
        <v>11512.45</v>
      </c>
      <c r="R158" s="125">
        <f>IF($F$4="NO",Valores!$C$43,Valores!$C$43/2)</f>
        <v>9088.77</v>
      </c>
      <c r="S158" s="125">
        <f>Valores!$C$19</f>
        <v>12901.01</v>
      </c>
      <c r="T158" s="125">
        <f t="shared" si="25"/>
        <v>12901.01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6318.76</v>
      </c>
      <c r="AA158" s="125">
        <f>Valores!$C$25</f>
        <v>567.05999999999995</v>
      </c>
      <c r="AB158" s="214">
        <v>0</v>
      </c>
      <c r="AC158" s="125">
        <f t="shared" si="20"/>
        <v>0</v>
      </c>
      <c r="AD158" s="125">
        <f>Valores!$C$25</f>
        <v>567.05999999999995</v>
      </c>
      <c r="AE158" s="192">
        <v>0</v>
      </c>
      <c r="AF158" s="125">
        <f>ROUND(AE158*Valores!$C$2,2)</f>
        <v>0</v>
      </c>
      <c r="AG158" s="125">
        <f>ROUND(IF($F$4="NO",Valores!$C$63,Valores!$C$63/2),2)</f>
        <v>6482.98</v>
      </c>
      <c r="AH158" s="125">
        <f t="shared" si="23"/>
        <v>118322.05999999998</v>
      </c>
      <c r="AI158" s="125">
        <f>Valores!$C$31</f>
        <v>0</v>
      </c>
      <c r="AJ158" s="125">
        <f>Valores!$C$87</f>
        <v>0</v>
      </c>
      <c r="AK158" s="125">
        <f>Valores!C$38*B158</f>
        <v>30000</v>
      </c>
      <c r="AL158" s="125">
        <f>(IF($F$3="NO",0,Valores!$C$58))</f>
        <v>155.18</v>
      </c>
      <c r="AM158" s="125">
        <f t="shared" si="21"/>
        <v>30155.18</v>
      </c>
      <c r="AN158" s="125">
        <f>AH158*Valores!$C$71</f>
        <v>-13015.426599999999</v>
      </c>
      <c r="AO158" s="125">
        <f>AH158*-Valores!$C$72</f>
        <v>0</v>
      </c>
      <c r="AP158" s="125">
        <f>AH158*Valores!$C$73</f>
        <v>-5324.4926999999989</v>
      </c>
      <c r="AQ158" s="125">
        <f>Valores!$C$100</f>
        <v>-280.91000000000003</v>
      </c>
      <c r="AR158" s="125">
        <f>IF($F$5=0,Valores!$C$101,(Valores!$C$101+$F$5*(Valores!$C$101)))</f>
        <v>-385</v>
      </c>
      <c r="AS158" s="125">
        <f t="shared" si="24"/>
        <v>129471.41069999998</v>
      </c>
      <c r="AT158" s="125">
        <f t="shared" si="18"/>
        <v>-13015.426599999999</v>
      </c>
      <c r="AU158" s="125">
        <f>AH158*Valores!$C$74</f>
        <v>-3194.6956199999995</v>
      </c>
      <c r="AV158" s="125">
        <f>AH158*Valores!$C$75</f>
        <v>-354.96617999999995</v>
      </c>
      <c r="AW158" s="125">
        <f t="shared" si="22"/>
        <v>131912.15159999998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26334.69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9686.7099999999991</v>
      </c>
      <c r="N159" s="125">
        <f t="shared" si="19"/>
        <v>0</v>
      </c>
      <c r="O159" s="125">
        <f>Valores!$C$16</f>
        <v>23436.25</v>
      </c>
      <c r="P159" s="125">
        <f>Valores!$D$5</f>
        <v>13864.36</v>
      </c>
      <c r="Q159" s="125">
        <f>Valores!$C$23</f>
        <v>11512.45</v>
      </c>
      <c r="R159" s="125">
        <f>IF($F$4="NO",Valores!$C$47,Valores!$C$47/2)</f>
        <v>14493.86</v>
      </c>
      <c r="S159" s="125">
        <f>Valores!$C$19</f>
        <v>12901.01</v>
      </c>
      <c r="T159" s="125">
        <f t="shared" si="25"/>
        <v>12901.01</v>
      </c>
      <c r="U159" s="125">
        <v>0</v>
      </c>
      <c r="V159" s="125">
        <v>0</v>
      </c>
      <c r="W159" s="192">
        <v>400</v>
      </c>
      <c r="X159" s="125">
        <f>ROUND(W159*Valores!$C$2,2)</f>
        <v>10848.48</v>
      </c>
      <c r="Y159" s="125">
        <f>ROUND(SUM(J159,H159,F159,R159)*Valores!$C$3,2)</f>
        <v>6124.28</v>
      </c>
      <c r="Z159" s="125">
        <f>Valores!$C$94</f>
        <v>6318.76</v>
      </c>
      <c r="AA159" s="125">
        <f>Valores!$C$25</f>
        <v>567.05999999999995</v>
      </c>
      <c r="AB159" s="214">
        <v>0</v>
      </c>
      <c r="AC159" s="125">
        <f t="shared" si="20"/>
        <v>0</v>
      </c>
      <c r="AD159" s="125">
        <f>Valores!$C$25</f>
        <v>567.05999999999995</v>
      </c>
      <c r="AE159" s="192">
        <v>94</v>
      </c>
      <c r="AF159" s="125">
        <f>ROUND(AE159*Valores!$C$2,2)</f>
        <v>2549.39</v>
      </c>
      <c r="AG159" s="125">
        <f>ROUND(IF($F$4="NO",Valores!$C$63,Valores!$C$63/2),2)</f>
        <v>6482.98</v>
      </c>
      <c r="AH159" s="125">
        <f t="shared" si="23"/>
        <v>145687.34</v>
      </c>
      <c r="AI159" s="125">
        <f>Valores!$C$31</f>
        <v>0</v>
      </c>
      <c r="AJ159" s="125">
        <f>Valores!$C$87</f>
        <v>0</v>
      </c>
      <c r="AK159" s="125">
        <f>Valores!C$38*B159</f>
        <v>30000</v>
      </c>
      <c r="AL159" s="125">
        <f>(IF($F$3="NO",0,Valores!$C$58))</f>
        <v>155.18</v>
      </c>
      <c r="AM159" s="125">
        <f t="shared" si="21"/>
        <v>30155.18</v>
      </c>
      <c r="AN159" s="125">
        <f>AH159*Valores!$C$71</f>
        <v>-16025.607399999999</v>
      </c>
      <c r="AO159" s="125">
        <f>AH159*-Valores!$C$72</f>
        <v>0</v>
      </c>
      <c r="AP159" s="125">
        <f>AH159*Valores!$C$73</f>
        <v>-6555.9303</v>
      </c>
      <c r="AQ159" s="125">
        <f>Valores!$C$100</f>
        <v>-280.91000000000003</v>
      </c>
      <c r="AR159" s="125">
        <f>IF($F$5=0,Valores!$C$101,(Valores!$C$101+$F$5*(Valores!$C$101)))</f>
        <v>-385</v>
      </c>
      <c r="AS159" s="125">
        <f t="shared" si="24"/>
        <v>152595.0723</v>
      </c>
      <c r="AT159" s="125">
        <f t="shared" si="18"/>
        <v>-16025.607399999999</v>
      </c>
      <c r="AU159" s="125">
        <f>AH159*Valores!$C$74</f>
        <v>-3933.55818</v>
      </c>
      <c r="AV159" s="125">
        <f>AH159*Valores!$C$75</f>
        <v>-437.06202000000002</v>
      </c>
      <c r="AW159" s="125">
        <f t="shared" si="22"/>
        <v>155446.29239999998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21968.17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6573.91</v>
      </c>
      <c r="N160" s="125">
        <f t="shared" si="19"/>
        <v>0</v>
      </c>
      <c r="O160" s="125">
        <f>Valores!$C$16</f>
        <v>23436.25</v>
      </c>
      <c r="P160" s="125">
        <f>Valores!$D$5</f>
        <v>13864.36</v>
      </c>
      <c r="Q160" s="125">
        <f>Valores!$C$23</f>
        <v>11512.45</v>
      </c>
      <c r="R160" s="125">
        <f>IF($F$4="NO",Valores!$C$43,Valores!$C$43/2)</f>
        <v>9088.77</v>
      </c>
      <c r="S160" s="125">
        <f>Valores!$C$20</f>
        <v>12769.11</v>
      </c>
      <c r="T160" s="125">
        <f t="shared" si="25"/>
        <v>12769.11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6318.76</v>
      </c>
      <c r="AA160" s="125">
        <f>Valores!$C$25</f>
        <v>567.05999999999995</v>
      </c>
      <c r="AB160" s="214">
        <v>0</v>
      </c>
      <c r="AC160" s="125">
        <f t="shared" si="20"/>
        <v>0</v>
      </c>
      <c r="AD160" s="125">
        <f>Valores!$C$26</f>
        <v>567.05999999999995</v>
      </c>
      <c r="AE160" s="192">
        <v>0</v>
      </c>
      <c r="AF160" s="125">
        <f>ROUND(AE160*Valores!$C$2,2)</f>
        <v>0</v>
      </c>
      <c r="AG160" s="125">
        <f>ROUND(IF($F$4="NO",Valores!$C$63,Valores!$C$63/2),2)</f>
        <v>6482.98</v>
      </c>
      <c r="AH160" s="125">
        <f t="shared" si="23"/>
        <v>113148.87999999999</v>
      </c>
      <c r="AI160" s="125">
        <f>Valores!$C$31</f>
        <v>0</v>
      </c>
      <c r="AJ160" s="125">
        <f>Valores!$C$87</f>
        <v>0</v>
      </c>
      <c r="AK160" s="125">
        <f>Valores!C$38*B160</f>
        <v>30000</v>
      </c>
      <c r="AL160" s="125">
        <f>IF($F$3="NO",0,Valores!$C$56)</f>
        <v>170.34</v>
      </c>
      <c r="AM160" s="125">
        <f t="shared" si="21"/>
        <v>30170.34</v>
      </c>
      <c r="AN160" s="125">
        <f>AH160*Valores!$C$71</f>
        <v>-12446.376799999998</v>
      </c>
      <c r="AO160" s="125">
        <f>AH160*-Valores!$C$72</f>
        <v>0</v>
      </c>
      <c r="AP160" s="125">
        <f>AH160*Valores!$C$73</f>
        <v>-5091.699599999999</v>
      </c>
      <c r="AQ160" s="125">
        <f>Valores!$C$100</f>
        <v>-280.91000000000003</v>
      </c>
      <c r="AR160" s="125">
        <f>IF($F$5=0,Valores!$C$101,(Valores!$C$101+$F$5*(Valores!$C$101)))</f>
        <v>-385</v>
      </c>
      <c r="AS160" s="125">
        <f t="shared" si="24"/>
        <v>125115.23359999999</v>
      </c>
      <c r="AT160" s="125">
        <f t="shared" si="18"/>
        <v>-12446.376799999998</v>
      </c>
      <c r="AU160" s="125">
        <f>AH160*Valores!$C$74</f>
        <v>-3055.0197599999997</v>
      </c>
      <c r="AV160" s="125">
        <f>AH160*Valores!$C$75</f>
        <v>-339.44664</v>
      </c>
      <c r="AW160" s="125">
        <f t="shared" si="22"/>
        <v>127478.3768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28884.080000000002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7631.08</v>
      </c>
      <c r="N161" s="125">
        <f t="shared" si="19"/>
        <v>0</v>
      </c>
      <c r="O161" s="125">
        <f>Valores!$C$16</f>
        <v>23436.25</v>
      </c>
      <c r="P161" s="125">
        <f>Valores!$D$5</f>
        <v>13864.36</v>
      </c>
      <c r="Q161" s="125">
        <f>Valores!$C$23</f>
        <v>11512.45</v>
      </c>
      <c r="R161" s="125">
        <f>IF($F$4="NO",Valores!$C$43,Valores!$C$43/2)</f>
        <v>9088.77</v>
      </c>
      <c r="S161" s="125">
        <f>Valores!$C$19</f>
        <v>12901.01</v>
      </c>
      <c r="T161" s="125">
        <f t="shared" si="25"/>
        <v>12901.01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6318.76</v>
      </c>
      <c r="AA161" s="125">
        <f>Valores!$C$25</f>
        <v>567.05999999999995</v>
      </c>
      <c r="AB161" s="214">
        <v>0</v>
      </c>
      <c r="AC161" s="125">
        <f t="shared" si="20"/>
        <v>0</v>
      </c>
      <c r="AD161" s="125">
        <f>Valores!$C$26</f>
        <v>567.05999999999995</v>
      </c>
      <c r="AE161" s="192">
        <v>0</v>
      </c>
      <c r="AF161" s="125">
        <f>ROUND(AE161*Valores!$C$2,2)</f>
        <v>0</v>
      </c>
      <c r="AG161" s="125">
        <f>ROUND(IF($F$4="NO",Valores!$C$63,Valores!$C$63/2),2)</f>
        <v>6482.98</v>
      </c>
      <c r="AH161" s="125">
        <f t="shared" si="23"/>
        <v>121253.85999999999</v>
      </c>
      <c r="AI161" s="125">
        <f>Valores!$C$31</f>
        <v>0</v>
      </c>
      <c r="AJ161" s="125">
        <f>Valores!$C$87</f>
        <v>0</v>
      </c>
      <c r="AK161" s="125">
        <f>Valores!C$38*B161</f>
        <v>30000</v>
      </c>
      <c r="AL161" s="125">
        <f>IF($F$3="NO",0,Valores!$C$56)</f>
        <v>170.34</v>
      </c>
      <c r="AM161" s="125">
        <f t="shared" si="21"/>
        <v>30170.34</v>
      </c>
      <c r="AN161" s="125">
        <f>AH161*Valores!$C$71</f>
        <v>-13337.924599999998</v>
      </c>
      <c r="AO161" s="125">
        <f>AH161*-Valores!$C$72</f>
        <v>0</v>
      </c>
      <c r="AP161" s="125">
        <f>AH161*Valores!$C$73</f>
        <v>-5456.4236999999994</v>
      </c>
      <c r="AQ161" s="125">
        <f>Valores!$C$100</f>
        <v>-280.91000000000003</v>
      </c>
      <c r="AR161" s="125">
        <f>IF($F$5=0,Valores!$C$101,(Valores!$C$101+$F$5*(Valores!$C$101)))</f>
        <v>-385</v>
      </c>
      <c r="AS161" s="125">
        <f t="shared" si="24"/>
        <v>131963.9417</v>
      </c>
      <c r="AT161" s="125">
        <f t="shared" si="18"/>
        <v>-13337.924599999998</v>
      </c>
      <c r="AU161" s="125">
        <f>AH161*Valores!$C$74</f>
        <v>-3273.8542199999997</v>
      </c>
      <c r="AV161" s="125">
        <f>AH161*Valores!$C$75</f>
        <v>-363.76157999999998</v>
      </c>
      <c r="AW161" s="125">
        <f t="shared" si="22"/>
        <v>134448.65959999998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28884.080000000002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7631.08</v>
      </c>
      <c r="N162" s="125">
        <f t="shared" si="19"/>
        <v>0</v>
      </c>
      <c r="O162" s="125">
        <f>Valores!$C$16</f>
        <v>23436.25</v>
      </c>
      <c r="P162" s="125">
        <f>Valores!$D$5</f>
        <v>13864.36</v>
      </c>
      <c r="Q162" s="125">
        <f>Valores!$C$23</f>
        <v>11512.45</v>
      </c>
      <c r="R162" s="125">
        <f>IF($F$4="NO",Valores!$C$43,Valores!$C$43/2)</f>
        <v>9088.77</v>
      </c>
      <c r="S162" s="125">
        <f>Valores!$C$19</f>
        <v>12901.01</v>
      </c>
      <c r="T162" s="125">
        <f t="shared" si="25"/>
        <v>12901.01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6318.76</v>
      </c>
      <c r="AA162" s="125">
        <f>Valores!$C$25</f>
        <v>567.05999999999995</v>
      </c>
      <c r="AB162" s="214">
        <v>0</v>
      </c>
      <c r="AC162" s="125">
        <f t="shared" si="20"/>
        <v>0</v>
      </c>
      <c r="AD162" s="125">
        <f>Valores!$C$26</f>
        <v>567.05999999999995</v>
      </c>
      <c r="AE162" s="192">
        <v>94</v>
      </c>
      <c r="AF162" s="125">
        <f>ROUND(AE162*Valores!$C$2,2)</f>
        <v>2549.39</v>
      </c>
      <c r="AG162" s="125">
        <f>ROUND(IF($F$4="NO",Valores!$C$63,Valores!$C$63/2),2)</f>
        <v>6482.98</v>
      </c>
      <c r="AH162" s="125">
        <f t="shared" si="23"/>
        <v>123803.24999999999</v>
      </c>
      <c r="AI162" s="125">
        <f>Valores!$C$31</f>
        <v>0</v>
      </c>
      <c r="AJ162" s="125">
        <f>Valores!$C$87</f>
        <v>0</v>
      </c>
      <c r="AK162" s="125">
        <f>Valores!C$38*B162</f>
        <v>30000</v>
      </c>
      <c r="AL162" s="125">
        <f>IF($F$3="NO",0,Valores!$C$56)</f>
        <v>170.34</v>
      </c>
      <c r="AM162" s="125">
        <f t="shared" si="21"/>
        <v>30170.34</v>
      </c>
      <c r="AN162" s="125">
        <f>AH162*Valores!$C$71</f>
        <v>-13618.357499999998</v>
      </c>
      <c r="AO162" s="125">
        <f>AH162*-Valores!$C$72</f>
        <v>0</v>
      </c>
      <c r="AP162" s="125">
        <f>AH162*Valores!$C$73</f>
        <v>-5571.1462499999989</v>
      </c>
      <c r="AQ162" s="125">
        <f>Valores!$C$100</f>
        <v>-280.91000000000003</v>
      </c>
      <c r="AR162" s="125">
        <f>IF($F$5=0,Valores!$C$101,(Valores!$C$101+$F$5*(Valores!$C$101)))</f>
        <v>-385</v>
      </c>
      <c r="AS162" s="125">
        <f t="shared" si="24"/>
        <v>134118.17624999999</v>
      </c>
      <c r="AT162" s="125">
        <f t="shared" si="18"/>
        <v>-13618.357499999998</v>
      </c>
      <c r="AU162" s="125">
        <f>AH162*Valores!$C$74</f>
        <v>-3342.6877499999996</v>
      </c>
      <c r="AV162" s="125">
        <f>AH162*Valores!$C$75</f>
        <v>-371.40974999999997</v>
      </c>
      <c r="AW162" s="125">
        <f t="shared" si="22"/>
        <v>136641.13500000001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2657.88</v>
      </c>
      <c r="G163" s="192">
        <v>2686</v>
      </c>
      <c r="H163" s="125">
        <f>ROUND(G163*Valores!$C$2,2)</f>
        <v>72847.539999999994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18282.77</v>
      </c>
      <c r="N163" s="125">
        <f t="shared" si="19"/>
        <v>0</v>
      </c>
      <c r="O163" s="125">
        <f>Valores!$C$8</f>
        <v>29851.25</v>
      </c>
      <c r="P163" s="125">
        <f>Valores!$D$5</f>
        <v>13864.36</v>
      </c>
      <c r="Q163" s="125">
        <f>Valores!$C$22</f>
        <v>12369.22</v>
      </c>
      <c r="R163" s="125">
        <f>IF($F$4="NO",Valores!$C$47,Valores!$C$47/2)</f>
        <v>14493.86</v>
      </c>
      <c r="S163" s="125">
        <f>Valores!$C$19</f>
        <v>12901.01</v>
      </c>
      <c r="T163" s="125">
        <f t="shared" si="25"/>
        <v>12901.01</v>
      </c>
      <c r="U163" s="125">
        <v>0</v>
      </c>
      <c r="V163" s="125">
        <v>0</v>
      </c>
      <c r="W163" s="192">
        <v>700</v>
      </c>
      <c r="X163" s="125">
        <f>ROUND(W163*Valores!$C$2,2)</f>
        <v>18984.84</v>
      </c>
      <c r="Y163" s="125">
        <f>ROUND(SUM(J163,H163,F163,R163)*Valores!$C$3,2)</f>
        <v>13499.89</v>
      </c>
      <c r="Z163" s="125">
        <f>Valores!$C$96</f>
        <v>12637.52</v>
      </c>
      <c r="AA163" s="125">
        <f>Valores!$C$25</f>
        <v>567.05999999999995</v>
      </c>
      <c r="AB163" s="214">
        <v>0</v>
      </c>
      <c r="AC163" s="125">
        <f t="shared" si="20"/>
        <v>0</v>
      </c>
      <c r="AD163" s="125">
        <f>Valores!$C$26</f>
        <v>567.05999999999995</v>
      </c>
      <c r="AE163" s="192">
        <v>94</v>
      </c>
      <c r="AF163" s="125">
        <f>ROUND(AE163*Valores!$C$2,2)</f>
        <v>2549.39</v>
      </c>
      <c r="AG163" s="125">
        <f>ROUND(IF($F$4="NO",Valores!$C$63,Valores!$C$63/2),2)</f>
        <v>6482.98</v>
      </c>
      <c r="AH163" s="125">
        <f t="shared" si="23"/>
        <v>232556.63</v>
      </c>
      <c r="AI163" s="125">
        <f>Valores!$C$31</f>
        <v>0</v>
      </c>
      <c r="AJ163" s="125">
        <f>Valores!$C$89</f>
        <v>0</v>
      </c>
      <c r="AK163" s="125">
        <f>Valores!C$38*B163</f>
        <v>30000</v>
      </c>
      <c r="AL163" s="125">
        <f>IF($F$3="NO",0,224.5)</f>
        <v>224.5</v>
      </c>
      <c r="AM163" s="125">
        <f t="shared" si="21"/>
        <v>30224.5</v>
      </c>
      <c r="AN163" s="125">
        <f>AH163*Valores!$C$71</f>
        <v>-25581.229299999999</v>
      </c>
      <c r="AO163" s="125">
        <f>AH163*-Valores!$C$72</f>
        <v>0</v>
      </c>
      <c r="AP163" s="125">
        <f>AH163*Valores!$C$73</f>
        <v>-10465.048349999999</v>
      </c>
      <c r="AQ163" s="125">
        <f>Valores!$C$100</f>
        <v>-280.91000000000003</v>
      </c>
      <c r="AR163" s="125">
        <f>IF($F$5=0,Valores!$C$101,(Valores!$C$101+$F$5*(Valores!$C$101)))</f>
        <v>-385</v>
      </c>
      <c r="AS163" s="125">
        <f t="shared" si="24"/>
        <v>226068.94235</v>
      </c>
      <c r="AT163" s="125">
        <f t="shared" si="18"/>
        <v>-25581.229299999999</v>
      </c>
      <c r="AU163" s="125">
        <f>AH163*Valores!$C$74</f>
        <v>-6279.0290100000002</v>
      </c>
      <c r="AV163" s="125">
        <f>AH163*Valores!$C$75</f>
        <v>-697.66989000000001</v>
      </c>
      <c r="AW163" s="125">
        <f t="shared" si="22"/>
        <v>230223.20180000001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2522.27</v>
      </c>
      <c r="G164" s="192">
        <v>2547</v>
      </c>
      <c r="H164" s="125">
        <f>ROUND(G164*Valores!$C$2,2)</f>
        <v>69077.7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17696.95</v>
      </c>
      <c r="N164" s="125">
        <f t="shared" si="19"/>
        <v>0</v>
      </c>
      <c r="O164" s="125">
        <f>Valores!$C$16</f>
        <v>23436.25</v>
      </c>
      <c r="P164" s="125">
        <f>Valores!$D$5</f>
        <v>13864.36</v>
      </c>
      <c r="Q164" s="125">
        <f>Valores!$C$22</f>
        <v>12369.22</v>
      </c>
      <c r="R164" s="125">
        <f>IF($F$4="NO",Valores!$C$47,Valores!$C$47/2)</f>
        <v>14493.86</v>
      </c>
      <c r="S164" s="125">
        <f>Valores!$C$19</f>
        <v>12901.01</v>
      </c>
      <c r="T164" s="125">
        <f t="shared" si="25"/>
        <v>12901.01</v>
      </c>
      <c r="U164" s="125">
        <v>0</v>
      </c>
      <c r="V164" s="125">
        <v>0</v>
      </c>
      <c r="W164" s="192">
        <v>700</v>
      </c>
      <c r="X164" s="125">
        <f>ROUND(W164*Valores!$C$2,2)</f>
        <v>18984.84</v>
      </c>
      <c r="Y164" s="125">
        <f>ROUND(SUM(J164,H164,F164,R164)*Valores!$C$3,2)</f>
        <v>12914.07</v>
      </c>
      <c r="Z164" s="125">
        <f>Valores!$C$96</f>
        <v>12637.52</v>
      </c>
      <c r="AA164" s="125">
        <f>Valores!$C$25</f>
        <v>567.05999999999995</v>
      </c>
      <c r="AB164" s="214">
        <v>0</v>
      </c>
      <c r="AC164" s="125">
        <f t="shared" si="20"/>
        <v>0</v>
      </c>
      <c r="AD164" s="125">
        <f>Valores!$C$26</f>
        <v>567.05999999999995</v>
      </c>
      <c r="AE164" s="192">
        <v>94</v>
      </c>
      <c r="AF164" s="125">
        <f>ROUND(AE164*Valores!$C$2,2)</f>
        <v>2549.39</v>
      </c>
      <c r="AG164" s="125">
        <f>ROUND(IF($F$4="NO",Valores!$C$63,Valores!$C$63/2),2)</f>
        <v>6482.98</v>
      </c>
      <c r="AH164" s="125">
        <f t="shared" si="23"/>
        <v>221064.54</v>
      </c>
      <c r="AI164" s="125">
        <f>Valores!$C$31</f>
        <v>0</v>
      </c>
      <c r="AJ164" s="125">
        <f>Valores!$C$89</f>
        <v>0</v>
      </c>
      <c r="AK164" s="125">
        <f>Valores!C$38*B164</f>
        <v>30000</v>
      </c>
      <c r="AL164" s="125">
        <f>IF($F$3="NO",0,224.5)</f>
        <v>224.5</v>
      </c>
      <c r="AM164" s="125">
        <f t="shared" si="21"/>
        <v>30224.5</v>
      </c>
      <c r="AN164" s="125">
        <f>AH164*Valores!$C$71</f>
        <v>-24317.099400000003</v>
      </c>
      <c r="AO164" s="125">
        <f>AH164*-Valores!$C$72</f>
        <v>0</v>
      </c>
      <c r="AP164" s="125">
        <f>AH164*Valores!$C$73</f>
        <v>-9947.9043000000001</v>
      </c>
      <c r="AQ164" s="125">
        <f>Valores!$C$100</f>
        <v>-280.91000000000003</v>
      </c>
      <c r="AR164" s="125">
        <f>IF($F$5=0,Valores!$C$101,(Valores!$C$101+$F$5*(Valores!$C$101)))</f>
        <v>-385</v>
      </c>
      <c r="AS164" s="125">
        <f t="shared" si="24"/>
        <v>216358.1263</v>
      </c>
      <c r="AT164" s="125">
        <f t="shared" si="18"/>
        <v>-24317.099400000003</v>
      </c>
      <c r="AU164" s="125">
        <f>AH164*Valores!$C$74</f>
        <v>-5968.7425800000001</v>
      </c>
      <c r="AV164" s="125">
        <f>AH164*Valores!$C$75</f>
        <v>-663.19362000000001</v>
      </c>
      <c r="AW164" s="125">
        <f t="shared" si="22"/>
        <v>220340.00440000001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2413.79</v>
      </c>
      <c r="G165" s="192">
        <v>2251</v>
      </c>
      <c r="H165" s="125">
        <f>ROUND(G165*Valores!$C$2,2)</f>
        <v>61049.82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16476.5</v>
      </c>
      <c r="N165" s="125">
        <f t="shared" si="19"/>
        <v>0</v>
      </c>
      <c r="O165" s="125">
        <f>Valores!$C$16</f>
        <v>23436.25</v>
      </c>
      <c r="P165" s="125">
        <f>Valores!$D$5</f>
        <v>13864.36</v>
      </c>
      <c r="Q165" s="125">
        <f>Valores!$C$22</f>
        <v>12369.22</v>
      </c>
      <c r="R165" s="125">
        <f>IF($F$4="NO",Valores!$C$47,Valores!$C$47/2)</f>
        <v>14493.86</v>
      </c>
      <c r="S165" s="125">
        <f>Valores!$C$19</f>
        <v>12901.01</v>
      </c>
      <c r="T165" s="125">
        <f t="shared" si="25"/>
        <v>12901.01</v>
      </c>
      <c r="U165" s="125">
        <v>0</v>
      </c>
      <c r="V165" s="125">
        <v>0</v>
      </c>
      <c r="W165" s="192">
        <v>700</v>
      </c>
      <c r="X165" s="125">
        <f>ROUND(W165*Valores!$C$2,2)</f>
        <v>18984.84</v>
      </c>
      <c r="Y165" s="125">
        <f>ROUND(SUM(J165,H165,F165,R165)*Valores!$C$3,2)</f>
        <v>11693.62</v>
      </c>
      <c r="Z165" s="125">
        <f>Valores!$C$96</f>
        <v>12637.52</v>
      </c>
      <c r="AA165" s="125">
        <f>Valores!$C$25</f>
        <v>567.05999999999995</v>
      </c>
      <c r="AB165" s="214">
        <v>0</v>
      </c>
      <c r="AC165" s="125">
        <f t="shared" si="20"/>
        <v>0</v>
      </c>
      <c r="AD165" s="125">
        <f>Valores!$C$26</f>
        <v>567.05999999999995</v>
      </c>
      <c r="AE165" s="192">
        <v>94</v>
      </c>
      <c r="AF165" s="125">
        <f>ROUND(AE165*Valores!$C$2,2)</f>
        <v>2549.39</v>
      </c>
      <c r="AG165" s="125">
        <f>ROUND(IF($F$4="NO",Valores!$C$63,Valores!$C$63/2),2)</f>
        <v>6482.98</v>
      </c>
      <c r="AH165" s="125">
        <f t="shared" si="23"/>
        <v>210487.28</v>
      </c>
      <c r="AI165" s="125">
        <f>Valores!$C$31</f>
        <v>0</v>
      </c>
      <c r="AJ165" s="125">
        <f>Valores!$C$89</f>
        <v>0</v>
      </c>
      <c r="AK165" s="125">
        <f>Valores!C$38*B165</f>
        <v>30000</v>
      </c>
      <c r="AL165" s="125">
        <f>IF($F$3="NO",0,224.5)</f>
        <v>224.5</v>
      </c>
      <c r="AM165" s="125">
        <f t="shared" si="21"/>
        <v>30224.5</v>
      </c>
      <c r="AN165" s="125">
        <f>AH165*Valores!$C$71</f>
        <v>-23153.6008</v>
      </c>
      <c r="AO165" s="125">
        <f>AH165*-Valores!$C$72</f>
        <v>0</v>
      </c>
      <c r="AP165" s="125">
        <f>AH165*Valores!$C$73</f>
        <v>-9471.9275999999991</v>
      </c>
      <c r="AQ165" s="125">
        <f>Valores!$C$100</f>
        <v>-280.91000000000003</v>
      </c>
      <c r="AR165" s="125">
        <f>IF($F$5=0,Valores!$C$101,(Valores!$C$101+$F$5*(Valores!$C$101)))</f>
        <v>-385</v>
      </c>
      <c r="AS165" s="125">
        <f t="shared" si="24"/>
        <v>207420.34159999999</v>
      </c>
      <c r="AT165" s="125">
        <f t="shared" si="18"/>
        <v>-23153.6008</v>
      </c>
      <c r="AU165" s="125">
        <f>AH165*Valores!$C$74</f>
        <v>-5683.1565600000004</v>
      </c>
      <c r="AV165" s="125">
        <f>AH165*Valores!$C$75</f>
        <v>-631.46184000000005</v>
      </c>
      <c r="AW165" s="125">
        <f t="shared" si="22"/>
        <v>211243.56080000001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2251.06</v>
      </c>
      <c r="G166" s="192">
        <v>2352</v>
      </c>
      <c r="H166" s="125">
        <f>ROUND(G166*Valores!$C$2,2)</f>
        <v>63789.06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16862.97</v>
      </c>
      <c r="N166" s="125">
        <f t="shared" si="19"/>
        <v>0</v>
      </c>
      <c r="O166" s="125">
        <f>Valores!$C$16</f>
        <v>23436.25</v>
      </c>
      <c r="P166" s="125">
        <f>Valores!$D$5</f>
        <v>13864.36</v>
      </c>
      <c r="Q166" s="125">
        <v>0</v>
      </c>
      <c r="R166" s="125">
        <f>IF($F$4="NO",Valores!$C$47,Valores!$C$47/2)</f>
        <v>14493.86</v>
      </c>
      <c r="S166" s="125">
        <f>Valores!$C$19</f>
        <v>12901.01</v>
      </c>
      <c r="T166" s="125">
        <f t="shared" si="25"/>
        <v>12901.01</v>
      </c>
      <c r="U166" s="125">
        <v>0</v>
      </c>
      <c r="V166" s="125">
        <v>0</v>
      </c>
      <c r="W166" s="192">
        <v>700</v>
      </c>
      <c r="X166" s="125">
        <f>ROUND(W166*Valores!$C$2,2)</f>
        <v>18984.84</v>
      </c>
      <c r="Y166" s="125">
        <f>ROUND(SUM(J166,H166,F166,R166)*Valores!$C$3,2)</f>
        <v>12080.1</v>
      </c>
      <c r="Z166" s="125">
        <f>Valores!$C$96</f>
        <v>12637.52</v>
      </c>
      <c r="AA166" s="125">
        <f>Valores!$C$25</f>
        <v>567.05999999999995</v>
      </c>
      <c r="AB166" s="214">
        <v>0</v>
      </c>
      <c r="AC166" s="125">
        <f t="shared" si="20"/>
        <v>0</v>
      </c>
      <c r="AD166" s="125">
        <f>Valores!$C$26</f>
        <v>567.05999999999995</v>
      </c>
      <c r="AE166" s="192">
        <v>94</v>
      </c>
      <c r="AF166" s="125">
        <f>ROUND(AE166*Valores!$C$2,2)</f>
        <v>2549.39</v>
      </c>
      <c r="AG166" s="125">
        <f>ROUND(IF($F$4="NO",Valores!$C$63,Valores!$C$63/2),2)</f>
        <v>6482.98</v>
      </c>
      <c r="AH166" s="125">
        <f t="shared" si="23"/>
        <v>201467.52000000002</v>
      </c>
      <c r="AI166" s="125">
        <f>Valores!$C$31</f>
        <v>0</v>
      </c>
      <c r="AJ166" s="125">
        <f>Valores!$C$89</f>
        <v>0</v>
      </c>
      <c r="AK166" s="125">
        <f>Valores!C$38*B166</f>
        <v>30000</v>
      </c>
      <c r="AL166" s="125">
        <v>0</v>
      </c>
      <c r="AM166" s="125">
        <f t="shared" si="21"/>
        <v>30000</v>
      </c>
      <c r="AN166" s="125">
        <f>AH166*Valores!$C$71</f>
        <v>-22161.427200000002</v>
      </c>
      <c r="AO166" s="125">
        <f>AH166*-Valores!$C$72</f>
        <v>0</v>
      </c>
      <c r="AP166" s="125">
        <f>AH166*Valores!$C$73</f>
        <v>-9066.0384000000013</v>
      </c>
      <c r="AQ166" s="125">
        <f>Valores!$C$100</f>
        <v>-280.91000000000003</v>
      </c>
      <c r="AR166" s="125">
        <f>IF($F$5=0,Valores!$C$101,(Valores!$C$101+$F$5*(Valores!$C$101)))</f>
        <v>-385</v>
      </c>
      <c r="AS166" s="125">
        <f t="shared" si="24"/>
        <v>199574.14440000002</v>
      </c>
      <c r="AT166" s="125">
        <f t="shared" si="18"/>
        <v>-22161.427200000002</v>
      </c>
      <c r="AU166" s="125">
        <f>AH166*Valores!$C$74</f>
        <v>-5439.6230400000004</v>
      </c>
      <c r="AV166" s="125">
        <f>AH166*Valores!$C$75</f>
        <v>-604.40256000000011</v>
      </c>
      <c r="AW166" s="125">
        <f t="shared" si="22"/>
        <v>203262.06720000002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2251.06</v>
      </c>
      <c r="G167" s="192">
        <v>2092</v>
      </c>
      <c r="H167" s="125">
        <f>ROUND(G167*Valores!$C$2,2)</f>
        <v>56737.55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15805.25</v>
      </c>
      <c r="N167" s="125">
        <f t="shared" si="19"/>
        <v>0</v>
      </c>
      <c r="O167" s="125">
        <f>Valores!$C$16</f>
        <v>23436.25</v>
      </c>
      <c r="P167" s="125">
        <f>Valores!$D$5</f>
        <v>13864.36</v>
      </c>
      <c r="Q167" s="125">
        <v>0</v>
      </c>
      <c r="R167" s="125">
        <f>IF($F$4="NO",Valores!$C$47,Valores!$C$47/2)</f>
        <v>14493.86</v>
      </c>
      <c r="S167" s="125">
        <f>Valores!$C$19</f>
        <v>12901.01</v>
      </c>
      <c r="T167" s="125">
        <f t="shared" si="25"/>
        <v>12901.01</v>
      </c>
      <c r="U167" s="125">
        <v>0</v>
      </c>
      <c r="V167" s="125">
        <v>0</v>
      </c>
      <c r="W167" s="192">
        <v>700</v>
      </c>
      <c r="X167" s="125">
        <f>ROUND(W167*Valores!$C$2,2)</f>
        <v>18984.84</v>
      </c>
      <c r="Y167" s="125">
        <f>ROUND(SUM(J167,H167,F167,R167)*Valores!$C$3,2)</f>
        <v>11022.37</v>
      </c>
      <c r="Z167" s="125">
        <f>Valores!$C$96</f>
        <v>12637.52</v>
      </c>
      <c r="AA167" s="125">
        <f>Valores!$C$25</f>
        <v>567.05999999999995</v>
      </c>
      <c r="AB167" s="214">
        <v>0</v>
      </c>
      <c r="AC167" s="125">
        <f t="shared" si="20"/>
        <v>0</v>
      </c>
      <c r="AD167" s="125">
        <f>Valores!$C$26</f>
        <v>567.05999999999995</v>
      </c>
      <c r="AE167" s="192">
        <v>94</v>
      </c>
      <c r="AF167" s="125">
        <f>ROUND(AE167*Valores!$C$2,2)</f>
        <v>2549.39</v>
      </c>
      <c r="AG167" s="125">
        <f>ROUND(IF($F$4="NO",Valores!$C$63,Valores!$C$63/2),2)</f>
        <v>6482.98</v>
      </c>
      <c r="AH167" s="125">
        <f t="shared" si="23"/>
        <v>192300.56</v>
      </c>
      <c r="AI167" s="125">
        <f>Valores!$C$31</f>
        <v>0</v>
      </c>
      <c r="AJ167" s="125">
        <f>Valores!$C$89</f>
        <v>0</v>
      </c>
      <c r="AK167" s="125">
        <f>Valores!C$38*B167</f>
        <v>30000</v>
      </c>
      <c r="AL167" s="125">
        <v>0</v>
      </c>
      <c r="AM167" s="125">
        <f t="shared" si="21"/>
        <v>30000</v>
      </c>
      <c r="AN167" s="125">
        <f>AH167*Valores!$C$71</f>
        <v>-21153.061600000001</v>
      </c>
      <c r="AO167" s="125">
        <f>AH167*-Valores!$C$72</f>
        <v>0</v>
      </c>
      <c r="AP167" s="125">
        <f>AH167*Valores!$C$73</f>
        <v>-8653.5252</v>
      </c>
      <c r="AQ167" s="125">
        <f>Valores!$C$100</f>
        <v>-280.91000000000003</v>
      </c>
      <c r="AR167" s="125">
        <f>IF($F$5=0,Valores!$C$101,(Valores!$C$101+$F$5*(Valores!$C$101)))</f>
        <v>-385</v>
      </c>
      <c r="AS167" s="125">
        <f t="shared" si="24"/>
        <v>191828.0632</v>
      </c>
      <c r="AT167" s="125">
        <f t="shared" si="18"/>
        <v>-21153.061600000001</v>
      </c>
      <c r="AU167" s="125">
        <f>AH167*Valores!$C$74</f>
        <v>-5192.1151199999995</v>
      </c>
      <c r="AV167" s="125">
        <f>AH167*Valores!$C$75</f>
        <v>-576.90168000000006</v>
      </c>
      <c r="AW167" s="125">
        <f t="shared" si="22"/>
        <v>195378.4816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2223.94</v>
      </c>
      <c r="G168" s="192">
        <v>1941</v>
      </c>
      <c r="H168" s="125">
        <f>ROUND(G168*Valores!$C$2,2)</f>
        <v>52642.25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15186.89</v>
      </c>
      <c r="N168" s="125">
        <f t="shared" si="19"/>
        <v>0</v>
      </c>
      <c r="O168" s="125">
        <f>Valores!$C$16</f>
        <v>23436.25</v>
      </c>
      <c r="P168" s="125">
        <f>Valores!$D$5</f>
        <v>13864.36</v>
      </c>
      <c r="Q168" s="125">
        <v>0</v>
      </c>
      <c r="R168" s="125">
        <f>IF($F$4="NO",Valores!$C$47,Valores!$C$47/2)</f>
        <v>14493.86</v>
      </c>
      <c r="S168" s="125">
        <f>Valores!$C$19</f>
        <v>12901.01</v>
      </c>
      <c r="T168" s="125">
        <f t="shared" si="25"/>
        <v>12901.01</v>
      </c>
      <c r="U168" s="125">
        <v>0</v>
      </c>
      <c r="V168" s="125">
        <v>0</v>
      </c>
      <c r="W168" s="192">
        <v>700</v>
      </c>
      <c r="X168" s="125">
        <f>ROUND(W168*Valores!$C$2,2)</f>
        <v>18984.84</v>
      </c>
      <c r="Y168" s="125">
        <f>ROUND(SUM(J168,H168,F168,R168)*Valores!$C$3,2)</f>
        <v>10404.01</v>
      </c>
      <c r="Z168" s="125">
        <f>Valores!$C$96</f>
        <v>12637.52</v>
      </c>
      <c r="AA168" s="125">
        <f>Valores!$C$25</f>
        <v>567.05999999999995</v>
      </c>
      <c r="AB168" s="214">
        <v>0</v>
      </c>
      <c r="AC168" s="125">
        <f t="shared" si="20"/>
        <v>0</v>
      </c>
      <c r="AD168" s="125">
        <f>Valores!$C$26</f>
        <v>567.05999999999995</v>
      </c>
      <c r="AE168" s="192">
        <v>94</v>
      </c>
      <c r="AF168" s="125">
        <f>ROUND(AE168*Valores!$C$2,2)</f>
        <v>2549.39</v>
      </c>
      <c r="AG168" s="125">
        <f>ROUND(IF($F$4="NO",Valores!$C$63,Valores!$C$63/2),2)</f>
        <v>6482.98</v>
      </c>
      <c r="AH168" s="125">
        <f t="shared" si="23"/>
        <v>186941.42</v>
      </c>
      <c r="AI168" s="125">
        <f>Valores!$C$31</f>
        <v>0</v>
      </c>
      <c r="AJ168" s="125">
        <f>Valores!$C$89</f>
        <v>0</v>
      </c>
      <c r="AK168" s="125">
        <f>Valores!C$38*B168</f>
        <v>30000</v>
      </c>
      <c r="AL168" s="125">
        <v>0</v>
      </c>
      <c r="AM168" s="125">
        <f t="shared" si="21"/>
        <v>30000</v>
      </c>
      <c r="AN168" s="125">
        <f>AH168*Valores!$C$71</f>
        <v>-20563.556200000003</v>
      </c>
      <c r="AO168" s="125">
        <f>AH168*-Valores!$C$72</f>
        <v>0</v>
      </c>
      <c r="AP168" s="125">
        <f>AH168*Valores!$C$73</f>
        <v>-8412.3639000000003</v>
      </c>
      <c r="AQ168" s="125">
        <f>Valores!$C$100</f>
        <v>-280.91000000000003</v>
      </c>
      <c r="AR168" s="125">
        <f>IF($F$5=0,Valores!$C$101,(Valores!$C$101+$F$5*(Valores!$C$101)))</f>
        <v>-385</v>
      </c>
      <c r="AS168" s="125">
        <f t="shared" si="24"/>
        <v>187299.58990000002</v>
      </c>
      <c r="AT168" s="125">
        <f t="shared" si="18"/>
        <v>-20563.556200000003</v>
      </c>
      <c r="AU168" s="125">
        <f>AH168*Valores!$C$74</f>
        <v>-5047.4183400000002</v>
      </c>
      <c r="AV168" s="125">
        <f>AH168*Valores!$C$75</f>
        <v>-560.82426000000009</v>
      </c>
      <c r="AW168" s="125">
        <f t="shared" si="22"/>
        <v>190769.62119999999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2142.5700000000002</v>
      </c>
      <c r="G169" s="192">
        <v>2161</v>
      </c>
      <c r="H169" s="125">
        <f>ROUND(G169*Valores!$C$2,2)</f>
        <v>58608.91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16069.68</v>
      </c>
      <c r="N169" s="125">
        <f t="shared" si="19"/>
        <v>0</v>
      </c>
      <c r="O169" s="125">
        <f>Valores!$C$16</f>
        <v>23436.25</v>
      </c>
      <c r="P169" s="125">
        <f>Valores!$D$5</f>
        <v>13864.36</v>
      </c>
      <c r="Q169" s="125">
        <v>0</v>
      </c>
      <c r="R169" s="125">
        <f>IF($F$4="NO",Valores!$C$47,Valores!$C$47/2)</f>
        <v>14493.86</v>
      </c>
      <c r="S169" s="125">
        <f>Valores!$C$19</f>
        <v>12901.01</v>
      </c>
      <c r="T169" s="125">
        <f t="shared" si="25"/>
        <v>12901.01</v>
      </c>
      <c r="U169" s="125">
        <v>0</v>
      </c>
      <c r="V169" s="125">
        <v>0</v>
      </c>
      <c r="W169" s="192">
        <v>700</v>
      </c>
      <c r="X169" s="125">
        <f>ROUND(W169*Valores!$C$2,2)</f>
        <v>18984.84</v>
      </c>
      <c r="Y169" s="125">
        <f>ROUND(SUM(J169,H169,F169,R169)*Valores!$C$3,2)</f>
        <v>11286.8</v>
      </c>
      <c r="Z169" s="125">
        <f>Valores!$C$96</f>
        <v>12637.52</v>
      </c>
      <c r="AA169" s="125">
        <f>Valores!$C$25</f>
        <v>567.05999999999995</v>
      </c>
      <c r="AB169" s="214">
        <v>0</v>
      </c>
      <c r="AC169" s="125">
        <f t="shared" si="20"/>
        <v>0</v>
      </c>
      <c r="AD169" s="125">
        <f>Valores!$C$26</f>
        <v>567.05999999999995</v>
      </c>
      <c r="AE169" s="192">
        <v>94</v>
      </c>
      <c r="AF169" s="125">
        <f>ROUND(AE169*Valores!$C$2,2)</f>
        <v>2549.39</v>
      </c>
      <c r="AG169" s="125">
        <f>ROUND(IF($F$4="NO",Valores!$C$63,Valores!$C$63/2),2)</f>
        <v>6482.98</v>
      </c>
      <c r="AH169" s="125">
        <f t="shared" si="23"/>
        <v>194592.29</v>
      </c>
      <c r="AI169" s="125">
        <f>Valores!$C$31</f>
        <v>0</v>
      </c>
      <c r="AJ169" s="125">
        <f>Valores!$C$89</f>
        <v>0</v>
      </c>
      <c r="AK169" s="125">
        <f>Valores!C$38*B169</f>
        <v>30000</v>
      </c>
      <c r="AL169" s="125">
        <v>0</v>
      </c>
      <c r="AM169" s="125">
        <f t="shared" si="21"/>
        <v>30000</v>
      </c>
      <c r="AN169" s="125">
        <f>AH169*Valores!$C$71</f>
        <v>-21405.151900000001</v>
      </c>
      <c r="AO169" s="125">
        <f>AH169*-Valores!$C$72</f>
        <v>0</v>
      </c>
      <c r="AP169" s="125">
        <f>AH169*Valores!$C$73</f>
        <v>-8756.6530500000008</v>
      </c>
      <c r="AQ169" s="125">
        <f>Valores!$C$100</f>
        <v>-280.91000000000003</v>
      </c>
      <c r="AR169" s="125">
        <f>IF($F$5=0,Valores!$C$101,(Valores!$C$101+$F$5*(Valores!$C$101)))</f>
        <v>-385</v>
      </c>
      <c r="AS169" s="125">
        <f t="shared" si="24"/>
        <v>193764.57505000001</v>
      </c>
      <c r="AT169" s="125">
        <f t="shared" si="18"/>
        <v>-21405.151900000001</v>
      </c>
      <c r="AU169" s="125">
        <f>AH169*Valores!$C$74</f>
        <v>-5253.9918299999999</v>
      </c>
      <c r="AV169" s="125">
        <f>AH169*Valores!$C$75</f>
        <v>-583.77687000000003</v>
      </c>
      <c r="AW169" s="125">
        <f t="shared" si="22"/>
        <v>197349.3694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2657.88</v>
      </c>
      <c r="G170" s="192">
        <v>2686</v>
      </c>
      <c r="H170" s="125">
        <f>ROUND(G170*Valores!$C$2,2)</f>
        <v>72847.539999999994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18282.77</v>
      </c>
      <c r="N170" s="125">
        <f t="shared" si="19"/>
        <v>0</v>
      </c>
      <c r="O170" s="125">
        <f>Valores!$C$16</f>
        <v>23436.25</v>
      </c>
      <c r="P170" s="125">
        <f>Valores!$D$5</f>
        <v>13864.36</v>
      </c>
      <c r="Q170" s="125">
        <v>0</v>
      </c>
      <c r="R170" s="125">
        <f>IF($F$4="NO",Valores!$C$47,Valores!$C$47/2)</f>
        <v>14493.86</v>
      </c>
      <c r="S170" s="125">
        <f>Valores!$C$19</f>
        <v>12901.01</v>
      </c>
      <c r="T170" s="125">
        <f t="shared" si="25"/>
        <v>12901.01</v>
      </c>
      <c r="U170" s="125">
        <v>0</v>
      </c>
      <c r="V170" s="125">
        <v>0</v>
      </c>
      <c r="W170" s="192">
        <v>700</v>
      </c>
      <c r="X170" s="125">
        <f>ROUND(W170*Valores!$C$2,2)</f>
        <v>18984.84</v>
      </c>
      <c r="Y170" s="125">
        <f>ROUND(SUM(J170,H170,F170,R170)*Valores!$C$3,2)</f>
        <v>13499.89</v>
      </c>
      <c r="Z170" s="125">
        <f>Valores!$C$96</f>
        <v>12637.52</v>
      </c>
      <c r="AA170" s="125">
        <f>Valores!$C$25</f>
        <v>567.05999999999995</v>
      </c>
      <c r="AB170" s="214">
        <v>0</v>
      </c>
      <c r="AC170" s="125">
        <f t="shared" si="20"/>
        <v>0</v>
      </c>
      <c r="AD170" s="125">
        <f>Valores!$C$26</f>
        <v>567.05999999999995</v>
      </c>
      <c r="AE170" s="192">
        <v>0</v>
      </c>
      <c r="AF170" s="125">
        <f>ROUND(AE170*Valores!$C$2,2)</f>
        <v>0</v>
      </c>
      <c r="AG170" s="125">
        <f>ROUND(IF($F$4="NO",Valores!$C$63,Valores!$C$63/2),2)</f>
        <v>6482.98</v>
      </c>
      <c r="AH170" s="125">
        <f t="shared" si="23"/>
        <v>211223.01999999996</v>
      </c>
      <c r="AI170" s="125">
        <f>Valores!$C$31</f>
        <v>0</v>
      </c>
      <c r="AJ170" s="125">
        <f>Valores!$C$89</f>
        <v>0</v>
      </c>
      <c r="AK170" s="125">
        <f>Valores!C$38*B170</f>
        <v>30000</v>
      </c>
      <c r="AL170" s="125">
        <v>0</v>
      </c>
      <c r="AM170" s="125">
        <f t="shared" si="21"/>
        <v>30000</v>
      </c>
      <c r="AN170" s="125">
        <f>AH170*Valores!$C$71</f>
        <v>-23234.532199999994</v>
      </c>
      <c r="AO170" s="125">
        <f>AH170*-Valores!$C$72</f>
        <v>0</v>
      </c>
      <c r="AP170" s="125">
        <f>AH170*Valores!$C$73</f>
        <v>-9505.0358999999971</v>
      </c>
      <c r="AQ170" s="125">
        <f>Valores!$C$100</f>
        <v>-280.91000000000003</v>
      </c>
      <c r="AR170" s="125">
        <f>IF($F$5=0,Valores!$C$101,(Valores!$C$101+$F$5*(Valores!$C$101)))</f>
        <v>-385</v>
      </c>
      <c r="AS170" s="125">
        <f t="shared" si="24"/>
        <v>207817.54189999998</v>
      </c>
      <c r="AT170" s="125">
        <f t="shared" si="18"/>
        <v>-23234.532199999994</v>
      </c>
      <c r="AU170" s="125">
        <f>AH170*Valores!$C$74</f>
        <v>-5703.0215399999988</v>
      </c>
      <c r="AV170" s="125">
        <f>AH170*Valores!$C$75</f>
        <v>-633.66905999999994</v>
      </c>
      <c r="AW170" s="125">
        <f t="shared" si="22"/>
        <v>211651.79719999997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2522.27</v>
      </c>
      <c r="G171" s="192">
        <v>2547</v>
      </c>
      <c r="H171" s="125">
        <f>ROUND(G171*Valores!$C$2,2)</f>
        <v>69077.7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17696.95</v>
      </c>
      <c r="N171" s="125">
        <f t="shared" si="19"/>
        <v>0</v>
      </c>
      <c r="O171" s="125">
        <f>Valores!$C$16</f>
        <v>23436.25</v>
      </c>
      <c r="P171" s="125">
        <f>Valores!$D$5</f>
        <v>13864.36</v>
      </c>
      <c r="Q171" s="125">
        <v>0</v>
      </c>
      <c r="R171" s="125">
        <f>IF($F$4="NO",Valores!$C$47,Valores!$C$47/2)</f>
        <v>14493.86</v>
      </c>
      <c r="S171" s="125">
        <f>Valores!$C$19</f>
        <v>12901.01</v>
      </c>
      <c r="T171" s="125">
        <f t="shared" si="25"/>
        <v>12901.01</v>
      </c>
      <c r="U171" s="125">
        <v>0</v>
      </c>
      <c r="V171" s="125">
        <v>0</v>
      </c>
      <c r="W171" s="192">
        <v>700</v>
      </c>
      <c r="X171" s="125">
        <f>ROUND(W171*Valores!$C$2,2)</f>
        <v>18984.84</v>
      </c>
      <c r="Y171" s="125">
        <f>ROUND(SUM(J171,H171,F171,R171)*Valores!$C$3,2)</f>
        <v>12914.07</v>
      </c>
      <c r="Z171" s="125">
        <f>Valores!$C$96</f>
        <v>12637.52</v>
      </c>
      <c r="AA171" s="125">
        <f>Valores!$C$25</f>
        <v>567.05999999999995</v>
      </c>
      <c r="AB171" s="214">
        <v>0</v>
      </c>
      <c r="AC171" s="125">
        <f t="shared" si="20"/>
        <v>0</v>
      </c>
      <c r="AD171" s="125">
        <f>Valores!$C$26</f>
        <v>567.05999999999995</v>
      </c>
      <c r="AE171" s="192">
        <v>0</v>
      </c>
      <c r="AF171" s="125">
        <f>ROUND(AE171*Valores!$C$2,2)</f>
        <v>0</v>
      </c>
      <c r="AG171" s="125">
        <f>ROUND(IF($F$4="NO",Valores!$C$63,Valores!$C$63/2),2)</f>
        <v>6482.98</v>
      </c>
      <c r="AH171" s="125">
        <f t="shared" si="23"/>
        <v>206145.93000000002</v>
      </c>
      <c r="AI171" s="125">
        <f>Valores!$C$31</f>
        <v>0</v>
      </c>
      <c r="AJ171" s="125">
        <f>Valores!$C$89</f>
        <v>0</v>
      </c>
      <c r="AK171" s="125">
        <f>Valores!C$38*B171</f>
        <v>30000</v>
      </c>
      <c r="AL171" s="125">
        <v>0</v>
      </c>
      <c r="AM171" s="125">
        <f t="shared" si="21"/>
        <v>30000</v>
      </c>
      <c r="AN171" s="125">
        <f>AH171*Valores!$C$71</f>
        <v>-22676.052300000003</v>
      </c>
      <c r="AO171" s="125">
        <f>AH171*-Valores!$C$72</f>
        <v>0</v>
      </c>
      <c r="AP171" s="125">
        <f>AH171*Valores!$C$73</f>
        <v>-9276.5668500000011</v>
      </c>
      <c r="AQ171" s="125">
        <f>Valores!$C$100</f>
        <v>-280.91000000000003</v>
      </c>
      <c r="AR171" s="125">
        <f>IF($F$5=0,Valores!$C$101,(Valores!$C$101+$F$5*(Valores!$C$101)))</f>
        <v>-385</v>
      </c>
      <c r="AS171" s="125">
        <f t="shared" si="24"/>
        <v>203527.40085000001</v>
      </c>
      <c r="AT171" s="125">
        <f t="shared" si="18"/>
        <v>-22676.052300000003</v>
      </c>
      <c r="AU171" s="125">
        <f>AH171*Valores!$C$74</f>
        <v>-5565.9401100000005</v>
      </c>
      <c r="AV171" s="125">
        <f>AH171*Valores!$C$75</f>
        <v>-618.43779000000006</v>
      </c>
      <c r="AW171" s="125">
        <f t="shared" si="22"/>
        <v>207285.49980000002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34660.89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12969.73</v>
      </c>
      <c r="N172" s="125">
        <f t="shared" si="19"/>
        <v>0</v>
      </c>
      <c r="O172" s="125">
        <f>Valores!$C$16</f>
        <v>23436.25</v>
      </c>
      <c r="P172" s="125">
        <f>Valores!$D$5</f>
        <v>13864.36</v>
      </c>
      <c r="Q172" s="125">
        <v>0</v>
      </c>
      <c r="R172" s="125">
        <f>IF($F$4="NO",Valores!$C$47,Valores!$C$47/2)</f>
        <v>14493.86</v>
      </c>
      <c r="S172" s="125">
        <f>Valores!$C$19</f>
        <v>12901.01</v>
      </c>
      <c r="T172" s="125">
        <f t="shared" si="25"/>
        <v>12901.01</v>
      </c>
      <c r="U172" s="125">
        <v>0</v>
      </c>
      <c r="V172" s="125">
        <v>0</v>
      </c>
      <c r="W172" s="192">
        <v>900</v>
      </c>
      <c r="X172" s="125">
        <f>ROUND(W172*Valores!$C$2,2)</f>
        <v>24409.08</v>
      </c>
      <c r="Y172" s="125">
        <f>ROUND(SUM(J172,H172,F172,R172)*Valores!$C$3,2)</f>
        <v>7373.21</v>
      </c>
      <c r="Z172" s="125">
        <f>Valores!$C$96</f>
        <v>12637.52</v>
      </c>
      <c r="AA172" s="125">
        <f>Valores!$C$25</f>
        <v>567.05999999999995</v>
      </c>
      <c r="AB172" s="214">
        <v>0</v>
      </c>
      <c r="AC172" s="125">
        <f t="shared" si="20"/>
        <v>0</v>
      </c>
      <c r="AD172" s="125">
        <f>Valores!$C$26</f>
        <v>567.05999999999995</v>
      </c>
      <c r="AE172" s="192">
        <v>94</v>
      </c>
      <c r="AF172" s="125">
        <f>ROUND(AE172*Valores!$C$2,2)</f>
        <v>2549.39</v>
      </c>
      <c r="AG172" s="125">
        <f>ROUND(IF($F$4="NO",Valores!$C$63,Valores!$C$63/2),2)</f>
        <v>6482.98</v>
      </c>
      <c r="AH172" s="125">
        <f t="shared" si="23"/>
        <v>166912.4</v>
      </c>
      <c r="AI172" s="125">
        <f>Valores!$C$31</f>
        <v>0</v>
      </c>
      <c r="AJ172" s="125">
        <f>Valores!$C$89</f>
        <v>0</v>
      </c>
      <c r="AK172" s="125">
        <f>Valores!C$38*B172</f>
        <v>30000</v>
      </c>
      <c r="AL172" s="125">
        <f>IF($F$3="NO",0,Valores!$C$55)</f>
        <v>327.60000000000002</v>
      </c>
      <c r="AM172" s="125">
        <f t="shared" si="21"/>
        <v>30327.599999999999</v>
      </c>
      <c r="AN172" s="125">
        <f>AH172*Valores!$C$71</f>
        <v>-18360.363999999998</v>
      </c>
      <c r="AO172" s="125">
        <f>AH172*-Valores!$C$72</f>
        <v>0</v>
      </c>
      <c r="AP172" s="125">
        <f>AH172*Valores!$C$73</f>
        <v>-7511.0579999999991</v>
      </c>
      <c r="AQ172" s="125">
        <f>Valores!$C$100</f>
        <v>-280.91000000000003</v>
      </c>
      <c r="AR172" s="125">
        <f>IF($F$5=0,Valores!$C$101,(Valores!$C$101+$F$5*(Valores!$C$101)))</f>
        <v>-385</v>
      </c>
      <c r="AS172" s="125">
        <f t="shared" si="24"/>
        <v>170702.66800000001</v>
      </c>
      <c r="AT172" s="125">
        <f t="shared" si="18"/>
        <v>-18360.363999999998</v>
      </c>
      <c r="AU172" s="125">
        <f>AH172*Valores!$C$74</f>
        <v>-4506.6347999999998</v>
      </c>
      <c r="AV172" s="125">
        <f>AH172*Valores!$C$75</f>
        <v>-500.73719999999997</v>
      </c>
      <c r="AW172" s="125">
        <f t="shared" si="22"/>
        <v>173872.264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5885.3</v>
      </c>
      <c r="G173" s="192">
        <f>2245</f>
        <v>2245</v>
      </c>
      <c r="H173" s="125">
        <f>ROUND(G173*Valores!$C$2,2)</f>
        <v>60887.09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35257.56</v>
      </c>
      <c r="M173" s="125">
        <f>ROUND(IF($H$2=0,IF(AND(A173&lt;&gt;"13-930",A173&lt;&gt;"13-940"),(SUM(F173,H173,J173,L173,X173,T173,R173)*Valores!$C$4),0),0),2)</f>
        <v>19413.72</v>
      </c>
      <c r="N173" s="125">
        <f t="shared" si="19"/>
        <v>0</v>
      </c>
      <c r="O173" s="125">
        <f>Valores!$C$9</f>
        <v>29939.09</v>
      </c>
      <c r="P173" s="125">
        <f>Valores!$D$5</f>
        <v>13864.36</v>
      </c>
      <c r="Q173" s="125">
        <f>Valores!$C$22</f>
        <v>12369.22</v>
      </c>
      <c r="R173" s="125">
        <f>IF($F$4="NO",Valores!$C$47,Valores!$C$47/2)</f>
        <v>14493.86</v>
      </c>
      <c r="S173" s="125">
        <f>Valores!$C$19</f>
        <v>12901.01</v>
      </c>
      <c r="T173" s="125">
        <f t="shared" si="25"/>
        <v>12901.01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12637.52</v>
      </c>
      <c r="AA173" s="125">
        <f>Valores!$C$25</f>
        <v>567.05999999999995</v>
      </c>
      <c r="AB173" s="214">
        <v>0</v>
      </c>
      <c r="AC173" s="125">
        <f t="shared" si="20"/>
        <v>0</v>
      </c>
      <c r="AD173" s="125">
        <f>Valores!$C$26</f>
        <v>567.05999999999995</v>
      </c>
      <c r="AE173" s="192">
        <v>0</v>
      </c>
      <c r="AF173" s="125">
        <f>ROUND(AE173*Valores!$C$2,2)</f>
        <v>0</v>
      </c>
      <c r="AG173" s="125">
        <f>ROUND(IF($F$4="NO",Valores!$C$63,Valores!$C$63/2),2)</f>
        <v>6482.98</v>
      </c>
      <c r="AH173" s="125">
        <f t="shared" si="23"/>
        <v>225265.83000000002</v>
      </c>
      <c r="AI173" s="125">
        <f>Valores!$C$31</f>
        <v>0</v>
      </c>
      <c r="AJ173" s="125">
        <f>Valores!$C$89</f>
        <v>0</v>
      </c>
      <c r="AK173" s="125">
        <f>Valores!C$38*B173</f>
        <v>30000</v>
      </c>
      <c r="AL173" s="125">
        <f>IF($F$3="NO",0,Valores!$C$55)</f>
        <v>327.60000000000002</v>
      </c>
      <c r="AM173" s="125">
        <f t="shared" si="21"/>
        <v>30327.599999999999</v>
      </c>
      <c r="AN173" s="125">
        <f>AH173*Valores!$C$71</f>
        <v>-24779.241300000002</v>
      </c>
      <c r="AO173" s="125">
        <f>AH173*-Valores!$C$72</f>
        <v>0</v>
      </c>
      <c r="AP173" s="125">
        <f>AH173*Valores!$C$73</f>
        <v>-10136.96235</v>
      </c>
      <c r="AQ173" s="125">
        <f>Valores!$C$100</f>
        <v>-280.91000000000003</v>
      </c>
      <c r="AR173" s="125">
        <f>IF($F$5=0,Valores!$C$101,(Valores!$C$101+$F$5*(Valores!$C$101)))</f>
        <v>-385</v>
      </c>
      <c r="AS173" s="125">
        <f t="shared" si="24"/>
        <v>220011.31635000001</v>
      </c>
      <c r="AT173" s="125">
        <f t="shared" si="18"/>
        <v>-24779.241300000002</v>
      </c>
      <c r="AU173" s="125">
        <f>AH173*Valores!$C$74</f>
        <v>-6082.1774100000002</v>
      </c>
      <c r="AV173" s="125">
        <f>AH173*Valores!$C$75</f>
        <v>-675.79749000000004</v>
      </c>
      <c r="AW173" s="125">
        <f t="shared" si="22"/>
        <v>224056.21380000003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5017.42</v>
      </c>
      <c r="G174" s="192">
        <f>1835</f>
        <v>1835</v>
      </c>
      <c r="H174" s="125">
        <f>ROUND(G174*Valores!$C$2,2)</f>
        <v>49767.4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35257.56</v>
      </c>
      <c r="M174" s="125">
        <f>ROUND(IF($H$2=0,IF(AND(A174&lt;&gt;"13-930",A174&lt;&gt;"13-940"),(SUM(F174,H174,J174,L174,X174,T174,R174)*Valores!$C$4),0),0),2)</f>
        <v>17615.59</v>
      </c>
      <c r="N174" s="125">
        <f t="shared" si="19"/>
        <v>0</v>
      </c>
      <c r="O174" s="125">
        <f>Valores!$C$9</f>
        <v>29939.09</v>
      </c>
      <c r="P174" s="125">
        <f>Valores!$D$5</f>
        <v>13864.36</v>
      </c>
      <c r="Q174" s="125">
        <f>Valores!$C$22</f>
        <v>12369.22</v>
      </c>
      <c r="R174" s="125">
        <f>IF($F$4="NO",Valores!$C$47,Valores!$C$47/2)</f>
        <v>14493.86</v>
      </c>
      <c r="S174" s="125">
        <f>Valores!$C$19</f>
        <v>12901.01</v>
      </c>
      <c r="T174" s="125">
        <f t="shared" si="25"/>
        <v>12901.01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12637.52</v>
      </c>
      <c r="AA174" s="125">
        <f>Valores!$C$25</f>
        <v>567.05999999999995</v>
      </c>
      <c r="AB174" s="214">
        <v>0</v>
      </c>
      <c r="AC174" s="125">
        <f t="shared" si="20"/>
        <v>0</v>
      </c>
      <c r="AD174" s="125">
        <f>Valores!$C$26</f>
        <v>567.05999999999995</v>
      </c>
      <c r="AE174" s="192">
        <v>0</v>
      </c>
      <c r="AF174" s="125">
        <f>ROUND(AE174*Valores!$C$2,2)</f>
        <v>0</v>
      </c>
      <c r="AG174" s="125">
        <f>ROUND(IF($F$4="NO",Valores!$C$63,Valores!$C$63/2),2)</f>
        <v>6482.98</v>
      </c>
      <c r="AH174" s="125">
        <f t="shared" si="23"/>
        <v>211480.13</v>
      </c>
      <c r="AI174" s="125">
        <f>Valores!$C$31</f>
        <v>0</v>
      </c>
      <c r="AJ174" s="125">
        <f>Valores!$C$89</f>
        <v>0</v>
      </c>
      <c r="AK174" s="125">
        <f>Valores!C$38*B174</f>
        <v>30000</v>
      </c>
      <c r="AL174" s="125">
        <f>IF($F$3="NO",0,Valores!$C$55)</f>
        <v>327.60000000000002</v>
      </c>
      <c r="AM174" s="125">
        <f t="shared" si="21"/>
        <v>30327.599999999999</v>
      </c>
      <c r="AN174" s="125">
        <f>AH174*Valores!$C$71</f>
        <v>-23262.814300000002</v>
      </c>
      <c r="AO174" s="125">
        <f>AH174*-Valores!$C$72</f>
        <v>0</v>
      </c>
      <c r="AP174" s="125">
        <f>AH174*Valores!$C$73</f>
        <v>-9516.6058499999999</v>
      </c>
      <c r="AQ174" s="125">
        <f>Valores!$C$100</f>
        <v>-280.91000000000003</v>
      </c>
      <c r="AR174" s="125">
        <f>IF($F$5=0,Valores!$C$101,(Valores!$C$101+$F$5*(Valores!$C$101)))</f>
        <v>-385</v>
      </c>
      <c r="AS174" s="125">
        <f t="shared" si="24"/>
        <v>208362.39984999999</v>
      </c>
      <c r="AT174" s="125">
        <f t="shared" si="18"/>
        <v>-23262.814300000002</v>
      </c>
      <c r="AU174" s="125">
        <f>AH174*Valores!$C$74</f>
        <v>-5709.9635100000005</v>
      </c>
      <c r="AV174" s="125">
        <f>AH174*Valores!$C$75</f>
        <v>-634.44038999999998</v>
      </c>
      <c r="AW174" s="125">
        <f t="shared" si="22"/>
        <v>212200.51180000001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4339.3900000000003</v>
      </c>
      <c r="G175" s="192">
        <f>1484</f>
        <v>1484</v>
      </c>
      <c r="H175" s="125">
        <f>ROUND(G175*Valores!$C$2,2)</f>
        <v>40247.86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35257.56</v>
      </c>
      <c r="M175" s="125">
        <f>ROUND(IF($H$2=0,IF(AND(A175&lt;&gt;"13-930",A175&lt;&gt;"13-940"),(SUM(F175,H175,J175,L175,X175,T175,R175)*Valores!$C$4),0),0),2)</f>
        <v>16085.95</v>
      </c>
      <c r="N175" s="125">
        <f t="shared" si="19"/>
        <v>0</v>
      </c>
      <c r="O175" s="125">
        <f>Valores!$C$9</f>
        <v>29939.09</v>
      </c>
      <c r="P175" s="125">
        <f>Valores!$D$5</f>
        <v>13864.36</v>
      </c>
      <c r="Q175" s="125">
        <f>Valores!$C$22</f>
        <v>12369.22</v>
      </c>
      <c r="R175" s="125">
        <f>IF($F$4="NO",Valores!$C$47,Valores!$C$47/2)</f>
        <v>14493.86</v>
      </c>
      <c r="S175" s="125">
        <f>Valores!$C$19</f>
        <v>12901.01</v>
      </c>
      <c r="T175" s="125">
        <f t="shared" si="25"/>
        <v>12901.01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12637.52</v>
      </c>
      <c r="AA175" s="125">
        <f>Valores!$C$25</f>
        <v>567.05999999999995</v>
      </c>
      <c r="AB175" s="214">
        <v>0</v>
      </c>
      <c r="AC175" s="125">
        <f t="shared" si="20"/>
        <v>0</v>
      </c>
      <c r="AD175" s="125">
        <f>Valores!$C$26</f>
        <v>567.05999999999995</v>
      </c>
      <c r="AE175" s="192">
        <v>0</v>
      </c>
      <c r="AF175" s="125">
        <f>ROUND(AE175*Valores!$C$2,2)</f>
        <v>0</v>
      </c>
      <c r="AG175" s="125">
        <f>ROUND(IF($F$4="NO",Valores!$C$63,Valores!$C$63/2),2)</f>
        <v>6482.98</v>
      </c>
      <c r="AH175" s="125">
        <f t="shared" si="23"/>
        <v>199752.91999999998</v>
      </c>
      <c r="AI175" s="125">
        <f>Valores!$C$31</f>
        <v>0</v>
      </c>
      <c r="AJ175" s="125">
        <f>Valores!$C$89</f>
        <v>0</v>
      </c>
      <c r="AK175" s="125">
        <f>Valores!C$38*B175</f>
        <v>30000</v>
      </c>
      <c r="AL175" s="125">
        <f>IF($F$3="NO",0,Valores!$C$55)</f>
        <v>327.60000000000002</v>
      </c>
      <c r="AM175" s="125">
        <f t="shared" si="21"/>
        <v>30327.599999999999</v>
      </c>
      <c r="AN175" s="125">
        <f>AH175*Valores!$C$71</f>
        <v>-21972.821199999998</v>
      </c>
      <c r="AO175" s="125">
        <f>AH175*-Valores!$C$72</f>
        <v>0</v>
      </c>
      <c r="AP175" s="125">
        <f>AH175*Valores!$C$73</f>
        <v>-8988.8813999999984</v>
      </c>
      <c r="AQ175" s="125">
        <f>Valores!$C$100</f>
        <v>-280.91000000000003</v>
      </c>
      <c r="AR175" s="125">
        <f>IF($F$5=0,Valores!$C$101,(Valores!$C$101+$F$5*(Valores!$C$101)))</f>
        <v>-385</v>
      </c>
      <c r="AS175" s="125">
        <f t="shared" si="24"/>
        <v>198452.9074</v>
      </c>
      <c r="AT175" s="125">
        <f t="shared" si="18"/>
        <v>-21972.821199999998</v>
      </c>
      <c r="AU175" s="125">
        <f>AH175*Valores!$C$74</f>
        <v>-5393.3288399999992</v>
      </c>
      <c r="AV175" s="125">
        <f>AH175*Valores!$C$75</f>
        <v>-599.25875999999994</v>
      </c>
      <c r="AW175" s="125">
        <f t="shared" si="22"/>
        <v>202115.11119999998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4827.57</v>
      </c>
      <c r="G176" s="192">
        <f>1842</f>
        <v>1842</v>
      </c>
      <c r="H176" s="125">
        <f>ROUND(G176*Valores!$C$2,2)</f>
        <v>49957.25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35257.56</v>
      </c>
      <c r="M176" s="125">
        <f>ROUND(IF($H$2=0,IF(AND(A176&lt;&gt;"13-930",A176&lt;&gt;"13-940"),(SUM(F176,H176,J176,L176,X176,T176,R176)*Valores!$C$4),0),0),2)</f>
        <v>17615.59</v>
      </c>
      <c r="N176" s="125">
        <f t="shared" si="19"/>
        <v>0</v>
      </c>
      <c r="O176" s="125">
        <f>Valores!$C$9</f>
        <v>29939.09</v>
      </c>
      <c r="P176" s="125">
        <f>Valores!$D$5</f>
        <v>13864.36</v>
      </c>
      <c r="Q176" s="125">
        <f>Valores!$C$22</f>
        <v>12369.22</v>
      </c>
      <c r="R176" s="125">
        <f>IF($F$4="NO",Valores!$C$47,Valores!$C$47/2)</f>
        <v>14493.86</v>
      </c>
      <c r="S176" s="125">
        <f>Valores!$C$19</f>
        <v>12901.01</v>
      </c>
      <c r="T176" s="125">
        <f t="shared" si="25"/>
        <v>12901.01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12637.52</v>
      </c>
      <c r="AA176" s="125">
        <f>Valores!$C$25</f>
        <v>567.05999999999995</v>
      </c>
      <c r="AB176" s="214">
        <v>0</v>
      </c>
      <c r="AC176" s="125">
        <f t="shared" si="20"/>
        <v>0</v>
      </c>
      <c r="AD176" s="125">
        <f>Valores!$C$26</f>
        <v>567.05999999999995</v>
      </c>
      <c r="AE176" s="192">
        <v>0</v>
      </c>
      <c r="AF176" s="125">
        <f>ROUND(AE176*Valores!$C$2,2)</f>
        <v>0</v>
      </c>
      <c r="AG176" s="125">
        <f>ROUND(IF($F$4="NO",Valores!$C$63,Valores!$C$63/2),2)</f>
        <v>6482.98</v>
      </c>
      <c r="AH176" s="125">
        <f t="shared" si="23"/>
        <v>211480.13</v>
      </c>
      <c r="AI176" s="125">
        <f>Valores!$C$31</f>
        <v>0</v>
      </c>
      <c r="AJ176" s="125">
        <f>Valores!$C$89</f>
        <v>0</v>
      </c>
      <c r="AK176" s="125">
        <f>Valores!C$38*B176</f>
        <v>30000</v>
      </c>
      <c r="AL176" s="125">
        <f>IF($F$3="NO",0,Valores!$C$55)</f>
        <v>327.60000000000002</v>
      </c>
      <c r="AM176" s="125">
        <f t="shared" si="21"/>
        <v>30327.599999999999</v>
      </c>
      <c r="AN176" s="125">
        <f>AH176*Valores!$C$71</f>
        <v>-23262.814300000002</v>
      </c>
      <c r="AO176" s="125">
        <f>AH176*-Valores!$C$72</f>
        <v>0</v>
      </c>
      <c r="AP176" s="125">
        <f>AH176*Valores!$C$73</f>
        <v>-9516.6058499999999</v>
      </c>
      <c r="AQ176" s="125">
        <f>Valores!$C$100</f>
        <v>-280.91000000000003</v>
      </c>
      <c r="AR176" s="125">
        <f>IF($F$5=0,Valores!$C$101,(Valores!$C$101+$F$5*(Valores!$C$101)))</f>
        <v>-385</v>
      </c>
      <c r="AS176" s="125">
        <f t="shared" si="24"/>
        <v>208362.39984999999</v>
      </c>
      <c r="AT176" s="125">
        <f t="shared" si="18"/>
        <v>-23262.814300000002</v>
      </c>
      <c r="AU176" s="125">
        <f>AH176*Valores!$C$74</f>
        <v>-5709.9635100000005</v>
      </c>
      <c r="AV176" s="125">
        <f>AH176*Valores!$C$75</f>
        <v>-634.44038999999998</v>
      </c>
      <c r="AW176" s="125">
        <f t="shared" si="22"/>
        <v>212200.51180000001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34660.89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32545.439999999999</v>
      </c>
      <c r="M177" s="125">
        <f>ROUND(IF($H$2=0,IF(AND(A177&lt;&gt;"13-930",A177&lt;&gt;"13-940"),(SUM(F177,H177,J177,L177,X177,T177,R177)*Valores!$C$4),0),0),2)</f>
        <v>14190.18</v>
      </c>
      <c r="N177" s="125">
        <f t="shared" si="19"/>
        <v>0</v>
      </c>
      <c r="O177" s="125">
        <f>Valores!$C$16</f>
        <v>23436.25</v>
      </c>
      <c r="P177" s="125">
        <f>Valores!$D$5</f>
        <v>13864.36</v>
      </c>
      <c r="Q177" s="125">
        <f>Valores!$C$22</f>
        <v>12369.22</v>
      </c>
      <c r="R177" s="125">
        <f>IF($F$4="NO",Valores!$C$47,Valores!$C$47/2)</f>
        <v>14493.86</v>
      </c>
      <c r="S177" s="125">
        <f>Valores!$C$19</f>
        <v>12901.01</v>
      </c>
      <c r="T177" s="125">
        <f t="shared" si="25"/>
        <v>12901.01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12637.52</v>
      </c>
      <c r="AA177" s="125">
        <f>Valores!$C$25</f>
        <v>567.05999999999995</v>
      </c>
      <c r="AB177" s="214">
        <v>0</v>
      </c>
      <c r="AC177" s="125">
        <f t="shared" si="20"/>
        <v>0</v>
      </c>
      <c r="AD177" s="125">
        <f>Valores!$C$26</f>
        <v>567.05999999999995</v>
      </c>
      <c r="AE177" s="192">
        <v>0</v>
      </c>
      <c r="AF177" s="125">
        <f>ROUND(AE177*Valores!$C$2,2)</f>
        <v>0</v>
      </c>
      <c r="AG177" s="125">
        <f>ROUND(IF($F$4="NO",Valores!$C$63,Valores!$C$63/2),2)</f>
        <v>6482.98</v>
      </c>
      <c r="AH177" s="125">
        <f t="shared" si="23"/>
        <v>178715.83000000002</v>
      </c>
      <c r="AI177" s="125">
        <f>Valores!$C$31</f>
        <v>0</v>
      </c>
      <c r="AJ177" s="125">
        <f>Valores!$C$89</f>
        <v>0</v>
      </c>
      <c r="AK177" s="125">
        <f>Valores!C$38*B177</f>
        <v>30000</v>
      </c>
      <c r="AL177" s="125">
        <f>IF($F$3="NO",0,Valores!$C$55)</f>
        <v>327.60000000000002</v>
      </c>
      <c r="AM177" s="125">
        <f t="shared" si="21"/>
        <v>30327.599999999999</v>
      </c>
      <c r="AN177" s="125">
        <f>AH177*Valores!$C$71</f>
        <v>-19658.741300000002</v>
      </c>
      <c r="AO177" s="125">
        <f>AH177*-Valores!$C$72</f>
        <v>0</v>
      </c>
      <c r="AP177" s="125">
        <f>AH177*Valores!$C$73</f>
        <v>-8042.2123500000007</v>
      </c>
      <c r="AQ177" s="125">
        <f>Valores!$C$100</f>
        <v>-280.91000000000003</v>
      </c>
      <c r="AR177" s="125">
        <f>IF($F$5=0,Valores!$C$101,(Valores!$C$101+$F$5*(Valores!$C$101)))</f>
        <v>-385</v>
      </c>
      <c r="AS177" s="125">
        <f t="shared" si="24"/>
        <v>180676.56635000001</v>
      </c>
      <c r="AT177" s="125">
        <f t="shared" si="18"/>
        <v>-19658.741300000002</v>
      </c>
      <c r="AU177" s="125">
        <f>AH177*Valores!$C$74</f>
        <v>-4825.3274100000008</v>
      </c>
      <c r="AV177" s="125">
        <f>AH177*Valores!$C$75</f>
        <v>-536.14749000000006</v>
      </c>
      <c r="AW177" s="125">
        <f t="shared" si="22"/>
        <v>184023.21380000003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26334.69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17899.990000000002</v>
      </c>
      <c r="M178" s="125">
        <f>ROUND(IF($H$2=0,IF(AND(A178&lt;&gt;"13-930",A178&lt;&gt;"13-940"),(SUM(F178,H178,J178,L178,X178,T178,R178)*Valores!$C$4),0),0),2)</f>
        <v>10744.43</v>
      </c>
      <c r="N178" s="125">
        <f t="shared" si="19"/>
        <v>0</v>
      </c>
      <c r="O178" s="125">
        <f>Valores!$C$16</f>
        <v>23436.25</v>
      </c>
      <c r="P178" s="125">
        <f>Valores!$D$5</f>
        <v>13864.36</v>
      </c>
      <c r="Q178" s="125">
        <f>Valores!$C$22</f>
        <v>12369.22</v>
      </c>
      <c r="R178" s="125">
        <f>IF($F$4="NO",Valores!$C$47,Valores!$C$47/2)</f>
        <v>14493.86</v>
      </c>
      <c r="S178" s="125">
        <f>Valores!$C$19</f>
        <v>12901.01</v>
      </c>
      <c r="T178" s="125">
        <f t="shared" si="25"/>
        <v>12901.01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12637.52</v>
      </c>
      <c r="AA178" s="125">
        <f>Valores!$C$25</f>
        <v>567.05999999999995</v>
      </c>
      <c r="AB178" s="214">
        <v>0</v>
      </c>
      <c r="AC178" s="125">
        <f t="shared" si="20"/>
        <v>0</v>
      </c>
      <c r="AD178" s="125">
        <f>Valores!$C$26</f>
        <v>567.05999999999995</v>
      </c>
      <c r="AE178" s="192">
        <v>0</v>
      </c>
      <c r="AF178" s="125">
        <f>ROUND(AE178*Valores!$C$2,2)</f>
        <v>0</v>
      </c>
      <c r="AG178" s="125">
        <f>ROUND(IF($F$4="NO",Valores!$C$63,Valores!$C$63/2),2)</f>
        <v>6482.98</v>
      </c>
      <c r="AH178" s="125">
        <f t="shared" si="23"/>
        <v>152298.43</v>
      </c>
      <c r="AI178" s="125">
        <f>Valores!$C$31</f>
        <v>0</v>
      </c>
      <c r="AJ178" s="125">
        <f>Valores!$C$89</f>
        <v>0</v>
      </c>
      <c r="AK178" s="125">
        <f>Valores!C$38*B178</f>
        <v>30000</v>
      </c>
      <c r="AL178" s="125">
        <f>IF($F$3="NO",0,Valores!$C$55)</f>
        <v>327.60000000000002</v>
      </c>
      <c r="AM178" s="125">
        <f t="shared" si="21"/>
        <v>30327.599999999999</v>
      </c>
      <c r="AN178" s="125">
        <f>AH178*Valores!$C$71</f>
        <v>-16752.827300000001</v>
      </c>
      <c r="AO178" s="125">
        <f>AH178*-Valores!$C$72</f>
        <v>0</v>
      </c>
      <c r="AP178" s="125">
        <f>AH178*Valores!$C$73</f>
        <v>-6853.4293499999994</v>
      </c>
      <c r="AQ178" s="125">
        <f>Valores!$C$100</f>
        <v>-280.91000000000003</v>
      </c>
      <c r="AR178" s="125">
        <f>IF($F$5=0,Valores!$C$101,(Valores!$C$101+$F$5*(Valores!$C$101)))</f>
        <v>-385</v>
      </c>
      <c r="AS178" s="125">
        <f t="shared" si="24"/>
        <v>158353.86335</v>
      </c>
      <c r="AT178" s="125">
        <f t="shared" si="18"/>
        <v>-16752.827300000001</v>
      </c>
      <c r="AU178" s="125">
        <f>AH178*Valores!$C$74</f>
        <v>-4112.0576099999998</v>
      </c>
      <c r="AV178" s="125">
        <f>AH178*Valores!$C$75</f>
        <v>-456.89528999999999</v>
      </c>
      <c r="AW178" s="125">
        <f t="shared" si="22"/>
        <v>161304.24979999999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5776.82</v>
      </c>
      <c r="G179" s="192">
        <f>1835</f>
        <v>1835</v>
      </c>
      <c r="H179" s="125">
        <f>ROUND(G179*Valores!$C$2,2)</f>
        <v>49767.4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35257.56</v>
      </c>
      <c r="M179" s="125">
        <f>ROUND(IF($H$2=0,IF(AND(A179&lt;&gt;"13-930",A179&lt;&gt;"13-940"),(SUM(F179,H179,J179,L179,X179,T179,R179)*Valores!$C$4),0),0),2)</f>
        <v>17729.5</v>
      </c>
      <c r="N179" s="125">
        <f t="shared" si="19"/>
        <v>0</v>
      </c>
      <c r="O179" s="125">
        <f>Valores!$C$9</f>
        <v>29939.09</v>
      </c>
      <c r="P179" s="125">
        <f>Valores!$D$5</f>
        <v>13864.36</v>
      </c>
      <c r="Q179" s="125">
        <f>Valores!$C$22</f>
        <v>12369.22</v>
      </c>
      <c r="R179" s="125">
        <f>IF($F$4="NO",Valores!$C$47,Valores!$C$47/2)</f>
        <v>14493.86</v>
      </c>
      <c r="S179" s="125">
        <f>Valores!$C$19</f>
        <v>12901.01</v>
      </c>
      <c r="T179" s="125">
        <f t="shared" si="25"/>
        <v>12901.01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12637.52</v>
      </c>
      <c r="AA179" s="125">
        <f>Valores!$C$25</f>
        <v>567.05999999999995</v>
      </c>
      <c r="AB179" s="214">
        <v>0</v>
      </c>
      <c r="AC179" s="125">
        <f t="shared" si="20"/>
        <v>0</v>
      </c>
      <c r="AD179" s="125">
        <f>Valores!$C$26</f>
        <v>567.05999999999995</v>
      </c>
      <c r="AE179" s="192">
        <v>0</v>
      </c>
      <c r="AF179" s="125">
        <f>ROUND(AE179*Valores!$C$2,2)</f>
        <v>0</v>
      </c>
      <c r="AG179" s="125">
        <f>ROUND(IF($F$4="NO",Valores!$C$63,Valores!$C$63/2),2)</f>
        <v>6482.98</v>
      </c>
      <c r="AH179" s="125">
        <f t="shared" si="23"/>
        <v>212353.44</v>
      </c>
      <c r="AI179" s="125">
        <f>Valores!$C$31</f>
        <v>0</v>
      </c>
      <c r="AJ179" s="125">
        <f>Valores!$C$89</f>
        <v>0</v>
      </c>
      <c r="AK179" s="125">
        <f>Valores!C$38*B179</f>
        <v>30000</v>
      </c>
      <c r="AL179" s="125">
        <f>IF($F$3="NO",0,Valores!$C$55)</f>
        <v>327.60000000000002</v>
      </c>
      <c r="AM179" s="125">
        <f t="shared" si="21"/>
        <v>30327.599999999999</v>
      </c>
      <c r="AN179" s="125">
        <f>AH179*Valores!$C$71</f>
        <v>-23358.878400000001</v>
      </c>
      <c r="AO179" s="125">
        <f>AH179*-Valores!$C$72</f>
        <v>0</v>
      </c>
      <c r="AP179" s="125">
        <f>AH179*Valores!$C$73</f>
        <v>-9555.9048000000003</v>
      </c>
      <c r="AQ179" s="125">
        <f>Valores!$C$100</f>
        <v>-280.91000000000003</v>
      </c>
      <c r="AR179" s="125">
        <f>IF($F$5=0,Valores!$C$101,(Valores!$C$101+$F$5*(Valores!$C$101)))</f>
        <v>-385</v>
      </c>
      <c r="AS179" s="125">
        <f t="shared" si="24"/>
        <v>209100.3468</v>
      </c>
      <c r="AT179" s="125">
        <f t="shared" si="18"/>
        <v>-23358.878400000001</v>
      </c>
      <c r="AU179" s="125">
        <f>AH179*Valores!$C$74</f>
        <v>-5733.54288</v>
      </c>
      <c r="AV179" s="125">
        <f>AH179*Valores!$C$75</f>
        <v>-637.06032000000005</v>
      </c>
      <c r="AW179" s="125">
        <f t="shared" si="22"/>
        <v>212951.55840000001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5017.42</v>
      </c>
      <c r="G180" s="192">
        <f>1835</f>
        <v>1835</v>
      </c>
      <c r="H180" s="125">
        <f>ROUND(G180*Valores!$C$2,2)</f>
        <v>49767.4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35257.56</v>
      </c>
      <c r="M180" s="125">
        <f>ROUND(IF($H$2=0,IF(AND(A180&lt;&gt;"13-930",A180&lt;&gt;"13-940"),(SUM(F180,H180,J180,L180,X180,T180,R180)*Valores!$C$4),0),0),2)</f>
        <v>17615.59</v>
      </c>
      <c r="N180" s="125">
        <f t="shared" si="19"/>
        <v>0</v>
      </c>
      <c r="O180" s="125">
        <f>Valores!$C$9</f>
        <v>29939.09</v>
      </c>
      <c r="P180" s="125">
        <f>Valores!$D$5</f>
        <v>13864.36</v>
      </c>
      <c r="Q180" s="125">
        <f>Valores!$C$22</f>
        <v>12369.22</v>
      </c>
      <c r="R180" s="125">
        <f>IF($F$4="NO",Valores!$C$47,Valores!$C$47/2)</f>
        <v>14493.86</v>
      </c>
      <c r="S180" s="125">
        <f>Valores!$C$19</f>
        <v>12901.01</v>
      </c>
      <c r="T180" s="125">
        <f t="shared" si="25"/>
        <v>12901.01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12637.52</v>
      </c>
      <c r="AA180" s="125">
        <f>Valores!$C$25</f>
        <v>567.05999999999995</v>
      </c>
      <c r="AB180" s="214">
        <v>0</v>
      </c>
      <c r="AC180" s="125">
        <f t="shared" si="20"/>
        <v>0</v>
      </c>
      <c r="AD180" s="125">
        <f>Valores!$C$26</f>
        <v>567.05999999999995</v>
      </c>
      <c r="AE180" s="192">
        <v>0</v>
      </c>
      <c r="AF180" s="125">
        <f>ROUND(AE180*Valores!$C$2,2)</f>
        <v>0</v>
      </c>
      <c r="AG180" s="125">
        <f>ROUND(IF($F$4="NO",Valores!$C$63,Valores!$C$63/2),2)</f>
        <v>6482.98</v>
      </c>
      <c r="AH180" s="125">
        <f t="shared" si="23"/>
        <v>211480.13</v>
      </c>
      <c r="AI180" s="125">
        <f>Valores!$C$31</f>
        <v>0</v>
      </c>
      <c r="AJ180" s="125">
        <f>Valores!$C$89</f>
        <v>0</v>
      </c>
      <c r="AK180" s="125">
        <f>Valores!C$38*B180</f>
        <v>30000</v>
      </c>
      <c r="AL180" s="125">
        <f>IF($F$3="NO",0,Valores!$C$55)</f>
        <v>327.60000000000002</v>
      </c>
      <c r="AM180" s="125">
        <f t="shared" si="21"/>
        <v>30327.599999999999</v>
      </c>
      <c r="AN180" s="125">
        <f>AH180*Valores!$C$71</f>
        <v>-23262.814300000002</v>
      </c>
      <c r="AO180" s="125">
        <f>AH180*-Valores!$C$72</f>
        <v>0</v>
      </c>
      <c r="AP180" s="125">
        <f>AH180*Valores!$C$73</f>
        <v>-9516.6058499999999</v>
      </c>
      <c r="AQ180" s="125">
        <f>Valores!$C$100</f>
        <v>-280.91000000000003</v>
      </c>
      <c r="AR180" s="125">
        <f>IF($F$5=0,Valores!$C$101,(Valores!$C$101+$F$5*(Valores!$C$101)))</f>
        <v>-385</v>
      </c>
      <c r="AS180" s="125">
        <f t="shared" si="24"/>
        <v>208362.39984999999</v>
      </c>
      <c r="AT180" s="125">
        <f t="shared" si="18"/>
        <v>-23262.814300000002</v>
      </c>
      <c r="AU180" s="125">
        <f>AH180*Valores!$C$74</f>
        <v>-5709.9635100000005</v>
      </c>
      <c r="AV180" s="125">
        <f>AH180*Valores!$C$75</f>
        <v>-634.44038999999998</v>
      </c>
      <c r="AW180" s="125">
        <f t="shared" si="22"/>
        <v>212200.51180000001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4339.3900000000003</v>
      </c>
      <c r="G181" s="192">
        <f>1484</f>
        <v>1484</v>
      </c>
      <c r="H181" s="125">
        <f>ROUND(G181*Valores!$C$2,2)</f>
        <v>40247.86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35257.56</v>
      </c>
      <c r="M181" s="125">
        <f>ROUND(IF($H$2=0,IF(AND(A181&lt;&gt;"13-930",A181&lt;&gt;"13-940"),(SUM(F181,H181,J181,L181,X181,T181,R181)*Valores!$C$4),0),0),2)</f>
        <v>16085.95</v>
      </c>
      <c r="N181" s="125">
        <f t="shared" si="19"/>
        <v>0</v>
      </c>
      <c r="O181" s="125">
        <f>Valores!$C$9</f>
        <v>29939.09</v>
      </c>
      <c r="P181" s="125">
        <f>Valores!$D$5</f>
        <v>13864.36</v>
      </c>
      <c r="Q181" s="125">
        <f>Valores!$C$22</f>
        <v>12369.22</v>
      </c>
      <c r="R181" s="125">
        <f>IF($F$4="NO",Valores!$C$47,Valores!$C$47/2)</f>
        <v>14493.86</v>
      </c>
      <c r="S181" s="125">
        <f>Valores!$C$19</f>
        <v>12901.01</v>
      </c>
      <c r="T181" s="125">
        <f t="shared" si="25"/>
        <v>12901.01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12637.52</v>
      </c>
      <c r="AA181" s="125">
        <f>Valores!$C$25</f>
        <v>567.05999999999995</v>
      </c>
      <c r="AB181" s="214">
        <v>0</v>
      </c>
      <c r="AC181" s="125">
        <f t="shared" si="20"/>
        <v>0</v>
      </c>
      <c r="AD181" s="125">
        <f>Valores!$C$26</f>
        <v>567.05999999999995</v>
      </c>
      <c r="AE181" s="192">
        <v>0</v>
      </c>
      <c r="AF181" s="125">
        <f>ROUND(AE181*Valores!$C$2,2)</f>
        <v>0</v>
      </c>
      <c r="AG181" s="125">
        <f>ROUND(IF($F$4="NO",Valores!$C$63,Valores!$C$63/2),2)</f>
        <v>6482.98</v>
      </c>
      <c r="AH181" s="125">
        <f t="shared" si="23"/>
        <v>199752.91999999998</v>
      </c>
      <c r="AI181" s="125">
        <f>Valores!$C$31</f>
        <v>0</v>
      </c>
      <c r="AJ181" s="125">
        <f>Valores!$C$89</f>
        <v>0</v>
      </c>
      <c r="AK181" s="125">
        <f>Valores!C$38*B181</f>
        <v>30000</v>
      </c>
      <c r="AL181" s="125">
        <f>IF($F$3="NO",0,Valores!$C$55)</f>
        <v>327.60000000000002</v>
      </c>
      <c r="AM181" s="125">
        <f t="shared" si="21"/>
        <v>30327.599999999999</v>
      </c>
      <c r="AN181" s="125">
        <f>AH181*Valores!$C$71</f>
        <v>-21972.821199999998</v>
      </c>
      <c r="AO181" s="125">
        <f>AH181*-Valores!$C$72</f>
        <v>0</v>
      </c>
      <c r="AP181" s="125">
        <f>AH181*Valores!$C$73</f>
        <v>-8988.8813999999984</v>
      </c>
      <c r="AQ181" s="125">
        <f>Valores!$C$100</f>
        <v>-280.91000000000003</v>
      </c>
      <c r="AR181" s="125">
        <f>IF($F$5=0,Valores!$C$101,(Valores!$C$101+$F$5*(Valores!$C$101)))</f>
        <v>-385</v>
      </c>
      <c r="AS181" s="125">
        <f t="shared" si="24"/>
        <v>198452.9074</v>
      </c>
      <c r="AT181" s="125">
        <f t="shared" si="18"/>
        <v>-21972.821199999998</v>
      </c>
      <c r="AU181" s="125">
        <f>AH181*Valores!$C$74</f>
        <v>-5393.3288399999992</v>
      </c>
      <c r="AV181" s="125">
        <f>AH181*Valores!$C$75</f>
        <v>-599.25875999999994</v>
      </c>
      <c r="AW181" s="125">
        <f t="shared" si="22"/>
        <v>202115.11119999998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34660.89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32545.439999999999</v>
      </c>
      <c r="M182" s="125">
        <f>ROUND(IF($H$2=0,IF(AND(A182&lt;&gt;"13-930",A182&lt;&gt;"13-940"),(SUM(F182,H182,J182,L182,X182,T182,R182)*Valores!$C$4),0),0),2)</f>
        <v>14190.18</v>
      </c>
      <c r="N182" s="125">
        <f t="shared" si="19"/>
        <v>0</v>
      </c>
      <c r="O182" s="125">
        <f>Valores!$C$16</f>
        <v>23436.25</v>
      </c>
      <c r="P182" s="125">
        <f>Valores!$D$5</f>
        <v>13864.36</v>
      </c>
      <c r="Q182" s="125">
        <f>Valores!$C$22</f>
        <v>12369.22</v>
      </c>
      <c r="R182" s="125">
        <f>IF($F$4="NO",Valores!$C$47,Valores!$C$47/2)</f>
        <v>14493.86</v>
      </c>
      <c r="S182" s="125">
        <f>Valores!$C$19</f>
        <v>12901.01</v>
      </c>
      <c r="T182" s="125">
        <f t="shared" si="25"/>
        <v>12901.01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12637.52</v>
      </c>
      <c r="AA182" s="125">
        <f>Valores!$C$25</f>
        <v>567.05999999999995</v>
      </c>
      <c r="AB182" s="214">
        <v>0</v>
      </c>
      <c r="AC182" s="125">
        <f t="shared" si="20"/>
        <v>0</v>
      </c>
      <c r="AD182" s="125">
        <f>Valores!$C$26</f>
        <v>567.05999999999995</v>
      </c>
      <c r="AE182" s="192">
        <v>0</v>
      </c>
      <c r="AF182" s="125">
        <f>ROUND(AE182*Valores!$C$2,2)</f>
        <v>0</v>
      </c>
      <c r="AG182" s="125">
        <f>ROUND(IF($F$4="NO",Valores!$C$63,Valores!$C$63/2),2)</f>
        <v>6482.98</v>
      </c>
      <c r="AH182" s="125">
        <f t="shared" si="23"/>
        <v>178715.83000000002</v>
      </c>
      <c r="AI182" s="125">
        <f>Valores!$C$31</f>
        <v>0</v>
      </c>
      <c r="AJ182" s="125">
        <f>Valores!$C$89</f>
        <v>0</v>
      </c>
      <c r="AK182" s="125">
        <f>Valores!C$38*B182</f>
        <v>30000</v>
      </c>
      <c r="AL182" s="125">
        <f>IF($F$3="NO",0,Valores!$C$55)</f>
        <v>327.60000000000002</v>
      </c>
      <c r="AM182" s="125">
        <f t="shared" si="21"/>
        <v>30327.599999999999</v>
      </c>
      <c r="AN182" s="125">
        <f>AH182*Valores!$C$71</f>
        <v>-19658.741300000002</v>
      </c>
      <c r="AO182" s="125">
        <f>AH182*-Valores!$C$72</f>
        <v>0</v>
      </c>
      <c r="AP182" s="125">
        <f>AH182*Valores!$C$73</f>
        <v>-8042.2123500000007</v>
      </c>
      <c r="AQ182" s="125">
        <f>Valores!$C$100</f>
        <v>-280.91000000000003</v>
      </c>
      <c r="AR182" s="125">
        <f>IF($F$5=0,Valores!$C$101,(Valores!$C$101+$F$5*(Valores!$C$101)))</f>
        <v>-385</v>
      </c>
      <c r="AS182" s="125">
        <f t="shared" si="24"/>
        <v>180676.56635000001</v>
      </c>
      <c r="AT182" s="125">
        <f t="shared" si="18"/>
        <v>-19658.741300000002</v>
      </c>
      <c r="AU182" s="125">
        <f>AH182*Valores!$C$74</f>
        <v>-4825.3274100000008</v>
      </c>
      <c r="AV182" s="125">
        <f>AH182*Valores!$C$75</f>
        <v>-536.14749000000006</v>
      </c>
      <c r="AW182" s="125">
        <f t="shared" si="22"/>
        <v>184023.21380000003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26334.69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17899.990000000002</v>
      </c>
      <c r="M183" s="125">
        <f>ROUND(IF($H$2=0,IF(AND(A183&lt;&gt;"13-930",A183&lt;&gt;"13-940"),(SUM(F183,H183,J183,L183,X183,T183,R183)*Valores!$C$4),0),0),2)</f>
        <v>10744.43</v>
      </c>
      <c r="N183" s="125">
        <f t="shared" si="19"/>
        <v>0</v>
      </c>
      <c r="O183" s="125">
        <f>Valores!$C$16</f>
        <v>23436.25</v>
      </c>
      <c r="P183" s="125">
        <f>Valores!$D$5</f>
        <v>13864.36</v>
      </c>
      <c r="Q183" s="125">
        <f>Valores!$C$23</f>
        <v>11512.45</v>
      </c>
      <c r="R183" s="125">
        <f>IF($F$4="NO",Valores!$C$47,Valores!$C$47/2)</f>
        <v>14493.86</v>
      </c>
      <c r="S183" s="125">
        <f>Valores!$C$19</f>
        <v>12901.01</v>
      </c>
      <c r="T183" s="125">
        <f t="shared" si="25"/>
        <v>12901.01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12637.52</v>
      </c>
      <c r="AA183" s="125">
        <f>Valores!$C$25</f>
        <v>567.05999999999995</v>
      </c>
      <c r="AB183" s="214">
        <v>0</v>
      </c>
      <c r="AC183" s="125">
        <f t="shared" si="20"/>
        <v>0</v>
      </c>
      <c r="AD183" s="125">
        <f>Valores!$C$26</f>
        <v>567.05999999999995</v>
      </c>
      <c r="AE183" s="192">
        <v>0</v>
      </c>
      <c r="AF183" s="125">
        <f>ROUND(AE183*Valores!$C$2,2)</f>
        <v>0</v>
      </c>
      <c r="AG183" s="125">
        <f>ROUND(IF($F$4="NO",Valores!$C$63,Valores!$C$63/2),2)</f>
        <v>6482.98</v>
      </c>
      <c r="AH183" s="125">
        <f t="shared" si="23"/>
        <v>151441.66</v>
      </c>
      <c r="AI183" s="125">
        <f>Valores!$C$31</f>
        <v>0</v>
      </c>
      <c r="AJ183" s="125">
        <f>Valores!$C$89</f>
        <v>0</v>
      </c>
      <c r="AK183" s="125">
        <f>Valores!C$38*B183</f>
        <v>30000</v>
      </c>
      <c r="AL183" s="125">
        <f>IF($F$3="NO",0,Valores!$C$55)</f>
        <v>327.60000000000002</v>
      </c>
      <c r="AM183" s="125">
        <f t="shared" si="21"/>
        <v>30327.599999999999</v>
      </c>
      <c r="AN183" s="125">
        <f>AH183*Valores!$C$71</f>
        <v>-16658.582600000002</v>
      </c>
      <c r="AO183" s="125">
        <f>AH183*-Valores!$C$72</f>
        <v>0</v>
      </c>
      <c r="AP183" s="125">
        <f>AH183*Valores!$C$73</f>
        <v>-6814.8747000000003</v>
      </c>
      <c r="AQ183" s="125">
        <f>Valores!$C$100</f>
        <v>-280.91000000000003</v>
      </c>
      <c r="AR183" s="125">
        <f>IF($F$5=0,Valores!$C$101,(Valores!$C$101+$F$5*(Valores!$C$101)))</f>
        <v>-385</v>
      </c>
      <c r="AS183" s="125">
        <f t="shared" si="24"/>
        <v>157629.8927</v>
      </c>
      <c r="AT183" s="125">
        <f t="shared" si="18"/>
        <v>-16658.582600000002</v>
      </c>
      <c r="AU183" s="125">
        <f>AH183*Valores!$C$74</f>
        <v>-4088.9248200000002</v>
      </c>
      <c r="AV183" s="125">
        <f>AH183*Valores!$C$75</f>
        <v>-454.32498000000004</v>
      </c>
      <c r="AW183" s="125">
        <f t="shared" si="22"/>
        <v>160567.4276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4854.6899999999996</v>
      </c>
      <c r="G184" s="192">
        <f>1323</f>
        <v>1323</v>
      </c>
      <c r="H184" s="125">
        <f>ROUND(G184*Valores!$C$2,2)</f>
        <v>35881.35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35257.56</v>
      </c>
      <c r="M184" s="125">
        <f>ROUND(IF($H$2=0,IF(AND(A184&lt;&gt;"13-930",A184&lt;&gt;"13-940"),(SUM(F184,H184,J184,L184,X184,T184,R184)*Valores!$C$4),0),0),2)</f>
        <v>15508.27</v>
      </c>
      <c r="N184" s="125">
        <f t="shared" si="19"/>
        <v>0</v>
      </c>
      <c r="O184" s="125">
        <f>Valores!$C$9</f>
        <v>29939.09</v>
      </c>
      <c r="P184" s="125">
        <f>Valores!$D$5</f>
        <v>13864.36</v>
      </c>
      <c r="Q184" s="125">
        <f>Valores!$C$22</f>
        <v>12369.22</v>
      </c>
      <c r="R184" s="125">
        <f>IF($F$4="NO",Valores!$C$47,Valores!$C$47/2)</f>
        <v>14493.86</v>
      </c>
      <c r="S184" s="125">
        <f>Valores!$C$19</f>
        <v>12901.01</v>
      </c>
      <c r="T184" s="125">
        <f t="shared" si="25"/>
        <v>12901.01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12637.52</v>
      </c>
      <c r="AA184" s="125">
        <f>Valores!$C$25</f>
        <v>567.05999999999995</v>
      </c>
      <c r="AB184" s="214">
        <v>0</v>
      </c>
      <c r="AC184" s="125">
        <f t="shared" si="20"/>
        <v>0</v>
      </c>
      <c r="AD184" s="125">
        <f>Valores!$C$26</f>
        <v>567.05999999999995</v>
      </c>
      <c r="AE184" s="192">
        <v>0</v>
      </c>
      <c r="AF184" s="125">
        <f>ROUND(AE184*Valores!$C$2,2)</f>
        <v>0</v>
      </c>
      <c r="AG184" s="125">
        <f>ROUND(IF($F$4="NO",Valores!$C$63,Valores!$C$63/2),2)</f>
        <v>6482.98</v>
      </c>
      <c r="AH184" s="125">
        <f t="shared" si="23"/>
        <v>195324.03000000003</v>
      </c>
      <c r="AI184" s="125">
        <f>Valores!$C$31</f>
        <v>0</v>
      </c>
      <c r="AJ184" s="125">
        <f>Valores!$C$89</f>
        <v>0</v>
      </c>
      <c r="AK184" s="125">
        <f>Valores!C$38*B184</f>
        <v>30000</v>
      </c>
      <c r="AL184" s="125">
        <v>0</v>
      </c>
      <c r="AM184" s="125">
        <f t="shared" si="21"/>
        <v>30000</v>
      </c>
      <c r="AN184" s="125">
        <f>AH184*Valores!$C$71</f>
        <v>-21485.643300000003</v>
      </c>
      <c r="AO184" s="125">
        <f>AH184*-Valores!$C$72</f>
        <v>0</v>
      </c>
      <c r="AP184" s="125">
        <f>AH184*Valores!$C$73</f>
        <v>-8789.5813500000004</v>
      </c>
      <c r="AQ184" s="125">
        <f>Valores!$C$100</f>
        <v>-280.91000000000003</v>
      </c>
      <c r="AR184" s="125">
        <f>IF($F$5=0,Valores!$C$101,(Valores!$C$101+$F$5*(Valores!$C$101)))</f>
        <v>-385</v>
      </c>
      <c r="AS184" s="125">
        <f t="shared" si="24"/>
        <v>194382.89535000004</v>
      </c>
      <c r="AT184" s="125">
        <f t="shared" si="18"/>
        <v>-21485.643300000003</v>
      </c>
      <c r="AU184" s="125">
        <f>AH184*Valores!$C$74</f>
        <v>-5273.748810000001</v>
      </c>
      <c r="AV184" s="125">
        <f>AH184*Valores!$C$75</f>
        <v>-585.97209000000009</v>
      </c>
      <c r="AW184" s="125">
        <f t="shared" si="22"/>
        <v>197978.66580000002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1735.76</v>
      </c>
      <c r="G185" s="192">
        <v>1354</v>
      </c>
      <c r="H185" s="125">
        <f>ROUND(G185*Valores!$C$2,2)</f>
        <v>36722.1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32545.439999999999</v>
      </c>
      <c r="M185" s="125">
        <f>ROUND(IF($H$2=0,IF(AND(A185&lt;&gt;"13-930",A185&lt;&gt;"13-940"),(SUM(F185,H185,J185,L185,X185,T185,R185)*Valores!$C$4),0),0),2)</f>
        <v>14739.94</v>
      </c>
      <c r="N185" s="125">
        <f t="shared" si="19"/>
        <v>0</v>
      </c>
      <c r="O185" s="125">
        <f>Valores!$C$14</f>
        <v>24936.25</v>
      </c>
      <c r="P185" s="125">
        <f>Valores!$D$5</f>
        <v>13864.36</v>
      </c>
      <c r="Q185" s="125">
        <v>0</v>
      </c>
      <c r="R185" s="125">
        <f>IF($F$4="NO",Valores!$C$47,Valores!$C$47/2)</f>
        <v>14493.86</v>
      </c>
      <c r="S185" s="125">
        <f>Valores!$C$20</f>
        <v>12769.11</v>
      </c>
      <c r="T185" s="125">
        <f t="shared" si="25"/>
        <v>12769.11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12637.52</v>
      </c>
      <c r="AA185" s="125">
        <f>Valores!$C$25</f>
        <v>567.05999999999995</v>
      </c>
      <c r="AB185" s="214">
        <v>0</v>
      </c>
      <c r="AC185" s="125">
        <f t="shared" si="20"/>
        <v>0</v>
      </c>
      <c r="AD185" s="125">
        <f>Valores!$C$26</f>
        <v>567.05999999999995</v>
      </c>
      <c r="AE185" s="192">
        <v>0</v>
      </c>
      <c r="AF185" s="125">
        <f>ROUND(AE185*Valores!$C$2,2)</f>
        <v>0</v>
      </c>
      <c r="AG185" s="125">
        <f>ROUND(IF($F$4="NO",Valores!$C$63,Valores!$C$63/2),2)</f>
        <v>6482.98</v>
      </c>
      <c r="AH185" s="125">
        <f t="shared" si="23"/>
        <v>172061.44</v>
      </c>
      <c r="AI185" s="125">
        <f>Valores!$C$31</f>
        <v>0</v>
      </c>
      <c r="AJ185" s="125">
        <f>Valores!$C$89</f>
        <v>0</v>
      </c>
      <c r="AK185" s="125">
        <f>Valores!C$38*B185</f>
        <v>30000</v>
      </c>
      <c r="AL185" s="125">
        <v>0</v>
      </c>
      <c r="AM185" s="125">
        <f t="shared" si="21"/>
        <v>30000</v>
      </c>
      <c r="AN185" s="125">
        <f>AH185*Valores!$C$71</f>
        <v>-18926.758399999999</v>
      </c>
      <c r="AO185" s="125">
        <f>AH185*-Valores!$C$72</f>
        <v>0</v>
      </c>
      <c r="AP185" s="125">
        <f>AH185*Valores!$C$73</f>
        <v>-7742.7647999999999</v>
      </c>
      <c r="AQ185" s="125">
        <f>Valores!$C$100</f>
        <v>-280.91000000000003</v>
      </c>
      <c r="AR185" s="125">
        <f>IF($F$5=0,Valores!$C$101,(Valores!$C$101+$F$5*(Valores!$C$101)))</f>
        <v>-385</v>
      </c>
      <c r="AS185" s="125">
        <f t="shared" si="24"/>
        <v>174726.0068</v>
      </c>
      <c r="AT185" s="125">
        <f t="shared" si="18"/>
        <v>-18926.758399999999</v>
      </c>
      <c r="AU185" s="125">
        <f>AH185*Valores!$C$74</f>
        <v>-4645.65888</v>
      </c>
      <c r="AV185" s="125">
        <f>AH185*Valores!$C$75</f>
        <v>-516.18432000000007</v>
      </c>
      <c r="AW185" s="125">
        <f t="shared" si="22"/>
        <v>177972.83840000001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1491.67</v>
      </c>
      <c r="G186" s="192">
        <v>1279</v>
      </c>
      <c r="H186" s="125">
        <f>ROUND(G186*Valores!$C$2,2)</f>
        <v>34688.01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32545.439999999999</v>
      </c>
      <c r="M186" s="125">
        <f>ROUND(IF($H$2=0,IF(AND(A186&lt;&gt;"13-930",A186&lt;&gt;"13-940"),(SUM(F186,H186,J186,L186,X186,T186,R186)*Valores!$C$4),0),0),2)</f>
        <v>14418</v>
      </c>
      <c r="N186" s="125">
        <f t="shared" si="19"/>
        <v>0</v>
      </c>
      <c r="O186" s="125">
        <f>Valores!$C$16</f>
        <v>23436.25</v>
      </c>
      <c r="P186" s="125">
        <f>Valores!$D$5</f>
        <v>13864.36</v>
      </c>
      <c r="Q186" s="125">
        <v>0</v>
      </c>
      <c r="R186" s="125">
        <f>IF($F$4="NO",Valores!$C$47,Valores!$C$47/2)</f>
        <v>14493.86</v>
      </c>
      <c r="S186" s="125">
        <f>Valores!$C$19</f>
        <v>12901.01</v>
      </c>
      <c r="T186" s="125">
        <f t="shared" si="25"/>
        <v>12901.01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12637.52</v>
      </c>
      <c r="AA186" s="125">
        <f>Valores!$C$25</f>
        <v>567.05999999999995</v>
      </c>
      <c r="AB186" s="214">
        <v>0</v>
      </c>
      <c r="AC186" s="125">
        <f t="shared" si="20"/>
        <v>0</v>
      </c>
      <c r="AD186" s="125">
        <f>Valores!$C$26</f>
        <v>567.05999999999995</v>
      </c>
      <c r="AE186" s="192">
        <v>0</v>
      </c>
      <c r="AF186" s="125">
        <f>ROUND(AE186*Valores!$C$2,2)</f>
        <v>0</v>
      </c>
      <c r="AG186" s="125">
        <f>ROUND(IF($F$4="NO",Valores!$C$63,Valores!$C$63/2),2)</f>
        <v>6482.98</v>
      </c>
      <c r="AH186" s="125">
        <f t="shared" si="23"/>
        <v>168093.22</v>
      </c>
      <c r="AI186" s="125">
        <f>Valores!$C$31</f>
        <v>0</v>
      </c>
      <c r="AJ186" s="125">
        <f>Valores!$C$89</f>
        <v>0</v>
      </c>
      <c r="AK186" s="125">
        <f>Valores!C$38*B186</f>
        <v>30000</v>
      </c>
      <c r="AL186" s="125">
        <v>0</v>
      </c>
      <c r="AM186" s="125">
        <f t="shared" si="21"/>
        <v>30000</v>
      </c>
      <c r="AN186" s="125">
        <f>AH186*Valores!$C$71</f>
        <v>-18490.254199999999</v>
      </c>
      <c r="AO186" s="125">
        <f>AH186*-Valores!$C$72</f>
        <v>0</v>
      </c>
      <c r="AP186" s="125">
        <f>AH186*Valores!$C$73</f>
        <v>-7564.1948999999995</v>
      </c>
      <c r="AQ186" s="125">
        <f>Valores!$C$100</f>
        <v>-280.91000000000003</v>
      </c>
      <c r="AR186" s="125">
        <f>IF($F$5=0,Valores!$C$101,(Valores!$C$101+$F$5*(Valores!$C$101)))</f>
        <v>-385</v>
      </c>
      <c r="AS186" s="125">
        <f t="shared" si="24"/>
        <v>171372.8609</v>
      </c>
      <c r="AT186" s="125">
        <f t="shared" si="18"/>
        <v>-18490.254199999999</v>
      </c>
      <c r="AU186" s="125">
        <f>AH186*Valores!$C$74</f>
        <v>-4538.5169400000004</v>
      </c>
      <c r="AV186" s="125">
        <f>AH186*Valores!$C$75</f>
        <v>-504.27966000000004</v>
      </c>
      <c r="AW186" s="125">
        <f t="shared" si="22"/>
        <v>174560.1692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27853.47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32545.439999999999</v>
      </c>
      <c r="M187" s="125">
        <f>ROUND(IF($H$2=0,IF(AND(A187&lt;&gt;"13-930",A187&lt;&gt;"13-940"),(SUM(F187,H187,J187,L187,X187,T187,R187)*Valores!$C$4),0),0),2)</f>
        <v>13149.28</v>
      </c>
      <c r="N187" s="125">
        <f t="shared" si="19"/>
        <v>0</v>
      </c>
      <c r="O187" s="125">
        <f>Valores!$C$16</f>
        <v>23436.25</v>
      </c>
      <c r="P187" s="125">
        <f>Valores!$D$5</f>
        <v>13864.36</v>
      </c>
      <c r="Q187" s="125">
        <v>0</v>
      </c>
      <c r="R187" s="125">
        <f>IF($F$4="NO",Valores!$C$47,Valores!$C$47/2)</f>
        <v>14493.86</v>
      </c>
      <c r="S187" s="125">
        <f>Valores!$C$20</f>
        <v>12769.11</v>
      </c>
      <c r="T187" s="125">
        <f t="shared" si="25"/>
        <v>12769.11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12637.52</v>
      </c>
      <c r="AA187" s="125">
        <f>Valores!$C$25</f>
        <v>567.05999999999995</v>
      </c>
      <c r="AB187" s="214">
        <v>0</v>
      </c>
      <c r="AC187" s="125">
        <f t="shared" si="20"/>
        <v>0</v>
      </c>
      <c r="AD187" s="125">
        <f>Valores!$C$26</f>
        <v>567.05999999999995</v>
      </c>
      <c r="AE187" s="192">
        <v>0</v>
      </c>
      <c r="AF187" s="125">
        <f>ROUND(AE187*Valores!$C$2,2)</f>
        <v>0</v>
      </c>
      <c r="AG187" s="125">
        <f>ROUND(IF($F$4="NO",Valores!$C$63,Valores!$C$63/2),2)</f>
        <v>6482.98</v>
      </c>
      <c r="AH187" s="125">
        <f t="shared" si="23"/>
        <v>158366.39000000001</v>
      </c>
      <c r="AI187" s="125">
        <f>Valores!$C$31</f>
        <v>0</v>
      </c>
      <c r="AJ187" s="125">
        <f>Valores!$C$89</f>
        <v>0</v>
      </c>
      <c r="AK187" s="125">
        <f>Valores!C$38*B187</f>
        <v>30000</v>
      </c>
      <c r="AL187" s="125">
        <v>0</v>
      </c>
      <c r="AM187" s="125">
        <f t="shared" si="21"/>
        <v>30000</v>
      </c>
      <c r="AN187" s="125">
        <f>AH187*Valores!$C$71</f>
        <v>-17420.302900000002</v>
      </c>
      <c r="AO187" s="125">
        <f>AH187*-Valores!$C$72</f>
        <v>0</v>
      </c>
      <c r="AP187" s="125">
        <f>AH187*Valores!$C$73</f>
        <v>-7126.4875500000007</v>
      </c>
      <c r="AQ187" s="125">
        <f>Valores!$C$100</f>
        <v>-280.91000000000003</v>
      </c>
      <c r="AR187" s="125">
        <f>IF($F$5=0,Valores!$C$101,(Valores!$C$101+$F$5*(Valores!$C$101)))</f>
        <v>-385</v>
      </c>
      <c r="AS187" s="125">
        <f t="shared" si="24"/>
        <v>163153.68955000001</v>
      </c>
      <c r="AT187" s="125">
        <f t="shared" si="18"/>
        <v>-17420.302900000002</v>
      </c>
      <c r="AU187" s="125">
        <f>AH187*Valores!$C$74</f>
        <v>-4275.8925300000001</v>
      </c>
      <c r="AV187" s="125">
        <f>AH187*Valores!$C$75</f>
        <v>-475.09917000000007</v>
      </c>
      <c r="AW187" s="125">
        <f t="shared" si="22"/>
        <v>166195.09540000002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34660.89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32545.439999999999</v>
      </c>
      <c r="M188" s="125">
        <f>ROUND(IF($H$2=0,IF(AND(A188&lt;&gt;"13-930",A188&lt;&gt;"13-940"),(SUM(F188,H188,J188,L188,X188,T188,R188)*Valores!$C$4),0),0),2)</f>
        <v>14190.18</v>
      </c>
      <c r="N188" s="125">
        <f t="shared" si="19"/>
        <v>0</v>
      </c>
      <c r="O188" s="125">
        <f>Valores!$C$16</f>
        <v>23436.25</v>
      </c>
      <c r="P188" s="125">
        <f>Valores!$D$5</f>
        <v>13864.36</v>
      </c>
      <c r="Q188" s="125">
        <f>Valores!$C$22</f>
        <v>12369.22</v>
      </c>
      <c r="R188" s="125">
        <f>IF($F$4="NO",Valores!$C$47,Valores!$C$47/2)</f>
        <v>14493.86</v>
      </c>
      <c r="S188" s="125">
        <f>Valores!$C$19</f>
        <v>12901.01</v>
      </c>
      <c r="T188" s="125">
        <f t="shared" si="25"/>
        <v>12901.01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12637.52</v>
      </c>
      <c r="AA188" s="125">
        <f>Valores!$C$25</f>
        <v>567.05999999999995</v>
      </c>
      <c r="AB188" s="214">
        <v>0</v>
      </c>
      <c r="AC188" s="125">
        <f t="shared" si="20"/>
        <v>0</v>
      </c>
      <c r="AD188" s="125">
        <f>Valores!$C$26</f>
        <v>567.05999999999995</v>
      </c>
      <c r="AE188" s="192">
        <v>0</v>
      </c>
      <c r="AF188" s="125">
        <f>ROUND(AE188*Valores!$C$2,2)</f>
        <v>0</v>
      </c>
      <c r="AG188" s="125">
        <f>ROUND(IF($F$4="NO",Valores!$C$63,Valores!$C$63/2),2)</f>
        <v>6482.98</v>
      </c>
      <c r="AH188" s="125">
        <f t="shared" si="23"/>
        <v>178715.83000000002</v>
      </c>
      <c r="AI188" s="125">
        <f>Valores!$C$31</f>
        <v>0</v>
      </c>
      <c r="AJ188" s="125">
        <f>Valores!$C$89</f>
        <v>0</v>
      </c>
      <c r="AK188" s="125">
        <f>Valores!C$38*B188</f>
        <v>30000</v>
      </c>
      <c r="AL188" s="125">
        <f>IF($F$3="NO",0,Valores!$C$55)</f>
        <v>327.60000000000002</v>
      </c>
      <c r="AM188" s="125">
        <f t="shared" si="21"/>
        <v>30327.599999999999</v>
      </c>
      <c r="AN188" s="125">
        <f>AH188*Valores!$C$71</f>
        <v>-19658.741300000002</v>
      </c>
      <c r="AO188" s="125">
        <f>AH188*-Valores!$C$72</f>
        <v>0</v>
      </c>
      <c r="AP188" s="125">
        <f>AH188*Valores!$C$73</f>
        <v>-8042.2123500000007</v>
      </c>
      <c r="AQ188" s="125">
        <f>Valores!$C$100</f>
        <v>-280.91000000000003</v>
      </c>
      <c r="AR188" s="125">
        <f>IF($F$5=0,Valores!$C$101,(Valores!$C$101+$F$5*(Valores!$C$101)))</f>
        <v>-385</v>
      </c>
      <c r="AS188" s="125">
        <f t="shared" si="24"/>
        <v>180676.56635000001</v>
      </c>
      <c r="AT188" s="125">
        <f t="shared" si="18"/>
        <v>-19658.741300000002</v>
      </c>
      <c r="AU188" s="125">
        <f>AH188*Valores!$C$74</f>
        <v>-4825.3274100000008</v>
      </c>
      <c r="AV188" s="125">
        <f>AH188*Valores!$C$75</f>
        <v>-536.14749000000006</v>
      </c>
      <c r="AW188" s="125">
        <f t="shared" si="22"/>
        <v>184023.21380000003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28884.080000000002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16272.72</v>
      </c>
      <c r="M189" s="125">
        <f>ROUND(IF($H$2=0,IF(AND(A189&lt;&gt;"13-930",A189&lt;&gt;"13-940"),(SUM(F189,H189,J189,L189,X189,T189,R189)*Valores!$C$4),0),0),2)</f>
        <v>10882.75</v>
      </c>
      <c r="N189" s="125">
        <f t="shared" si="19"/>
        <v>0</v>
      </c>
      <c r="O189" s="125">
        <f>Valores!$C$16</f>
        <v>23436.25</v>
      </c>
      <c r="P189" s="125">
        <f>Valores!$D$5</f>
        <v>13864.36</v>
      </c>
      <c r="Q189" s="125">
        <v>0</v>
      </c>
      <c r="R189" s="125">
        <f>IF($F$4="NO",Valores!$C$47,Valores!$C$47/2)</f>
        <v>14493.86</v>
      </c>
      <c r="S189" s="125">
        <f>Valores!$C$19</f>
        <v>12901.01</v>
      </c>
      <c r="T189" s="125">
        <f t="shared" si="25"/>
        <v>12901.01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12637.52</v>
      </c>
      <c r="AA189" s="125">
        <f>Valores!$C$25</f>
        <v>567.05999999999995</v>
      </c>
      <c r="AB189" s="214">
        <v>0</v>
      </c>
      <c r="AC189" s="125">
        <f t="shared" si="20"/>
        <v>0</v>
      </c>
      <c r="AD189" s="125">
        <f>Valores!$C$26</f>
        <v>567.05999999999995</v>
      </c>
      <c r="AE189" s="192">
        <v>0</v>
      </c>
      <c r="AF189" s="125">
        <f>ROUND(AE189*Valores!$C$2,2)</f>
        <v>0</v>
      </c>
      <c r="AG189" s="125">
        <f>ROUND(IF($F$4="NO",Valores!$C$63,Valores!$C$63/2),2)</f>
        <v>6482.98</v>
      </c>
      <c r="AH189" s="125">
        <f t="shared" si="23"/>
        <v>140989.65</v>
      </c>
      <c r="AI189" s="125">
        <f>Valores!$C$31</f>
        <v>0</v>
      </c>
      <c r="AJ189" s="125">
        <f>Valores!$C$89</f>
        <v>0</v>
      </c>
      <c r="AK189" s="125">
        <f>Valores!C$38*B189</f>
        <v>30000</v>
      </c>
      <c r="AL189" s="125">
        <f>IF($F$3="NO",0,Valores!$C$55)</f>
        <v>327.60000000000002</v>
      </c>
      <c r="AM189" s="125">
        <f t="shared" si="21"/>
        <v>30327.599999999999</v>
      </c>
      <c r="AN189" s="125">
        <f>AH189*Valores!$C$71</f>
        <v>-15508.861499999999</v>
      </c>
      <c r="AO189" s="125">
        <f>AH189*-Valores!$C$72</f>
        <v>0</v>
      </c>
      <c r="AP189" s="125">
        <f>AH189*Valores!$C$73</f>
        <v>-6344.5342499999997</v>
      </c>
      <c r="AQ189" s="125">
        <f>Valores!$C$100</f>
        <v>-280.91000000000003</v>
      </c>
      <c r="AR189" s="125">
        <f>IF($F$5=0,Valores!$C$101,(Valores!$C$101+$F$5*(Valores!$C$101)))</f>
        <v>-385</v>
      </c>
      <c r="AS189" s="125">
        <f t="shared" si="24"/>
        <v>148797.94425</v>
      </c>
      <c r="AT189" s="125">
        <f t="shared" si="18"/>
        <v>-15508.861499999999</v>
      </c>
      <c r="AU189" s="125">
        <f>AH189*Valores!$C$74</f>
        <v>-3806.72055</v>
      </c>
      <c r="AV189" s="125">
        <f>AH189*Valores!$C$75</f>
        <v>-422.96895000000001</v>
      </c>
      <c r="AW189" s="125">
        <f t="shared" si="22"/>
        <v>151578.69899999999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26334.69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17899.990000000002</v>
      </c>
      <c r="M190" s="125">
        <f>ROUND(IF($H$2=0,IF(AND(A190&lt;&gt;"13-930",A190&lt;&gt;"13-940"),(SUM(F190,H190,J190,L190,X190,T190,R190)*Valores!$C$4),0),0),2)</f>
        <v>10015.07</v>
      </c>
      <c r="N190" s="125">
        <f t="shared" si="19"/>
        <v>0</v>
      </c>
      <c r="O190" s="125">
        <f>Valores!$C$16</f>
        <v>23436.25</v>
      </c>
      <c r="P190" s="125">
        <f>Valores!$D$5</f>
        <v>13864.36</v>
      </c>
      <c r="Q190" s="125">
        <f>Valores!$C$23</f>
        <v>11512.45</v>
      </c>
      <c r="R190" s="125">
        <f>IF($F$4="NO",Valores!$C$44,Valores!$C$44/2)</f>
        <v>9631.44</v>
      </c>
      <c r="S190" s="125">
        <f>Valores!$C$19</f>
        <v>12901.01</v>
      </c>
      <c r="T190" s="125">
        <f t="shared" si="25"/>
        <v>12901.01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6318.76</v>
      </c>
      <c r="AA190" s="125">
        <f>Valores!$C$25</f>
        <v>567.05999999999995</v>
      </c>
      <c r="AB190" s="214">
        <v>0</v>
      </c>
      <c r="AC190" s="125">
        <f t="shared" si="20"/>
        <v>0</v>
      </c>
      <c r="AD190" s="125">
        <f>Valores!$C$26</f>
        <v>567.05999999999995</v>
      </c>
      <c r="AE190" s="192">
        <v>0</v>
      </c>
      <c r="AF190" s="125">
        <f>ROUND(AE190*Valores!$C$2,2)</f>
        <v>0</v>
      </c>
      <c r="AG190" s="125">
        <f>ROUND(IF($F$4="NO",Valores!$C$63,Valores!$C$63/2),2)</f>
        <v>6482.98</v>
      </c>
      <c r="AH190" s="125">
        <f t="shared" si="23"/>
        <v>139531.12</v>
      </c>
      <c r="AI190" s="125">
        <f>Valores!$C$31</f>
        <v>0</v>
      </c>
      <c r="AJ190" s="125">
        <f>Valores!$C$87</f>
        <v>0</v>
      </c>
      <c r="AK190" s="125">
        <f>Valores!C$38*B190</f>
        <v>30000</v>
      </c>
      <c r="AL190" s="125">
        <v>0</v>
      </c>
      <c r="AM190" s="125">
        <f t="shared" si="21"/>
        <v>30000</v>
      </c>
      <c r="AN190" s="125">
        <f>AH190*Valores!$C$71</f>
        <v>-15348.423199999999</v>
      </c>
      <c r="AO190" s="125">
        <f>AH190*-Valores!$C$72</f>
        <v>0</v>
      </c>
      <c r="AP190" s="125">
        <f>AH190*Valores!$C$73</f>
        <v>-6278.9003999999995</v>
      </c>
      <c r="AQ190" s="125">
        <f>Valores!$C$100</f>
        <v>-280.91000000000003</v>
      </c>
      <c r="AR190" s="125">
        <f>IF($F$5=0,Valores!$C$101,(Valores!$C$101+$F$5*(Valores!$C$101)))</f>
        <v>-385</v>
      </c>
      <c r="AS190" s="125">
        <f t="shared" si="24"/>
        <v>147237.88639999999</v>
      </c>
      <c r="AT190" s="125">
        <f t="shared" si="18"/>
        <v>-15348.423199999999</v>
      </c>
      <c r="AU190" s="125">
        <f>AH190*Valores!$C$74</f>
        <v>-3767.34024</v>
      </c>
      <c r="AV190" s="125">
        <f>AH190*Valores!$C$75</f>
        <v>-418.59336000000002</v>
      </c>
      <c r="AW190" s="125">
        <f t="shared" si="22"/>
        <v>149996.76319999999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2685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518.80999999999995</v>
      </c>
      <c r="N191" s="125">
        <f t="shared" si="19"/>
        <v>0</v>
      </c>
      <c r="O191" s="125">
        <f>Valores!$C$7*B191</f>
        <v>919.76</v>
      </c>
      <c r="P191" s="125">
        <f>ROUND(IF(B191&lt;15,(Valores!$E$5*B191),Valores!$D$5),2)</f>
        <v>924.29</v>
      </c>
      <c r="Q191" s="125">
        <v>0</v>
      </c>
      <c r="R191" s="125">
        <f>IF($F$4="NO",Valores!$C$49*B191,Valores!$C$49*B191/2)</f>
        <v>484.48</v>
      </c>
      <c r="S191" s="125">
        <f>Valores!$C$18*B191</f>
        <v>289.27999999999997</v>
      </c>
      <c r="T191" s="125">
        <f t="shared" si="25"/>
        <v>289.27999999999997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279.94</v>
      </c>
      <c r="AA191" s="125">
        <f>IF((Valores!$C$28)*B191&gt;Valores!$F$28,Valores!$F$28,(Valores!$C$28)*B191)</f>
        <v>22.72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18.920000000000002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432.2</v>
      </c>
      <c r="AH191" s="125">
        <f t="shared" si="23"/>
        <v>6575.4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1000</v>
      </c>
      <c r="AL191" s="125">
        <f>IF($F$3="NO",0,IF(Valores!$C$61*B191&gt;Valores!$F$61,Valores!$F$61,Valores!$C$61*B191))</f>
        <v>14.195</v>
      </c>
      <c r="AM191" s="125">
        <f t="shared" si="21"/>
        <v>1014.1950000000001</v>
      </c>
      <c r="AN191" s="125">
        <f>AH191*Valores!$C$71</f>
        <v>-723.29399999999998</v>
      </c>
      <c r="AO191" s="125">
        <f>AH191*-Valores!$C$72</f>
        <v>0</v>
      </c>
      <c r="AP191" s="125">
        <f>AH191*Valores!$C$73</f>
        <v>-295.89299999999997</v>
      </c>
      <c r="AQ191" s="125">
        <f>Valores!$C$100</f>
        <v>-280.91000000000003</v>
      </c>
      <c r="AR191" s="125">
        <f>IF($F$5=0,Valores!$C$101,(Valores!$C$101+$F$5*(Valores!$C$101)))</f>
        <v>-385</v>
      </c>
      <c r="AS191" s="125">
        <f t="shared" si="24"/>
        <v>5904.4979999999996</v>
      </c>
      <c r="AT191" s="125">
        <f t="shared" si="18"/>
        <v>-723.29399999999998</v>
      </c>
      <c r="AU191" s="125">
        <f>AH191*Valores!$C$74</f>
        <v>-177.53579999999999</v>
      </c>
      <c r="AV191" s="125">
        <f>AH191*Valores!$C$75</f>
        <v>-19.726199999999999</v>
      </c>
      <c r="AW191" s="125">
        <f t="shared" si="22"/>
        <v>6669.0389999999998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5370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1037.6300000000001</v>
      </c>
      <c r="N192" s="125">
        <f t="shared" si="19"/>
        <v>0</v>
      </c>
      <c r="O192" s="125">
        <f>Valores!$C$7*B192</f>
        <v>1839.52</v>
      </c>
      <c r="P192" s="125">
        <f>ROUND(IF(B192&lt;15,(Valores!$E$5*B192),Valores!$D$5),2)</f>
        <v>1848.58</v>
      </c>
      <c r="Q192" s="125">
        <v>0</v>
      </c>
      <c r="R192" s="125">
        <f>IF($F$4="NO",Valores!$C$49*B192,Valores!$C$49*B192/2)</f>
        <v>968.96</v>
      </c>
      <c r="S192" s="125">
        <f>Valores!$C$18*B192</f>
        <v>578.55999999999995</v>
      </c>
      <c r="T192" s="125">
        <f t="shared" si="25"/>
        <v>578.55999999999995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559.88</v>
      </c>
      <c r="AA192" s="125">
        <f>IF((Valores!$C$28)*B192&gt;Valores!$F$28,Valores!$F$28,(Valores!$C$28)*B192)</f>
        <v>45.44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37.840000000000003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864.4</v>
      </c>
      <c r="AH192" s="125">
        <f t="shared" si="23"/>
        <v>13150.809999999998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2000</v>
      </c>
      <c r="AL192" s="125">
        <f>IF($F$3="NO",0,IF(Valores!$C$61*B192&gt;Valores!$F$61,Valores!$F$61,Valores!$C$61*B192))</f>
        <v>28.39</v>
      </c>
      <c r="AM192" s="125">
        <f t="shared" si="21"/>
        <v>2028.39</v>
      </c>
      <c r="AN192" s="125">
        <f>AH192*Valores!$C$71</f>
        <v>-1446.5890999999997</v>
      </c>
      <c r="AO192" s="125">
        <f>AH192*-Valores!$C$72</f>
        <v>0</v>
      </c>
      <c r="AP192" s="125">
        <f>AH192*Valores!$C$73</f>
        <v>-591.78644999999983</v>
      </c>
      <c r="AQ192" s="125">
        <f>Valores!$C$100</f>
        <v>-280.91000000000003</v>
      </c>
      <c r="AR192" s="125">
        <f>IF($F$5=0,Valores!$C$101,(Valores!$C$101+$F$5*(Valores!$C$101)))</f>
        <v>-385</v>
      </c>
      <c r="AS192" s="125">
        <f t="shared" si="24"/>
        <v>12474.914449999998</v>
      </c>
      <c r="AT192" s="125">
        <f t="shared" si="18"/>
        <v>-1446.5890999999997</v>
      </c>
      <c r="AU192" s="125">
        <f>AH192*Valores!$C$74</f>
        <v>-355.07186999999993</v>
      </c>
      <c r="AV192" s="125">
        <f>AH192*Valores!$C$75</f>
        <v>-39.452429999999993</v>
      </c>
      <c r="AW192" s="125">
        <f t="shared" si="22"/>
        <v>13338.086599999997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8055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1556.44</v>
      </c>
      <c r="N193" s="125">
        <f t="shared" si="19"/>
        <v>0</v>
      </c>
      <c r="O193" s="125">
        <f>Valores!$C$7*B193</f>
        <v>2759.2799999999997</v>
      </c>
      <c r="P193" s="125">
        <f>ROUND(IF(B193&lt;15,(Valores!$E$5*B193),Valores!$D$5),2)</f>
        <v>2772.87</v>
      </c>
      <c r="Q193" s="125">
        <v>0</v>
      </c>
      <c r="R193" s="125">
        <f>IF($F$4="NO",Valores!$C$49*B193,Valores!$C$49*B193/2)</f>
        <v>1453.44</v>
      </c>
      <c r="S193" s="125">
        <f>Valores!$C$18*B193</f>
        <v>867.83999999999992</v>
      </c>
      <c r="T193" s="125">
        <f t="shared" si="25"/>
        <v>867.84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839.81999999999994</v>
      </c>
      <c r="AA193" s="125">
        <f>IF((Valores!$C$28)*B193&gt;Valores!$F$28,Valores!$F$28,(Valores!$C$28)*B193)</f>
        <v>68.16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56.760000000000005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1296.5999999999999</v>
      </c>
      <c r="AH193" s="125">
        <f t="shared" si="23"/>
        <v>19726.209999999995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3000</v>
      </c>
      <c r="AL193" s="125">
        <f>IF($F$3="NO",0,IF(Valores!$C$61*B193&gt;Valores!$F$61,Valores!$F$61,Valores!$C$61*B193))</f>
        <v>42.585000000000001</v>
      </c>
      <c r="AM193" s="125">
        <f t="shared" si="21"/>
        <v>3042.585</v>
      </c>
      <c r="AN193" s="125">
        <f>AH193*Valores!$C$71</f>
        <v>-2169.8830999999996</v>
      </c>
      <c r="AO193" s="125">
        <f>AH193*-Valores!$C$72</f>
        <v>0</v>
      </c>
      <c r="AP193" s="125">
        <f>AH193*Valores!$C$73</f>
        <v>-887.67944999999975</v>
      </c>
      <c r="AQ193" s="125">
        <f>Valores!$C$100</f>
        <v>-280.91000000000003</v>
      </c>
      <c r="AR193" s="125">
        <f>IF($F$5=0,Valores!$C$101,(Valores!$C$101+$F$5*(Valores!$C$101)))</f>
        <v>-385</v>
      </c>
      <c r="AS193" s="125">
        <f t="shared" si="24"/>
        <v>19045.322449999996</v>
      </c>
      <c r="AT193" s="125">
        <f t="shared" si="18"/>
        <v>-2169.8830999999996</v>
      </c>
      <c r="AU193" s="125">
        <f>AH193*Valores!$C$74</f>
        <v>-532.60766999999987</v>
      </c>
      <c r="AV193" s="125">
        <f>AH193*Valores!$C$75</f>
        <v>-59.178629999999991</v>
      </c>
      <c r="AW193" s="125">
        <f t="shared" si="22"/>
        <v>20007.125599999996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10740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2075.2600000000002</v>
      </c>
      <c r="N194" s="125">
        <f t="shared" si="19"/>
        <v>0</v>
      </c>
      <c r="O194" s="125">
        <f>Valores!$C$7*B194</f>
        <v>3679.04</v>
      </c>
      <c r="P194" s="125">
        <f>ROUND(IF(B194&lt;15,(Valores!$E$5*B194),Valores!$D$5),2)</f>
        <v>3697.16</v>
      </c>
      <c r="Q194" s="125">
        <v>0</v>
      </c>
      <c r="R194" s="125">
        <f>IF($F$4="NO",Valores!$C$49*B194,Valores!$C$49*B194/2)</f>
        <v>1937.92</v>
      </c>
      <c r="S194" s="125">
        <f>Valores!$C$18*B194</f>
        <v>1157.1199999999999</v>
      </c>
      <c r="T194" s="125">
        <f t="shared" si="25"/>
        <v>1157.1199999999999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1119.76</v>
      </c>
      <c r="AA194" s="125">
        <f>IF((Valores!$C$28)*B194&gt;Valores!$F$28,Valores!$F$28,(Valores!$C$28)*B194)</f>
        <v>90.88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75.680000000000007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1728.8</v>
      </c>
      <c r="AH194" s="125">
        <f t="shared" si="23"/>
        <v>26301.619999999995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4000</v>
      </c>
      <c r="AL194" s="125">
        <f>IF($F$3="NO",0,IF(Valores!$C$61*B194&gt;Valores!$F$61,Valores!$F$61,Valores!$C$61*B194))</f>
        <v>56.78</v>
      </c>
      <c r="AM194" s="125">
        <f t="shared" si="21"/>
        <v>4056.78</v>
      </c>
      <c r="AN194" s="125">
        <f>AH194*Valores!$C$71</f>
        <v>-2893.1781999999994</v>
      </c>
      <c r="AO194" s="125">
        <f>AH194*-Valores!$C$72</f>
        <v>0</v>
      </c>
      <c r="AP194" s="125">
        <f>AH194*Valores!$C$73</f>
        <v>-1183.5728999999997</v>
      </c>
      <c r="AQ194" s="125">
        <f>Valores!$C$100</f>
        <v>-280.91000000000003</v>
      </c>
      <c r="AR194" s="125">
        <f>IF($F$5=0,Valores!$C$101,(Valores!$C$101+$F$5*(Valores!$C$101)))</f>
        <v>-385</v>
      </c>
      <c r="AS194" s="125">
        <f t="shared" si="24"/>
        <v>25615.738899999997</v>
      </c>
      <c r="AT194" s="125">
        <f t="shared" si="18"/>
        <v>-2893.1781999999994</v>
      </c>
      <c r="AU194" s="125">
        <f>AH194*Valores!$C$74</f>
        <v>-710.14373999999987</v>
      </c>
      <c r="AV194" s="125">
        <f>AH194*Valores!$C$75</f>
        <v>-78.904859999999985</v>
      </c>
      <c r="AW194" s="125">
        <f t="shared" si="22"/>
        <v>26676.173199999994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13424.99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2594.0700000000002</v>
      </c>
      <c r="N195" s="125">
        <f t="shared" si="19"/>
        <v>0</v>
      </c>
      <c r="O195" s="125">
        <f>Valores!$C$7*B195</f>
        <v>4598.8</v>
      </c>
      <c r="P195" s="125">
        <f>ROUND(IF(B195&lt;15,(Valores!$E$5*B195),Valores!$D$5),2)</f>
        <v>4621.45</v>
      </c>
      <c r="Q195" s="125">
        <v>0</v>
      </c>
      <c r="R195" s="125">
        <f>IF($F$4="NO",Valores!$C$49*B195,Valores!$C$49*B195/2)</f>
        <v>2422.4</v>
      </c>
      <c r="S195" s="125">
        <f>Valores!$C$18*B195</f>
        <v>1446.3999999999999</v>
      </c>
      <c r="T195" s="125">
        <f t="shared" si="25"/>
        <v>1446.4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1399.7</v>
      </c>
      <c r="AA195" s="125">
        <f>IF((Valores!$C$28)*B195&gt;Valores!$F$28,Valores!$F$28,(Valores!$C$28)*B195)</f>
        <v>113.6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94.600000000000009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2161</v>
      </c>
      <c r="AH195" s="125">
        <f t="shared" si="23"/>
        <v>32877.01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5000</v>
      </c>
      <c r="AL195" s="125">
        <f>IF($F$3="NO",0,IF(Valores!$C$61*B195&gt;Valores!$F$61,Valores!$F$61,Valores!$C$61*B195))</f>
        <v>70.974999999999994</v>
      </c>
      <c r="AM195" s="125">
        <f t="shared" si="21"/>
        <v>5070.9750000000004</v>
      </c>
      <c r="AN195" s="125">
        <f>AH195*Valores!$C$71</f>
        <v>-3616.4711000000002</v>
      </c>
      <c r="AO195" s="125">
        <f>AH195*-Valores!$C$72</f>
        <v>0</v>
      </c>
      <c r="AP195" s="125">
        <f>AH195*Valores!$C$73</f>
        <v>-1479.4654500000001</v>
      </c>
      <c r="AQ195" s="125">
        <f>Valores!$C$100</f>
        <v>-280.91000000000003</v>
      </c>
      <c r="AR195" s="125">
        <f>IF($F$5=0,Valores!$C$101,(Valores!$C$101+$F$5*(Valores!$C$101)))</f>
        <v>-385</v>
      </c>
      <c r="AS195" s="125">
        <f t="shared" si="24"/>
        <v>32186.138450000002</v>
      </c>
      <c r="AT195" s="125">
        <f t="shared" si="18"/>
        <v>-3616.4711000000002</v>
      </c>
      <c r="AU195" s="125">
        <f>AH195*Valores!$C$74</f>
        <v>-887.67927000000009</v>
      </c>
      <c r="AV195" s="125">
        <f>AH195*Valores!$C$75</f>
        <v>-98.63103000000001</v>
      </c>
      <c r="AW195" s="125">
        <f t="shared" si="22"/>
        <v>33345.203600000001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16109.99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3112.88</v>
      </c>
      <c r="N196" s="125">
        <f t="shared" si="19"/>
        <v>0</v>
      </c>
      <c r="O196" s="125">
        <f>Valores!$C$7*B196</f>
        <v>5518.5599999999995</v>
      </c>
      <c r="P196" s="125">
        <f>ROUND(IF(B196&lt;15,(Valores!$E$5*B196),Valores!$D$5),2)</f>
        <v>5545.74</v>
      </c>
      <c r="Q196" s="125">
        <v>0</v>
      </c>
      <c r="R196" s="125">
        <f>IF($F$4="NO",Valores!$C$49*B196,Valores!$C$49*B196/2)</f>
        <v>2906.88</v>
      </c>
      <c r="S196" s="125">
        <f>Valores!$C$18*B196</f>
        <v>1735.6799999999998</v>
      </c>
      <c r="T196" s="125">
        <f t="shared" si="25"/>
        <v>1735.68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1679.6399999999999</v>
      </c>
      <c r="AA196" s="125">
        <f>IF((Valores!$C$28)*B196&gt;Valores!$F$28,Valores!$F$28,(Valores!$C$28)*B196)</f>
        <v>136.32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113.52000000000001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2593.1999999999998</v>
      </c>
      <c r="AH196" s="125">
        <f t="shared" si="23"/>
        <v>39452.409999999989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6000</v>
      </c>
      <c r="AL196" s="125">
        <f>IF($F$3="NO",0,IF(Valores!$C$61*B196&gt;Valores!$F$61,Valores!$F$61,Valores!$C$61*B196))</f>
        <v>85.17</v>
      </c>
      <c r="AM196" s="125">
        <f t="shared" si="21"/>
        <v>6085.17</v>
      </c>
      <c r="AN196" s="125">
        <f>AH196*Valores!$C$71</f>
        <v>-4339.7650999999987</v>
      </c>
      <c r="AO196" s="125">
        <f>AH196*-Valores!$C$72</f>
        <v>0</v>
      </c>
      <c r="AP196" s="125">
        <f>AH196*Valores!$C$73</f>
        <v>-1775.3584499999995</v>
      </c>
      <c r="AQ196" s="125">
        <f>Valores!$C$100</f>
        <v>-280.91000000000003</v>
      </c>
      <c r="AR196" s="125">
        <f>IF($F$5=0,Valores!$C$101,(Valores!$C$101+$F$5*(Valores!$C$101)))</f>
        <v>-385</v>
      </c>
      <c r="AS196" s="125">
        <f t="shared" si="24"/>
        <v>38756.546449999994</v>
      </c>
      <c r="AT196" s="125">
        <f t="shared" si="18"/>
        <v>-4339.7650999999987</v>
      </c>
      <c r="AU196" s="125">
        <f>AH196*Valores!$C$74</f>
        <v>-1065.2150699999997</v>
      </c>
      <c r="AV196" s="125">
        <f>AH196*Valores!$C$75</f>
        <v>-118.35722999999997</v>
      </c>
      <c r="AW196" s="125">
        <f t="shared" si="22"/>
        <v>40014.24259999999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18794.990000000002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3631.7</v>
      </c>
      <c r="N197" s="125">
        <f t="shared" si="19"/>
        <v>0</v>
      </c>
      <c r="O197" s="125">
        <f>Valores!$C$7*B197</f>
        <v>6438.32</v>
      </c>
      <c r="P197" s="125">
        <f>ROUND(IF(B197&lt;15,(Valores!$E$5*B197),Valores!$D$5),2)</f>
        <v>6470.03</v>
      </c>
      <c r="Q197" s="125">
        <v>0</v>
      </c>
      <c r="R197" s="125">
        <f>IF($F$4="NO",Valores!$C$49*B197,Valores!$C$49*B197/2)</f>
        <v>3391.36</v>
      </c>
      <c r="S197" s="125">
        <f>Valores!$C$18*B197</f>
        <v>2024.9599999999998</v>
      </c>
      <c r="T197" s="125">
        <f t="shared" si="25"/>
        <v>2024.96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1959.58</v>
      </c>
      <c r="AA197" s="125">
        <f>IF((Valores!$C$28)*B197&gt;Valores!$F$28,Valores!$F$28,(Valores!$C$28)*B197)</f>
        <v>159.04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132.44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3025.4</v>
      </c>
      <c r="AH197" s="125">
        <f t="shared" si="23"/>
        <v>46027.820000000007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7000</v>
      </c>
      <c r="AL197" s="125">
        <f>IF($F$3="NO",0,IF(Valores!$C$61*B197&gt;Valores!$F$61,Valores!$F$61,Valores!$C$61*B197))</f>
        <v>99.365000000000009</v>
      </c>
      <c r="AM197" s="125">
        <f t="shared" si="21"/>
        <v>7099.3649999999998</v>
      </c>
      <c r="AN197" s="125">
        <f>AH197*Valores!$C$71</f>
        <v>-5063.0602000000008</v>
      </c>
      <c r="AO197" s="125">
        <f>AH197*-Valores!$C$72</f>
        <v>0</v>
      </c>
      <c r="AP197" s="125">
        <f>AH197*Valores!$C$73</f>
        <v>-2071.2519000000002</v>
      </c>
      <c r="AQ197" s="125">
        <f>Valores!$C$100</f>
        <v>-280.91000000000003</v>
      </c>
      <c r="AR197" s="125">
        <f>IF($F$5=0,Valores!$C$101,(Valores!$C$101+$F$5*(Valores!$C$101)))</f>
        <v>-385</v>
      </c>
      <c r="AS197" s="125">
        <f t="shared" si="24"/>
        <v>45326.962900000006</v>
      </c>
      <c r="AT197" s="125">
        <f t="shared" ref="AT197:AT260" si="29">AN197</f>
        <v>-5063.0602000000008</v>
      </c>
      <c r="AU197" s="125">
        <f>AH197*Valores!$C$74</f>
        <v>-1242.7511400000001</v>
      </c>
      <c r="AV197" s="125">
        <f>AH197*Valores!$C$75</f>
        <v>-138.08346000000003</v>
      </c>
      <c r="AW197" s="125">
        <f t="shared" si="22"/>
        <v>46683.290200000003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21479.99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4150.51</v>
      </c>
      <c r="N198" s="125">
        <f t="shared" si="19"/>
        <v>0</v>
      </c>
      <c r="O198" s="125">
        <f>Valores!$C$7*B198</f>
        <v>7358.08</v>
      </c>
      <c r="P198" s="125">
        <f>ROUND(IF(B198&lt;15,(Valores!$E$5*B198),Valores!$D$5),2)</f>
        <v>7394.32</v>
      </c>
      <c r="Q198" s="125">
        <v>0</v>
      </c>
      <c r="R198" s="125">
        <f>IF($F$4="NO",Valores!$C$49*B198,Valores!$C$49*B198/2)</f>
        <v>3875.84</v>
      </c>
      <c r="S198" s="125">
        <f>Valores!$C$18*B198</f>
        <v>2314.2399999999998</v>
      </c>
      <c r="T198" s="125">
        <f t="shared" si="25"/>
        <v>2314.2399999999998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2239.52</v>
      </c>
      <c r="AA198" s="125">
        <f>IF((Valores!$C$28)*B198&gt;Valores!$F$28,Valores!$F$28,(Valores!$C$28)*B198)</f>
        <v>181.76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151.36000000000001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3457.6</v>
      </c>
      <c r="AH198" s="125">
        <f t="shared" si="23"/>
        <v>52603.22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8000</v>
      </c>
      <c r="AL198" s="125">
        <f>IF($F$3="NO",0,IF(Valores!$C$61*B198&gt;Valores!$F$61,Valores!$F$61,Valores!$C$61*B198))</f>
        <v>113.56</v>
      </c>
      <c r="AM198" s="125">
        <f t="shared" si="21"/>
        <v>8113.56</v>
      </c>
      <c r="AN198" s="125">
        <f>AH198*Valores!$C$71</f>
        <v>-5786.3541999999998</v>
      </c>
      <c r="AO198" s="125">
        <f>AH198*-Valores!$C$72</f>
        <v>0</v>
      </c>
      <c r="AP198" s="125">
        <f>AH198*Valores!$C$73</f>
        <v>-2367.1448999999998</v>
      </c>
      <c r="AQ198" s="125">
        <f>Valores!$C$100</f>
        <v>-280.91000000000003</v>
      </c>
      <c r="AR198" s="125">
        <f>IF($F$5=0,Valores!$C$101,(Valores!$C$101+$F$5*(Valores!$C$101)))</f>
        <v>-385</v>
      </c>
      <c r="AS198" s="125">
        <f t="shared" si="24"/>
        <v>51897.370900000002</v>
      </c>
      <c r="AT198" s="125">
        <f t="shared" si="29"/>
        <v>-5786.3541999999998</v>
      </c>
      <c r="AU198" s="125">
        <f>AH198*Valores!$C$74</f>
        <v>-1420.28694</v>
      </c>
      <c r="AV198" s="125">
        <f>AH198*Valores!$C$75</f>
        <v>-157.80966000000001</v>
      </c>
      <c r="AW198" s="125">
        <f t="shared" si="22"/>
        <v>53352.3292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24164.99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4669.32</v>
      </c>
      <c r="N199" s="125">
        <f t="shared" si="19"/>
        <v>0</v>
      </c>
      <c r="O199" s="125">
        <f>Valores!$C$7*B199</f>
        <v>8277.84</v>
      </c>
      <c r="P199" s="125">
        <f>ROUND(IF(B199&lt;15,(Valores!$E$5*B199),Valores!$D$5),2)</f>
        <v>8318.61</v>
      </c>
      <c r="Q199" s="125">
        <v>0</v>
      </c>
      <c r="R199" s="125">
        <f>IF($F$4="NO",Valores!$C$49*B199,Valores!$C$49*B199/2)</f>
        <v>4360.32</v>
      </c>
      <c r="S199" s="125">
        <f>Valores!$C$18*B199</f>
        <v>2603.5199999999995</v>
      </c>
      <c r="T199" s="125">
        <f t="shared" si="25"/>
        <v>2603.52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2519.46</v>
      </c>
      <c r="AA199" s="125">
        <f>IF((Valores!$C$28)*B199&gt;Valores!$F$28,Valores!$F$28,(Valores!$C$28)*B199)</f>
        <v>204.48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170.28000000000003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3889.7999999999997</v>
      </c>
      <c r="AH199" s="125">
        <f t="shared" si="23"/>
        <v>59178.62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9000</v>
      </c>
      <c r="AL199" s="125">
        <f>IF($F$3="NO",0,IF(Valores!$C$61*B199&gt;Valores!$F$61,Valores!$F$61,Valores!$C$61*B199))</f>
        <v>127.755</v>
      </c>
      <c r="AM199" s="125">
        <f t="shared" si="21"/>
        <v>9127.7549999999992</v>
      </c>
      <c r="AN199" s="125">
        <f>AH199*Valores!$C$71</f>
        <v>-6509.6482000000005</v>
      </c>
      <c r="AO199" s="125">
        <f>AH199*-Valores!$C$72</f>
        <v>0</v>
      </c>
      <c r="AP199" s="125">
        <f>AH199*Valores!$C$73</f>
        <v>-2663.0378999999998</v>
      </c>
      <c r="AQ199" s="125">
        <f>Valores!$C$100</f>
        <v>-280.91000000000003</v>
      </c>
      <c r="AR199" s="125">
        <f>IF($F$5=0,Valores!$C$101,(Valores!$C$101+$F$5*(Valores!$C$101)))</f>
        <v>-385</v>
      </c>
      <c r="AS199" s="125">
        <f t="shared" si="24"/>
        <v>58467.778900000005</v>
      </c>
      <c r="AT199" s="125">
        <f t="shared" si="29"/>
        <v>-6509.6482000000005</v>
      </c>
      <c r="AU199" s="125">
        <f>AH199*Valores!$C$74</f>
        <v>-1597.8227400000001</v>
      </c>
      <c r="AV199" s="125">
        <f>AH199*Valores!$C$75</f>
        <v>-177.53586000000001</v>
      </c>
      <c r="AW199" s="125">
        <f t="shared" si="22"/>
        <v>60021.368199999997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26849.99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5188.1400000000003</v>
      </c>
      <c r="N200" s="125">
        <f t="shared" ref="N200:N263" si="30">ROUND(SUM(F200,H200,J200,L200,X200,R200)*$H$2,2)</f>
        <v>0</v>
      </c>
      <c r="O200" s="125">
        <f>Valores!$C$7*B200</f>
        <v>9197.6</v>
      </c>
      <c r="P200" s="125">
        <f>ROUND(IF(B200&lt;15,(Valores!$E$5*B200),Valores!$D$5),2)</f>
        <v>9242.9</v>
      </c>
      <c r="Q200" s="125">
        <v>0</v>
      </c>
      <c r="R200" s="125">
        <f>IF($F$4="NO",Valores!$C$49*B200,Valores!$C$49*B200/2)</f>
        <v>4844.8</v>
      </c>
      <c r="S200" s="125">
        <f>Valores!$C$18*B200</f>
        <v>2892.7999999999997</v>
      </c>
      <c r="T200" s="125">
        <f t="shared" si="25"/>
        <v>2892.8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2799.4</v>
      </c>
      <c r="AA200" s="125">
        <f>IF((Valores!$C$28)*B200&gt;Valores!$F$28,Valores!$F$28,(Valores!$C$28)*B200)</f>
        <v>227.2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189.20000000000002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4322</v>
      </c>
      <c r="AH200" s="125">
        <f t="shared" si="23"/>
        <v>65754.03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10000</v>
      </c>
      <c r="AL200" s="125">
        <f>IF($F$3="NO",0,IF(Valores!$C$61*B200&gt;Valores!$F$61,Valores!$F$61,Valores!$C$61*B200))</f>
        <v>141.94999999999999</v>
      </c>
      <c r="AM200" s="125">
        <f t="shared" ref="AM200:AM263" si="32">SUM(AI200:AL200)</f>
        <v>10141.950000000001</v>
      </c>
      <c r="AN200" s="125">
        <f>AH200*Valores!$C$71</f>
        <v>-7232.9432999999999</v>
      </c>
      <c r="AO200" s="125">
        <f>AH200*-Valores!$C$72</f>
        <v>0</v>
      </c>
      <c r="AP200" s="125">
        <f>AH200*Valores!$C$73</f>
        <v>-2958.9313499999998</v>
      </c>
      <c r="AQ200" s="125">
        <f>Valores!$C$100</f>
        <v>-280.91000000000003</v>
      </c>
      <c r="AR200" s="125">
        <f>IF($F$5=0,Valores!$C$101,(Valores!$C$101+$F$5*(Valores!$C$101)))</f>
        <v>-385</v>
      </c>
      <c r="AS200" s="125">
        <f t="shared" si="24"/>
        <v>65038.195350000002</v>
      </c>
      <c r="AT200" s="125">
        <f t="shared" si="29"/>
        <v>-7232.9432999999999</v>
      </c>
      <c r="AU200" s="125">
        <f>AH200*Valores!$C$74</f>
        <v>-1775.3588099999999</v>
      </c>
      <c r="AV200" s="125">
        <f>AH200*Valores!$C$75</f>
        <v>-197.26209</v>
      </c>
      <c r="AW200" s="125">
        <f t="shared" ref="AW200:AW263" si="33">AH200+AM200+SUM(AT200:AV200)</f>
        <v>66690.415799999988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29534.99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5706.95</v>
      </c>
      <c r="N201" s="125">
        <f t="shared" si="30"/>
        <v>0</v>
      </c>
      <c r="O201" s="125">
        <f>Valores!$C$7*B201</f>
        <v>10117.36</v>
      </c>
      <c r="P201" s="125">
        <f>ROUND(IF(B201&lt;15,(Valores!$E$5*B201),Valores!$D$5),2)</f>
        <v>10167.19</v>
      </c>
      <c r="Q201" s="125">
        <v>0</v>
      </c>
      <c r="R201" s="125">
        <f>IF($F$4="NO",Valores!$C$49*B201,Valores!$C$49*B201/2)</f>
        <v>5329.2800000000007</v>
      </c>
      <c r="S201" s="125">
        <f>Valores!$C$18*B201</f>
        <v>3182.08</v>
      </c>
      <c r="T201" s="125">
        <f t="shared" si="25"/>
        <v>3182.08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3079.34</v>
      </c>
      <c r="AA201" s="125">
        <f>IF((Valores!$C$28)*B201&gt;Valores!$F$28,Valores!$F$28,(Valores!$C$28)*B201)</f>
        <v>249.92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208.12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4754.2</v>
      </c>
      <c r="AH201" s="125">
        <f t="shared" ref="AH201:AH264" si="34">SUM(F201,H201,J201,L201,M201,N201,O201,P201,Q201,R201,T201,U201,V201,X201,Y201,Z201,AA201,AC201,AD201,AF201,AG201)</f>
        <v>72329.429999999993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11000</v>
      </c>
      <c r="AL201" s="125">
        <f>IF($F$3="NO",0,IF(Valores!$C$61*B201&gt;Valores!$F$61,Valores!$F$61,Valores!$C$61*B201))</f>
        <v>156.14500000000001</v>
      </c>
      <c r="AM201" s="125">
        <f t="shared" si="32"/>
        <v>11156.145</v>
      </c>
      <c r="AN201" s="125">
        <f>AH201*Valores!$C$71</f>
        <v>-7956.2372999999989</v>
      </c>
      <c r="AO201" s="125">
        <f>AH201*-Valores!$C$72</f>
        <v>0</v>
      </c>
      <c r="AP201" s="125">
        <f>AH201*Valores!$C$73</f>
        <v>-3254.8243499999994</v>
      </c>
      <c r="AQ201" s="125">
        <f>Valores!$C$100</f>
        <v>-280.91000000000003</v>
      </c>
      <c r="AR201" s="125">
        <f>IF($F$5=0,Valores!$C$101,(Valores!$C$101+$F$5*(Valores!$C$101)))</f>
        <v>-385</v>
      </c>
      <c r="AS201" s="125">
        <f t="shared" ref="AS201:AS264" si="35">AH201+SUM(AM201:AR201)</f>
        <v>71608.60334999999</v>
      </c>
      <c r="AT201" s="125">
        <f t="shared" si="29"/>
        <v>-7956.2372999999989</v>
      </c>
      <c r="AU201" s="125">
        <f>AH201*Valores!$C$74</f>
        <v>-1952.8946099999998</v>
      </c>
      <c r="AV201" s="125">
        <f>AH201*Valores!$C$75</f>
        <v>-216.98828999999998</v>
      </c>
      <c r="AW201" s="125">
        <f t="shared" si="33"/>
        <v>73359.454800000007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32219.99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6225.77</v>
      </c>
      <c r="N202" s="125">
        <f t="shared" si="30"/>
        <v>0</v>
      </c>
      <c r="O202" s="125">
        <f>Valores!$C$7*B202</f>
        <v>11037.119999999999</v>
      </c>
      <c r="P202" s="125">
        <f>ROUND(IF(B202&lt;15,(Valores!$E$5*B202),Valores!$D$5),2)</f>
        <v>11091.48</v>
      </c>
      <c r="Q202" s="125">
        <v>0</v>
      </c>
      <c r="R202" s="125">
        <f>IF($F$4="NO",Valores!$C$49*B202,Valores!$C$49*B202/2)</f>
        <v>5813.76</v>
      </c>
      <c r="S202" s="125">
        <f>Valores!$C$18*B202</f>
        <v>3471.3599999999997</v>
      </c>
      <c r="T202" s="125">
        <f t="shared" si="25"/>
        <v>3471.36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3359.2799999999997</v>
      </c>
      <c r="AA202" s="125">
        <f>IF((Valores!$C$28)*B202&gt;Valores!$F$28,Valores!$F$28,(Valores!$C$28)*B202)</f>
        <v>272.64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227.04000000000002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5186.3999999999996</v>
      </c>
      <c r="AH202" s="125">
        <f t="shared" si="34"/>
        <v>78904.839999999982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12000</v>
      </c>
      <c r="AL202" s="125">
        <f>IF($F$3="NO",0,IF(Valores!$C$61*B202&gt;Valores!$F$61,Valores!$F$61,Valores!$C$61*B202))</f>
        <v>170.34</v>
      </c>
      <c r="AM202" s="125">
        <f t="shared" si="32"/>
        <v>12170.34</v>
      </c>
      <c r="AN202" s="125">
        <f>AH202*Valores!$C$71</f>
        <v>-8679.5323999999982</v>
      </c>
      <c r="AO202" s="125">
        <f>AH202*-Valores!$C$72</f>
        <v>0</v>
      </c>
      <c r="AP202" s="125">
        <f>AH202*Valores!$C$73</f>
        <v>-3550.717799999999</v>
      </c>
      <c r="AQ202" s="125">
        <f>Valores!$C$100</f>
        <v>-280.91000000000003</v>
      </c>
      <c r="AR202" s="125">
        <f>IF($F$5=0,Valores!$C$101,(Valores!$C$101+$F$5*(Valores!$C$101)))</f>
        <v>-385</v>
      </c>
      <c r="AS202" s="125">
        <f t="shared" si="35"/>
        <v>78179.01979999998</v>
      </c>
      <c r="AT202" s="125">
        <f t="shared" si="29"/>
        <v>-8679.5323999999982</v>
      </c>
      <c r="AU202" s="125">
        <f>AH202*Valores!$C$74</f>
        <v>-2130.4306799999995</v>
      </c>
      <c r="AV202" s="125">
        <f>AH202*Valores!$C$75</f>
        <v>-236.71451999999996</v>
      </c>
      <c r="AW202" s="125">
        <f t="shared" si="33"/>
        <v>80028.502399999983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34904.980000000003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6744.58</v>
      </c>
      <c r="N203" s="125">
        <f t="shared" si="30"/>
        <v>0</v>
      </c>
      <c r="O203" s="125">
        <f>Valores!$C$7*B203</f>
        <v>11956.88</v>
      </c>
      <c r="P203" s="125">
        <f>ROUND(IF(B203&lt;15,(Valores!$E$5*B203),Valores!$D$5),2)</f>
        <v>12015.77</v>
      </c>
      <c r="Q203" s="125">
        <v>0</v>
      </c>
      <c r="R203" s="125">
        <f>IF($F$4="NO",Valores!$C$49*B203,Valores!$C$49*B203/2)</f>
        <v>6298.24</v>
      </c>
      <c r="S203" s="125">
        <f>Valores!$C$18*B203</f>
        <v>3760.6399999999994</v>
      </c>
      <c r="T203" s="125">
        <f t="shared" ref="T203:T266" si="36">ROUND(S203*(1+$H$2),2)</f>
        <v>3760.64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3639.22</v>
      </c>
      <c r="AA203" s="125">
        <f>IF((Valores!$C$28)*B203&gt;Valores!$F$28,Valores!$F$28,(Valores!$C$28)*B203)</f>
        <v>295.36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245.96000000000004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5618.5999999999995</v>
      </c>
      <c r="AH203" s="125">
        <f t="shared" si="34"/>
        <v>85480.230000000025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13000</v>
      </c>
      <c r="AL203" s="125">
        <f>IF($F$3="NO",0,IF(Valores!$C$61*B203&gt;Valores!$F$61,Valores!$F$61,Valores!$C$61*B203))</f>
        <v>184.535</v>
      </c>
      <c r="AM203" s="125">
        <f t="shared" si="32"/>
        <v>13184.535</v>
      </c>
      <c r="AN203" s="125">
        <f>AH203*Valores!$C$71</f>
        <v>-9402.8253000000022</v>
      </c>
      <c r="AO203" s="125">
        <f>AH203*-Valores!$C$72</f>
        <v>0</v>
      </c>
      <c r="AP203" s="125">
        <f>AH203*Valores!$C$73</f>
        <v>-3846.6103500000008</v>
      </c>
      <c r="AQ203" s="125">
        <f>Valores!$C$100</f>
        <v>-280.91000000000003</v>
      </c>
      <c r="AR203" s="125">
        <f>IF($F$5=0,Valores!$C$101,(Valores!$C$101+$F$5*(Valores!$C$101)))</f>
        <v>-385</v>
      </c>
      <c r="AS203" s="125">
        <f t="shared" si="35"/>
        <v>84749.419350000026</v>
      </c>
      <c r="AT203" s="125">
        <f t="shared" si="29"/>
        <v>-9402.8253000000022</v>
      </c>
      <c r="AU203" s="125">
        <f>AH203*Valores!$C$74</f>
        <v>-2307.9662100000005</v>
      </c>
      <c r="AV203" s="125">
        <f>AH203*Valores!$C$75</f>
        <v>-256.44069000000007</v>
      </c>
      <c r="AW203" s="125">
        <f t="shared" si="33"/>
        <v>86697.53280000003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37589.980000000003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7263.39</v>
      </c>
      <c r="N204" s="125">
        <f t="shared" si="30"/>
        <v>0</v>
      </c>
      <c r="O204" s="125">
        <f>Valores!$C$7*B204</f>
        <v>12876.64</v>
      </c>
      <c r="P204" s="125">
        <f>ROUND(IF(B204&lt;15,(Valores!$E$5*B204),Valores!$D$5),2)</f>
        <v>12940.06</v>
      </c>
      <c r="Q204" s="125">
        <v>0</v>
      </c>
      <c r="R204" s="125">
        <f>IF($F$4="NO",Valores!$C$49*B204,Valores!$C$49*B204/2)</f>
        <v>6782.72</v>
      </c>
      <c r="S204" s="125">
        <f>Valores!$C$18*B204</f>
        <v>4049.9199999999996</v>
      </c>
      <c r="T204" s="125">
        <f t="shared" si="36"/>
        <v>4049.92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3919.16</v>
      </c>
      <c r="AA204" s="125">
        <f>IF((Valores!$C$28)*B204&gt;Valores!$F$28,Valores!$F$28,(Valores!$C$28)*B204)</f>
        <v>318.08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264.88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6050.8</v>
      </c>
      <c r="AH204" s="125">
        <f t="shared" si="34"/>
        <v>92055.630000000019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14000</v>
      </c>
      <c r="AL204" s="125">
        <f>IF($F$3="NO",0,IF(Valores!$C$61*B204&gt;Valores!$F$61,Valores!$F$61,Valores!$C$61*B204))</f>
        <v>198.73000000000002</v>
      </c>
      <c r="AM204" s="125">
        <f t="shared" si="32"/>
        <v>14198.73</v>
      </c>
      <c r="AN204" s="125">
        <f>AH204*Valores!$C$71</f>
        <v>-10126.119300000002</v>
      </c>
      <c r="AO204" s="125">
        <f>AH204*-Valores!$C$72</f>
        <v>0</v>
      </c>
      <c r="AP204" s="125">
        <f>AH204*Valores!$C$73</f>
        <v>-4142.5033500000009</v>
      </c>
      <c r="AQ204" s="125">
        <f>Valores!$C$100</f>
        <v>-280.91000000000003</v>
      </c>
      <c r="AR204" s="125">
        <f>IF($F$5=0,Valores!$C$101,(Valores!$C$101+$F$5*(Valores!$C$101)))</f>
        <v>-385</v>
      </c>
      <c r="AS204" s="125">
        <f t="shared" si="35"/>
        <v>91319.827350000021</v>
      </c>
      <c r="AT204" s="125">
        <f t="shared" si="29"/>
        <v>-10126.119300000002</v>
      </c>
      <c r="AU204" s="125">
        <f>AH204*Valores!$C$74</f>
        <v>-2485.5020100000006</v>
      </c>
      <c r="AV204" s="125">
        <f>AH204*Valores!$C$75</f>
        <v>-276.16689000000008</v>
      </c>
      <c r="AW204" s="125">
        <f t="shared" si="33"/>
        <v>93366.571800000005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40274.980000000003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7782.21</v>
      </c>
      <c r="N205" s="125">
        <f t="shared" si="30"/>
        <v>0</v>
      </c>
      <c r="O205" s="125">
        <f>Valores!$C$7*B205</f>
        <v>13796.4</v>
      </c>
      <c r="P205" s="125">
        <f>ROUND(IF(B205&lt;15,(Valores!$E$5*B205),Valores!$D$5),2)</f>
        <v>13864.36</v>
      </c>
      <c r="Q205" s="125">
        <v>0</v>
      </c>
      <c r="R205" s="125">
        <f>IF($F$4="NO",Valores!$C$49*B205,Valores!$C$49*B205/2)</f>
        <v>7267.2000000000007</v>
      </c>
      <c r="S205" s="125">
        <f>Valores!$C$18*B205</f>
        <v>4339.2</v>
      </c>
      <c r="T205" s="125">
        <f t="shared" si="36"/>
        <v>4339.2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4199.1000000000004</v>
      </c>
      <c r="AA205" s="125">
        <f>IF((Valores!$C$28)*B205&gt;Valores!$F$28,Valores!$F$28,(Valores!$C$28)*B205)</f>
        <v>340.79999999999995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283.8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6483</v>
      </c>
      <c r="AH205" s="125">
        <f t="shared" si="34"/>
        <v>98631.050000000017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15000</v>
      </c>
      <c r="AL205" s="125">
        <f>IF($F$3="NO",0,IF(Valores!$C$61*B205&gt;Valores!$F$61,Valores!$F$61,Valores!$C$61*B205))</f>
        <v>212.92500000000001</v>
      </c>
      <c r="AM205" s="125">
        <f t="shared" si="32"/>
        <v>15212.924999999999</v>
      </c>
      <c r="AN205" s="125">
        <f>AH205*Valores!$C$71</f>
        <v>-10849.415500000003</v>
      </c>
      <c r="AO205" s="125">
        <f>AH205*-Valores!$C$72</f>
        <v>0</v>
      </c>
      <c r="AP205" s="125">
        <f>AH205*Valores!$C$73</f>
        <v>-4438.3972500000009</v>
      </c>
      <c r="AQ205" s="125">
        <f>Valores!$C$100</f>
        <v>-280.91000000000003</v>
      </c>
      <c r="AR205" s="125">
        <f>IF($F$5=0,Valores!$C$101,(Valores!$C$101+$F$5*(Valores!$C$101)))</f>
        <v>-385</v>
      </c>
      <c r="AS205" s="125">
        <f t="shared" si="35"/>
        <v>97890.25225000002</v>
      </c>
      <c r="AT205" s="125">
        <f t="shared" si="29"/>
        <v>-10849.415500000003</v>
      </c>
      <c r="AU205" s="125">
        <f>AH205*Valores!$C$74</f>
        <v>-2663.0383500000003</v>
      </c>
      <c r="AV205" s="125">
        <f>AH205*Valores!$C$75</f>
        <v>-295.89315000000005</v>
      </c>
      <c r="AW205" s="125">
        <f t="shared" si="33"/>
        <v>100035.62800000001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42959.98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8301.02</v>
      </c>
      <c r="N206" s="125">
        <f t="shared" si="30"/>
        <v>0</v>
      </c>
      <c r="O206" s="125">
        <f>Valores!$C$7*B206</f>
        <v>14716.16</v>
      </c>
      <c r="P206" s="125">
        <f>ROUND(IF(B206&lt;15,(Valores!$E$5*B206),Valores!$D$5),2)</f>
        <v>13864.36</v>
      </c>
      <c r="Q206" s="125">
        <v>0</v>
      </c>
      <c r="R206" s="125">
        <f>IF($F$4="NO",Valores!$C$49*B206,Valores!$C$49*B206/2)</f>
        <v>7751.68</v>
      </c>
      <c r="S206" s="125">
        <f>Valores!$C$18*B206</f>
        <v>4628.4799999999996</v>
      </c>
      <c r="T206" s="125">
        <f t="shared" si="36"/>
        <v>4628.4799999999996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4479.04</v>
      </c>
      <c r="AA206" s="125">
        <f>IF((Valores!$C$28)*B206&gt;Valores!$F$28,Valores!$F$28,(Valores!$C$28)*B206)</f>
        <v>363.52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302.72000000000003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6915.2</v>
      </c>
      <c r="AH206" s="125">
        <f t="shared" si="34"/>
        <v>104282.16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16000</v>
      </c>
      <c r="AL206" s="125">
        <f>IF($F$3="NO",0,IF(Valores!$C$61*B206&gt;Valores!$F$61,Valores!$F$61,Valores!$C$61*B206))</f>
        <v>227.12</v>
      </c>
      <c r="AM206" s="125">
        <f t="shared" si="32"/>
        <v>16227.12</v>
      </c>
      <c r="AN206" s="125">
        <f>AH206*Valores!$C$71</f>
        <v>-11471.0376</v>
      </c>
      <c r="AO206" s="125">
        <f>AH206*-Valores!$C$72</f>
        <v>0</v>
      </c>
      <c r="AP206" s="125">
        <f>AH206*Valores!$C$73</f>
        <v>-4692.6971999999996</v>
      </c>
      <c r="AQ206" s="125">
        <f>Valores!$C$100</f>
        <v>-280.91000000000003</v>
      </c>
      <c r="AR206" s="125">
        <f>IF($F$5=0,Valores!$C$101,(Valores!$C$101+$F$5*(Valores!$C$101)))</f>
        <v>-385</v>
      </c>
      <c r="AS206" s="125">
        <f t="shared" si="35"/>
        <v>103679.6352</v>
      </c>
      <c r="AT206" s="125">
        <f t="shared" si="29"/>
        <v>-11471.0376</v>
      </c>
      <c r="AU206" s="125">
        <f>AH206*Valores!$C$74</f>
        <v>-2815.61832</v>
      </c>
      <c r="AV206" s="125">
        <f>AH206*Valores!$C$75</f>
        <v>-312.84648000000004</v>
      </c>
      <c r="AW206" s="125">
        <f t="shared" si="33"/>
        <v>105909.7776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45644.98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8819.84</v>
      </c>
      <c r="N207" s="125">
        <f t="shared" si="30"/>
        <v>0</v>
      </c>
      <c r="O207" s="125">
        <f>Valores!$C$7*B207</f>
        <v>15635.92</v>
      </c>
      <c r="P207" s="125">
        <f>ROUND(IF(B207&lt;15,(Valores!$E$5*B207),Valores!$D$5),2)</f>
        <v>13864.36</v>
      </c>
      <c r="Q207" s="125">
        <v>0</v>
      </c>
      <c r="R207" s="125">
        <f>IF($F$4="NO",Valores!$C$49*B207,Valores!$C$49*B207/2)</f>
        <v>8236.16</v>
      </c>
      <c r="S207" s="125">
        <f>Valores!$C$18*B207</f>
        <v>4917.7599999999993</v>
      </c>
      <c r="T207" s="125">
        <f t="shared" si="36"/>
        <v>4917.76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4758.9799999999996</v>
      </c>
      <c r="AA207" s="125">
        <f>IF((Valores!$C$28)*B207&gt;Valores!$F$28,Valores!$F$28,(Valores!$C$28)*B207)</f>
        <v>386.24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321.64000000000004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7347.4</v>
      </c>
      <c r="AH207" s="125">
        <f t="shared" si="34"/>
        <v>109933.28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17000</v>
      </c>
      <c r="AL207" s="125">
        <f>IF($F$3="NO",0,IF(Valores!$C$61*B207&gt;Valores!$F$61,Valores!$F$61,Valores!$C$61*B207))</f>
        <v>241.315</v>
      </c>
      <c r="AM207" s="125">
        <f t="shared" si="32"/>
        <v>17241.314999999999</v>
      </c>
      <c r="AN207" s="125">
        <f>AH207*Valores!$C$71</f>
        <v>-12092.6608</v>
      </c>
      <c r="AO207" s="125">
        <f>AH207*-Valores!$C$72</f>
        <v>0</v>
      </c>
      <c r="AP207" s="125">
        <f>AH207*Valores!$C$73</f>
        <v>-4946.9975999999997</v>
      </c>
      <c r="AQ207" s="125">
        <f>Valores!$C$100</f>
        <v>-280.91000000000003</v>
      </c>
      <c r="AR207" s="125">
        <f>IF($F$5=0,Valores!$C$101,(Valores!$C$101+$F$5*(Valores!$C$101)))</f>
        <v>-385</v>
      </c>
      <c r="AS207" s="125">
        <f t="shared" si="35"/>
        <v>109469.0266</v>
      </c>
      <c r="AT207" s="125">
        <f t="shared" si="29"/>
        <v>-12092.6608</v>
      </c>
      <c r="AU207" s="125">
        <f>AH207*Valores!$C$74</f>
        <v>-2968.1985599999998</v>
      </c>
      <c r="AV207" s="125">
        <f>AH207*Valores!$C$75</f>
        <v>-329.79984000000002</v>
      </c>
      <c r="AW207" s="125">
        <f t="shared" si="33"/>
        <v>111783.93580000001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48329.98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9338.65</v>
      </c>
      <c r="N208" s="125">
        <f t="shared" si="30"/>
        <v>0</v>
      </c>
      <c r="O208" s="125">
        <f>Valores!$C$7*B208</f>
        <v>16555.68</v>
      </c>
      <c r="P208" s="125">
        <f>ROUND(IF(B208&lt;15,(Valores!$E$5*B208),Valores!$D$5),2)</f>
        <v>13864.36</v>
      </c>
      <c r="Q208" s="125">
        <v>0</v>
      </c>
      <c r="R208" s="125">
        <f>IF($F$4="NO",Valores!$C$49*B208,Valores!$C$49*B208/2)</f>
        <v>8720.64</v>
      </c>
      <c r="S208" s="125">
        <f>Valores!$C$18*B208</f>
        <v>5207.0399999999991</v>
      </c>
      <c r="T208" s="125">
        <f t="shared" si="36"/>
        <v>5207.04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5038.92</v>
      </c>
      <c r="AA208" s="125">
        <f>IF((Valores!$C$28)*B208&gt;Valores!$F$28,Valores!$F$28,(Valores!$C$28)*B208)</f>
        <v>408.96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340.56000000000006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7779.5999999999995</v>
      </c>
      <c r="AH208" s="125">
        <f t="shared" si="34"/>
        <v>115584.39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18000</v>
      </c>
      <c r="AL208" s="125">
        <f>IF($F$3="NO",0,IF(Valores!$C$61*B208&gt;Valores!$F$61,Valores!$F$61,Valores!$C$61*B208))</f>
        <v>255.51</v>
      </c>
      <c r="AM208" s="125">
        <f t="shared" si="32"/>
        <v>18255.509999999998</v>
      </c>
      <c r="AN208" s="125">
        <f>AH208*Valores!$C$71</f>
        <v>-12714.2829</v>
      </c>
      <c r="AO208" s="125">
        <f>AH208*-Valores!$C$72</f>
        <v>0</v>
      </c>
      <c r="AP208" s="125">
        <f>AH208*Valores!$C$73</f>
        <v>-5201.2975500000002</v>
      </c>
      <c r="AQ208" s="125">
        <f>Valores!$C$100</f>
        <v>-280.91000000000003</v>
      </c>
      <c r="AR208" s="125">
        <f>IF($F$5=0,Valores!$C$101,(Valores!$C$101+$F$5*(Valores!$C$101)))</f>
        <v>-385</v>
      </c>
      <c r="AS208" s="125">
        <f t="shared" si="35"/>
        <v>115258.40955</v>
      </c>
      <c r="AT208" s="125">
        <f t="shared" si="29"/>
        <v>-12714.2829</v>
      </c>
      <c r="AU208" s="125">
        <f>AH208*Valores!$C$74</f>
        <v>-3120.77853</v>
      </c>
      <c r="AV208" s="125">
        <f>AH208*Valores!$C$75</f>
        <v>-346.75317000000001</v>
      </c>
      <c r="AW208" s="125">
        <f t="shared" si="33"/>
        <v>117658.0854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51014.98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9857.4599999999991</v>
      </c>
      <c r="N209" s="125">
        <f t="shared" si="30"/>
        <v>0</v>
      </c>
      <c r="O209" s="125">
        <f>Valores!$C$7*B209</f>
        <v>17475.439999999999</v>
      </c>
      <c r="P209" s="125">
        <f>ROUND(IF(B209&lt;15,(Valores!$E$5*B209),Valores!$D$5),2)</f>
        <v>13864.36</v>
      </c>
      <c r="Q209" s="125">
        <v>0</v>
      </c>
      <c r="R209" s="125">
        <f>IF($F$4="NO",Valores!$C$49*B209,Valores!$C$49*B209/2)</f>
        <v>9205.1200000000008</v>
      </c>
      <c r="S209" s="125">
        <f>Valores!$C$18*B209</f>
        <v>5496.32</v>
      </c>
      <c r="T209" s="125">
        <f t="shared" si="36"/>
        <v>5496.32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5318.86</v>
      </c>
      <c r="AA209" s="125">
        <f>IF((Valores!$C$28)*B209&gt;Valores!$F$28,Valores!$F$28,(Valores!$C$28)*B209)</f>
        <v>431.67999999999995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359.48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8211.7999999999993</v>
      </c>
      <c r="AH209" s="125">
        <f t="shared" si="34"/>
        <v>121235.49999999999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19000</v>
      </c>
      <c r="AL209" s="125">
        <f>IF($F$3="NO",0,IF(Valores!$C$61*B209&gt;Valores!$F$61,Valores!$F$61,Valores!$C$61*B209))</f>
        <v>269.70499999999998</v>
      </c>
      <c r="AM209" s="125">
        <f t="shared" si="32"/>
        <v>19269.705000000002</v>
      </c>
      <c r="AN209" s="125">
        <f>AH209*Valores!$C$71</f>
        <v>-13335.904999999999</v>
      </c>
      <c r="AO209" s="125">
        <f>AH209*-Valores!$C$72</f>
        <v>0</v>
      </c>
      <c r="AP209" s="125">
        <f>AH209*Valores!$C$73</f>
        <v>-5455.5974999999989</v>
      </c>
      <c r="AQ209" s="125">
        <f>Valores!$C$100</f>
        <v>-280.91000000000003</v>
      </c>
      <c r="AR209" s="125">
        <f>IF($F$5=0,Valores!$C$101,(Valores!$C$101+$F$5*(Valores!$C$101)))</f>
        <v>-385</v>
      </c>
      <c r="AS209" s="125">
        <f t="shared" si="35"/>
        <v>121047.7925</v>
      </c>
      <c r="AT209" s="125">
        <f t="shared" si="29"/>
        <v>-13335.904999999999</v>
      </c>
      <c r="AU209" s="125">
        <f>AH209*Valores!$C$74</f>
        <v>-3273.3584999999994</v>
      </c>
      <c r="AV209" s="125">
        <f>AH209*Valores!$C$75</f>
        <v>-363.70649999999995</v>
      </c>
      <c r="AW209" s="125">
        <f t="shared" si="33"/>
        <v>123532.23499999999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53699.98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10376.280000000001</v>
      </c>
      <c r="N210" s="125">
        <f t="shared" si="30"/>
        <v>0</v>
      </c>
      <c r="O210" s="125">
        <f>Valores!$C$7*B210</f>
        <v>18395.2</v>
      </c>
      <c r="P210" s="125">
        <f>ROUND(IF(B210&lt;15,(Valores!$E$5*B210),Valores!$D$5),2)</f>
        <v>13864.36</v>
      </c>
      <c r="Q210" s="125">
        <v>0</v>
      </c>
      <c r="R210" s="125">
        <f>IF($F$4="NO",Valores!$C$49*B210,Valores!$C$49*B210/2)</f>
        <v>9689.6</v>
      </c>
      <c r="S210" s="125">
        <f>Valores!$C$18*B210</f>
        <v>5785.5999999999995</v>
      </c>
      <c r="T210" s="125">
        <f t="shared" si="36"/>
        <v>5785.6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5598.8</v>
      </c>
      <c r="AA210" s="125">
        <f>IF((Valores!$C$28)*B210&gt;Valores!$F$28,Valores!$F$28,(Valores!$C$28)*B210)</f>
        <v>454.4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378.40000000000003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8644</v>
      </c>
      <c r="AH210" s="125">
        <f t="shared" si="34"/>
        <v>126886.62000000001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20000</v>
      </c>
      <c r="AL210" s="125">
        <f>IF($F$3="NO",0,IF(Valores!$C$61*B210&gt;Valores!$F$61,Valores!$F$61,Valores!$C$61*B210))</f>
        <v>283.89999999999998</v>
      </c>
      <c r="AM210" s="125">
        <f t="shared" si="32"/>
        <v>20283.900000000001</v>
      </c>
      <c r="AN210" s="125">
        <f>AH210*Valores!$C$71</f>
        <v>-13957.528200000001</v>
      </c>
      <c r="AO210" s="125">
        <f>AH210*-Valores!$C$72</f>
        <v>0</v>
      </c>
      <c r="AP210" s="125">
        <f>AH210*Valores!$C$73</f>
        <v>-5709.8978999999999</v>
      </c>
      <c r="AQ210" s="125">
        <f>Valores!$C$100</f>
        <v>-280.91000000000003</v>
      </c>
      <c r="AR210" s="125">
        <f>IF($F$5=0,Valores!$C$101,(Valores!$C$101+$F$5*(Valores!$C$101)))</f>
        <v>-385</v>
      </c>
      <c r="AS210" s="125">
        <f t="shared" si="35"/>
        <v>126837.1839</v>
      </c>
      <c r="AT210" s="125">
        <f t="shared" si="29"/>
        <v>-13957.528200000001</v>
      </c>
      <c r="AU210" s="125">
        <f>AH210*Valores!$C$74</f>
        <v>-3425.9387400000001</v>
      </c>
      <c r="AV210" s="125">
        <f>AH210*Valores!$C$75</f>
        <v>-380.65986000000004</v>
      </c>
      <c r="AW210" s="125">
        <f t="shared" si="33"/>
        <v>129406.39320000002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56384.97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10895.09</v>
      </c>
      <c r="N211" s="125">
        <f t="shared" si="30"/>
        <v>0</v>
      </c>
      <c r="O211" s="125">
        <f>Valores!$C$7*B211</f>
        <v>19314.96</v>
      </c>
      <c r="P211" s="125">
        <f>ROUND(IF(B211&lt;15,(Valores!$E$5*B211),Valores!$D$5),2)</f>
        <v>13864.36</v>
      </c>
      <c r="Q211" s="125">
        <v>0</v>
      </c>
      <c r="R211" s="125">
        <f>IF($F$4="NO",Valores!$C$49*B211,Valores!$C$49*B211/2)</f>
        <v>10174.08</v>
      </c>
      <c r="S211" s="125">
        <f>Valores!$C$18*B211</f>
        <v>6074.8799999999992</v>
      </c>
      <c r="T211" s="125">
        <f t="shared" si="36"/>
        <v>6074.88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5878.74</v>
      </c>
      <c r="AA211" s="125">
        <f>IF((Valores!$C$28)*B211&gt;Valores!$F$28,Valores!$F$28,(Valores!$C$28)*B211)</f>
        <v>477.12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397.32000000000005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9076.1999999999989</v>
      </c>
      <c r="AH211" s="125">
        <f t="shared" si="34"/>
        <v>132537.72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21000</v>
      </c>
      <c r="AL211" s="125">
        <f>IF($F$3="NO",0,IF(Valores!$C$61*B211&gt;Valores!$F$61,Valores!$F$61,Valores!$C$61*B211))</f>
        <v>298.09500000000003</v>
      </c>
      <c r="AM211" s="125">
        <f t="shared" si="32"/>
        <v>21298.095000000001</v>
      </c>
      <c r="AN211" s="125">
        <f>AH211*Valores!$C$71</f>
        <v>-14579.1492</v>
      </c>
      <c r="AO211" s="125">
        <f>AH211*-Valores!$C$72</f>
        <v>0</v>
      </c>
      <c r="AP211" s="125">
        <f>AH211*Valores!$C$73</f>
        <v>-5964.1974</v>
      </c>
      <c r="AQ211" s="125">
        <f>Valores!$C$100</f>
        <v>-280.91000000000003</v>
      </c>
      <c r="AR211" s="125">
        <f>IF($F$5=0,Valores!$C$101,(Valores!$C$101+$F$5*(Valores!$C$101)))</f>
        <v>-385</v>
      </c>
      <c r="AS211" s="125">
        <f t="shared" si="35"/>
        <v>132626.55840000001</v>
      </c>
      <c r="AT211" s="125">
        <f t="shared" si="29"/>
        <v>-14579.1492</v>
      </c>
      <c r="AU211" s="125">
        <f>AH211*Valores!$C$74</f>
        <v>-3578.5184399999998</v>
      </c>
      <c r="AV211" s="125">
        <f>AH211*Valores!$C$75</f>
        <v>-397.61315999999999</v>
      </c>
      <c r="AW211" s="125">
        <f t="shared" si="33"/>
        <v>135280.53419999999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59069.97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11413.9</v>
      </c>
      <c r="N212" s="125">
        <f t="shared" si="30"/>
        <v>0</v>
      </c>
      <c r="O212" s="125">
        <f>Valores!$C$7*B212</f>
        <v>20234.72</v>
      </c>
      <c r="P212" s="125">
        <f>ROUND(IF(B212&lt;15,(Valores!$E$5*B212),Valores!$D$5),2)</f>
        <v>13864.36</v>
      </c>
      <c r="Q212" s="125">
        <v>0</v>
      </c>
      <c r="R212" s="125">
        <f>IF($F$4="NO",Valores!$C$49*B212,Valores!$C$49*B212/2)</f>
        <v>10658.560000000001</v>
      </c>
      <c r="S212" s="125">
        <f>Valores!$C$18*B212</f>
        <v>6364.16</v>
      </c>
      <c r="T212" s="125">
        <f t="shared" si="36"/>
        <v>6364.16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6158.68</v>
      </c>
      <c r="AA212" s="125">
        <f>IF((Valores!$C$28)*B212&gt;Valores!$F$28,Valores!$F$28,(Valores!$C$28)*B212)</f>
        <v>499.84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416.24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9508.4</v>
      </c>
      <c r="AH212" s="125">
        <f t="shared" si="34"/>
        <v>138188.83000000002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22000</v>
      </c>
      <c r="AL212" s="125">
        <f>IF($F$3="NO",0,IF(Valores!$C$61*B212&gt;Valores!$F$61,Valores!$F$61,Valores!$C$61*B212))</f>
        <v>312.29000000000002</v>
      </c>
      <c r="AM212" s="125">
        <f t="shared" si="32"/>
        <v>22312.29</v>
      </c>
      <c r="AN212" s="125">
        <f>AH212*Valores!$C$71</f>
        <v>-15200.771300000002</v>
      </c>
      <c r="AO212" s="125">
        <f>AH212*-Valores!$C$72</f>
        <v>0</v>
      </c>
      <c r="AP212" s="125">
        <f>AH212*Valores!$C$73</f>
        <v>-6218.4973500000006</v>
      </c>
      <c r="AQ212" s="125">
        <f>Valores!$C$100</f>
        <v>-280.91000000000003</v>
      </c>
      <c r="AR212" s="125">
        <f>IF($F$5=0,Valores!$C$101,(Valores!$C$101+$F$5*(Valores!$C$101)))</f>
        <v>-385</v>
      </c>
      <c r="AS212" s="125">
        <f t="shared" si="35"/>
        <v>138415.94135000001</v>
      </c>
      <c r="AT212" s="125">
        <f t="shared" si="29"/>
        <v>-15200.771300000002</v>
      </c>
      <c r="AU212" s="125">
        <f>AH212*Valores!$C$74</f>
        <v>-3731.0984100000005</v>
      </c>
      <c r="AV212" s="125">
        <f>AH212*Valores!$C$75</f>
        <v>-414.56649000000004</v>
      </c>
      <c r="AW212" s="125">
        <f t="shared" si="33"/>
        <v>141154.68380000003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61754.97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11932.72</v>
      </c>
      <c r="N213" s="125">
        <f t="shared" si="30"/>
        <v>0</v>
      </c>
      <c r="O213" s="125">
        <f>Valores!$C$7*B213</f>
        <v>21154.48</v>
      </c>
      <c r="P213" s="125">
        <f>ROUND(IF(B213&lt;15,(Valores!$E$5*B213),Valores!$D$5),2)</f>
        <v>13864.36</v>
      </c>
      <c r="Q213" s="125">
        <v>0</v>
      </c>
      <c r="R213" s="125">
        <f>IF($F$4="NO",Valores!$C$49*B213,Valores!$C$49*B213/2)</f>
        <v>11143.04</v>
      </c>
      <c r="S213" s="125">
        <f>Valores!$C$18*B213</f>
        <v>6653.44</v>
      </c>
      <c r="T213" s="125">
        <f t="shared" si="36"/>
        <v>6653.44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6438.62</v>
      </c>
      <c r="AA213" s="125">
        <f>IF((Valores!$C$28)*B213&gt;Valores!$F$28,Valores!$F$28,(Valores!$C$28)*B213)</f>
        <v>522.55999999999995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435.16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9940.6</v>
      </c>
      <c r="AH213" s="125">
        <f t="shared" si="34"/>
        <v>143839.95000000001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23000</v>
      </c>
      <c r="AL213" s="125">
        <f>IF($F$3="NO",0,IF(Valores!$C$61*B213&gt;Valores!$F$61,Valores!$F$61,Valores!$C$61*B213))</f>
        <v>326.48500000000001</v>
      </c>
      <c r="AM213" s="125">
        <f t="shared" si="32"/>
        <v>23326.485000000001</v>
      </c>
      <c r="AN213" s="125">
        <f>AH213*Valores!$C$71</f>
        <v>-15822.394500000002</v>
      </c>
      <c r="AO213" s="125">
        <f>AH213*-Valores!$C$72</f>
        <v>0</v>
      </c>
      <c r="AP213" s="125">
        <f>AH213*Valores!$C$73</f>
        <v>-6472.7977500000006</v>
      </c>
      <c r="AQ213" s="125">
        <f>Valores!$C$100</f>
        <v>-280.91000000000003</v>
      </c>
      <c r="AR213" s="125">
        <f>IF($F$5=0,Valores!$C$101,(Valores!$C$101+$F$5*(Valores!$C$101)))</f>
        <v>-385</v>
      </c>
      <c r="AS213" s="125">
        <f t="shared" si="35"/>
        <v>144205.33275</v>
      </c>
      <c r="AT213" s="125">
        <f t="shared" si="29"/>
        <v>-15822.394500000002</v>
      </c>
      <c r="AU213" s="125">
        <f>AH213*Valores!$C$74</f>
        <v>-3883.6786500000003</v>
      </c>
      <c r="AV213" s="125">
        <f>AH213*Valores!$C$75</f>
        <v>-431.51985000000002</v>
      </c>
      <c r="AW213" s="125">
        <f t="shared" si="33"/>
        <v>147028.842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64439.97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12451.53</v>
      </c>
      <c r="N214" s="125">
        <f t="shared" si="30"/>
        <v>0</v>
      </c>
      <c r="O214" s="125">
        <f>Valores!$C$7*B214</f>
        <v>22074.239999999998</v>
      </c>
      <c r="P214" s="125">
        <f>ROUND(IF(B214&lt;15,(Valores!$E$5*B214),Valores!$D$5),2)</f>
        <v>13864.36</v>
      </c>
      <c r="Q214" s="125">
        <v>0</v>
      </c>
      <c r="R214" s="125">
        <f>IF($F$4="NO",Valores!$C$49*B214,Valores!$C$49*B214/2)</f>
        <v>11627.52</v>
      </c>
      <c r="S214" s="125">
        <f>Valores!$C$18*B214</f>
        <v>6942.7199999999993</v>
      </c>
      <c r="T214" s="125">
        <f t="shared" si="36"/>
        <v>6942.72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6718.5599999999995</v>
      </c>
      <c r="AA214" s="125">
        <f>IF((Valores!$C$28)*B214&gt;Valores!$F$28,Valores!$F$28,(Valores!$C$28)*B214)</f>
        <v>545.28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454.08000000000004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10372.799999999999</v>
      </c>
      <c r="AH214" s="125">
        <f t="shared" si="34"/>
        <v>149491.05999999997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24000</v>
      </c>
      <c r="AL214" s="125">
        <f>IF($F$3="NO",0,IF(Valores!$C$61*B214&gt;Valores!$F$61,Valores!$F$61,Valores!$C$61*B214))</f>
        <v>327.60000000000002</v>
      </c>
      <c r="AM214" s="125">
        <f t="shared" si="32"/>
        <v>24327.599999999999</v>
      </c>
      <c r="AN214" s="125">
        <f>AH214*Valores!$C$71</f>
        <v>-16444.016599999995</v>
      </c>
      <c r="AO214" s="125">
        <f>AH214*-Valores!$C$72</f>
        <v>0</v>
      </c>
      <c r="AP214" s="125">
        <f>AH214*Valores!$C$73</f>
        <v>-6727.0976999999984</v>
      </c>
      <c r="AQ214" s="125">
        <f>Valores!$C$100</f>
        <v>-280.91000000000003</v>
      </c>
      <c r="AR214" s="125">
        <f>IF($F$5=0,Valores!$C$101,(Valores!$C$101+$F$5*(Valores!$C$101)))</f>
        <v>-385</v>
      </c>
      <c r="AS214" s="125">
        <f t="shared" si="35"/>
        <v>149981.63569999998</v>
      </c>
      <c r="AT214" s="125">
        <f t="shared" si="29"/>
        <v>-16444.016599999995</v>
      </c>
      <c r="AU214" s="125">
        <f>AH214*Valores!$C$74</f>
        <v>-4036.2586199999992</v>
      </c>
      <c r="AV214" s="125">
        <f>AH214*Valores!$C$75</f>
        <v>-448.4731799999999</v>
      </c>
      <c r="AW214" s="125">
        <f t="shared" si="33"/>
        <v>152889.91159999999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67124.97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12970.35</v>
      </c>
      <c r="N215" s="125">
        <f t="shared" si="30"/>
        <v>0</v>
      </c>
      <c r="O215" s="125">
        <f>Valores!$C$7*B215</f>
        <v>22994</v>
      </c>
      <c r="P215" s="125">
        <f>ROUND(IF(B215&lt;15,(Valores!$E$5*B215),Valores!$D$5),2)</f>
        <v>13864.36</v>
      </c>
      <c r="Q215" s="125">
        <v>0</v>
      </c>
      <c r="R215" s="125">
        <f>IF($F$4="NO",Valores!$C$49*B215,Valores!$C$49*B215/2)</f>
        <v>12112</v>
      </c>
      <c r="S215" s="125">
        <f>Valores!$C$18*B215</f>
        <v>7231.9999999999991</v>
      </c>
      <c r="T215" s="125">
        <f t="shared" si="36"/>
        <v>7232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6998.5</v>
      </c>
      <c r="AA215" s="125">
        <f>IF((Valores!$C$28)*B215&gt;Valores!$F$28,Valores!$F$28,(Valores!$C$28)*B215)</f>
        <v>568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473.00000000000006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10805</v>
      </c>
      <c r="AH215" s="125">
        <f t="shared" si="34"/>
        <v>155142.18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25000</v>
      </c>
      <c r="AL215" s="125">
        <f>IF($F$3="NO",0,IF(Valores!$C$61*B215&gt;Valores!$F$61,Valores!$F$61,Valores!$C$61*B215))</f>
        <v>327.60000000000002</v>
      </c>
      <c r="AM215" s="125">
        <f t="shared" si="32"/>
        <v>25327.599999999999</v>
      </c>
      <c r="AN215" s="125">
        <f>AH215*Valores!$C$71</f>
        <v>-17065.639800000001</v>
      </c>
      <c r="AO215" s="125">
        <f>AH215*-Valores!$C$72</f>
        <v>0</v>
      </c>
      <c r="AP215" s="125">
        <f>AH215*Valores!$C$73</f>
        <v>-6981.3980999999994</v>
      </c>
      <c r="AQ215" s="125">
        <f>Valores!$C$100</f>
        <v>-280.91000000000003</v>
      </c>
      <c r="AR215" s="125">
        <f>IF($F$5=0,Valores!$C$101,(Valores!$C$101+$F$5*(Valores!$C$101)))</f>
        <v>-385</v>
      </c>
      <c r="AS215" s="125">
        <f t="shared" si="35"/>
        <v>155756.8321</v>
      </c>
      <c r="AT215" s="125">
        <f t="shared" si="29"/>
        <v>-17065.639800000001</v>
      </c>
      <c r="AU215" s="125">
        <f>AH215*Valores!$C$74</f>
        <v>-4188.8388599999998</v>
      </c>
      <c r="AV215" s="125">
        <f>AH215*Valores!$C$75</f>
        <v>-465.42653999999999</v>
      </c>
      <c r="AW215" s="125">
        <f t="shared" si="33"/>
        <v>158749.87479999999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69809.97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13489.16</v>
      </c>
      <c r="N216" s="125">
        <f t="shared" si="30"/>
        <v>0</v>
      </c>
      <c r="O216" s="125">
        <f>Valores!$C$7*B216</f>
        <v>23913.759999999998</v>
      </c>
      <c r="P216" s="125">
        <f>ROUND(IF(B216&lt;15,(Valores!$E$5*B216),Valores!$D$5),2)</f>
        <v>13864.36</v>
      </c>
      <c r="Q216" s="125">
        <v>0</v>
      </c>
      <c r="R216" s="125">
        <f>IF($F$4="NO",Valores!$C$49*B216,Valores!$C$49*B216/2)</f>
        <v>12596.48</v>
      </c>
      <c r="S216" s="125">
        <f>Valores!$C$18*B216</f>
        <v>7521.2799999999988</v>
      </c>
      <c r="T216" s="125">
        <f t="shared" si="36"/>
        <v>7521.28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7278.44</v>
      </c>
      <c r="AA216" s="125">
        <f>IF((Valores!$C$28)*B216&gt;Valores!$F$28,Valores!$F$28,(Valores!$C$28)*B216)</f>
        <v>590.72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491.92000000000007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11237.199999999999</v>
      </c>
      <c r="AH216" s="125">
        <f t="shared" si="34"/>
        <v>160793.29000000004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26000</v>
      </c>
      <c r="AL216" s="125">
        <f>IF($F$3="NO",0,IF(Valores!$C$61*B216&gt;Valores!$F$61,Valores!$F$61,Valores!$C$61*B216))</f>
        <v>327.60000000000002</v>
      </c>
      <c r="AM216" s="125">
        <f t="shared" si="32"/>
        <v>26327.599999999999</v>
      </c>
      <c r="AN216" s="125">
        <f>AH216*Valores!$C$71</f>
        <v>-17687.261900000005</v>
      </c>
      <c r="AO216" s="125">
        <f>AH216*-Valores!$C$72</f>
        <v>0</v>
      </c>
      <c r="AP216" s="125">
        <f>AH216*Valores!$C$73</f>
        <v>-7235.6980500000018</v>
      </c>
      <c r="AQ216" s="125">
        <f>Valores!$C$100</f>
        <v>-280.91000000000003</v>
      </c>
      <c r="AR216" s="125">
        <f>IF($F$5=0,Valores!$C$101,(Valores!$C$101+$F$5*(Valores!$C$101)))</f>
        <v>-385</v>
      </c>
      <c r="AS216" s="125">
        <f t="shared" si="35"/>
        <v>161532.02005000002</v>
      </c>
      <c r="AT216" s="125">
        <f t="shared" si="29"/>
        <v>-17687.261900000005</v>
      </c>
      <c r="AU216" s="125">
        <f>AH216*Valores!$C$74</f>
        <v>-4341.4188300000005</v>
      </c>
      <c r="AV216" s="125">
        <f>AH216*Valores!$C$75</f>
        <v>-482.3798700000001</v>
      </c>
      <c r="AW216" s="125">
        <f t="shared" si="33"/>
        <v>164609.82940000005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72494.97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14007.97</v>
      </c>
      <c r="N217" s="125">
        <f t="shared" si="30"/>
        <v>0</v>
      </c>
      <c r="O217" s="125">
        <f>Valores!$C$7*B217</f>
        <v>24833.52</v>
      </c>
      <c r="P217" s="125">
        <f>ROUND(IF(B217&lt;15,(Valores!$E$5*B217),Valores!$D$5),2)</f>
        <v>13864.36</v>
      </c>
      <c r="Q217" s="125">
        <v>0</v>
      </c>
      <c r="R217" s="125">
        <f>IF($F$4="NO",Valores!$C$49*B217,Valores!$C$49*B217/2)</f>
        <v>13080.960000000001</v>
      </c>
      <c r="S217" s="125">
        <f>Valores!$C$18*B217</f>
        <v>7810.5599999999995</v>
      </c>
      <c r="T217" s="125">
        <f t="shared" si="36"/>
        <v>7810.56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7558.38</v>
      </c>
      <c r="AA217" s="125">
        <f>IF((Valores!$C$28)*B217&gt;Valores!$F$28,Valores!$F$28,(Valores!$C$28)*B217)</f>
        <v>613.43999999999994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510.84000000000003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11669.4</v>
      </c>
      <c r="AH217" s="125">
        <f t="shared" si="34"/>
        <v>166444.4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27000</v>
      </c>
      <c r="AL217" s="125">
        <f>IF($F$3="NO",0,IF(Valores!$C$61*B217&gt;Valores!$F$61,Valores!$F$61,Valores!$C$61*B217))</f>
        <v>327.60000000000002</v>
      </c>
      <c r="AM217" s="125">
        <f t="shared" si="32"/>
        <v>27327.599999999999</v>
      </c>
      <c r="AN217" s="125">
        <f>AH217*Valores!$C$71</f>
        <v>-18308.883999999998</v>
      </c>
      <c r="AO217" s="125">
        <f>AH217*-Valores!$C$72</f>
        <v>0</v>
      </c>
      <c r="AP217" s="125">
        <f>AH217*Valores!$C$73</f>
        <v>-7489.9979999999996</v>
      </c>
      <c r="AQ217" s="125">
        <f>Valores!$C$100</f>
        <v>-280.91000000000003</v>
      </c>
      <c r="AR217" s="125">
        <f>IF($F$5=0,Valores!$C$101,(Valores!$C$101+$F$5*(Valores!$C$101)))</f>
        <v>-385</v>
      </c>
      <c r="AS217" s="125">
        <f t="shared" si="35"/>
        <v>167307.20799999998</v>
      </c>
      <c r="AT217" s="125">
        <f t="shared" si="29"/>
        <v>-18308.883999999998</v>
      </c>
      <c r="AU217" s="125">
        <f>AH217*Valores!$C$74</f>
        <v>-4493.9987999999994</v>
      </c>
      <c r="AV217" s="125">
        <f>AH217*Valores!$C$75</f>
        <v>-499.33319999999998</v>
      </c>
      <c r="AW217" s="125">
        <f t="shared" si="33"/>
        <v>170469.78399999999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75179.97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14526.79</v>
      </c>
      <c r="N218" s="125">
        <f t="shared" si="30"/>
        <v>0</v>
      </c>
      <c r="O218" s="125">
        <f>Valores!$C$7*B218</f>
        <v>25753.279999999999</v>
      </c>
      <c r="P218" s="125">
        <f>ROUND(IF(B218&lt;15,(Valores!$E$5*B218),Valores!$D$5),2)</f>
        <v>13864.36</v>
      </c>
      <c r="Q218" s="125">
        <v>0</v>
      </c>
      <c r="R218" s="125">
        <f>IF($F$4="NO",Valores!$C$49*B218,Valores!$C$49*B218/2)</f>
        <v>13565.44</v>
      </c>
      <c r="S218" s="125">
        <f>Valores!$C$18*B218</f>
        <v>8099.8399999999992</v>
      </c>
      <c r="T218" s="125">
        <f t="shared" si="36"/>
        <v>8099.84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7838.32</v>
      </c>
      <c r="AA218" s="125">
        <f>IF((Valores!$C$28)*B218&gt;Valores!$F$28,Valores!$F$28,(Valores!$C$28)*B218)</f>
        <v>636.16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529.76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12101.6</v>
      </c>
      <c r="AH218" s="125">
        <f t="shared" si="34"/>
        <v>172095.52000000002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28000</v>
      </c>
      <c r="AL218" s="125">
        <f>IF($F$3="NO",0,IF(Valores!$C$61*B218&gt;Valores!$F$61,Valores!$F$61,Valores!$C$61*B218))</f>
        <v>327.60000000000002</v>
      </c>
      <c r="AM218" s="125">
        <f t="shared" si="32"/>
        <v>28327.599999999999</v>
      </c>
      <c r="AN218" s="125">
        <f>AH218*Valores!$C$71</f>
        <v>-18930.507200000004</v>
      </c>
      <c r="AO218" s="125">
        <f>AH218*-Valores!$C$72</f>
        <v>0</v>
      </c>
      <c r="AP218" s="125">
        <f>AH218*Valores!$C$73</f>
        <v>-7744.2984000000006</v>
      </c>
      <c r="AQ218" s="125">
        <f>Valores!$C$100</f>
        <v>-280.91000000000003</v>
      </c>
      <c r="AR218" s="125">
        <f>IF($F$5=0,Valores!$C$101,(Valores!$C$101+$F$5*(Valores!$C$101)))</f>
        <v>-385</v>
      </c>
      <c r="AS218" s="125">
        <f t="shared" si="35"/>
        <v>173082.4044</v>
      </c>
      <c r="AT218" s="125">
        <f t="shared" si="29"/>
        <v>-18930.507200000004</v>
      </c>
      <c r="AU218" s="125">
        <f>AH218*Valores!$C$74</f>
        <v>-4646.5790400000005</v>
      </c>
      <c r="AV218" s="125">
        <f>AH218*Valores!$C$75</f>
        <v>-516.28656000000012</v>
      </c>
      <c r="AW218" s="125">
        <f t="shared" si="33"/>
        <v>176329.74720000001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77864.97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15045.6</v>
      </c>
      <c r="N219" s="125">
        <f t="shared" si="30"/>
        <v>0</v>
      </c>
      <c r="O219" s="125">
        <f>Valores!$C$7*B219</f>
        <v>26673.040000000001</v>
      </c>
      <c r="P219" s="125">
        <f>ROUND(IF(B219&lt;15,(Valores!$E$5*B219),Valores!$D$5),2)</f>
        <v>13864.36</v>
      </c>
      <c r="Q219" s="125">
        <v>0</v>
      </c>
      <c r="R219" s="125">
        <f>IF($F$4="NO",Valores!$C$49*B219,Valores!$C$49*B219/2)</f>
        <v>14049.92</v>
      </c>
      <c r="S219" s="125">
        <f>Valores!$C$18*B219</f>
        <v>8389.119999999999</v>
      </c>
      <c r="T219" s="125">
        <f t="shared" si="36"/>
        <v>8389.1200000000008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8118.26</v>
      </c>
      <c r="AA219" s="125">
        <f>IF((Valores!$C$28)*B219&gt;Valores!$F$28,Valores!$F$28,(Valores!$C$28)*B219)</f>
        <v>658.88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548.68000000000006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12533.8</v>
      </c>
      <c r="AH219" s="125">
        <f t="shared" si="34"/>
        <v>177746.63000000003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29000</v>
      </c>
      <c r="AL219" s="125">
        <f>IF($F$3="NO",0,IF(Valores!$C$61*B219&gt;Valores!$F$61,Valores!$F$61,Valores!$C$61*B219))</f>
        <v>327.60000000000002</v>
      </c>
      <c r="AM219" s="125">
        <f t="shared" si="32"/>
        <v>29327.599999999999</v>
      </c>
      <c r="AN219" s="125">
        <f>AH219*Valores!$C$71</f>
        <v>-19552.129300000004</v>
      </c>
      <c r="AO219" s="125">
        <f>AH219*-Valores!$C$72</f>
        <v>0</v>
      </c>
      <c r="AP219" s="125">
        <f>AH219*Valores!$C$73</f>
        <v>-7998.5983500000011</v>
      </c>
      <c r="AQ219" s="125">
        <f>Valores!$C$100</f>
        <v>-280.91000000000003</v>
      </c>
      <c r="AR219" s="125">
        <f>IF($F$5=0,Valores!$C$101,(Valores!$C$101+$F$5*(Valores!$C$101)))</f>
        <v>-385</v>
      </c>
      <c r="AS219" s="125">
        <f t="shared" si="35"/>
        <v>178857.59235000002</v>
      </c>
      <c r="AT219" s="125">
        <f t="shared" si="29"/>
        <v>-19552.129300000004</v>
      </c>
      <c r="AU219" s="125">
        <f>AH219*Valores!$C$74</f>
        <v>-4799.1590100000012</v>
      </c>
      <c r="AV219" s="125">
        <f>AH219*Valores!$C$75</f>
        <v>-533.23989000000006</v>
      </c>
      <c r="AW219" s="125">
        <f t="shared" si="33"/>
        <v>182189.70180000004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80549.960000000006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15564.41</v>
      </c>
      <c r="N220" s="125">
        <f t="shared" si="30"/>
        <v>0</v>
      </c>
      <c r="O220" s="125">
        <f>Valores!$C$7*B220</f>
        <v>27592.799999999999</v>
      </c>
      <c r="P220" s="125">
        <f>ROUND(IF(B220&lt;15,(Valores!$E$5*B220),Valores!$D$5),2)</f>
        <v>13864.36</v>
      </c>
      <c r="Q220" s="125">
        <v>0</v>
      </c>
      <c r="R220" s="125">
        <f>IF($F$4="NO",Valores!$C$49*B220,Valores!$C$49*B220/2)</f>
        <v>14534.400000000001</v>
      </c>
      <c r="S220" s="125">
        <f>Valores!$C$18*B220</f>
        <v>8678.4</v>
      </c>
      <c r="T220" s="125">
        <f t="shared" si="36"/>
        <v>8678.4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8398.2000000000007</v>
      </c>
      <c r="AA220" s="125">
        <f>IF((Valores!$C$28)*B220&gt;Valores!$F$28,Valores!$F$28,(Valores!$C$28)*B220)</f>
        <v>681.59999999999991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567.05999999999995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12965.96</v>
      </c>
      <c r="AH220" s="125">
        <f t="shared" si="34"/>
        <v>183397.15000000002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30000</v>
      </c>
      <c r="AL220" s="125">
        <f>IF($F$3="NO",0,IF(Valores!$C$61*B220&gt;Valores!$F$61,Valores!$F$61,Valores!$C$61*B220))</f>
        <v>327.60000000000002</v>
      </c>
      <c r="AM220" s="125">
        <f t="shared" si="32"/>
        <v>30327.599999999999</v>
      </c>
      <c r="AN220" s="125">
        <f>AH220*Valores!$C$71</f>
        <v>-20173.686500000003</v>
      </c>
      <c r="AO220" s="125">
        <f>AH220*-Valores!$C$72</f>
        <v>0</v>
      </c>
      <c r="AP220" s="125">
        <f>AH220*Valores!$C$73</f>
        <v>-8252.8717500000002</v>
      </c>
      <c r="AQ220" s="125">
        <f>Valores!$C$100</f>
        <v>-280.91000000000003</v>
      </c>
      <c r="AR220" s="125">
        <f>IF($F$5=0,Valores!$C$101,(Valores!$C$101+$F$5*(Valores!$C$101)))</f>
        <v>-385</v>
      </c>
      <c r="AS220" s="125">
        <f t="shared" si="35"/>
        <v>184632.28175000002</v>
      </c>
      <c r="AT220" s="125">
        <f t="shared" si="29"/>
        <v>-20173.686500000003</v>
      </c>
      <c r="AU220" s="125">
        <f>AH220*Valores!$C$74</f>
        <v>-4951.7230500000005</v>
      </c>
      <c r="AV220" s="125">
        <f>AH220*Valores!$C$75</f>
        <v>-550.19145000000003</v>
      </c>
      <c r="AW220" s="125">
        <f t="shared" si="33"/>
        <v>188049.14900000003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83234.960000000006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16083.23</v>
      </c>
      <c r="N221" s="125">
        <f t="shared" si="30"/>
        <v>0</v>
      </c>
      <c r="O221" s="125">
        <f>Valores!$C$7*B221</f>
        <v>28512.560000000001</v>
      </c>
      <c r="P221" s="125">
        <f>ROUND(IF(B221&lt;15,(Valores!$E$5*B221),Valores!$D$5),2)</f>
        <v>13864.36</v>
      </c>
      <c r="Q221" s="125">
        <v>0</v>
      </c>
      <c r="R221" s="125">
        <f>IF($F$4="NO",Valores!$C$49*B221,Valores!$C$49*B221/2)</f>
        <v>15018.880000000001</v>
      </c>
      <c r="S221" s="125">
        <f>Valores!$C$18*B221</f>
        <v>8967.6799999999985</v>
      </c>
      <c r="T221" s="125">
        <f t="shared" si="36"/>
        <v>8967.68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8678.14</v>
      </c>
      <c r="AA221" s="125">
        <f>IF((Valores!$C$28)*B221&gt;Valores!$F$28,Valores!$F$28,(Valores!$C$28)*B221)</f>
        <v>704.31999999999994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567.05999999999995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12965.96</v>
      </c>
      <c r="AH221" s="125">
        <f t="shared" si="34"/>
        <v>188597.15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30000</v>
      </c>
      <c r="AL221" s="125">
        <f>IF($F$3="NO",0,IF(Valores!$C$61*B221&gt;Valores!$F$61,Valores!$F$61,Valores!$C$61*B221))</f>
        <v>327.60000000000002</v>
      </c>
      <c r="AM221" s="125">
        <f t="shared" si="32"/>
        <v>30327.599999999999</v>
      </c>
      <c r="AN221" s="125">
        <f>AH221*Valores!$C$71</f>
        <v>-20745.6865</v>
      </c>
      <c r="AO221" s="125">
        <f>AH221*-Valores!$C$72</f>
        <v>0</v>
      </c>
      <c r="AP221" s="125">
        <f>AH221*Valores!$C$73</f>
        <v>-8486.8717500000002</v>
      </c>
      <c r="AQ221" s="125">
        <f>Valores!$C$100</f>
        <v>-280.91000000000003</v>
      </c>
      <c r="AR221" s="125">
        <f>IF($F$5=0,Valores!$C$101,(Valores!$C$101+$F$5*(Valores!$C$101)))</f>
        <v>-385</v>
      </c>
      <c r="AS221" s="125">
        <f t="shared" si="35"/>
        <v>189026.28174999999</v>
      </c>
      <c r="AT221" s="125">
        <f t="shared" si="29"/>
        <v>-20745.6865</v>
      </c>
      <c r="AU221" s="125">
        <f>AH221*Valores!$C$74</f>
        <v>-5092.1230500000001</v>
      </c>
      <c r="AV221" s="125">
        <f>AH221*Valores!$C$75</f>
        <v>-565.79144999999994</v>
      </c>
      <c r="AW221" s="125">
        <f t="shared" si="33"/>
        <v>192521.149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85919.96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16602.04</v>
      </c>
      <c r="N222" s="125">
        <f t="shared" si="30"/>
        <v>0</v>
      </c>
      <c r="O222" s="125">
        <f>Valores!$C$7*B222</f>
        <v>29432.32</v>
      </c>
      <c r="P222" s="125">
        <f>ROUND(IF(B222&lt;15,(Valores!$E$5*B222),Valores!$D$5),2)</f>
        <v>13864.36</v>
      </c>
      <c r="Q222" s="125">
        <v>0</v>
      </c>
      <c r="R222" s="125">
        <f>IF($F$4="NO",Valores!$C$49*B222,Valores!$C$49*B222/2)</f>
        <v>15503.36</v>
      </c>
      <c r="S222" s="125">
        <f>Valores!$C$18*B222</f>
        <v>9256.9599999999991</v>
      </c>
      <c r="T222" s="125">
        <f t="shared" si="36"/>
        <v>9256.9599999999991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8958.08</v>
      </c>
      <c r="AA222" s="125">
        <f>IF((Valores!$C$28)*B222&gt;Valores!$F$28,Valores!$F$28,(Valores!$C$28)*B222)</f>
        <v>727.04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567.05999999999995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12965.96</v>
      </c>
      <c r="AH222" s="125">
        <f t="shared" si="34"/>
        <v>193797.13999999996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30000</v>
      </c>
      <c r="AL222" s="125">
        <f>IF($F$3="NO",0,IF(Valores!$C$61*B222&gt;Valores!$F$61,Valores!$F$61,Valores!$C$61*B222))</f>
        <v>327.60000000000002</v>
      </c>
      <c r="AM222" s="125">
        <f t="shared" si="32"/>
        <v>30327.599999999999</v>
      </c>
      <c r="AN222" s="125">
        <f>AH222*Valores!$C$71</f>
        <v>-21317.685399999995</v>
      </c>
      <c r="AO222" s="125">
        <f>AH222*-Valores!$C$72</f>
        <v>0</v>
      </c>
      <c r="AP222" s="125">
        <f>AH222*Valores!$C$73</f>
        <v>-8720.8712999999971</v>
      </c>
      <c r="AQ222" s="125">
        <f>Valores!$C$100</f>
        <v>-280.91000000000003</v>
      </c>
      <c r="AR222" s="125">
        <f>IF($F$5=0,Valores!$C$101,(Valores!$C$101+$F$5*(Valores!$C$101)))</f>
        <v>-385</v>
      </c>
      <c r="AS222" s="125">
        <f t="shared" si="35"/>
        <v>193420.27329999997</v>
      </c>
      <c r="AT222" s="125">
        <f t="shared" si="29"/>
        <v>-21317.685399999995</v>
      </c>
      <c r="AU222" s="125">
        <f>AH222*Valores!$C$74</f>
        <v>-5232.5227799999984</v>
      </c>
      <c r="AV222" s="125">
        <f>AH222*Valores!$C$75</f>
        <v>-581.39141999999993</v>
      </c>
      <c r="AW222" s="125">
        <f t="shared" si="33"/>
        <v>196993.14039999997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88604.96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17120.86</v>
      </c>
      <c r="N223" s="125">
        <f t="shared" si="30"/>
        <v>0</v>
      </c>
      <c r="O223" s="125">
        <f>Valores!$C$7*B223</f>
        <v>30352.079999999998</v>
      </c>
      <c r="P223" s="125">
        <f>ROUND(IF(B223&lt;15,(Valores!$E$5*B223),Valores!$D$5),2)</f>
        <v>13864.36</v>
      </c>
      <c r="Q223" s="125">
        <v>0</v>
      </c>
      <c r="R223" s="125">
        <f>IF($F$4="NO",Valores!$C$49*B223,Valores!$C$49*B223/2)</f>
        <v>15987.84</v>
      </c>
      <c r="S223" s="125">
        <f>Valores!$C$18*B223</f>
        <v>9546.24</v>
      </c>
      <c r="T223" s="125">
        <f t="shared" si="36"/>
        <v>9546.24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9238.02</v>
      </c>
      <c r="AA223" s="125">
        <f>IF((Valores!$C$28)*B223&gt;Valores!$F$28,Valores!$F$28,(Valores!$C$28)*B223)</f>
        <v>749.76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567.05999999999995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12965.96</v>
      </c>
      <c r="AH223" s="125">
        <f t="shared" si="34"/>
        <v>198997.13999999998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30000</v>
      </c>
      <c r="AL223" s="125">
        <f>IF($F$3="NO",0,IF(Valores!$C$61*B223&gt;Valores!$F$61,Valores!$F$61,Valores!$C$61*B223))</f>
        <v>327.60000000000002</v>
      </c>
      <c r="AM223" s="125">
        <f t="shared" si="32"/>
        <v>30327.599999999999</v>
      </c>
      <c r="AN223" s="125">
        <f>AH223*Valores!$C$71</f>
        <v>-21889.685399999998</v>
      </c>
      <c r="AO223" s="125">
        <f>AH223*-Valores!$C$72</f>
        <v>0</v>
      </c>
      <c r="AP223" s="125">
        <f>AH223*Valores!$C$73</f>
        <v>-8954.8712999999989</v>
      </c>
      <c r="AQ223" s="125">
        <f>Valores!$C$100</f>
        <v>-280.91000000000003</v>
      </c>
      <c r="AR223" s="125">
        <f>IF($F$5=0,Valores!$C$101,(Valores!$C$101+$F$5*(Valores!$C$101)))</f>
        <v>-385</v>
      </c>
      <c r="AS223" s="125">
        <f t="shared" si="35"/>
        <v>197814.27329999997</v>
      </c>
      <c r="AT223" s="125">
        <f t="shared" si="29"/>
        <v>-21889.685399999998</v>
      </c>
      <c r="AU223" s="125">
        <f>AH223*Valores!$C$74</f>
        <v>-5372.9227799999999</v>
      </c>
      <c r="AV223" s="125">
        <f>AH223*Valores!$C$75</f>
        <v>-596.99141999999995</v>
      </c>
      <c r="AW223" s="125">
        <f t="shared" si="33"/>
        <v>201465.1404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91289.96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17639.669999999998</v>
      </c>
      <c r="N224" s="125">
        <f t="shared" si="30"/>
        <v>0</v>
      </c>
      <c r="O224" s="125">
        <f>Valores!$C$7*B224</f>
        <v>31271.84</v>
      </c>
      <c r="P224" s="125">
        <f>ROUND(IF(B224&lt;15,(Valores!$E$5*B224),Valores!$D$5),2)</f>
        <v>13864.36</v>
      </c>
      <c r="Q224" s="125">
        <v>0</v>
      </c>
      <c r="R224" s="125">
        <f>IF($F$4="NO",Valores!$C$49*B224,Valores!$C$49*B224/2)</f>
        <v>16472.32</v>
      </c>
      <c r="S224" s="125">
        <f>Valores!$C$18*B224</f>
        <v>9835.5199999999986</v>
      </c>
      <c r="T224" s="125">
        <f t="shared" si="36"/>
        <v>9835.52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9517.9599999999991</v>
      </c>
      <c r="AA224" s="125">
        <f>IF((Valores!$C$28)*B224&gt;Valores!$F$28,Valores!$F$28,(Valores!$C$28)*B224)</f>
        <v>772.48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567.05999999999995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12965.96</v>
      </c>
      <c r="AH224" s="125">
        <f t="shared" si="34"/>
        <v>204197.13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30000</v>
      </c>
      <c r="AL224" s="125">
        <f>IF($F$3="NO",0,IF(Valores!$C$61*B224&gt;Valores!$F$61,Valores!$F$61,Valores!$C$61*B224))</f>
        <v>327.60000000000002</v>
      </c>
      <c r="AM224" s="125">
        <f t="shared" si="32"/>
        <v>30327.599999999999</v>
      </c>
      <c r="AN224" s="125">
        <f>AH224*Valores!$C$71</f>
        <v>-22461.684300000001</v>
      </c>
      <c r="AO224" s="125">
        <f>AH224*-Valores!$C$72</f>
        <v>0</v>
      </c>
      <c r="AP224" s="125">
        <f>AH224*Valores!$C$73</f>
        <v>-9188.8708499999993</v>
      </c>
      <c r="AQ224" s="125">
        <f>Valores!$C$100</f>
        <v>-280.91000000000003</v>
      </c>
      <c r="AR224" s="125">
        <f>IF($F$5=0,Valores!$C$101,(Valores!$C$101+$F$5*(Valores!$C$101)))</f>
        <v>-385</v>
      </c>
      <c r="AS224" s="125">
        <f t="shared" si="35"/>
        <v>202208.26485000001</v>
      </c>
      <c r="AT224" s="125">
        <f t="shared" si="29"/>
        <v>-22461.684300000001</v>
      </c>
      <c r="AU224" s="125">
        <f>AH224*Valores!$C$74</f>
        <v>-5513.32251</v>
      </c>
      <c r="AV224" s="125">
        <f>AH224*Valores!$C$75</f>
        <v>-612.59139000000005</v>
      </c>
      <c r="AW224" s="125">
        <f t="shared" si="33"/>
        <v>205937.1318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93974.96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18158.48</v>
      </c>
      <c r="N225" s="125">
        <f t="shared" si="30"/>
        <v>0</v>
      </c>
      <c r="O225" s="125">
        <f>Valores!$C$7*B225</f>
        <v>32191.599999999999</v>
      </c>
      <c r="P225" s="125">
        <f>ROUND(IF(B225&lt;15,(Valores!$E$5*B225),Valores!$D$5),2)</f>
        <v>13864.36</v>
      </c>
      <c r="Q225" s="125">
        <v>0</v>
      </c>
      <c r="R225" s="125">
        <f>IF($F$4="NO",Valores!$C$49*B225,Valores!$C$49*B225/2)</f>
        <v>16956.8</v>
      </c>
      <c r="S225" s="125">
        <f>Valores!$C$18*B225</f>
        <v>10124.799999999999</v>
      </c>
      <c r="T225" s="125">
        <f t="shared" si="36"/>
        <v>10124.799999999999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9797.9</v>
      </c>
      <c r="AA225" s="125">
        <f>IF((Valores!$C$28)*B225&gt;Valores!$F$28,Valores!$F$28,(Valores!$C$28)*B225)</f>
        <v>795.19999999999993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567.05999999999995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12965.96</v>
      </c>
      <c r="AH225" s="125">
        <f t="shared" si="34"/>
        <v>209397.12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30000</v>
      </c>
      <c r="AL225" s="125">
        <f>IF($F$3="NO",0,IF(Valores!$C$61*B225&gt;Valores!$F$61,Valores!$F$61,Valores!$C$61*B225))</f>
        <v>327.60000000000002</v>
      </c>
      <c r="AM225" s="125">
        <f t="shared" si="32"/>
        <v>30327.599999999999</v>
      </c>
      <c r="AN225" s="125">
        <f>AH225*Valores!$C$71</f>
        <v>-23033.683199999999</v>
      </c>
      <c r="AO225" s="125">
        <f>AH225*-Valores!$C$72</f>
        <v>0</v>
      </c>
      <c r="AP225" s="125">
        <f>AH225*Valores!$C$73</f>
        <v>-9422.8703999999998</v>
      </c>
      <c r="AQ225" s="125">
        <f>Valores!$C$100</f>
        <v>-280.91000000000003</v>
      </c>
      <c r="AR225" s="125">
        <f>IF($F$5=0,Valores!$C$101,(Valores!$C$101+$F$5*(Valores!$C$101)))</f>
        <v>-385</v>
      </c>
      <c r="AS225" s="125">
        <f t="shared" si="35"/>
        <v>206602.25639999998</v>
      </c>
      <c r="AT225" s="125">
        <f t="shared" si="29"/>
        <v>-23033.683199999999</v>
      </c>
      <c r="AU225" s="125">
        <f>AH225*Valores!$C$74</f>
        <v>-5653.7222400000001</v>
      </c>
      <c r="AV225" s="125">
        <f>AH225*Valores!$C$75</f>
        <v>-628.19136000000003</v>
      </c>
      <c r="AW225" s="125">
        <f t="shared" si="33"/>
        <v>210409.1232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96659.96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18677.3</v>
      </c>
      <c r="N226" s="125">
        <f t="shared" si="30"/>
        <v>0</v>
      </c>
      <c r="O226" s="125">
        <f>Valores!$C$7*B226</f>
        <v>33111.360000000001</v>
      </c>
      <c r="P226" s="125">
        <f>ROUND(IF(B226&lt;15,(Valores!$E$5*B226),Valores!$D$5),2)</f>
        <v>13864.36</v>
      </c>
      <c r="Q226" s="125">
        <v>0</v>
      </c>
      <c r="R226" s="125">
        <f>IF($F$4="NO",Valores!$C$49*B226,Valores!$C$49*B226/2)</f>
        <v>17441.28</v>
      </c>
      <c r="S226" s="125">
        <f>Valores!$C$18*B226</f>
        <v>10414.079999999998</v>
      </c>
      <c r="T226" s="125">
        <f t="shared" si="36"/>
        <v>10414.08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10077.84</v>
      </c>
      <c r="AA226" s="125">
        <f>IF((Valores!$C$28)*B226&gt;Valores!$F$28,Valores!$F$28,(Valores!$C$28)*B226)</f>
        <v>817.92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567.05999999999995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12965.96</v>
      </c>
      <c r="AH226" s="125">
        <f t="shared" si="34"/>
        <v>214597.11999999997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30000</v>
      </c>
      <c r="AL226" s="125">
        <f>IF($F$3="NO",0,IF(Valores!$C$61*B226&gt;Valores!$F$61,Valores!$F$61,Valores!$C$61*B226))</f>
        <v>327.60000000000002</v>
      </c>
      <c r="AM226" s="125">
        <f t="shared" si="32"/>
        <v>30327.599999999999</v>
      </c>
      <c r="AN226" s="125">
        <f>AH226*Valores!$C$71</f>
        <v>-23605.683199999996</v>
      </c>
      <c r="AO226" s="125">
        <f>AH226*-Valores!$C$72</f>
        <v>0</v>
      </c>
      <c r="AP226" s="125">
        <f>AH226*Valores!$C$73</f>
        <v>-9656.870399999998</v>
      </c>
      <c r="AQ226" s="125">
        <f>Valores!$C$100</f>
        <v>-280.91000000000003</v>
      </c>
      <c r="AR226" s="125">
        <f>IF($F$5=0,Valores!$C$101,(Valores!$C$101+$F$5*(Valores!$C$101)))</f>
        <v>-385</v>
      </c>
      <c r="AS226" s="125">
        <f t="shared" si="35"/>
        <v>210996.25639999998</v>
      </c>
      <c r="AT226" s="125">
        <f t="shared" si="29"/>
        <v>-23605.683199999996</v>
      </c>
      <c r="AU226" s="125">
        <f>AH226*Valores!$C$74</f>
        <v>-5794.1222399999988</v>
      </c>
      <c r="AV226" s="125">
        <f>AH226*Valores!$C$75</f>
        <v>-643.79135999999994</v>
      </c>
      <c r="AW226" s="125">
        <f t="shared" si="33"/>
        <v>214881.12319999997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2142.5700000000002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437.45</v>
      </c>
      <c r="N227" s="125">
        <f t="shared" si="30"/>
        <v>0</v>
      </c>
      <c r="O227" s="125">
        <f>Valores!$C$7*B227</f>
        <v>919.76</v>
      </c>
      <c r="P227" s="125">
        <f>ROUND(IF(B227&lt;15,(Valores!$E$5*B227),Valores!$D$5),2)</f>
        <v>924.29</v>
      </c>
      <c r="Q227" s="125">
        <v>0</v>
      </c>
      <c r="R227" s="125">
        <f>IF($F$4="NO",Valores!$C$49*B227,Valores!$C$49*B227/2)</f>
        <v>484.48</v>
      </c>
      <c r="S227" s="125">
        <f>Valores!$C$18*B227</f>
        <v>289.27999999999997</v>
      </c>
      <c r="T227" s="125">
        <f t="shared" si="36"/>
        <v>289.27999999999997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279.94</v>
      </c>
      <c r="AA227" s="125">
        <f>IF((Valores!$C$28)*B227&gt;Valores!$F$28,Valores!$F$28,(Valores!$C$28)*B227)</f>
        <v>22.72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18.920000000000002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432.2</v>
      </c>
      <c r="AH227" s="125">
        <f t="shared" si="34"/>
        <v>5951.6099999999988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1000</v>
      </c>
      <c r="AL227" s="125">
        <f>IF($F$3="NO",0,IF(Valores!$C$62*B227&gt;Valores!$F$62,Valores!$F$62,Valores!$C$62*B227))</f>
        <v>11.3559</v>
      </c>
      <c r="AM227" s="125">
        <f t="shared" si="32"/>
        <v>1011.3559</v>
      </c>
      <c r="AN227" s="125">
        <f>AH227*Valores!$C$71</f>
        <v>-654.67709999999988</v>
      </c>
      <c r="AO227" s="125">
        <f>AH227*-Valores!$C$72</f>
        <v>0</v>
      </c>
      <c r="AP227" s="125">
        <f>AH227*Valores!$C$73</f>
        <v>-267.82244999999995</v>
      </c>
      <c r="AQ227" s="125">
        <f>Valores!$C$100</f>
        <v>-280.91000000000003</v>
      </c>
      <c r="AR227" s="125">
        <f>IF($F$5=0,Valores!$C$101,(Valores!$C$101+$F$5*(Valores!$C$101)))</f>
        <v>-385</v>
      </c>
      <c r="AS227" s="125">
        <f t="shared" si="35"/>
        <v>5374.5563499999989</v>
      </c>
      <c r="AT227" s="125">
        <f t="shared" si="29"/>
        <v>-654.67709999999988</v>
      </c>
      <c r="AU227" s="125">
        <f>AH227*Valores!$C$74</f>
        <v>-160.69346999999996</v>
      </c>
      <c r="AV227" s="125">
        <f>AH227*Valores!$C$75</f>
        <v>-17.854829999999996</v>
      </c>
      <c r="AW227" s="125">
        <f t="shared" si="33"/>
        <v>6129.7404999999999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2142.5700000000002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437.45</v>
      </c>
      <c r="N228" s="125">
        <f t="shared" si="30"/>
        <v>0</v>
      </c>
      <c r="O228" s="125">
        <f>Valores!$C$7*B228</f>
        <v>919.76</v>
      </c>
      <c r="P228" s="125">
        <f>ROUND(IF(B228&lt;15,(Valores!$E$5*B228),Valores!$D$5),2)</f>
        <v>924.29</v>
      </c>
      <c r="Q228" s="125">
        <v>0</v>
      </c>
      <c r="R228" s="125">
        <f>IF($F$4="NO",Valores!$C$49*B228,Valores!$C$49*B228/2)</f>
        <v>484.48</v>
      </c>
      <c r="S228" s="125">
        <f>Valores!$C$18*B228</f>
        <v>289.27999999999997</v>
      </c>
      <c r="T228" s="125">
        <f t="shared" si="36"/>
        <v>289.27999999999997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279.94</v>
      </c>
      <c r="AA228" s="125">
        <f>IF((Valores!$C$28)*B228&gt;Valores!$F$28,Valores!$F$28,(Valores!$C$28)*B228)</f>
        <v>22.72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18.920000000000002</v>
      </c>
      <c r="AE228" s="192">
        <v>94</v>
      </c>
      <c r="AF228" s="125">
        <f>ROUND(AE228*Valores!$C$2,2)</f>
        <v>2549.39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432.2</v>
      </c>
      <c r="AH228" s="125">
        <f t="shared" si="34"/>
        <v>8501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1000</v>
      </c>
      <c r="AL228" s="125">
        <f>IF($F$3="NO",0,IF(Valores!$C$62*B228&gt;Valores!$F$62,Valores!$F$62,Valores!$C$62*B228))</f>
        <v>11.3559</v>
      </c>
      <c r="AM228" s="125">
        <f t="shared" si="32"/>
        <v>1011.3559</v>
      </c>
      <c r="AN228" s="125">
        <f>AH228*Valores!$C$71</f>
        <v>-935.11</v>
      </c>
      <c r="AO228" s="125">
        <f>AH228*-Valores!$C$72</f>
        <v>0</v>
      </c>
      <c r="AP228" s="125">
        <f>AH228*Valores!$C$73</f>
        <v>-382.54499999999996</v>
      </c>
      <c r="AQ228" s="125">
        <f>Valores!$C$100</f>
        <v>-280.91000000000003</v>
      </c>
      <c r="AR228" s="125">
        <f>IF($F$5=0,Valores!$C$101,(Valores!$C$101+$F$5*(Valores!$C$101)))</f>
        <v>-385</v>
      </c>
      <c r="AS228" s="125">
        <f t="shared" si="35"/>
        <v>7528.7909</v>
      </c>
      <c r="AT228" s="125">
        <f t="shared" si="29"/>
        <v>-935.11</v>
      </c>
      <c r="AU228" s="125">
        <f>AH228*Valores!$C$74</f>
        <v>-229.52699999999999</v>
      </c>
      <c r="AV228" s="125">
        <f>AH228*Valores!$C$75</f>
        <v>-25.503</v>
      </c>
      <c r="AW228" s="125">
        <f t="shared" si="33"/>
        <v>8322.2159000000011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4285.1499999999996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874.9</v>
      </c>
      <c r="N229" s="125">
        <f t="shared" si="30"/>
        <v>0</v>
      </c>
      <c r="O229" s="125">
        <f>Valores!$C$7*B229</f>
        <v>1839.52</v>
      </c>
      <c r="P229" s="125">
        <f>ROUND(IF(B229&lt;15,(Valores!$E$5*B229),Valores!$D$5),2)</f>
        <v>1848.58</v>
      </c>
      <c r="Q229" s="125">
        <v>0</v>
      </c>
      <c r="R229" s="125">
        <f>IF($F$4="NO",Valores!$C$49*B229,Valores!$C$49*B229/2)</f>
        <v>968.96</v>
      </c>
      <c r="S229" s="125">
        <f>Valores!$C$18*B229</f>
        <v>578.55999999999995</v>
      </c>
      <c r="T229" s="125">
        <f t="shared" si="36"/>
        <v>578.55999999999995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559.88</v>
      </c>
      <c r="AA229" s="125">
        <f>IF((Valores!$C$28)*B229&gt;Valores!$F$28,Valores!$F$28,(Valores!$C$28)*B229)</f>
        <v>45.44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37.840000000000003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864.4</v>
      </c>
      <c r="AH229" s="125">
        <f t="shared" si="34"/>
        <v>11903.23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2000</v>
      </c>
      <c r="AL229" s="125">
        <f>IF($F$3="NO",0,IF(Valores!$C$62*B229&gt;Valores!$F$62,Valores!$F$62,Valores!$C$62*B229))</f>
        <v>22.7118</v>
      </c>
      <c r="AM229" s="125">
        <f t="shared" si="32"/>
        <v>2022.7118</v>
      </c>
      <c r="AN229" s="125">
        <f>AH229*Valores!$C$71</f>
        <v>-1309.3552999999999</v>
      </c>
      <c r="AO229" s="125">
        <f>AH229*-Valores!$C$72</f>
        <v>0</v>
      </c>
      <c r="AP229" s="125">
        <f>AH229*Valores!$C$73</f>
        <v>-535.64535000000001</v>
      </c>
      <c r="AQ229" s="125">
        <f>Valores!$C$100</f>
        <v>-280.91000000000003</v>
      </c>
      <c r="AR229" s="125">
        <f>IF($F$5=0,Valores!$C$101,(Valores!$C$101+$F$5*(Valores!$C$101)))</f>
        <v>-385</v>
      </c>
      <c r="AS229" s="125">
        <f t="shared" si="35"/>
        <v>11415.031149999999</v>
      </c>
      <c r="AT229" s="125">
        <f t="shared" si="29"/>
        <v>-1309.3552999999999</v>
      </c>
      <c r="AU229" s="125">
        <f>AH229*Valores!$C$74</f>
        <v>-321.38720999999998</v>
      </c>
      <c r="AV229" s="125">
        <f>AH229*Valores!$C$75</f>
        <v>-35.709690000000002</v>
      </c>
      <c r="AW229" s="125">
        <f t="shared" si="33"/>
        <v>12259.489600000001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4285.1499999999996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874.9</v>
      </c>
      <c r="N230" s="125">
        <f t="shared" si="30"/>
        <v>0</v>
      </c>
      <c r="O230" s="125">
        <f>Valores!$C$7*B230</f>
        <v>1839.52</v>
      </c>
      <c r="P230" s="125">
        <f>ROUND(IF(B230&lt;15,(Valores!$E$5*B230),Valores!$D$5),2)</f>
        <v>1848.58</v>
      </c>
      <c r="Q230" s="125">
        <v>0</v>
      </c>
      <c r="R230" s="125">
        <f>IF($F$4="NO",Valores!$C$49*B230,Valores!$C$49*B230/2)</f>
        <v>968.96</v>
      </c>
      <c r="S230" s="125">
        <f>Valores!$C$18*B230</f>
        <v>578.55999999999995</v>
      </c>
      <c r="T230" s="125">
        <f t="shared" si="36"/>
        <v>578.55999999999995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559.88</v>
      </c>
      <c r="AA230" s="125">
        <f>IF((Valores!$C$28)*B230&gt;Valores!$F$28,Valores!$F$28,(Valores!$C$28)*B230)</f>
        <v>45.44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37.840000000000003</v>
      </c>
      <c r="AE230" s="192">
        <v>94</v>
      </c>
      <c r="AF230" s="125">
        <f>ROUND(AE230*Valores!$C$2,2)</f>
        <v>2549.39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864.4</v>
      </c>
      <c r="AH230" s="125">
        <f t="shared" si="34"/>
        <v>14452.619999999999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2000</v>
      </c>
      <c r="AL230" s="125">
        <f>IF($F$3="NO",0,IF(Valores!$C$62*B230&gt;Valores!$F$62,Valores!$F$62,Valores!$C$62*B230))</f>
        <v>22.7118</v>
      </c>
      <c r="AM230" s="125">
        <f t="shared" si="32"/>
        <v>2022.7118</v>
      </c>
      <c r="AN230" s="125">
        <f>AH230*Valores!$C$71</f>
        <v>-1589.7882</v>
      </c>
      <c r="AO230" s="125">
        <f>AH230*-Valores!$C$72</f>
        <v>0</v>
      </c>
      <c r="AP230" s="125">
        <f>AH230*Valores!$C$73</f>
        <v>-650.36789999999996</v>
      </c>
      <c r="AQ230" s="125">
        <f>Valores!$C$100</f>
        <v>-280.91000000000003</v>
      </c>
      <c r="AR230" s="125">
        <f>IF($F$5=0,Valores!$C$101,(Valores!$C$101+$F$5*(Valores!$C$101)))</f>
        <v>-385</v>
      </c>
      <c r="AS230" s="125">
        <f t="shared" si="35"/>
        <v>13569.2657</v>
      </c>
      <c r="AT230" s="125">
        <f t="shared" si="29"/>
        <v>-1589.7882</v>
      </c>
      <c r="AU230" s="125">
        <f>AH230*Valores!$C$74</f>
        <v>-390.22073999999998</v>
      </c>
      <c r="AV230" s="125">
        <f>AH230*Valores!$C$75</f>
        <v>-43.357859999999995</v>
      </c>
      <c r="AW230" s="125">
        <f t="shared" si="33"/>
        <v>14451.965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6427.72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1312.35</v>
      </c>
      <c r="N231" s="125">
        <f t="shared" si="30"/>
        <v>0</v>
      </c>
      <c r="O231" s="125">
        <f>Valores!$C$7*B231</f>
        <v>2759.2799999999997</v>
      </c>
      <c r="P231" s="125">
        <f>ROUND(IF(B231&lt;15,(Valores!$E$5*B231),Valores!$D$5),2)</f>
        <v>2772.87</v>
      </c>
      <c r="Q231" s="125">
        <v>0</v>
      </c>
      <c r="R231" s="125">
        <f>IF($F$4="NO",Valores!$C$49*B231,Valores!$C$49*B231/2)</f>
        <v>1453.44</v>
      </c>
      <c r="S231" s="125">
        <f>Valores!$C$18*B231</f>
        <v>867.83999999999992</v>
      </c>
      <c r="T231" s="125">
        <f t="shared" si="36"/>
        <v>867.84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839.81999999999994</v>
      </c>
      <c r="AA231" s="125">
        <f>IF((Valores!$C$28)*B231&gt;Valores!$F$28,Valores!$F$28,(Valores!$C$28)*B231)</f>
        <v>68.16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56.760000000000005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1296.5999999999999</v>
      </c>
      <c r="AH231" s="125">
        <f t="shared" si="34"/>
        <v>17854.839999999997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3000</v>
      </c>
      <c r="AL231" s="125">
        <f>IF($F$3="NO",0,IF(Valores!$C$62*B231&gt;Valores!$F$62,Valores!$F$62,Valores!$C$62*B231))</f>
        <v>34.067700000000002</v>
      </c>
      <c r="AM231" s="125">
        <f t="shared" si="32"/>
        <v>3034.0677000000001</v>
      </c>
      <c r="AN231" s="125">
        <f>AH231*Valores!$C$71</f>
        <v>-1964.0323999999996</v>
      </c>
      <c r="AO231" s="125">
        <f>AH231*-Valores!$C$72</f>
        <v>0</v>
      </c>
      <c r="AP231" s="125">
        <f>AH231*Valores!$C$73</f>
        <v>-803.46779999999978</v>
      </c>
      <c r="AQ231" s="125">
        <f>Valores!$C$100</f>
        <v>-280.91000000000003</v>
      </c>
      <c r="AR231" s="125">
        <f>IF($F$5=0,Valores!$C$101,(Valores!$C$101+$F$5*(Valores!$C$101)))</f>
        <v>-385</v>
      </c>
      <c r="AS231" s="125">
        <f t="shared" si="35"/>
        <v>17455.497499999998</v>
      </c>
      <c r="AT231" s="125">
        <f t="shared" si="29"/>
        <v>-1964.0323999999996</v>
      </c>
      <c r="AU231" s="125">
        <f>AH231*Valores!$C$74</f>
        <v>-482.08067999999992</v>
      </c>
      <c r="AV231" s="125">
        <f>AH231*Valores!$C$75</f>
        <v>-53.564519999999987</v>
      </c>
      <c r="AW231" s="125">
        <f t="shared" si="33"/>
        <v>18389.230099999997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6427.72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1312.35</v>
      </c>
      <c r="N232" s="125">
        <f t="shared" si="30"/>
        <v>0</v>
      </c>
      <c r="O232" s="125">
        <f>Valores!$C$7*B232</f>
        <v>2759.2799999999997</v>
      </c>
      <c r="P232" s="125">
        <f>ROUND(IF(B232&lt;15,(Valores!$E$5*B232),Valores!$D$5),2)</f>
        <v>2772.87</v>
      </c>
      <c r="Q232" s="125">
        <v>0</v>
      </c>
      <c r="R232" s="125">
        <f>IF($F$4="NO",Valores!$C$49*B232,Valores!$C$49*B232/2)</f>
        <v>1453.44</v>
      </c>
      <c r="S232" s="125">
        <f>Valores!$C$18*B232</f>
        <v>867.83999999999992</v>
      </c>
      <c r="T232" s="125">
        <f t="shared" si="36"/>
        <v>867.84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839.81999999999994</v>
      </c>
      <c r="AA232" s="125">
        <f>IF((Valores!$C$28)*B232&gt;Valores!$F$28,Valores!$F$28,(Valores!$C$28)*B232)</f>
        <v>68.16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56.760000000000005</v>
      </c>
      <c r="AE232" s="192">
        <v>94</v>
      </c>
      <c r="AF232" s="125">
        <f>ROUND(AE232*Valores!$C$2,2)</f>
        <v>2549.39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1296.5999999999999</v>
      </c>
      <c r="AH232" s="125">
        <f t="shared" si="34"/>
        <v>20404.229999999996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3000</v>
      </c>
      <c r="AL232" s="125">
        <f>IF($F$3="NO",0,IF(Valores!$C$62*B232&gt;Valores!$F$62,Valores!$F$62,Valores!$C$62*B232))</f>
        <v>34.067700000000002</v>
      </c>
      <c r="AM232" s="125">
        <f t="shared" si="32"/>
        <v>3034.0677000000001</v>
      </c>
      <c r="AN232" s="125">
        <f>AH232*Valores!$C$71</f>
        <v>-2244.4652999999994</v>
      </c>
      <c r="AO232" s="125">
        <f>AH232*-Valores!$C$72</f>
        <v>0</v>
      </c>
      <c r="AP232" s="125">
        <f>AH232*Valores!$C$73</f>
        <v>-918.19034999999974</v>
      </c>
      <c r="AQ232" s="125">
        <f>Valores!$C$100</f>
        <v>-280.91000000000003</v>
      </c>
      <c r="AR232" s="125">
        <f>IF($F$5=0,Valores!$C$101,(Valores!$C$101+$F$5*(Valores!$C$101)))</f>
        <v>-385</v>
      </c>
      <c r="AS232" s="125">
        <f t="shared" si="35"/>
        <v>19609.732049999999</v>
      </c>
      <c r="AT232" s="125">
        <f t="shared" si="29"/>
        <v>-2244.4652999999994</v>
      </c>
      <c r="AU232" s="125">
        <f>AH232*Valores!$C$74</f>
        <v>-550.91420999999991</v>
      </c>
      <c r="AV232" s="125">
        <f>AH232*Valores!$C$75</f>
        <v>-61.212689999999988</v>
      </c>
      <c r="AW232" s="125">
        <f t="shared" si="33"/>
        <v>20581.705499999996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8570.2999999999993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1749.8</v>
      </c>
      <c r="N233" s="125">
        <f t="shared" si="30"/>
        <v>0</v>
      </c>
      <c r="O233" s="125">
        <f>Valores!$C$7*B233</f>
        <v>3679.04</v>
      </c>
      <c r="P233" s="125">
        <f>ROUND(IF(B233&lt;15,(Valores!$E$5*B233),Valores!$D$5),2)</f>
        <v>3697.16</v>
      </c>
      <c r="Q233" s="125">
        <v>0</v>
      </c>
      <c r="R233" s="125">
        <f>IF($F$4="NO",Valores!$C$49*B233,Valores!$C$49*B233/2)</f>
        <v>1937.92</v>
      </c>
      <c r="S233" s="125">
        <f>Valores!$C$18*B233</f>
        <v>1157.1199999999999</v>
      </c>
      <c r="T233" s="125">
        <f t="shared" si="36"/>
        <v>1157.1199999999999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1119.76</v>
      </c>
      <c r="AA233" s="125">
        <f>IF((Valores!$C$28)*B233&gt;Valores!$F$28,Valores!$F$28,(Valores!$C$28)*B233)</f>
        <v>90.88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75.680000000000007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1728.8</v>
      </c>
      <c r="AH233" s="125">
        <f t="shared" si="34"/>
        <v>23806.46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4000</v>
      </c>
      <c r="AL233" s="125">
        <f>IF($F$3="NO",0,IF(Valores!$C$62*B233&gt;Valores!$F$62,Valores!$F$62,Valores!$C$62*B233))</f>
        <v>45.4236</v>
      </c>
      <c r="AM233" s="125">
        <f t="shared" si="32"/>
        <v>4045.4236000000001</v>
      </c>
      <c r="AN233" s="125">
        <f>AH233*Valores!$C$71</f>
        <v>-2618.7105999999999</v>
      </c>
      <c r="AO233" s="125">
        <f>AH233*-Valores!$C$72</f>
        <v>0</v>
      </c>
      <c r="AP233" s="125">
        <f>AH233*Valores!$C$73</f>
        <v>-1071.2907</v>
      </c>
      <c r="AQ233" s="125">
        <f>Valores!$C$100</f>
        <v>-280.91000000000003</v>
      </c>
      <c r="AR233" s="125">
        <f>IF($F$5=0,Valores!$C$101,(Valores!$C$101+$F$5*(Valores!$C$101)))</f>
        <v>-385</v>
      </c>
      <c r="AS233" s="125">
        <f t="shared" si="35"/>
        <v>23495.972299999998</v>
      </c>
      <c r="AT233" s="125">
        <f t="shared" si="29"/>
        <v>-2618.7105999999999</v>
      </c>
      <c r="AU233" s="125">
        <f>AH233*Valores!$C$74</f>
        <v>-642.77441999999996</v>
      </c>
      <c r="AV233" s="125">
        <f>AH233*Valores!$C$75</f>
        <v>-71.419380000000004</v>
      </c>
      <c r="AW233" s="125">
        <f t="shared" si="33"/>
        <v>24518.979200000002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8570.2999999999993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1749.8</v>
      </c>
      <c r="N234" s="125">
        <f t="shared" si="30"/>
        <v>0</v>
      </c>
      <c r="O234" s="125">
        <f>Valores!$C$7*B234</f>
        <v>3679.04</v>
      </c>
      <c r="P234" s="125">
        <f>ROUND(IF(B234&lt;15,(Valores!$E$5*B234),Valores!$D$5),2)</f>
        <v>3697.16</v>
      </c>
      <c r="Q234" s="125">
        <v>0</v>
      </c>
      <c r="R234" s="125">
        <f>IF($F$4="NO",Valores!$C$49*B234,Valores!$C$49*B234/2)</f>
        <v>1937.92</v>
      </c>
      <c r="S234" s="125">
        <f>Valores!$C$18*B234</f>
        <v>1157.1199999999999</v>
      </c>
      <c r="T234" s="125">
        <f t="shared" si="36"/>
        <v>1157.1199999999999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1119.76</v>
      </c>
      <c r="AA234" s="125">
        <f>IF((Valores!$C$28)*B234&gt;Valores!$F$28,Valores!$F$28,(Valores!$C$28)*B234)</f>
        <v>90.88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75.680000000000007</v>
      </c>
      <c r="AE234" s="192">
        <v>94</v>
      </c>
      <c r="AF234" s="125">
        <f>ROUND(AE234*Valores!$C$2,2)</f>
        <v>2549.39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1728.8</v>
      </c>
      <c r="AH234" s="125">
        <f t="shared" si="34"/>
        <v>26355.85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4000</v>
      </c>
      <c r="AL234" s="125">
        <f>IF($F$3="NO",0,IF(Valores!$C$62*B234&gt;Valores!$F$62,Valores!$F$62,Valores!$C$62*B234))</f>
        <v>45.4236</v>
      </c>
      <c r="AM234" s="125">
        <f t="shared" si="32"/>
        <v>4045.4236000000001</v>
      </c>
      <c r="AN234" s="125">
        <f>AH234*Valores!$C$71</f>
        <v>-2899.1434999999997</v>
      </c>
      <c r="AO234" s="125">
        <f>AH234*-Valores!$C$72</f>
        <v>0</v>
      </c>
      <c r="AP234" s="125">
        <f>AH234*Valores!$C$73</f>
        <v>-1186.01325</v>
      </c>
      <c r="AQ234" s="125">
        <f>Valores!$C$100</f>
        <v>-280.91000000000003</v>
      </c>
      <c r="AR234" s="125">
        <f>IF($F$5=0,Valores!$C$101,(Valores!$C$101+$F$5*(Valores!$C$101)))</f>
        <v>-385</v>
      </c>
      <c r="AS234" s="125">
        <f t="shared" si="35"/>
        <v>25650.206849999999</v>
      </c>
      <c r="AT234" s="125">
        <f t="shared" si="29"/>
        <v>-2899.1434999999997</v>
      </c>
      <c r="AU234" s="125">
        <f>AH234*Valores!$C$74</f>
        <v>-711.60794999999996</v>
      </c>
      <c r="AV234" s="125">
        <f>AH234*Valores!$C$75</f>
        <v>-79.067549999999997</v>
      </c>
      <c r="AW234" s="125">
        <f t="shared" si="33"/>
        <v>26711.454600000001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10712.87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2187.25</v>
      </c>
      <c r="N235" s="125">
        <f t="shared" si="30"/>
        <v>0</v>
      </c>
      <c r="O235" s="125">
        <f>Valores!$C$7*B235</f>
        <v>4598.8</v>
      </c>
      <c r="P235" s="125">
        <f>ROUND(IF(B235&lt;15,(Valores!$E$5*B235),Valores!$D$5),2)</f>
        <v>4621.45</v>
      </c>
      <c r="Q235" s="125">
        <v>0</v>
      </c>
      <c r="R235" s="125">
        <f>IF($F$4="NO",Valores!$C$49*B235,Valores!$C$49*B235/2)</f>
        <v>2422.4</v>
      </c>
      <c r="S235" s="125">
        <f>Valores!$C$18*B235</f>
        <v>1446.3999999999999</v>
      </c>
      <c r="T235" s="125">
        <f t="shared" si="36"/>
        <v>1446.4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1399.7</v>
      </c>
      <c r="AA235" s="125">
        <f>IF((Valores!$C$28)*B235&gt;Valores!$F$28,Valores!$F$28,(Valores!$C$28)*B235)</f>
        <v>113.6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94.600000000000009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2161</v>
      </c>
      <c r="AH235" s="125">
        <f t="shared" si="34"/>
        <v>29758.070000000003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5000</v>
      </c>
      <c r="AL235" s="125">
        <f>IF($F$3="NO",0,IF(Valores!$C$62*B235&gt;Valores!$F$62,Valores!$F$62,Valores!$C$62*B235))</f>
        <v>56.779499999999999</v>
      </c>
      <c r="AM235" s="125">
        <f t="shared" si="32"/>
        <v>5056.7794999999996</v>
      </c>
      <c r="AN235" s="125">
        <f>AH235*Valores!$C$71</f>
        <v>-3273.3877000000002</v>
      </c>
      <c r="AO235" s="125">
        <f>AH235*-Valores!$C$72</f>
        <v>0</v>
      </c>
      <c r="AP235" s="125">
        <f>AH235*Valores!$C$73</f>
        <v>-1339.1131500000001</v>
      </c>
      <c r="AQ235" s="125">
        <f>Valores!$C$100</f>
        <v>-280.91000000000003</v>
      </c>
      <c r="AR235" s="125">
        <f>IF($F$5=0,Valores!$C$101,(Valores!$C$101+$F$5*(Valores!$C$101)))</f>
        <v>-385</v>
      </c>
      <c r="AS235" s="125">
        <f t="shared" si="35"/>
        <v>29536.438650000004</v>
      </c>
      <c r="AT235" s="125">
        <f t="shared" si="29"/>
        <v>-3273.3877000000002</v>
      </c>
      <c r="AU235" s="125">
        <f>AH235*Valores!$C$74</f>
        <v>-803.46789000000012</v>
      </c>
      <c r="AV235" s="125">
        <f>AH235*Valores!$C$75</f>
        <v>-89.274210000000011</v>
      </c>
      <c r="AW235" s="125">
        <f t="shared" si="33"/>
        <v>30648.719700000005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10712.87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2187.25</v>
      </c>
      <c r="N236" s="125">
        <f t="shared" si="30"/>
        <v>0</v>
      </c>
      <c r="O236" s="125">
        <f>Valores!$C$7*B236</f>
        <v>4598.8</v>
      </c>
      <c r="P236" s="125">
        <f>ROUND(IF(B236&lt;15,(Valores!$E$5*B236),Valores!$D$5),2)</f>
        <v>4621.45</v>
      </c>
      <c r="Q236" s="125">
        <v>0</v>
      </c>
      <c r="R236" s="125">
        <f>IF($F$4="NO",Valores!$C$49*B236,Valores!$C$49*B236/2)</f>
        <v>2422.4</v>
      </c>
      <c r="S236" s="125">
        <f>Valores!$C$18*B236</f>
        <v>1446.3999999999999</v>
      </c>
      <c r="T236" s="125">
        <f t="shared" si="36"/>
        <v>1446.4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1399.7</v>
      </c>
      <c r="AA236" s="125">
        <f>IF((Valores!$C$28)*B236&gt;Valores!$F$28,Valores!$F$28,(Valores!$C$28)*B236)</f>
        <v>113.6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94.600000000000009</v>
      </c>
      <c r="AE236" s="192">
        <v>94</v>
      </c>
      <c r="AF236" s="125">
        <f>ROUND(AE236*Valores!$C$2,2)</f>
        <v>2549.39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2161</v>
      </c>
      <c r="AH236" s="125">
        <f t="shared" si="34"/>
        <v>32307.460000000003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5000</v>
      </c>
      <c r="AL236" s="125">
        <f>IF($F$3="NO",0,IF(Valores!$C$62*B236&gt;Valores!$F$62,Valores!$F$62,Valores!$C$62*B236))</f>
        <v>56.779499999999999</v>
      </c>
      <c r="AM236" s="125">
        <f t="shared" si="32"/>
        <v>5056.7794999999996</v>
      </c>
      <c r="AN236" s="125">
        <f>AH236*Valores!$C$71</f>
        <v>-3553.8206000000005</v>
      </c>
      <c r="AO236" s="125">
        <f>AH236*-Valores!$C$72</f>
        <v>0</v>
      </c>
      <c r="AP236" s="125">
        <f>AH236*Valores!$C$73</f>
        <v>-1453.8357000000001</v>
      </c>
      <c r="AQ236" s="125">
        <f>Valores!$C$100</f>
        <v>-280.91000000000003</v>
      </c>
      <c r="AR236" s="125">
        <f>IF($F$5=0,Valores!$C$101,(Valores!$C$101+$F$5*(Valores!$C$101)))</f>
        <v>-385</v>
      </c>
      <c r="AS236" s="125">
        <f t="shared" si="35"/>
        <v>31690.673200000001</v>
      </c>
      <c r="AT236" s="125">
        <f t="shared" si="29"/>
        <v>-3553.8206000000005</v>
      </c>
      <c r="AU236" s="125">
        <f>AH236*Valores!$C$74</f>
        <v>-872.30142000000012</v>
      </c>
      <c r="AV236" s="125">
        <f>AH236*Valores!$C$75</f>
        <v>-96.922380000000004</v>
      </c>
      <c r="AW236" s="125">
        <f t="shared" si="33"/>
        <v>32841.195100000004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12855.45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2624.7</v>
      </c>
      <c r="N237" s="125">
        <f t="shared" si="30"/>
        <v>0</v>
      </c>
      <c r="O237" s="125">
        <f>Valores!$C$7*B237</f>
        <v>5518.5599999999995</v>
      </c>
      <c r="P237" s="125">
        <f>ROUND(IF(B237&lt;15,(Valores!$E$5*B237),Valores!$D$5),2)</f>
        <v>5545.74</v>
      </c>
      <c r="Q237" s="125">
        <v>0</v>
      </c>
      <c r="R237" s="125">
        <f>IF($F$4="NO",Valores!$C$49*B237,Valores!$C$49*B237/2)</f>
        <v>2906.88</v>
      </c>
      <c r="S237" s="125">
        <f>Valores!$C$18*B237</f>
        <v>1735.6799999999998</v>
      </c>
      <c r="T237" s="125">
        <f t="shared" si="36"/>
        <v>1735.68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1679.6399999999999</v>
      </c>
      <c r="AA237" s="125">
        <f>IF((Valores!$C$28)*B237&gt;Valores!$F$28,Valores!$F$28,(Valores!$C$28)*B237)</f>
        <v>136.32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113.52000000000001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2593.1999999999998</v>
      </c>
      <c r="AH237" s="125">
        <f t="shared" si="34"/>
        <v>35709.689999999995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6000</v>
      </c>
      <c r="AL237" s="125">
        <f>IF($F$3="NO",0,IF(Valores!$C$62*B237&gt;Valores!$F$62,Valores!$F$62,Valores!$C$62*B237))</f>
        <v>68.135400000000004</v>
      </c>
      <c r="AM237" s="125">
        <f t="shared" si="32"/>
        <v>6068.1354000000001</v>
      </c>
      <c r="AN237" s="125">
        <f>AH237*Valores!$C$71</f>
        <v>-3928.0658999999996</v>
      </c>
      <c r="AO237" s="125">
        <f>AH237*-Valores!$C$72</f>
        <v>0</v>
      </c>
      <c r="AP237" s="125">
        <f>AH237*Valores!$C$73</f>
        <v>-1606.9360499999998</v>
      </c>
      <c r="AQ237" s="125">
        <f>Valores!$C$100</f>
        <v>-280.91000000000003</v>
      </c>
      <c r="AR237" s="125">
        <f>IF($F$5=0,Valores!$C$101,(Valores!$C$101+$F$5*(Valores!$C$101)))</f>
        <v>-385</v>
      </c>
      <c r="AS237" s="125">
        <f t="shared" si="35"/>
        <v>35576.913449999993</v>
      </c>
      <c r="AT237" s="125">
        <f t="shared" si="29"/>
        <v>-3928.0658999999996</v>
      </c>
      <c r="AU237" s="125">
        <f>AH237*Valores!$C$74</f>
        <v>-964.16162999999983</v>
      </c>
      <c r="AV237" s="125">
        <f>AH237*Valores!$C$75</f>
        <v>-107.12906999999998</v>
      </c>
      <c r="AW237" s="125">
        <f t="shared" si="33"/>
        <v>36778.468799999995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12855.45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2624.7</v>
      </c>
      <c r="N238" s="125">
        <f t="shared" si="30"/>
        <v>0</v>
      </c>
      <c r="O238" s="125">
        <f>Valores!$C$7*B238</f>
        <v>5518.5599999999995</v>
      </c>
      <c r="P238" s="125">
        <f>ROUND(IF(B238&lt;15,(Valores!$E$5*B238),Valores!$D$5),2)</f>
        <v>5545.74</v>
      </c>
      <c r="Q238" s="125">
        <v>0</v>
      </c>
      <c r="R238" s="125">
        <f>IF($F$4="NO",Valores!$C$49*B238,Valores!$C$49*B238/2)</f>
        <v>2906.88</v>
      </c>
      <c r="S238" s="125">
        <f>Valores!$C$18*B238</f>
        <v>1735.6799999999998</v>
      </c>
      <c r="T238" s="125">
        <f t="shared" si="36"/>
        <v>1735.68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1679.6399999999999</v>
      </c>
      <c r="AA238" s="125">
        <f>IF((Valores!$C$28)*B238&gt;Valores!$F$28,Valores!$F$28,(Valores!$C$28)*B238)</f>
        <v>136.32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113.52000000000001</v>
      </c>
      <c r="AE238" s="192">
        <v>94</v>
      </c>
      <c r="AF238" s="125">
        <f>ROUND(AE238*Valores!$C$2,2)</f>
        <v>2549.39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2593.1999999999998</v>
      </c>
      <c r="AH238" s="125">
        <f t="shared" si="34"/>
        <v>38259.079999999994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6000</v>
      </c>
      <c r="AL238" s="125">
        <f>IF($F$3="NO",0,IF(Valores!$C$62*B238&gt;Valores!$F$62,Valores!$F$62,Valores!$C$62*B238))</f>
        <v>68.135400000000004</v>
      </c>
      <c r="AM238" s="125">
        <f t="shared" si="32"/>
        <v>6068.1354000000001</v>
      </c>
      <c r="AN238" s="125">
        <f>AH238*Valores!$C$71</f>
        <v>-4208.4987999999994</v>
      </c>
      <c r="AO238" s="125">
        <f>AH238*-Valores!$C$72</f>
        <v>0</v>
      </c>
      <c r="AP238" s="125">
        <f>AH238*Valores!$C$73</f>
        <v>-1721.6585999999998</v>
      </c>
      <c r="AQ238" s="125">
        <f>Valores!$C$100</f>
        <v>-280.91000000000003</v>
      </c>
      <c r="AR238" s="125">
        <f>IF($F$5=0,Valores!$C$101,(Valores!$C$101+$F$5*(Valores!$C$101)))</f>
        <v>-385</v>
      </c>
      <c r="AS238" s="125">
        <f t="shared" si="35"/>
        <v>37731.147999999994</v>
      </c>
      <c r="AT238" s="125">
        <f t="shared" si="29"/>
        <v>-4208.4987999999994</v>
      </c>
      <c r="AU238" s="125">
        <f>AH238*Valores!$C$74</f>
        <v>-1032.9951599999999</v>
      </c>
      <c r="AV238" s="125">
        <f>AH238*Valores!$C$75</f>
        <v>-114.77723999999999</v>
      </c>
      <c r="AW238" s="125">
        <f t="shared" si="33"/>
        <v>38970.944199999991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14998.02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3062.15</v>
      </c>
      <c r="N239" s="125">
        <f t="shared" si="30"/>
        <v>0</v>
      </c>
      <c r="O239" s="125">
        <f>Valores!$C$7*B239</f>
        <v>6438.32</v>
      </c>
      <c r="P239" s="125">
        <f>ROUND(IF(B239&lt;15,(Valores!$E$5*B239),Valores!$D$5),2)</f>
        <v>6470.03</v>
      </c>
      <c r="Q239" s="125">
        <v>0</v>
      </c>
      <c r="R239" s="125">
        <f>IF($F$4="NO",Valores!$C$49*B239,Valores!$C$49*B239/2)</f>
        <v>3391.36</v>
      </c>
      <c r="S239" s="125">
        <f>Valores!$C$18*B239</f>
        <v>2024.9599999999998</v>
      </c>
      <c r="T239" s="125">
        <f t="shared" si="36"/>
        <v>2024.96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1959.58</v>
      </c>
      <c r="AA239" s="125">
        <f>IF((Valores!$C$28)*B239&gt;Valores!$F$28,Valores!$F$28,(Valores!$C$28)*B239)</f>
        <v>159.04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132.44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3025.4</v>
      </c>
      <c r="AH239" s="125">
        <f t="shared" si="34"/>
        <v>41661.300000000003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7000</v>
      </c>
      <c r="AL239" s="125">
        <f>IF($F$3="NO",0,IF(Valores!$C$62*B239&gt;Valores!$F$62,Valores!$F$62,Valores!$C$62*B239))</f>
        <v>79.491299999999995</v>
      </c>
      <c r="AM239" s="125">
        <f t="shared" si="32"/>
        <v>7079.4912999999997</v>
      </c>
      <c r="AN239" s="125">
        <f>AH239*Valores!$C$71</f>
        <v>-4582.7430000000004</v>
      </c>
      <c r="AO239" s="125">
        <f>AH239*-Valores!$C$72</f>
        <v>0</v>
      </c>
      <c r="AP239" s="125">
        <f>AH239*Valores!$C$73</f>
        <v>-1874.7585000000001</v>
      </c>
      <c r="AQ239" s="125">
        <f>Valores!$C$100</f>
        <v>-280.91000000000003</v>
      </c>
      <c r="AR239" s="125">
        <f>IF($F$5=0,Valores!$C$101,(Valores!$C$101+$F$5*(Valores!$C$101)))</f>
        <v>-385</v>
      </c>
      <c r="AS239" s="125">
        <f t="shared" si="35"/>
        <v>41617.379800000002</v>
      </c>
      <c r="AT239" s="125">
        <f t="shared" si="29"/>
        <v>-4582.7430000000004</v>
      </c>
      <c r="AU239" s="125">
        <f>AH239*Valores!$C$74</f>
        <v>-1124.8551</v>
      </c>
      <c r="AV239" s="125">
        <f>AH239*Valores!$C$75</f>
        <v>-124.98390000000001</v>
      </c>
      <c r="AW239" s="125">
        <f t="shared" si="33"/>
        <v>42908.209300000002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14998.02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3062.15</v>
      </c>
      <c r="N240" s="125">
        <f t="shared" si="30"/>
        <v>0</v>
      </c>
      <c r="O240" s="125">
        <f>Valores!$C$7*B240</f>
        <v>6438.32</v>
      </c>
      <c r="P240" s="125">
        <f>ROUND(IF(B240&lt;15,(Valores!$E$5*B240),Valores!$D$5),2)</f>
        <v>6470.03</v>
      </c>
      <c r="Q240" s="125">
        <v>0</v>
      </c>
      <c r="R240" s="125">
        <f>IF($F$4="NO",Valores!$C$49*B240,Valores!$C$49*B240/2)</f>
        <v>3391.36</v>
      </c>
      <c r="S240" s="125">
        <f>Valores!$C$18*B240</f>
        <v>2024.9599999999998</v>
      </c>
      <c r="T240" s="125">
        <f t="shared" si="36"/>
        <v>2024.96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1959.58</v>
      </c>
      <c r="AA240" s="125">
        <f>IF((Valores!$C$28)*B240&gt;Valores!$F$28,Valores!$F$28,(Valores!$C$28)*B240)</f>
        <v>159.04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132.44</v>
      </c>
      <c r="AE240" s="192">
        <v>94</v>
      </c>
      <c r="AF240" s="125">
        <f>ROUND(AE240*Valores!$C$2,2)</f>
        <v>2549.39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3025.4</v>
      </c>
      <c r="AH240" s="125">
        <f t="shared" si="34"/>
        <v>44210.69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7000</v>
      </c>
      <c r="AL240" s="125">
        <f>IF($F$3="NO",0,IF(Valores!$C$62*B240&gt;Valores!$F$62,Valores!$F$62,Valores!$C$62*B240))</f>
        <v>79.491299999999995</v>
      </c>
      <c r="AM240" s="125">
        <f t="shared" si="32"/>
        <v>7079.4912999999997</v>
      </c>
      <c r="AN240" s="125">
        <f>AH240*Valores!$C$71</f>
        <v>-4863.1759000000002</v>
      </c>
      <c r="AO240" s="125">
        <f>AH240*-Valores!$C$72</f>
        <v>0</v>
      </c>
      <c r="AP240" s="125">
        <f>AH240*Valores!$C$73</f>
        <v>-1989.4810500000001</v>
      </c>
      <c r="AQ240" s="125">
        <f>Valores!$C$100</f>
        <v>-280.91000000000003</v>
      </c>
      <c r="AR240" s="125">
        <f>IF($F$5=0,Valores!$C$101,(Valores!$C$101+$F$5*(Valores!$C$101)))</f>
        <v>-385</v>
      </c>
      <c r="AS240" s="125">
        <f t="shared" si="35"/>
        <v>43771.614350000003</v>
      </c>
      <c r="AT240" s="125">
        <f t="shared" si="29"/>
        <v>-4863.1759000000002</v>
      </c>
      <c r="AU240" s="125">
        <f>AH240*Valores!$C$74</f>
        <v>-1193.6886300000001</v>
      </c>
      <c r="AV240" s="125">
        <f>AH240*Valores!$C$75</f>
        <v>-132.63207</v>
      </c>
      <c r="AW240" s="125">
        <f t="shared" si="33"/>
        <v>45100.684700000005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17140.599999999999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3499.6</v>
      </c>
      <c r="N241" s="125">
        <f t="shared" si="30"/>
        <v>0</v>
      </c>
      <c r="O241" s="125">
        <f>Valores!$C$7*B241</f>
        <v>7358.08</v>
      </c>
      <c r="P241" s="125">
        <f>ROUND(IF(B241&lt;15,(Valores!$E$5*B241),Valores!$D$5),2)</f>
        <v>7394.32</v>
      </c>
      <c r="Q241" s="125">
        <v>0</v>
      </c>
      <c r="R241" s="125">
        <f>IF($F$4="NO",Valores!$C$49*B241,Valores!$C$49*B241/2)</f>
        <v>3875.84</v>
      </c>
      <c r="S241" s="125">
        <f>Valores!$C$18*B241</f>
        <v>2314.2399999999998</v>
      </c>
      <c r="T241" s="125">
        <f t="shared" si="36"/>
        <v>2314.2399999999998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2239.52</v>
      </c>
      <c r="AA241" s="125">
        <f>IF((Valores!$C$28)*B241&gt;Valores!$F$28,Valores!$F$28,(Valores!$C$28)*B241)</f>
        <v>181.76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151.36000000000001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3457.6</v>
      </c>
      <c r="AH241" s="125">
        <f t="shared" si="34"/>
        <v>47612.92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8000</v>
      </c>
      <c r="AL241" s="125">
        <f>IF($F$3="NO",0,IF(Valores!$C$62*B241&gt;Valores!$F$62,Valores!$F$62,Valores!$C$62*B241))</f>
        <v>90.847200000000001</v>
      </c>
      <c r="AM241" s="125">
        <f t="shared" si="32"/>
        <v>8090.8472000000002</v>
      </c>
      <c r="AN241" s="125">
        <f>AH241*Valores!$C$71</f>
        <v>-5237.4211999999998</v>
      </c>
      <c r="AO241" s="125">
        <f>AH241*-Valores!$C$72</f>
        <v>0</v>
      </c>
      <c r="AP241" s="125">
        <f>AH241*Valores!$C$73</f>
        <v>-2142.5814</v>
      </c>
      <c r="AQ241" s="125">
        <f>Valores!$C$100</f>
        <v>-280.91000000000003</v>
      </c>
      <c r="AR241" s="125">
        <f>IF($F$5=0,Valores!$C$101,(Valores!$C$101+$F$5*(Valores!$C$101)))</f>
        <v>-385</v>
      </c>
      <c r="AS241" s="125">
        <f t="shared" si="35"/>
        <v>47657.854599999999</v>
      </c>
      <c r="AT241" s="125">
        <f t="shared" si="29"/>
        <v>-5237.4211999999998</v>
      </c>
      <c r="AU241" s="125">
        <f>AH241*Valores!$C$74</f>
        <v>-1285.5488399999999</v>
      </c>
      <c r="AV241" s="125">
        <f>AH241*Valores!$C$75</f>
        <v>-142.83876000000001</v>
      </c>
      <c r="AW241" s="125">
        <f t="shared" si="33"/>
        <v>49037.958400000003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17140.599999999999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3499.6</v>
      </c>
      <c r="N242" s="125">
        <f t="shared" si="30"/>
        <v>0</v>
      </c>
      <c r="O242" s="125">
        <f>Valores!$C$7*B242</f>
        <v>7358.08</v>
      </c>
      <c r="P242" s="125">
        <f>ROUND(IF(B242&lt;15,(Valores!$E$5*B242),Valores!$D$5),2)</f>
        <v>7394.32</v>
      </c>
      <c r="Q242" s="125">
        <v>0</v>
      </c>
      <c r="R242" s="125">
        <f>IF($F$4="NO",Valores!$C$49*B242,Valores!$C$49*B242/2)</f>
        <v>3875.84</v>
      </c>
      <c r="S242" s="125">
        <f>Valores!$C$18*B242</f>
        <v>2314.2399999999998</v>
      </c>
      <c r="T242" s="125">
        <f t="shared" si="36"/>
        <v>2314.2399999999998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2239.52</v>
      </c>
      <c r="AA242" s="125">
        <f>IF((Valores!$C$28)*B242&gt;Valores!$F$28,Valores!$F$28,(Valores!$C$28)*B242)</f>
        <v>181.76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151.36000000000001</v>
      </c>
      <c r="AE242" s="192">
        <v>94</v>
      </c>
      <c r="AF242" s="125">
        <f>ROUND(AE242*Valores!$C$2,2)</f>
        <v>2549.39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3457.6</v>
      </c>
      <c r="AH242" s="125">
        <f t="shared" si="34"/>
        <v>50162.31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8000</v>
      </c>
      <c r="AL242" s="125">
        <f>IF($F$3="NO",0,IF(Valores!$C$62*B242&gt;Valores!$F$62,Valores!$F$62,Valores!$C$62*B242))</f>
        <v>90.847200000000001</v>
      </c>
      <c r="AM242" s="125">
        <f t="shared" si="32"/>
        <v>8090.8472000000002</v>
      </c>
      <c r="AN242" s="125">
        <f>AH242*Valores!$C$71</f>
        <v>-5517.8540999999996</v>
      </c>
      <c r="AO242" s="125">
        <f>AH242*-Valores!$C$72</f>
        <v>0</v>
      </c>
      <c r="AP242" s="125">
        <f>AH242*Valores!$C$73</f>
        <v>-2257.30395</v>
      </c>
      <c r="AQ242" s="125">
        <f>Valores!$C$100</f>
        <v>-280.91000000000003</v>
      </c>
      <c r="AR242" s="125">
        <f>IF($F$5=0,Valores!$C$101,(Valores!$C$101+$F$5*(Valores!$C$101)))</f>
        <v>-385</v>
      </c>
      <c r="AS242" s="125">
        <f t="shared" si="35"/>
        <v>49812.08915</v>
      </c>
      <c r="AT242" s="125">
        <f t="shared" si="29"/>
        <v>-5517.8540999999996</v>
      </c>
      <c r="AU242" s="125">
        <f>AH242*Valores!$C$74</f>
        <v>-1354.3823699999998</v>
      </c>
      <c r="AV242" s="125">
        <f>AH242*Valores!$C$75</f>
        <v>-150.48693</v>
      </c>
      <c r="AW242" s="125">
        <f t="shared" si="33"/>
        <v>51230.433799999999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19283.169999999998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3937.05</v>
      </c>
      <c r="N243" s="125">
        <f t="shared" si="30"/>
        <v>0</v>
      </c>
      <c r="O243" s="125">
        <f>Valores!$C$7*B243</f>
        <v>8277.84</v>
      </c>
      <c r="P243" s="125">
        <f>ROUND(IF(B243&lt;15,(Valores!$E$5*B243),Valores!$D$5),2)</f>
        <v>8318.61</v>
      </c>
      <c r="Q243" s="125">
        <v>0</v>
      </c>
      <c r="R243" s="125">
        <f>IF($F$4="NO",Valores!$C$49*B243,Valores!$C$49*B243/2)</f>
        <v>4360.32</v>
      </c>
      <c r="S243" s="125">
        <f>Valores!$C$18*B243</f>
        <v>2603.5199999999995</v>
      </c>
      <c r="T243" s="125">
        <f t="shared" si="36"/>
        <v>2603.52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2519.46</v>
      </c>
      <c r="AA243" s="125">
        <f>IF((Valores!$C$28)*B243&gt;Valores!$F$28,Valores!$F$28,(Valores!$C$28)*B243)</f>
        <v>204.48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170.28000000000003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3889.7999999999997</v>
      </c>
      <c r="AH243" s="125">
        <f t="shared" si="34"/>
        <v>53564.53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9000</v>
      </c>
      <c r="AL243" s="125">
        <f>IF($F$3="NO",0,IF(Valores!$C$62*B243&gt;Valores!$F$62,Valores!$F$62,Valores!$C$62*B243))</f>
        <v>102.20310000000001</v>
      </c>
      <c r="AM243" s="125">
        <f t="shared" si="32"/>
        <v>9102.2031000000006</v>
      </c>
      <c r="AN243" s="125">
        <f>AH243*Valores!$C$71</f>
        <v>-5892.0982999999997</v>
      </c>
      <c r="AO243" s="125">
        <f>AH243*-Valores!$C$72</f>
        <v>0</v>
      </c>
      <c r="AP243" s="125">
        <f>AH243*Valores!$C$73</f>
        <v>-2410.4038499999997</v>
      </c>
      <c r="AQ243" s="125">
        <f>Valores!$C$100</f>
        <v>-280.91000000000003</v>
      </c>
      <c r="AR243" s="125">
        <f>IF($F$5=0,Valores!$C$101,(Valores!$C$101+$F$5*(Valores!$C$101)))</f>
        <v>-385</v>
      </c>
      <c r="AS243" s="125">
        <f t="shared" si="35"/>
        <v>53698.320950000001</v>
      </c>
      <c r="AT243" s="125">
        <f t="shared" si="29"/>
        <v>-5892.0982999999997</v>
      </c>
      <c r="AU243" s="125">
        <f>AH243*Valores!$C$74</f>
        <v>-1446.2423099999999</v>
      </c>
      <c r="AV243" s="125">
        <f>AH243*Valores!$C$75</f>
        <v>-160.69359</v>
      </c>
      <c r="AW243" s="125">
        <f t="shared" si="33"/>
        <v>55167.698899999996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19283.169999999998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3937.05</v>
      </c>
      <c r="N244" s="125">
        <f t="shared" si="30"/>
        <v>0</v>
      </c>
      <c r="O244" s="125">
        <f>Valores!$C$7*B244</f>
        <v>8277.84</v>
      </c>
      <c r="P244" s="125">
        <f>ROUND(IF(B244&lt;15,(Valores!$E$5*B244),Valores!$D$5),2)</f>
        <v>8318.61</v>
      </c>
      <c r="Q244" s="125">
        <v>0</v>
      </c>
      <c r="R244" s="125">
        <f>IF($F$4="NO",Valores!$C$49*B244,Valores!$C$49*B244/2)</f>
        <v>4360.32</v>
      </c>
      <c r="S244" s="125">
        <f>Valores!$C$18*B244</f>
        <v>2603.5199999999995</v>
      </c>
      <c r="T244" s="125">
        <f t="shared" si="36"/>
        <v>2603.52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2519.46</v>
      </c>
      <c r="AA244" s="125">
        <f>IF((Valores!$C$28)*B244&gt;Valores!$F$28,Valores!$F$28,(Valores!$C$28)*B244)</f>
        <v>204.48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170.28000000000003</v>
      </c>
      <c r="AE244" s="192">
        <v>94</v>
      </c>
      <c r="AF244" s="125">
        <f>ROUND(AE244*Valores!$C$2,2)</f>
        <v>2549.39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3889.7999999999997</v>
      </c>
      <c r="AH244" s="125">
        <f t="shared" si="34"/>
        <v>56113.919999999998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9000</v>
      </c>
      <c r="AL244" s="125">
        <f>IF($F$3="NO",0,IF(Valores!$C$62*B244&gt;Valores!$F$62,Valores!$F$62,Valores!$C$62*B244))</f>
        <v>102.20310000000001</v>
      </c>
      <c r="AM244" s="125">
        <f t="shared" si="32"/>
        <v>9102.2031000000006</v>
      </c>
      <c r="AN244" s="125">
        <f>AH244*Valores!$C$71</f>
        <v>-6172.5311999999994</v>
      </c>
      <c r="AO244" s="125">
        <f>AH244*-Valores!$C$72</f>
        <v>0</v>
      </c>
      <c r="AP244" s="125">
        <f>AH244*Valores!$C$73</f>
        <v>-2525.1263999999996</v>
      </c>
      <c r="AQ244" s="125">
        <f>Valores!$C$100</f>
        <v>-280.91000000000003</v>
      </c>
      <c r="AR244" s="125">
        <f>IF($F$5=0,Valores!$C$101,(Valores!$C$101+$F$5*(Valores!$C$101)))</f>
        <v>-385</v>
      </c>
      <c r="AS244" s="125">
        <f t="shared" si="35"/>
        <v>55852.555500000002</v>
      </c>
      <c r="AT244" s="125">
        <f t="shared" si="29"/>
        <v>-6172.5311999999994</v>
      </c>
      <c r="AU244" s="125">
        <f>AH244*Valores!$C$74</f>
        <v>-1515.07584</v>
      </c>
      <c r="AV244" s="125">
        <f>AH244*Valores!$C$75</f>
        <v>-168.34175999999999</v>
      </c>
      <c r="AW244" s="125">
        <f t="shared" si="33"/>
        <v>57360.174299999999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21425.75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4374.5</v>
      </c>
      <c r="N245" s="125">
        <f t="shared" si="30"/>
        <v>0</v>
      </c>
      <c r="O245" s="125">
        <f>Valores!$C$7*B245</f>
        <v>9197.6</v>
      </c>
      <c r="P245" s="125">
        <f>ROUND(IF(B245&lt;15,(Valores!$E$5*B245),Valores!$D$5),2)</f>
        <v>9242.9</v>
      </c>
      <c r="Q245" s="125">
        <v>0</v>
      </c>
      <c r="R245" s="125">
        <f>IF($F$4="NO",Valores!$C$49*B245,Valores!$C$49*B245/2)</f>
        <v>4844.8</v>
      </c>
      <c r="S245" s="125">
        <f>Valores!$C$18*B245</f>
        <v>2892.7999999999997</v>
      </c>
      <c r="T245" s="125">
        <f t="shared" si="36"/>
        <v>2892.8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2799.4</v>
      </c>
      <c r="AA245" s="125">
        <f>IF((Valores!$C$28)*B245&gt;Valores!$F$28,Valores!$F$28,(Valores!$C$28)*B245)</f>
        <v>227.2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189.20000000000002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4322</v>
      </c>
      <c r="AH245" s="125">
        <f t="shared" si="34"/>
        <v>59516.15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10000</v>
      </c>
      <c r="AL245" s="125">
        <f>IF($F$3="NO",0,IF(Valores!$C$62*B245&gt;Valores!$F$62,Valores!$F$62,Valores!$C$62*B245))</f>
        <v>113.559</v>
      </c>
      <c r="AM245" s="125">
        <f t="shared" si="32"/>
        <v>10113.558999999999</v>
      </c>
      <c r="AN245" s="125">
        <f>AH245*Valores!$C$71</f>
        <v>-6546.7764999999999</v>
      </c>
      <c r="AO245" s="125">
        <f>AH245*-Valores!$C$72</f>
        <v>0</v>
      </c>
      <c r="AP245" s="125">
        <f>AH245*Valores!$C$73</f>
        <v>-2678.2267499999998</v>
      </c>
      <c r="AQ245" s="125">
        <f>Valores!$C$100</f>
        <v>-280.91000000000003</v>
      </c>
      <c r="AR245" s="125">
        <f>IF($F$5=0,Valores!$C$101,(Valores!$C$101+$F$5*(Valores!$C$101)))</f>
        <v>-385</v>
      </c>
      <c r="AS245" s="125">
        <f t="shared" si="35"/>
        <v>59738.795749999997</v>
      </c>
      <c r="AT245" s="125">
        <f t="shared" si="29"/>
        <v>-6546.7764999999999</v>
      </c>
      <c r="AU245" s="125">
        <f>AH245*Valores!$C$74</f>
        <v>-1606.93605</v>
      </c>
      <c r="AV245" s="125">
        <f>AH245*Valores!$C$75</f>
        <v>-178.54845</v>
      </c>
      <c r="AW245" s="125">
        <f t="shared" si="33"/>
        <v>61297.448000000004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21425.75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4374.5</v>
      </c>
      <c r="N246" s="125">
        <f t="shared" si="30"/>
        <v>0</v>
      </c>
      <c r="O246" s="125">
        <f>Valores!$C$7*B246</f>
        <v>9197.6</v>
      </c>
      <c r="P246" s="125">
        <f>ROUND(IF(B246&lt;15,(Valores!$E$5*B246),Valores!$D$5),2)</f>
        <v>9242.9</v>
      </c>
      <c r="Q246" s="125">
        <v>0</v>
      </c>
      <c r="R246" s="125">
        <f>IF($F$4="NO",Valores!$C$49*B246,Valores!$C$49*B246/2)</f>
        <v>4844.8</v>
      </c>
      <c r="S246" s="125">
        <f>Valores!$C$18*B246</f>
        <v>2892.7999999999997</v>
      </c>
      <c r="T246" s="125">
        <f t="shared" si="36"/>
        <v>2892.8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2799.4</v>
      </c>
      <c r="AA246" s="125">
        <f>IF((Valores!$C$28)*B246&gt;Valores!$F$28,Valores!$F$28,(Valores!$C$28)*B246)</f>
        <v>227.2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189.20000000000002</v>
      </c>
      <c r="AE246" s="192">
        <v>94</v>
      </c>
      <c r="AF246" s="125">
        <f>ROUND(AE246*Valores!$C$2,2)</f>
        <v>2549.39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4322</v>
      </c>
      <c r="AH246" s="125">
        <f t="shared" si="34"/>
        <v>62065.54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10000</v>
      </c>
      <c r="AL246" s="125">
        <f>IF($F$3="NO",0,IF(Valores!$C$62*B246&gt;Valores!$F$62,Valores!$F$62,Valores!$C$62*B246))</f>
        <v>113.559</v>
      </c>
      <c r="AM246" s="125">
        <f t="shared" si="32"/>
        <v>10113.558999999999</v>
      </c>
      <c r="AN246" s="125">
        <f>AH246*Valores!$C$71</f>
        <v>-6827.2093999999997</v>
      </c>
      <c r="AO246" s="125">
        <f>AH246*-Valores!$C$72</f>
        <v>0</v>
      </c>
      <c r="AP246" s="125">
        <f>AH246*Valores!$C$73</f>
        <v>-2792.9492999999998</v>
      </c>
      <c r="AQ246" s="125">
        <f>Valores!$C$100</f>
        <v>-280.91000000000003</v>
      </c>
      <c r="AR246" s="125">
        <f>IF($F$5=0,Valores!$C$101,(Valores!$C$101+$F$5*(Valores!$C$101)))</f>
        <v>-385</v>
      </c>
      <c r="AS246" s="125">
        <f t="shared" si="35"/>
        <v>61893.030299999999</v>
      </c>
      <c r="AT246" s="125">
        <f t="shared" si="29"/>
        <v>-6827.2093999999997</v>
      </c>
      <c r="AU246" s="125">
        <f>AH246*Valores!$C$74</f>
        <v>-1675.7695799999999</v>
      </c>
      <c r="AV246" s="125">
        <f>AH246*Valores!$C$75</f>
        <v>-186.19662</v>
      </c>
      <c r="AW246" s="125">
        <f t="shared" si="33"/>
        <v>63489.9234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23568.32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4811.95</v>
      </c>
      <c r="N247" s="125">
        <f t="shared" si="30"/>
        <v>0</v>
      </c>
      <c r="O247" s="125">
        <f>Valores!$C$7*B247</f>
        <v>10117.36</v>
      </c>
      <c r="P247" s="125">
        <f>ROUND(IF(B247&lt;15,(Valores!$E$5*B247),Valores!$D$5),2)</f>
        <v>10167.19</v>
      </c>
      <c r="Q247" s="125">
        <v>0</v>
      </c>
      <c r="R247" s="125">
        <f>IF($F$4="NO",Valores!$C$49*B247,Valores!$C$49*B247/2)</f>
        <v>5329.2800000000007</v>
      </c>
      <c r="S247" s="125">
        <f>Valores!$C$18*B247</f>
        <v>3182.08</v>
      </c>
      <c r="T247" s="125">
        <f t="shared" si="36"/>
        <v>3182.08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3079.34</v>
      </c>
      <c r="AA247" s="125">
        <f>IF((Valores!$C$28)*B247&gt;Valores!$F$28,Valores!$F$28,(Valores!$C$28)*B247)</f>
        <v>249.92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208.12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4754.2</v>
      </c>
      <c r="AH247" s="125">
        <f t="shared" si="34"/>
        <v>65467.76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11000</v>
      </c>
      <c r="AL247" s="125">
        <f>IF($F$3="NO",0,IF(Valores!$C$62*B247&gt;Valores!$F$62,Valores!$F$62,Valores!$C$62*B247))</f>
        <v>124.9149</v>
      </c>
      <c r="AM247" s="125">
        <f t="shared" si="32"/>
        <v>11124.9149</v>
      </c>
      <c r="AN247" s="125">
        <f>AH247*Valores!$C$71</f>
        <v>-7201.4535999999998</v>
      </c>
      <c r="AO247" s="125">
        <f>AH247*-Valores!$C$72</f>
        <v>0</v>
      </c>
      <c r="AP247" s="125">
        <f>AH247*Valores!$C$73</f>
        <v>-2946.0491999999999</v>
      </c>
      <c r="AQ247" s="125">
        <f>Valores!$C$100</f>
        <v>-280.91000000000003</v>
      </c>
      <c r="AR247" s="125">
        <f>IF($F$5=0,Valores!$C$101,(Valores!$C$101+$F$5*(Valores!$C$101)))</f>
        <v>-385</v>
      </c>
      <c r="AS247" s="125">
        <f t="shared" si="35"/>
        <v>65779.262100000007</v>
      </c>
      <c r="AT247" s="125">
        <f t="shared" si="29"/>
        <v>-7201.4535999999998</v>
      </c>
      <c r="AU247" s="125">
        <f>AH247*Valores!$C$74</f>
        <v>-1767.62952</v>
      </c>
      <c r="AV247" s="125">
        <f>AH247*Valores!$C$75</f>
        <v>-196.40328000000002</v>
      </c>
      <c r="AW247" s="125">
        <f t="shared" si="33"/>
        <v>67427.188500000004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23568.32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4811.95</v>
      </c>
      <c r="N248" s="125">
        <f t="shared" si="30"/>
        <v>0</v>
      </c>
      <c r="O248" s="125">
        <f>Valores!$C$7*B248</f>
        <v>10117.36</v>
      </c>
      <c r="P248" s="125">
        <f>ROUND(IF(B248&lt;15,(Valores!$E$5*B248),Valores!$D$5),2)</f>
        <v>10167.19</v>
      </c>
      <c r="Q248" s="125">
        <v>0</v>
      </c>
      <c r="R248" s="125">
        <f>IF($F$4="NO",Valores!$C$49*B248,Valores!$C$49*B248/2)</f>
        <v>5329.2800000000007</v>
      </c>
      <c r="S248" s="125">
        <f>Valores!$C$18*B248</f>
        <v>3182.08</v>
      </c>
      <c r="T248" s="125">
        <f t="shared" si="36"/>
        <v>3182.08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3079.34</v>
      </c>
      <c r="AA248" s="125">
        <f>IF((Valores!$C$28)*B248&gt;Valores!$F$28,Valores!$F$28,(Valores!$C$28)*B248)</f>
        <v>249.92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208.12</v>
      </c>
      <c r="AE248" s="192">
        <v>94</v>
      </c>
      <c r="AF248" s="125">
        <f>ROUND(AE248*Valores!$C$2,2)</f>
        <v>2549.39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4754.2</v>
      </c>
      <c r="AH248" s="125">
        <f t="shared" si="34"/>
        <v>68017.150000000009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11000</v>
      </c>
      <c r="AL248" s="125">
        <f>IF($F$3="NO",0,IF(Valores!$C$62*B248&gt;Valores!$F$62,Valores!$F$62,Valores!$C$62*B248))</f>
        <v>124.9149</v>
      </c>
      <c r="AM248" s="125">
        <f t="shared" si="32"/>
        <v>11124.9149</v>
      </c>
      <c r="AN248" s="125">
        <f>AH248*Valores!$C$71</f>
        <v>-7481.8865000000014</v>
      </c>
      <c r="AO248" s="125">
        <f>AH248*-Valores!$C$72</f>
        <v>0</v>
      </c>
      <c r="AP248" s="125">
        <f>AH248*Valores!$C$73</f>
        <v>-3060.7717500000003</v>
      </c>
      <c r="AQ248" s="125">
        <f>Valores!$C$100</f>
        <v>-280.91000000000003</v>
      </c>
      <c r="AR248" s="125">
        <f>IF($F$5=0,Valores!$C$101,(Valores!$C$101+$F$5*(Valores!$C$101)))</f>
        <v>-385</v>
      </c>
      <c r="AS248" s="125">
        <f t="shared" si="35"/>
        <v>67933.496650000001</v>
      </c>
      <c r="AT248" s="125">
        <f t="shared" si="29"/>
        <v>-7481.8865000000014</v>
      </c>
      <c r="AU248" s="125">
        <f>AH248*Valores!$C$74</f>
        <v>-1836.4630500000003</v>
      </c>
      <c r="AV248" s="125">
        <f>AH248*Valores!$C$75</f>
        <v>-204.05145000000002</v>
      </c>
      <c r="AW248" s="125">
        <f t="shared" si="33"/>
        <v>69619.663900000014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25710.9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5249.4</v>
      </c>
      <c r="N249" s="125">
        <f t="shared" si="30"/>
        <v>0</v>
      </c>
      <c r="O249" s="125">
        <f>Valores!$C$7*B249</f>
        <v>11037.119999999999</v>
      </c>
      <c r="P249" s="125">
        <f>ROUND(IF(B249&lt;15,(Valores!$E$5*B249),Valores!$D$5),2)</f>
        <v>11091.48</v>
      </c>
      <c r="Q249" s="125">
        <v>0</v>
      </c>
      <c r="R249" s="125">
        <f>IF($F$4="NO",Valores!$C$49*B249,Valores!$C$49*B249/2)</f>
        <v>5813.76</v>
      </c>
      <c r="S249" s="125">
        <f>Valores!$C$18*B249</f>
        <v>3471.3599999999997</v>
      </c>
      <c r="T249" s="125">
        <f t="shared" si="36"/>
        <v>3471.36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3359.2799999999997</v>
      </c>
      <c r="AA249" s="125">
        <f>IF((Valores!$C$28)*B249&gt;Valores!$F$28,Valores!$F$28,(Valores!$C$28)*B249)</f>
        <v>272.64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227.04000000000002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5186.3999999999996</v>
      </c>
      <c r="AH249" s="125">
        <f t="shared" si="34"/>
        <v>71419.37999999999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12000</v>
      </c>
      <c r="AL249" s="125">
        <f>IF($F$3="NO",0,IF(Valores!$C$62*B249&gt;Valores!$F$62,Valores!$F$62,Valores!$C$62*B249))</f>
        <v>136.27080000000001</v>
      </c>
      <c r="AM249" s="125">
        <f t="shared" si="32"/>
        <v>12136.2708</v>
      </c>
      <c r="AN249" s="125">
        <f>AH249*Valores!$C$71</f>
        <v>-7856.1317999999992</v>
      </c>
      <c r="AO249" s="125">
        <f>AH249*-Valores!$C$72</f>
        <v>0</v>
      </c>
      <c r="AP249" s="125">
        <f>AH249*Valores!$C$73</f>
        <v>-3213.8720999999996</v>
      </c>
      <c r="AQ249" s="125">
        <f>Valores!$C$100</f>
        <v>-280.91000000000003</v>
      </c>
      <c r="AR249" s="125">
        <f>IF($F$5=0,Valores!$C$101,(Valores!$C$101+$F$5*(Valores!$C$101)))</f>
        <v>-385</v>
      </c>
      <c r="AS249" s="125">
        <f t="shared" si="35"/>
        <v>71819.736899999989</v>
      </c>
      <c r="AT249" s="125">
        <f t="shared" si="29"/>
        <v>-7856.1317999999992</v>
      </c>
      <c r="AU249" s="125">
        <f>AH249*Valores!$C$74</f>
        <v>-1928.3232599999997</v>
      </c>
      <c r="AV249" s="125">
        <f>AH249*Valores!$C$75</f>
        <v>-214.25813999999997</v>
      </c>
      <c r="AW249" s="125">
        <f t="shared" si="33"/>
        <v>73556.93759999999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25710.9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5249.4</v>
      </c>
      <c r="N250" s="125">
        <f t="shared" si="30"/>
        <v>0</v>
      </c>
      <c r="O250" s="125">
        <f>Valores!$C$7*B250</f>
        <v>11037.119999999999</v>
      </c>
      <c r="P250" s="125">
        <f>ROUND(IF(B250&lt;15,(Valores!$E$5*B250),Valores!$D$5),2)</f>
        <v>11091.48</v>
      </c>
      <c r="Q250" s="125">
        <v>0</v>
      </c>
      <c r="R250" s="125">
        <f>IF($F$4="NO",Valores!$C$49*B250,Valores!$C$49*B250/2)</f>
        <v>5813.76</v>
      </c>
      <c r="S250" s="125">
        <f>Valores!$C$18*B250</f>
        <v>3471.3599999999997</v>
      </c>
      <c r="T250" s="125">
        <f t="shared" si="36"/>
        <v>3471.36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3359.2799999999997</v>
      </c>
      <c r="AA250" s="125">
        <f>IF((Valores!$C$28)*B250&gt;Valores!$F$28,Valores!$F$28,(Valores!$C$28)*B250)</f>
        <v>272.64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227.04000000000002</v>
      </c>
      <c r="AE250" s="192">
        <v>94</v>
      </c>
      <c r="AF250" s="125">
        <f>ROUND(AE250*Valores!$C$2,2)</f>
        <v>2549.39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5186.3999999999996</v>
      </c>
      <c r="AH250" s="125">
        <f t="shared" si="34"/>
        <v>73968.76999999999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12000</v>
      </c>
      <c r="AL250" s="125">
        <f>IF($F$3="NO",0,IF(Valores!$C$62*B250&gt;Valores!$F$62,Valores!$F$62,Valores!$C$62*B250))</f>
        <v>136.27080000000001</v>
      </c>
      <c r="AM250" s="125">
        <f t="shared" si="32"/>
        <v>12136.2708</v>
      </c>
      <c r="AN250" s="125">
        <f>AH250*Valores!$C$71</f>
        <v>-8136.564699999999</v>
      </c>
      <c r="AO250" s="125">
        <f>AH250*-Valores!$C$72</f>
        <v>0</v>
      </c>
      <c r="AP250" s="125">
        <f>AH250*Valores!$C$73</f>
        <v>-3328.5946499999995</v>
      </c>
      <c r="AQ250" s="125">
        <f>Valores!$C$100</f>
        <v>-280.91000000000003</v>
      </c>
      <c r="AR250" s="125">
        <f>IF($F$5=0,Valores!$C$101,(Valores!$C$101+$F$5*(Valores!$C$101)))</f>
        <v>-385</v>
      </c>
      <c r="AS250" s="125">
        <f t="shared" si="35"/>
        <v>73973.971449999997</v>
      </c>
      <c r="AT250" s="125">
        <f t="shared" si="29"/>
        <v>-8136.564699999999</v>
      </c>
      <c r="AU250" s="125">
        <f>AH250*Valores!$C$74</f>
        <v>-1997.1567899999998</v>
      </c>
      <c r="AV250" s="125">
        <f>AH250*Valores!$C$75</f>
        <v>-221.90630999999996</v>
      </c>
      <c r="AW250" s="125">
        <f t="shared" si="33"/>
        <v>75749.412999999986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27853.47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5686.85</v>
      </c>
      <c r="N251" s="125">
        <f t="shared" si="30"/>
        <v>0</v>
      </c>
      <c r="O251" s="125">
        <f>Valores!$C$7*B251</f>
        <v>11956.88</v>
      </c>
      <c r="P251" s="125">
        <f>ROUND(IF(B251&lt;15,(Valores!$E$5*B251),Valores!$D$5),2)</f>
        <v>12015.77</v>
      </c>
      <c r="Q251" s="125">
        <v>0</v>
      </c>
      <c r="R251" s="125">
        <f>IF($F$4="NO",Valores!$C$49*B251,Valores!$C$49*B251/2)</f>
        <v>6298.24</v>
      </c>
      <c r="S251" s="125">
        <f>Valores!$C$18*B251</f>
        <v>3760.6399999999994</v>
      </c>
      <c r="T251" s="125">
        <f t="shared" si="36"/>
        <v>3760.64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3639.22</v>
      </c>
      <c r="AA251" s="125">
        <f>IF((Valores!$C$28)*B251&gt;Valores!$F$28,Valores!$F$28,(Valores!$C$28)*B251)</f>
        <v>295.36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245.96000000000004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5618.5999999999995</v>
      </c>
      <c r="AH251" s="125">
        <f t="shared" si="34"/>
        <v>77370.99000000002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13000</v>
      </c>
      <c r="AL251" s="125">
        <f>IF($F$3="NO",0,IF(Valores!$C$62*B251&gt;Valores!$F$62,Valores!$F$62,Valores!$C$62*B251))</f>
        <v>147.6267</v>
      </c>
      <c r="AM251" s="125">
        <f t="shared" si="32"/>
        <v>13147.626700000001</v>
      </c>
      <c r="AN251" s="125">
        <f>AH251*Valores!$C$71</f>
        <v>-8510.8089000000018</v>
      </c>
      <c r="AO251" s="125">
        <f>AH251*-Valores!$C$72</f>
        <v>0</v>
      </c>
      <c r="AP251" s="125">
        <f>AH251*Valores!$C$73</f>
        <v>-3481.6945500000006</v>
      </c>
      <c r="AQ251" s="125">
        <f>Valores!$C$100</f>
        <v>-280.91000000000003</v>
      </c>
      <c r="AR251" s="125">
        <f>IF($F$5=0,Valores!$C$101,(Valores!$C$101+$F$5*(Valores!$C$101)))</f>
        <v>-385</v>
      </c>
      <c r="AS251" s="125">
        <f t="shared" si="35"/>
        <v>77860.20325000002</v>
      </c>
      <c r="AT251" s="125">
        <f t="shared" si="29"/>
        <v>-8510.8089000000018</v>
      </c>
      <c r="AU251" s="125">
        <f>AH251*Valores!$C$74</f>
        <v>-2089.0167300000007</v>
      </c>
      <c r="AV251" s="125">
        <f>AH251*Valores!$C$75</f>
        <v>-232.11297000000008</v>
      </c>
      <c r="AW251" s="125">
        <f t="shared" si="33"/>
        <v>79686.678100000005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27853.47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5686.85</v>
      </c>
      <c r="N252" s="125">
        <f t="shared" si="30"/>
        <v>0</v>
      </c>
      <c r="O252" s="125">
        <f>Valores!$C$7*B252</f>
        <v>11956.88</v>
      </c>
      <c r="P252" s="125">
        <f>ROUND(IF(B252&lt;15,(Valores!$E$5*B252),Valores!$D$5),2)</f>
        <v>12015.77</v>
      </c>
      <c r="Q252" s="125">
        <v>0</v>
      </c>
      <c r="R252" s="125">
        <f>IF($F$4="NO",Valores!$C$49*B252,Valores!$C$49*B252/2)</f>
        <v>6298.24</v>
      </c>
      <c r="S252" s="125">
        <f>Valores!$C$18*B252</f>
        <v>3760.6399999999994</v>
      </c>
      <c r="T252" s="125">
        <f t="shared" si="36"/>
        <v>3760.64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3639.22</v>
      </c>
      <c r="AA252" s="125">
        <f>IF((Valores!$C$28)*B252&gt;Valores!$F$28,Valores!$F$28,(Valores!$C$28)*B252)</f>
        <v>295.36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245.96000000000004</v>
      </c>
      <c r="AE252" s="192">
        <v>94</v>
      </c>
      <c r="AF252" s="125">
        <f>ROUND(AE252*Valores!$C$2,2)</f>
        <v>2549.39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5618.5999999999995</v>
      </c>
      <c r="AH252" s="125">
        <f t="shared" si="34"/>
        <v>79920.380000000019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13000</v>
      </c>
      <c r="AL252" s="125">
        <f>IF($F$3="NO",0,IF(Valores!$C$62*B252&gt;Valores!$F$62,Valores!$F$62,Valores!$C$62*B252))</f>
        <v>147.6267</v>
      </c>
      <c r="AM252" s="125">
        <f t="shared" si="32"/>
        <v>13147.626700000001</v>
      </c>
      <c r="AN252" s="125">
        <f>AH252*Valores!$C$71</f>
        <v>-8791.2418000000016</v>
      </c>
      <c r="AO252" s="125">
        <f>AH252*-Valores!$C$72</f>
        <v>0</v>
      </c>
      <c r="AP252" s="125">
        <f>AH252*Valores!$C$73</f>
        <v>-3596.4171000000006</v>
      </c>
      <c r="AQ252" s="125">
        <f>Valores!$C$100</f>
        <v>-280.91000000000003</v>
      </c>
      <c r="AR252" s="125">
        <f>IF($F$5=0,Valores!$C$101,(Valores!$C$101+$F$5*(Valores!$C$101)))</f>
        <v>-385</v>
      </c>
      <c r="AS252" s="125">
        <f t="shared" si="35"/>
        <v>80014.437800000014</v>
      </c>
      <c r="AT252" s="125">
        <f t="shared" si="29"/>
        <v>-8791.2418000000016</v>
      </c>
      <c r="AU252" s="125">
        <f>AH252*Valores!$C$74</f>
        <v>-2157.8502600000006</v>
      </c>
      <c r="AV252" s="125">
        <f>AH252*Valores!$C$75</f>
        <v>-239.76114000000007</v>
      </c>
      <c r="AW252" s="125">
        <f t="shared" si="33"/>
        <v>81879.153500000029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29996.05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6124.3</v>
      </c>
      <c r="N253" s="125">
        <f t="shared" si="30"/>
        <v>0</v>
      </c>
      <c r="O253" s="125">
        <f>Valores!$C$7*B253</f>
        <v>12876.64</v>
      </c>
      <c r="P253" s="125">
        <f>ROUND(IF(B253&lt;15,(Valores!$E$5*B253),Valores!$D$5),2)</f>
        <v>12940.06</v>
      </c>
      <c r="Q253" s="125">
        <v>0</v>
      </c>
      <c r="R253" s="125">
        <f>IF($F$4="NO",Valores!$C$49*B253,Valores!$C$49*B253/2)</f>
        <v>6782.72</v>
      </c>
      <c r="S253" s="125">
        <f>Valores!$C$18*B253</f>
        <v>4049.9199999999996</v>
      </c>
      <c r="T253" s="125">
        <f t="shared" si="36"/>
        <v>4049.92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3919.16</v>
      </c>
      <c r="AA253" s="125">
        <f>IF((Valores!$C$28)*B253&gt;Valores!$F$28,Valores!$F$28,(Valores!$C$28)*B253)</f>
        <v>318.08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264.88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6050.8</v>
      </c>
      <c r="AH253" s="125">
        <f t="shared" si="34"/>
        <v>83322.61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14000</v>
      </c>
      <c r="AL253" s="125">
        <f>IF($F$3="NO",0,IF(Valores!$C$62*B253&gt;Valores!$F$62,Valores!$F$62,Valores!$C$62*B253))</f>
        <v>158.98259999999999</v>
      </c>
      <c r="AM253" s="125">
        <f t="shared" si="32"/>
        <v>14158.982599999999</v>
      </c>
      <c r="AN253" s="125">
        <f>AH253*Valores!$C$71</f>
        <v>-9165.4871000000003</v>
      </c>
      <c r="AO253" s="125">
        <f>AH253*-Valores!$C$72</f>
        <v>0</v>
      </c>
      <c r="AP253" s="125">
        <f>AH253*Valores!$C$73</f>
        <v>-3749.5174499999998</v>
      </c>
      <c r="AQ253" s="125">
        <f>Valores!$C$100</f>
        <v>-280.91000000000003</v>
      </c>
      <c r="AR253" s="125">
        <f>IF($F$5=0,Valores!$C$101,(Valores!$C$101+$F$5*(Valores!$C$101)))</f>
        <v>-385</v>
      </c>
      <c r="AS253" s="125">
        <f t="shared" si="35"/>
        <v>83900.678050000002</v>
      </c>
      <c r="AT253" s="125">
        <f t="shared" si="29"/>
        <v>-9165.4871000000003</v>
      </c>
      <c r="AU253" s="125">
        <f>AH253*Valores!$C$74</f>
        <v>-2249.71047</v>
      </c>
      <c r="AV253" s="125">
        <f>AH253*Valores!$C$75</f>
        <v>-249.96783000000002</v>
      </c>
      <c r="AW253" s="125">
        <f t="shared" si="33"/>
        <v>85816.427200000006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29996.05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6124.3</v>
      </c>
      <c r="N254" s="125">
        <f t="shared" si="30"/>
        <v>0</v>
      </c>
      <c r="O254" s="125">
        <f>Valores!$C$7*B254</f>
        <v>12876.64</v>
      </c>
      <c r="P254" s="125">
        <f>ROUND(IF(B254&lt;15,(Valores!$E$5*B254),Valores!$D$5),2)</f>
        <v>12940.06</v>
      </c>
      <c r="Q254" s="125">
        <v>0</v>
      </c>
      <c r="R254" s="125">
        <f>IF($F$4="NO",Valores!$C$49*B254,Valores!$C$49*B254/2)</f>
        <v>6782.72</v>
      </c>
      <c r="S254" s="125">
        <f>Valores!$C$18*B254</f>
        <v>4049.9199999999996</v>
      </c>
      <c r="T254" s="125">
        <f t="shared" si="36"/>
        <v>4049.92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3919.16</v>
      </c>
      <c r="AA254" s="125">
        <f>IF((Valores!$C$28)*B254&gt;Valores!$F$28,Valores!$F$28,(Valores!$C$28)*B254)</f>
        <v>318.08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264.88</v>
      </c>
      <c r="AE254" s="192">
        <v>94</v>
      </c>
      <c r="AF254" s="125">
        <f>ROUND(AE254*Valores!$C$2,2)</f>
        <v>2549.39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6050.8</v>
      </c>
      <c r="AH254" s="125">
        <f t="shared" si="34"/>
        <v>85872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14000</v>
      </c>
      <c r="AL254" s="125">
        <f>IF($F$3="NO",0,IF(Valores!$C$62*B254&gt;Valores!$F$62,Valores!$F$62,Valores!$C$62*B254))</f>
        <v>158.98259999999999</v>
      </c>
      <c r="AM254" s="125">
        <f t="shared" si="32"/>
        <v>14158.982599999999</v>
      </c>
      <c r="AN254" s="125">
        <f>AH254*Valores!$C$71</f>
        <v>-9445.92</v>
      </c>
      <c r="AO254" s="125">
        <f>AH254*-Valores!$C$72</f>
        <v>0</v>
      </c>
      <c r="AP254" s="125">
        <f>AH254*Valores!$C$73</f>
        <v>-3864.24</v>
      </c>
      <c r="AQ254" s="125">
        <f>Valores!$C$100</f>
        <v>-280.91000000000003</v>
      </c>
      <c r="AR254" s="125">
        <f>IF($F$5=0,Valores!$C$101,(Valores!$C$101+$F$5*(Valores!$C$101)))</f>
        <v>-385</v>
      </c>
      <c r="AS254" s="125">
        <f t="shared" si="35"/>
        <v>86054.912599999996</v>
      </c>
      <c r="AT254" s="125">
        <f t="shared" si="29"/>
        <v>-9445.92</v>
      </c>
      <c r="AU254" s="125">
        <f>AH254*Valores!$C$74</f>
        <v>-2318.5439999999999</v>
      </c>
      <c r="AV254" s="125">
        <f>AH254*Valores!$C$75</f>
        <v>-257.61599999999999</v>
      </c>
      <c r="AW254" s="125">
        <f t="shared" si="33"/>
        <v>88008.902600000001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32138.62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6561.75</v>
      </c>
      <c r="N255" s="125">
        <f t="shared" si="30"/>
        <v>0</v>
      </c>
      <c r="O255" s="125">
        <f>Valores!$C$7*B255</f>
        <v>13796.4</v>
      </c>
      <c r="P255" s="125">
        <f>ROUND(IF(B255&lt;15,(Valores!$E$5*B255),Valores!$D$5),2)</f>
        <v>13864.36</v>
      </c>
      <c r="Q255" s="125">
        <v>0</v>
      </c>
      <c r="R255" s="125">
        <f>IF($F$4="NO",Valores!$C$49*B255,Valores!$C$49*B255/2)</f>
        <v>7267.2000000000007</v>
      </c>
      <c r="S255" s="125">
        <f>Valores!$C$18*B255</f>
        <v>4339.2</v>
      </c>
      <c r="T255" s="125">
        <f t="shared" si="36"/>
        <v>4339.2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4199.1000000000004</v>
      </c>
      <c r="AA255" s="125">
        <f>IF((Valores!$C$28)*B255&gt;Valores!$F$28,Valores!$F$28,(Valores!$C$28)*B255)</f>
        <v>340.79999999999995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283.8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6483</v>
      </c>
      <c r="AH255" s="125">
        <f t="shared" si="34"/>
        <v>89274.23000000001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15000</v>
      </c>
      <c r="AL255" s="125">
        <f>IF($F$3="NO",0,IF(Valores!$C$62*B255&gt;Valores!$F$62,Valores!$F$62,Valores!$C$62*B255))</f>
        <v>170.33850000000001</v>
      </c>
      <c r="AM255" s="125">
        <f t="shared" si="32"/>
        <v>15170.3385</v>
      </c>
      <c r="AN255" s="125">
        <f>AH255*Valores!$C$71</f>
        <v>-9820.1653000000006</v>
      </c>
      <c r="AO255" s="125">
        <f>AH255*-Valores!$C$72</f>
        <v>0</v>
      </c>
      <c r="AP255" s="125">
        <f>AH255*Valores!$C$73</f>
        <v>-4017.3403500000004</v>
      </c>
      <c r="AQ255" s="125">
        <f>Valores!$C$100</f>
        <v>-280.91000000000003</v>
      </c>
      <c r="AR255" s="125">
        <f>IF($F$5=0,Valores!$C$101,(Valores!$C$101+$F$5*(Valores!$C$101)))</f>
        <v>-385</v>
      </c>
      <c r="AS255" s="125">
        <f t="shared" si="35"/>
        <v>89941.152850000013</v>
      </c>
      <c r="AT255" s="125">
        <f t="shared" si="29"/>
        <v>-9820.1653000000006</v>
      </c>
      <c r="AU255" s="125">
        <f>AH255*Valores!$C$74</f>
        <v>-2410.4042100000001</v>
      </c>
      <c r="AV255" s="125">
        <f>AH255*Valores!$C$75</f>
        <v>-267.82269000000002</v>
      </c>
      <c r="AW255" s="125">
        <f t="shared" si="33"/>
        <v>91946.176300000006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32138.62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6561.75</v>
      </c>
      <c r="N256" s="125">
        <f t="shared" si="30"/>
        <v>0</v>
      </c>
      <c r="O256" s="125">
        <f>Valores!$C$7*B256</f>
        <v>13796.4</v>
      </c>
      <c r="P256" s="125">
        <f>ROUND(IF(B256&lt;15,(Valores!$E$5*B256),Valores!$D$5),2)</f>
        <v>13864.36</v>
      </c>
      <c r="Q256" s="125">
        <v>0</v>
      </c>
      <c r="R256" s="125">
        <f>IF($F$4="NO",Valores!$C$49*B256,Valores!$C$49*B256/2)</f>
        <v>7267.2000000000007</v>
      </c>
      <c r="S256" s="125">
        <f>Valores!$C$18*B256</f>
        <v>4339.2</v>
      </c>
      <c r="T256" s="125">
        <f t="shared" si="36"/>
        <v>4339.2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4199.1000000000004</v>
      </c>
      <c r="AA256" s="125">
        <f>IF((Valores!$C$28)*B256&gt;Valores!$F$28,Valores!$F$28,(Valores!$C$28)*B256)</f>
        <v>340.79999999999995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283.8</v>
      </c>
      <c r="AE256" s="192">
        <v>94</v>
      </c>
      <c r="AF256" s="125">
        <f>ROUND(AE256*Valores!$C$2,2)</f>
        <v>2549.39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6483</v>
      </c>
      <c r="AH256" s="125">
        <f t="shared" si="34"/>
        <v>91823.62000000001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15000</v>
      </c>
      <c r="AL256" s="125">
        <f>IF($F$3="NO",0,IF(Valores!$C$62*B256&gt;Valores!$F$62,Valores!$F$62,Valores!$C$62*B256))</f>
        <v>170.33850000000001</v>
      </c>
      <c r="AM256" s="125">
        <f t="shared" si="32"/>
        <v>15170.3385</v>
      </c>
      <c r="AN256" s="125">
        <f>AH256*Valores!$C$71</f>
        <v>-10100.5982</v>
      </c>
      <c r="AO256" s="125">
        <f>AH256*-Valores!$C$72</f>
        <v>0</v>
      </c>
      <c r="AP256" s="125">
        <f>AH256*Valores!$C$73</f>
        <v>-4132.0628999999999</v>
      </c>
      <c r="AQ256" s="125">
        <f>Valores!$C$100</f>
        <v>-280.91000000000003</v>
      </c>
      <c r="AR256" s="125">
        <f>IF($F$5=0,Valores!$C$101,(Valores!$C$101+$F$5*(Valores!$C$101)))</f>
        <v>-385</v>
      </c>
      <c r="AS256" s="125">
        <f t="shared" si="35"/>
        <v>92095.387400000007</v>
      </c>
      <c r="AT256" s="125">
        <f t="shared" si="29"/>
        <v>-10100.5982</v>
      </c>
      <c r="AU256" s="125">
        <f>AH256*Valores!$C$74</f>
        <v>-2479.23774</v>
      </c>
      <c r="AV256" s="125">
        <f>AH256*Valores!$C$75</f>
        <v>-275.47086000000002</v>
      </c>
      <c r="AW256" s="125">
        <f t="shared" si="33"/>
        <v>94138.651700000002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34281.199999999997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6999.2</v>
      </c>
      <c r="N257" s="125">
        <f t="shared" si="30"/>
        <v>0</v>
      </c>
      <c r="O257" s="125">
        <f>Valores!$C$7*B257</f>
        <v>14716.16</v>
      </c>
      <c r="P257" s="125">
        <f>ROUND(IF(B257&lt;15,(Valores!$E$5*B257),Valores!$D$5),2)</f>
        <v>13864.36</v>
      </c>
      <c r="Q257" s="125">
        <v>0</v>
      </c>
      <c r="R257" s="125">
        <f>IF($F$4="NO",Valores!$C$49*B257,Valores!$C$49*B257/2)</f>
        <v>7751.68</v>
      </c>
      <c r="S257" s="125">
        <f>Valores!$C$18*B257</f>
        <v>4628.4799999999996</v>
      </c>
      <c r="T257" s="125">
        <f t="shared" si="36"/>
        <v>4628.4799999999996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4479.04</v>
      </c>
      <c r="AA257" s="125">
        <f>IF((Valores!$C$28)*B257&gt;Valores!$F$28,Valores!$F$28,(Valores!$C$28)*B257)</f>
        <v>363.52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302.72000000000003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6915.2</v>
      </c>
      <c r="AH257" s="125">
        <f t="shared" si="34"/>
        <v>94301.56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16000</v>
      </c>
      <c r="AL257" s="125">
        <f>IF($F$3="NO",0,IF(Valores!$C$62*B257&gt;Valores!$F$62,Valores!$F$62,Valores!$C$62*B257))</f>
        <v>181.6944</v>
      </c>
      <c r="AM257" s="125">
        <f t="shared" si="32"/>
        <v>16181.6944</v>
      </c>
      <c r="AN257" s="125">
        <f>AH257*Valores!$C$71</f>
        <v>-10373.1716</v>
      </c>
      <c r="AO257" s="125">
        <f>AH257*-Valores!$C$72</f>
        <v>0</v>
      </c>
      <c r="AP257" s="125">
        <f>AH257*Valores!$C$73</f>
        <v>-4243.5702000000001</v>
      </c>
      <c r="AQ257" s="125">
        <f>Valores!$C$100</f>
        <v>-280.91000000000003</v>
      </c>
      <c r="AR257" s="125">
        <f>IF($F$5=0,Valores!$C$101,(Valores!$C$101+$F$5*(Valores!$C$101)))</f>
        <v>-385</v>
      </c>
      <c r="AS257" s="125">
        <f t="shared" si="35"/>
        <v>95200.602599999998</v>
      </c>
      <c r="AT257" s="125">
        <f t="shared" si="29"/>
        <v>-10373.1716</v>
      </c>
      <c r="AU257" s="125">
        <f>AH257*Valores!$C$74</f>
        <v>-2546.14212</v>
      </c>
      <c r="AV257" s="125">
        <f>AH257*Valores!$C$75</f>
        <v>-282.90467999999998</v>
      </c>
      <c r="AW257" s="125">
        <f t="shared" si="33"/>
        <v>97281.036000000007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34281.199999999997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6999.2</v>
      </c>
      <c r="N258" s="125">
        <f t="shared" si="30"/>
        <v>0</v>
      </c>
      <c r="O258" s="125">
        <f>Valores!$C$7*B258</f>
        <v>14716.16</v>
      </c>
      <c r="P258" s="125">
        <f>ROUND(IF(B258&lt;15,(Valores!$E$5*B258),Valores!$D$5),2)</f>
        <v>13864.36</v>
      </c>
      <c r="Q258" s="125">
        <v>0</v>
      </c>
      <c r="R258" s="125">
        <f>IF($F$4="NO",Valores!$C$49*B258,Valores!$C$49*B258/2)</f>
        <v>7751.68</v>
      </c>
      <c r="S258" s="125">
        <f>Valores!$C$18*B258</f>
        <v>4628.4799999999996</v>
      </c>
      <c r="T258" s="125">
        <f t="shared" si="36"/>
        <v>4628.4799999999996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4479.04</v>
      </c>
      <c r="AA258" s="125">
        <f>IF((Valores!$C$28)*B258&gt;Valores!$F$28,Valores!$F$28,(Valores!$C$28)*B258)</f>
        <v>363.52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302.72000000000003</v>
      </c>
      <c r="AE258" s="192">
        <v>94</v>
      </c>
      <c r="AF258" s="125">
        <f>ROUND(AE258*Valores!$C$2,2)</f>
        <v>2549.39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6915.2</v>
      </c>
      <c r="AH258" s="125">
        <f t="shared" si="34"/>
        <v>96850.95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16000</v>
      </c>
      <c r="AL258" s="125">
        <f>IF($F$3="NO",0,IF(Valores!$C$62*B258&gt;Valores!$F$62,Valores!$F$62,Valores!$C$62*B258))</f>
        <v>181.6944</v>
      </c>
      <c r="AM258" s="125">
        <f t="shared" si="32"/>
        <v>16181.6944</v>
      </c>
      <c r="AN258" s="125">
        <f>AH258*Valores!$C$71</f>
        <v>-10653.604499999999</v>
      </c>
      <c r="AO258" s="125">
        <f>AH258*-Valores!$C$72</f>
        <v>0</v>
      </c>
      <c r="AP258" s="125">
        <f>AH258*Valores!$C$73</f>
        <v>-4358.2927499999996</v>
      </c>
      <c r="AQ258" s="125">
        <f>Valores!$C$100</f>
        <v>-280.91000000000003</v>
      </c>
      <c r="AR258" s="125">
        <f>IF($F$5=0,Valores!$C$101,(Valores!$C$101+$F$5*(Valores!$C$101)))</f>
        <v>-385</v>
      </c>
      <c r="AS258" s="125">
        <f t="shared" si="35"/>
        <v>97354.837149999992</v>
      </c>
      <c r="AT258" s="125">
        <f t="shared" si="29"/>
        <v>-10653.604499999999</v>
      </c>
      <c r="AU258" s="125">
        <f>AH258*Valores!$C$74</f>
        <v>-2614.9756499999999</v>
      </c>
      <c r="AV258" s="125">
        <f>AH258*Valores!$C$75</f>
        <v>-290.55284999999998</v>
      </c>
      <c r="AW258" s="125">
        <f t="shared" si="33"/>
        <v>99473.511399999988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36423.769999999997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7436.65</v>
      </c>
      <c r="N259" s="125">
        <f t="shared" si="30"/>
        <v>0</v>
      </c>
      <c r="O259" s="125">
        <f>Valores!$C$7*B259</f>
        <v>15635.92</v>
      </c>
      <c r="P259" s="125">
        <f>ROUND(IF(B259&lt;15,(Valores!$E$5*B259),Valores!$D$5),2)</f>
        <v>13864.36</v>
      </c>
      <c r="Q259" s="125">
        <v>0</v>
      </c>
      <c r="R259" s="125">
        <f>IF($F$4="NO",Valores!$C$49*B259,Valores!$C$49*B259/2)</f>
        <v>8236.16</v>
      </c>
      <c r="S259" s="125">
        <f>Valores!$C$18*B259</f>
        <v>4917.7599999999993</v>
      </c>
      <c r="T259" s="125">
        <f t="shared" si="36"/>
        <v>4917.76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4758.9799999999996</v>
      </c>
      <c r="AA259" s="125">
        <f>IF((Valores!$C$28)*B259&gt;Valores!$F$28,Valores!$F$28,(Valores!$C$28)*B259)</f>
        <v>386.24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321.64000000000004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7347.4</v>
      </c>
      <c r="AH259" s="125">
        <f t="shared" si="34"/>
        <v>99328.87999999999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17000</v>
      </c>
      <c r="AL259" s="125">
        <f>IF($F$3="NO",0,IF(Valores!$C$62*B259&gt;Valores!$F$62,Valores!$F$62,Valores!$C$62*B259))</f>
        <v>193.05029999999999</v>
      </c>
      <c r="AM259" s="125">
        <f t="shared" si="32"/>
        <v>17193.050299999999</v>
      </c>
      <c r="AN259" s="125">
        <f>AH259*Valores!$C$71</f>
        <v>-10926.176799999999</v>
      </c>
      <c r="AO259" s="125">
        <f>AH259*-Valores!$C$72</f>
        <v>0</v>
      </c>
      <c r="AP259" s="125">
        <f>AH259*Valores!$C$73</f>
        <v>-4469.7995999999994</v>
      </c>
      <c r="AQ259" s="125">
        <f>Valores!$C$100</f>
        <v>-280.91000000000003</v>
      </c>
      <c r="AR259" s="125">
        <f>IF($F$5=0,Valores!$C$101,(Valores!$C$101+$F$5*(Valores!$C$101)))</f>
        <v>-385</v>
      </c>
      <c r="AS259" s="125">
        <f t="shared" si="35"/>
        <v>100460.04389999999</v>
      </c>
      <c r="AT259" s="125">
        <f t="shared" si="29"/>
        <v>-10926.176799999999</v>
      </c>
      <c r="AU259" s="125">
        <f>AH259*Valores!$C$74</f>
        <v>-2681.8797599999998</v>
      </c>
      <c r="AV259" s="125">
        <f>AH259*Valores!$C$75</f>
        <v>-297.98663999999997</v>
      </c>
      <c r="AW259" s="125">
        <f t="shared" si="33"/>
        <v>102615.88709999999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36423.769999999997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7436.65</v>
      </c>
      <c r="N260" s="125">
        <f t="shared" si="30"/>
        <v>0</v>
      </c>
      <c r="O260" s="125">
        <f>Valores!$C$7*B260</f>
        <v>15635.92</v>
      </c>
      <c r="P260" s="125">
        <f>ROUND(IF(B260&lt;15,(Valores!$E$5*B260),Valores!$D$5),2)</f>
        <v>13864.36</v>
      </c>
      <c r="Q260" s="125">
        <v>0</v>
      </c>
      <c r="R260" s="125">
        <f>IF($F$4="NO",Valores!$C$49*B260,Valores!$C$49*B260/2)</f>
        <v>8236.16</v>
      </c>
      <c r="S260" s="125">
        <f>Valores!$C$18*B260</f>
        <v>4917.7599999999993</v>
      </c>
      <c r="T260" s="125">
        <f t="shared" si="36"/>
        <v>4917.76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4758.9799999999996</v>
      </c>
      <c r="AA260" s="125">
        <f>IF((Valores!$C$28)*B260&gt;Valores!$F$28,Valores!$F$28,(Valores!$C$28)*B260)</f>
        <v>386.24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321.64000000000004</v>
      </c>
      <c r="AE260" s="192">
        <v>94</v>
      </c>
      <c r="AF260" s="125">
        <f>ROUND(AE260*Valores!$C$2,2)</f>
        <v>2549.39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7347.4</v>
      </c>
      <c r="AH260" s="125">
        <f t="shared" si="34"/>
        <v>101878.26999999999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17000</v>
      </c>
      <c r="AL260" s="125">
        <f>IF($F$3="NO",0,IF(Valores!$C$62*B260&gt;Valores!$F$62,Valores!$F$62,Valores!$C$62*B260))</f>
        <v>193.05029999999999</v>
      </c>
      <c r="AM260" s="125">
        <f t="shared" si="32"/>
        <v>17193.050299999999</v>
      </c>
      <c r="AN260" s="125">
        <f>AH260*Valores!$C$71</f>
        <v>-11206.609699999999</v>
      </c>
      <c r="AO260" s="125">
        <f>AH260*-Valores!$C$72</f>
        <v>0</v>
      </c>
      <c r="AP260" s="125">
        <f>AH260*Valores!$C$73</f>
        <v>-4584.5221499999998</v>
      </c>
      <c r="AQ260" s="125">
        <f>Valores!$C$100</f>
        <v>-280.91000000000003</v>
      </c>
      <c r="AR260" s="125">
        <f>IF($F$5=0,Valores!$C$101,(Valores!$C$101+$F$5*(Valores!$C$101)))</f>
        <v>-385</v>
      </c>
      <c r="AS260" s="125">
        <f t="shared" si="35"/>
        <v>102614.27844999998</v>
      </c>
      <c r="AT260" s="125">
        <f t="shared" si="29"/>
        <v>-11206.609699999999</v>
      </c>
      <c r="AU260" s="125">
        <f>AH260*Valores!$C$74</f>
        <v>-2750.7132899999997</v>
      </c>
      <c r="AV260" s="125">
        <f>AH260*Valores!$C$75</f>
        <v>-305.63480999999996</v>
      </c>
      <c r="AW260" s="125">
        <f t="shared" si="33"/>
        <v>104808.36249999999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38566.35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7874.1</v>
      </c>
      <c r="N261" s="125">
        <f t="shared" si="30"/>
        <v>0</v>
      </c>
      <c r="O261" s="125">
        <f>Valores!$C$7*B261</f>
        <v>16555.68</v>
      </c>
      <c r="P261" s="125">
        <f>ROUND(IF(B261&lt;15,(Valores!$E$5*B261),Valores!$D$5),2)</f>
        <v>13864.36</v>
      </c>
      <c r="Q261" s="125">
        <v>0</v>
      </c>
      <c r="R261" s="125">
        <f>IF($F$4="NO",Valores!$C$49*B261,Valores!$C$49*B261/2)</f>
        <v>8720.64</v>
      </c>
      <c r="S261" s="125">
        <f>Valores!$C$18*B261</f>
        <v>5207.0399999999991</v>
      </c>
      <c r="T261" s="125">
        <f t="shared" si="36"/>
        <v>5207.04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5038.92</v>
      </c>
      <c r="AA261" s="125">
        <f>IF((Valores!$C$28)*B261&gt;Valores!$F$28,Valores!$F$28,(Valores!$C$28)*B261)</f>
        <v>408.96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340.56000000000006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7779.5999999999995</v>
      </c>
      <c r="AH261" s="125">
        <f t="shared" si="34"/>
        <v>104356.20999999999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18000</v>
      </c>
      <c r="AL261" s="125">
        <f>IF($F$3="NO",0,IF(Valores!$C$62*B261&gt;Valores!$F$62,Valores!$F$62,Valores!$C$62*B261))</f>
        <v>204.40620000000001</v>
      </c>
      <c r="AM261" s="125">
        <f t="shared" si="32"/>
        <v>18204.406200000001</v>
      </c>
      <c r="AN261" s="125">
        <f>AH261*Valores!$C$71</f>
        <v>-11479.183099999998</v>
      </c>
      <c r="AO261" s="125">
        <f>AH261*-Valores!$C$72</f>
        <v>0</v>
      </c>
      <c r="AP261" s="125">
        <f>AH261*Valores!$C$73</f>
        <v>-4696.0294499999991</v>
      </c>
      <c r="AQ261" s="125">
        <f>Valores!$C$100</f>
        <v>-280.91000000000003</v>
      </c>
      <c r="AR261" s="125">
        <f>IF($F$5=0,Valores!$C$101,(Valores!$C$101+$F$5*(Valores!$C$101)))</f>
        <v>-385</v>
      </c>
      <c r="AS261" s="125">
        <f t="shared" si="35"/>
        <v>105719.49364999999</v>
      </c>
      <c r="AT261" s="125">
        <f t="shared" ref="AT261:AT325" si="41">AN261</f>
        <v>-11479.183099999998</v>
      </c>
      <c r="AU261" s="125">
        <f>AH261*Valores!$C$74</f>
        <v>-2817.6176699999996</v>
      </c>
      <c r="AV261" s="125">
        <f>AH261*Valores!$C$75</f>
        <v>-313.06862999999998</v>
      </c>
      <c r="AW261" s="125">
        <f t="shared" si="33"/>
        <v>107950.74679999999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38566.35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7874.1</v>
      </c>
      <c r="N262" s="125">
        <f t="shared" si="30"/>
        <v>0</v>
      </c>
      <c r="O262" s="125">
        <f>Valores!$C$7*B262</f>
        <v>16555.68</v>
      </c>
      <c r="P262" s="125">
        <f>ROUND(IF(B262&lt;15,(Valores!$E$5*B262),Valores!$D$5),2)</f>
        <v>13864.36</v>
      </c>
      <c r="Q262" s="125">
        <v>0</v>
      </c>
      <c r="R262" s="125">
        <f>IF($F$4="NO",Valores!$C$49*B262,Valores!$C$49*B262/2)</f>
        <v>8720.64</v>
      </c>
      <c r="S262" s="125">
        <f>Valores!$C$18*B262</f>
        <v>5207.0399999999991</v>
      </c>
      <c r="T262" s="125">
        <f t="shared" si="36"/>
        <v>5207.04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5038.92</v>
      </c>
      <c r="AA262" s="125">
        <f>IF((Valores!$C$28)*B262&gt;Valores!$F$28,Valores!$F$28,(Valores!$C$28)*B262)</f>
        <v>408.96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340.56000000000006</v>
      </c>
      <c r="AE262" s="192">
        <v>94</v>
      </c>
      <c r="AF262" s="125">
        <f>ROUND(AE262*Valores!$C$2,2)</f>
        <v>2549.39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7779.5999999999995</v>
      </c>
      <c r="AH262" s="125">
        <f t="shared" si="34"/>
        <v>106905.59999999999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18000</v>
      </c>
      <c r="AL262" s="125">
        <f>IF($F$3="NO",0,IF(Valores!$C$62*B262&gt;Valores!$F$62,Valores!$F$62,Valores!$C$62*B262))</f>
        <v>204.40620000000001</v>
      </c>
      <c r="AM262" s="125">
        <f t="shared" si="32"/>
        <v>18204.406200000001</v>
      </c>
      <c r="AN262" s="125">
        <f>AH262*Valores!$C$71</f>
        <v>-11759.616</v>
      </c>
      <c r="AO262" s="125">
        <f>AH262*-Valores!$C$72</f>
        <v>0</v>
      </c>
      <c r="AP262" s="125">
        <f>AH262*Valores!$C$73</f>
        <v>-4810.7519999999995</v>
      </c>
      <c r="AQ262" s="125">
        <f>Valores!$C$100</f>
        <v>-280.91000000000003</v>
      </c>
      <c r="AR262" s="125">
        <f>IF($F$5=0,Valores!$C$101,(Valores!$C$101+$F$5*(Valores!$C$101)))</f>
        <v>-385</v>
      </c>
      <c r="AS262" s="125">
        <f t="shared" si="35"/>
        <v>107873.7282</v>
      </c>
      <c r="AT262" s="125">
        <f t="shared" si="41"/>
        <v>-11759.616</v>
      </c>
      <c r="AU262" s="125">
        <f>AH262*Valores!$C$74</f>
        <v>-2886.4511999999995</v>
      </c>
      <c r="AV262" s="125">
        <f>AH262*Valores!$C$75</f>
        <v>-320.71679999999998</v>
      </c>
      <c r="AW262" s="125">
        <f t="shared" si="33"/>
        <v>110143.22219999999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40708.92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8311.5499999999993</v>
      </c>
      <c r="N263" s="125">
        <f t="shared" si="30"/>
        <v>0</v>
      </c>
      <c r="O263" s="125">
        <f>Valores!$C$7*B263</f>
        <v>17475.439999999999</v>
      </c>
      <c r="P263" s="125">
        <f>ROUND(IF(B263&lt;15,(Valores!$E$5*B263),Valores!$D$5),2)</f>
        <v>13864.36</v>
      </c>
      <c r="Q263" s="125">
        <v>0</v>
      </c>
      <c r="R263" s="125">
        <f>IF($F$4="NO",Valores!$C$49*B263,Valores!$C$49*B263/2)</f>
        <v>9205.1200000000008</v>
      </c>
      <c r="S263" s="125">
        <f>Valores!$C$18*B263</f>
        <v>5496.32</v>
      </c>
      <c r="T263" s="125">
        <f t="shared" si="36"/>
        <v>5496.32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5318.86</v>
      </c>
      <c r="AA263" s="125">
        <f>IF((Valores!$C$28)*B263&gt;Valores!$F$28,Valores!$F$28,(Valores!$C$28)*B263)</f>
        <v>431.67999999999995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359.48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8211.7999999999993</v>
      </c>
      <c r="AH263" s="125">
        <f t="shared" si="34"/>
        <v>109383.52999999998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19000</v>
      </c>
      <c r="AL263" s="125">
        <f>IF($F$3="NO",0,IF(Valores!$C$62*B263&gt;Valores!$F$62,Valores!$F$62,Valores!$C$62*B263))</f>
        <v>215.7621</v>
      </c>
      <c r="AM263" s="125">
        <f t="shared" si="32"/>
        <v>19215.7621</v>
      </c>
      <c r="AN263" s="125">
        <f>AH263*Valores!$C$71</f>
        <v>-12032.188299999998</v>
      </c>
      <c r="AO263" s="125">
        <f>AH263*-Valores!$C$72</f>
        <v>0</v>
      </c>
      <c r="AP263" s="125">
        <f>AH263*Valores!$C$73</f>
        <v>-4922.2588499999993</v>
      </c>
      <c r="AQ263" s="125">
        <f>Valores!$C$100</f>
        <v>-280.91000000000003</v>
      </c>
      <c r="AR263" s="125">
        <f>IF($F$5=0,Valores!$C$101,(Valores!$C$101+$F$5*(Valores!$C$101)))</f>
        <v>-385</v>
      </c>
      <c r="AS263" s="125">
        <f t="shared" si="35"/>
        <v>110978.93494999998</v>
      </c>
      <c r="AT263" s="125">
        <f t="shared" si="41"/>
        <v>-12032.188299999998</v>
      </c>
      <c r="AU263" s="125">
        <f>AH263*Valores!$C$74</f>
        <v>-2953.3553099999995</v>
      </c>
      <c r="AV263" s="125">
        <f>AH263*Valores!$C$75</f>
        <v>-328.15058999999997</v>
      </c>
      <c r="AW263" s="125">
        <f t="shared" si="33"/>
        <v>113285.59789999999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40708.92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8311.5499999999993</v>
      </c>
      <c r="N264" s="125">
        <f t="shared" ref="N264:N326" si="42">ROUND(SUM(F264,H264,J264,L264,X264,R264)*$H$2,2)</f>
        <v>0</v>
      </c>
      <c r="O264" s="125">
        <f>Valores!$C$7*B264</f>
        <v>17475.439999999999</v>
      </c>
      <c r="P264" s="125">
        <f>ROUND(IF(B264&lt;15,(Valores!$E$5*B264),Valores!$D$5),2)</f>
        <v>13864.36</v>
      </c>
      <c r="Q264" s="125">
        <v>0</v>
      </c>
      <c r="R264" s="125">
        <f>IF($F$4="NO",Valores!$C$49*B264,Valores!$C$49*B264/2)</f>
        <v>9205.1200000000008</v>
      </c>
      <c r="S264" s="125">
        <f>Valores!$C$18*B264</f>
        <v>5496.32</v>
      </c>
      <c r="T264" s="125">
        <f t="shared" si="36"/>
        <v>5496.32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5318.86</v>
      </c>
      <c r="AA264" s="125">
        <f>IF((Valores!$C$28)*B264&gt;Valores!$F$28,Valores!$F$28,(Valores!$C$28)*B264)</f>
        <v>431.67999999999995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359.48</v>
      </c>
      <c r="AE264" s="192">
        <v>94</v>
      </c>
      <c r="AF264" s="125">
        <f>ROUND(AE264*Valores!$C$2,2)</f>
        <v>2549.39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8211.7999999999993</v>
      </c>
      <c r="AH264" s="125">
        <f t="shared" si="34"/>
        <v>111932.91999999998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19000</v>
      </c>
      <c r="AL264" s="125">
        <f>IF($F$3="NO",0,IF(Valores!$C$62*B264&gt;Valores!$F$62,Valores!$F$62,Valores!$C$62*B264))</f>
        <v>215.7621</v>
      </c>
      <c r="AM264" s="125">
        <f t="shared" ref="AM264:AM326" si="44">SUM(AI264:AL264)</f>
        <v>19215.7621</v>
      </c>
      <c r="AN264" s="125">
        <f>AH264*Valores!$C$71</f>
        <v>-12312.621199999998</v>
      </c>
      <c r="AO264" s="125">
        <f>AH264*-Valores!$C$72</f>
        <v>0</v>
      </c>
      <c r="AP264" s="125">
        <f>AH264*Valores!$C$73</f>
        <v>-5036.9813999999988</v>
      </c>
      <c r="AQ264" s="125">
        <f>Valores!$C$100</f>
        <v>-280.91000000000003</v>
      </c>
      <c r="AR264" s="125">
        <f>IF($F$5=0,Valores!$C$101,(Valores!$C$101+$F$5*(Valores!$C$101)))</f>
        <v>-385</v>
      </c>
      <c r="AS264" s="125">
        <f t="shared" si="35"/>
        <v>113133.16949999999</v>
      </c>
      <c r="AT264" s="125">
        <f t="shared" si="41"/>
        <v>-12312.621199999998</v>
      </c>
      <c r="AU264" s="125">
        <f>AH264*Valores!$C$74</f>
        <v>-3022.1888399999993</v>
      </c>
      <c r="AV264" s="125">
        <f>AH264*Valores!$C$75</f>
        <v>-335.79875999999996</v>
      </c>
      <c r="AW264" s="125">
        <f t="shared" ref="AW264:AW326" si="45">AH264+AM264+SUM(AT264:AV264)</f>
        <v>115478.07329999997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42851.5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8749.01</v>
      </c>
      <c r="N265" s="125">
        <f t="shared" si="42"/>
        <v>0</v>
      </c>
      <c r="O265" s="125">
        <f>Valores!$C$7*B265</f>
        <v>18395.2</v>
      </c>
      <c r="P265" s="125">
        <f>ROUND(IF(B265&lt;15,(Valores!$E$5*B265),Valores!$D$5),2)</f>
        <v>13864.36</v>
      </c>
      <c r="Q265" s="125">
        <v>0</v>
      </c>
      <c r="R265" s="125">
        <f>IF($F$4="NO",Valores!$C$49*B265,Valores!$C$49*B265/2)</f>
        <v>9689.6</v>
      </c>
      <c r="S265" s="125">
        <f>Valores!$C$18*B265</f>
        <v>5785.5999999999995</v>
      </c>
      <c r="T265" s="125">
        <f t="shared" si="36"/>
        <v>5785.6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5598.8</v>
      </c>
      <c r="AA265" s="125">
        <f>IF((Valores!$C$28)*B265&gt;Valores!$F$28,Valores!$F$28,(Valores!$C$28)*B265)</f>
        <v>454.4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378.40000000000003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8644</v>
      </c>
      <c r="AH265" s="125">
        <f t="shared" ref="AH265:AH326" si="46">SUM(F265,H265,J265,L265,M265,N265,O265,P265,Q265,R265,T265,U265,V265,X265,Y265,Z265,AA265,AC265,AD265,AF265,AG265)</f>
        <v>114410.87000000001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20000</v>
      </c>
      <c r="AL265" s="125">
        <f>IF($F$3="NO",0,IF(Valores!$C$62*B265&gt;Valores!$F$62,Valores!$F$62,Valores!$C$62*B265))</f>
        <v>227.11799999999999</v>
      </c>
      <c r="AM265" s="125">
        <f t="shared" si="44"/>
        <v>20227.117999999999</v>
      </c>
      <c r="AN265" s="125">
        <f>AH265*Valores!$C$71</f>
        <v>-12585.195700000002</v>
      </c>
      <c r="AO265" s="125">
        <f>AH265*-Valores!$C$72</f>
        <v>0</v>
      </c>
      <c r="AP265" s="125">
        <f>AH265*Valores!$C$73</f>
        <v>-5148.4891500000003</v>
      </c>
      <c r="AQ265" s="125">
        <f>Valores!$C$100</f>
        <v>-280.91000000000003</v>
      </c>
      <c r="AR265" s="125">
        <f>IF($F$5=0,Valores!$C$101,(Valores!$C$101+$F$5*(Valores!$C$101)))</f>
        <v>-385</v>
      </c>
      <c r="AS265" s="125">
        <f t="shared" ref="AS265:AS326" si="47">AH265+SUM(AM265:AR265)</f>
        <v>116238.39315</v>
      </c>
      <c r="AT265" s="125">
        <f t="shared" si="41"/>
        <v>-12585.195700000002</v>
      </c>
      <c r="AU265" s="125">
        <f>AH265*Valores!$C$74</f>
        <v>-3089.0934900000002</v>
      </c>
      <c r="AV265" s="125">
        <f>AH265*Valores!$C$75</f>
        <v>-343.23261000000002</v>
      </c>
      <c r="AW265" s="125">
        <f t="shared" si="45"/>
        <v>118620.46620000001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42851.5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8749.01</v>
      </c>
      <c r="N266" s="125">
        <f t="shared" si="42"/>
        <v>0</v>
      </c>
      <c r="O266" s="125">
        <f>Valores!$C$7*B266</f>
        <v>18395.2</v>
      </c>
      <c r="P266" s="125">
        <f>ROUND(IF(B266&lt;15,(Valores!$E$5*B266),Valores!$D$5),2)</f>
        <v>13864.36</v>
      </c>
      <c r="Q266" s="125">
        <v>0</v>
      </c>
      <c r="R266" s="125">
        <f>IF($F$4="NO",Valores!$C$49*B266,Valores!$C$49*B266/2)</f>
        <v>9689.6</v>
      </c>
      <c r="S266" s="125">
        <f>Valores!$C$18*B266</f>
        <v>5785.5999999999995</v>
      </c>
      <c r="T266" s="125">
        <f t="shared" si="36"/>
        <v>5785.6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5598.8</v>
      </c>
      <c r="AA266" s="125">
        <f>IF((Valores!$C$28)*B266&gt;Valores!$F$28,Valores!$F$28,(Valores!$C$28)*B266)</f>
        <v>454.4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378.40000000000003</v>
      </c>
      <c r="AE266" s="192">
        <v>94</v>
      </c>
      <c r="AF266" s="125">
        <f>ROUND(AE266*Valores!$C$2,2)</f>
        <v>2549.39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8644</v>
      </c>
      <c r="AH266" s="125">
        <f t="shared" si="46"/>
        <v>116960.26000000001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20000</v>
      </c>
      <c r="AL266" s="125">
        <f>IF($F$3="NO",0,IF(Valores!$C$62*B266&gt;Valores!$F$62,Valores!$F$62,Valores!$C$62*B266))</f>
        <v>227.11799999999999</v>
      </c>
      <c r="AM266" s="125">
        <f t="shared" si="44"/>
        <v>20227.117999999999</v>
      </c>
      <c r="AN266" s="125">
        <f>AH266*Valores!$C$71</f>
        <v>-12865.628600000002</v>
      </c>
      <c r="AO266" s="125">
        <f>AH266*-Valores!$C$72</f>
        <v>0</v>
      </c>
      <c r="AP266" s="125">
        <f>AH266*Valores!$C$73</f>
        <v>-5263.2116999999998</v>
      </c>
      <c r="AQ266" s="125">
        <f>Valores!$C$100</f>
        <v>-280.91000000000003</v>
      </c>
      <c r="AR266" s="125">
        <f>IF($F$5=0,Valores!$C$101,(Valores!$C$101+$F$5*(Valores!$C$101)))</f>
        <v>-385</v>
      </c>
      <c r="AS266" s="125">
        <f t="shared" si="47"/>
        <v>118392.62770000001</v>
      </c>
      <c r="AT266" s="125">
        <f t="shared" si="41"/>
        <v>-12865.628600000002</v>
      </c>
      <c r="AU266" s="125">
        <f>AH266*Valores!$C$74</f>
        <v>-3157.9270200000001</v>
      </c>
      <c r="AV266" s="125">
        <f>AH266*Valores!$C$75</f>
        <v>-350.88078000000002</v>
      </c>
      <c r="AW266" s="125">
        <f t="shared" si="45"/>
        <v>120812.94159999999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44994.07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9186.4500000000007</v>
      </c>
      <c r="N267" s="125">
        <f t="shared" si="42"/>
        <v>0</v>
      </c>
      <c r="O267" s="125">
        <f>Valores!$C$7*B267</f>
        <v>19314.96</v>
      </c>
      <c r="P267" s="125">
        <f>ROUND(IF(B267&lt;15,(Valores!$E$5*B267),Valores!$D$5),2)</f>
        <v>13864.36</v>
      </c>
      <c r="Q267" s="125">
        <v>0</v>
      </c>
      <c r="R267" s="125">
        <f>IF($F$4="NO",Valores!$C$49*B267,Valores!$C$49*B267/2)</f>
        <v>10174.08</v>
      </c>
      <c r="S267" s="125">
        <f>Valores!$C$18*B267</f>
        <v>6074.8799999999992</v>
      </c>
      <c r="T267" s="125">
        <f t="shared" ref="T267:T299" si="48">ROUND(S267*(1+$H$2),2)</f>
        <v>6074.88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5878.74</v>
      </c>
      <c r="AA267" s="125">
        <f>IF((Valores!$C$28)*B267&gt;Valores!$F$28,Valores!$F$28,(Valores!$C$28)*B267)</f>
        <v>477.12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397.32000000000005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9076.1999999999989</v>
      </c>
      <c r="AH267" s="125">
        <f t="shared" si="46"/>
        <v>119438.18000000002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21000</v>
      </c>
      <c r="AL267" s="125">
        <f>IF($F$3="NO",0,IF(Valores!$C$62*B267&gt;Valores!$F$62,Valores!$F$62,Valores!$C$62*B267))</f>
        <v>238.47390000000001</v>
      </c>
      <c r="AM267" s="125">
        <f t="shared" si="44"/>
        <v>21238.473900000001</v>
      </c>
      <c r="AN267" s="125">
        <f>AH267*Valores!$C$71</f>
        <v>-13138.199800000002</v>
      </c>
      <c r="AO267" s="125">
        <f>AH267*-Valores!$C$72</f>
        <v>0</v>
      </c>
      <c r="AP267" s="125">
        <f>AH267*Valores!$C$73</f>
        <v>-5374.718100000001</v>
      </c>
      <c r="AQ267" s="125">
        <f>Valores!$C$100</f>
        <v>-280.91000000000003</v>
      </c>
      <c r="AR267" s="125">
        <f>IF($F$5=0,Valores!$C$101,(Valores!$C$101+$F$5*(Valores!$C$101)))</f>
        <v>-385</v>
      </c>
      <c r="AS267" s="125">
        <f t="shared" si="47"/>
        <v>121497.82600000002</v>
      </c>
      <c r="AT267" s="125">
        <f t="shared" si="41"/>
        <v>-13138.199800000002</v>
      </c>
      <c r="AU267" s="125">
        <f>AH267*Valores!$C$74</f>
        <v>-3224.8308600000005</v>
      </c>
      <c r="AV267" s="125">
        <f>AH267*Valores!$C$75</f>
        <v>-358.31454000000008</v>
      </c>
      <c r="AW267" s="125">
        <f t="shared" si="45"/>
        <v>123955.30870000002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44994.07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9186.4500000000007</v>
      </c>
      <c r="N268" s="125">
        <f t="shared" si="42"/>
        <v>0</v>
      </c>
      <c r="O268" s="125">
        <f>Valores!$C$7*B268</f>
        <v>19314.96</v>
      </c>
      <c r="P268" s="125">
        <f>ROUND(IF(B268&lt;15,(Valores!$E$5*B268),Valores!$D$5),2)</f>
        <v>13864.36</v>
      </c>
      <c r="Q268" s="125">
        <v>0</v>
      </c>
      <c r="R268" s="125">
        <f>IF($F$4="NO",Valores!$C$49*B268,Valores!$C$49*B268/2)</f>
        <v>10174.08</v>
      </c>
      <c r="S268" s="125">
        <f>Valores!$C$18*B268</f>
        <v>6074.8799999999992</v>
      </c>
      <c r="T268" s="125">
        <f t="shared" si="48"/>
        <v>6074.88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5878.74</v>
      </c>
      <c r="AA268" s="125">
        <f>IF((Valores!$C$28)*B268&gt;Valores!$F$28,Valores!$F$28,(Valores!$C$28)*B268)</f>
        <v>477.12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397.32000000000005</v>
      </c>
      <c r="AE268" s="192">
        <v>94</v>
      </c>
      <c r="AF268" s="125">
        <f>ROUND(AE268*Valores!$C$2,2)</f>
        <v>2549.39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9076.1999999999989</v>
      </c>
      <c r="AH268" s="125">
        <f t="shared" si="46"/>
        <v>121987.57000000002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21000</v>
      </c>
      <c r="AL268" s="125">
        <f>IF($F$3="NO",0,IF(Valores!$C$62*B268&gt;Valores!$F$62,Valores!$F$62,Valores!$C$62*B268))</f>
        <v>238.47390000000001</v>
      </c>
      <c r="AM268" s="125">
        <f t="shared" si="44"/>
        <v>21238.473900000001</v>
      </c>
      <c r="AN268" s="125">
        <f>AH268*Valores!$C$71</f>
        <v>-13418.632700000002</v>
      </c>
      <c r="AO268" s="125">
        <f>AH268*-Valores!$C$72</f>
        <v>0</v>
      </c>
      <c r="AP268" s="125">
        <f>AH268*Valores!$C$73</f>
        <v>-5489.4406500000005</v>
      </c>
      <c r="AQ268" s="125">
        <f>Valores!$C$100</f>
        <v>-280.91000000000003</v>
      </c>
      <c r="AR268" s="125">
        <f>IF($F$5=0,Valores!$C$101,(Valores!$C$101+$F$5*(Valores!$C$101)))</f>
        <v>-385</v>
      </c>
      <c r="AS268" s="125">
        <f t="shared" si="47"/>
        <v>123652.06055000002</v>
      </c>
      <c r="AT268" s="125">
        <f t="shared" si="41"/>
        <v>-13418.632700000002</v>
      </c>
      <c r="AU268" s="125">
        <f>AH268*Valores!$C$74</f>
        <v>-3293.6643900000004</v>
      </c>
      <c r="AV268" s="125">
        <f>AH268*Valores!$C$75</f>
        <v>-365.96271000000007</v>
      </c>
      <c r="AW268" s="125">
        <f t="shared" si="45"/>
        <v>126147.78410000002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47136.65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9623.91</v>
      </c>
      <c r="N269" s="125">
        <f t="shared" si="42"/>
        <v>0</v>
      </c>
      <c r="O269" s="125">
        <f>Valores!$C$7*B269</f>
        <v>20234.72</v>
      </c>
      <c r="P269" s="125">
        <f>ROUND(IF(B269&lt;15,(Valores!$E$5*B269),Valores!$D$5),2)</f>
        <v>13864.36</v>
      </c>
      <c r="Q269" s="125">
        <v>0</v>
      </c>
      <c r="R269" s="125">
        <f>IF($F$4="NO",Valores!$C$49*B269,Valores!$C$49*B269/2)</f>
        <v>10658.560000000001</v>
      </c>
      <c r="S269" s="125">
        <f>Valores!$C$18*B269</f>
        <v>6364.16</v>
      </c>
      <c r="T269" s="125">
        <f t="shared" si="48"/>
        <v>6364.16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6158.68</v>
      </c>
      <c r="AA269" s="125">
        <f>IF((Valores!$C$28)*B269&gt;Valores!$F$28,Valores!$F$28,(Valores!$C$28)*B269)</f>
        <v>499.84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416.24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9508.4</v>
      </c>
      <c r="AH269" s="125">
        <f t="shared" si="46"/>
        <v>124465.52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22000</v>
      </c>
      <c r="AL269" s="125">
        <f>IF($F$3="NO",0,IF(Valores!$C$62*B269&gt;Valores!$F$62,Valores!$F$62,Valores!$C$62*B269))</f>
        <v>249.82980000000001</v>
      </c>
      <c r="AM269" s="125">
        <f t="shared" si="44"/>
        <v>22249.8298</v>
      </c>
      <c r="AN269" s="125">
        <f>AH269*Valores!$C$71</f>
        <v>-13691.207200000001</v>
      </c>
      <c r="AO269" s="125">
        <f>AH269*-Valores!$C$72</f>
        <v>0</v>
      </c>
      <c r="AP269" s="125">
        <f>AH269*Valores!$C$73</f>
        <v>-5600.9484000000002</v>
      </c>
      <c r="AQ269" s="125">
        <f>Valores!$C$100</f>
        <v>-280.91000000000003</v>
      </c>
      <c r="AR269" s="125">
        <f>IF($F$5=0,Valores!$C$101,(Valores!$C$101+$F$5*(Valores!$C$101)))</f>
        <v>-385</v>
      </c>
      <c r="AS269" s="125">
        <f t="shared" si="47"/>
        <v>126757.28420000001</v>
      </c>
      <c r="AT269" s="125">
        <f t="shared" si="41"/>
        <v>-13691.207200000001</v>
      </c>
      <c r="AU269" s="125">
        <f>AH269*Valores!$C$74</f>
        <v>-3360.5690399999999</v>
      </c>
      <c r="AV269" s="125">
        <f>AH269*Valores!$C$75</f>
        <v>-373.39656000000002</v>
      </c>
      <c r="AW269" s="125">
        <f t="shared" si="45"/>
        <v>129290.177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47136.65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9623.91</v>
      </c>
      <c r="N270" s="125">
        <f t="shared" si="42"/>
        <v>0</v>
      </c>
      <c r="O270" s="125">
        <f>Valores!$C$7*B270</f>
        <v>20234.72</v>
      </c>
      <c r="P270" s="125">
        <f>ROUND(IF(B270&lt;15,(Valores!$E$5*B270),Valores!$D$5),2)</f>
        <v>13864.36</v>
      </c>
      <c r="Q270" s="125">
        <v>0</v>
      </c>
      <c r="R270" s="125">
        <f>IF($F$4="NO",Valores!$C$49*B270,Valores!$C$49*B270/2)</f>
        <v>10658.560000000001</v>
      </c>
      <c r="S270" s="125">
        <f>Valores!$C$18*B270</f>
        <v>6364.16</v>
      </c>
      <c r="T270" s="125">
        <f t="shared" si="48"/>
        <v>6364.16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6158.68</v>
      </c>
      <c r="AA270" s="125">
        <f>IF((Valores!$C$28)*B270&gt;Valores!$F$28,Valores!$F$28,(Valores!$C$28)*B270)</f>
        <v>499.84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416.24</v>
      </c>
      <c r="AE270" s="192">
        <v>94</v>
      </c>
      <c r="AF270" s="125">
        <f>ROUND(AE270*Valores!$C$2,2)</f>
        <v>2549.39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9508.4</v>
      </c>
      <c r="AH270" s="125">
        <f t="shared" si="46"/>
        <v>127014.91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22000</v>
      </c>
      <c r="AL270" s="125">
        <f>IF($F$3="NO",0,IF(Valores!$C$62*B270&gt;Valores!$F$62,Valores!$F$62,Valores!$C$62*B270))</f>
        <v>249.82980000000001</v>
      </c>
      <c r="AM270" s="125">
        <f t="shared" si="44"/>
        <v>22249.8298</v>
      </c>
      <c r="AN270" s="125">
        <f>AH270*Valores!$C$71</f>
        <v>-13971.640100000001</v>
      </c>
      <c r="AO270" s="125">
        <f>AH270*-Valores!$C$72</f>
        <v>0</v>
      </c>
      <c r="AP270" s="125">
        <f>AH270*Valores!$C$73</f>
        <v>-5715.6709499999997</v>
      </c>
      <c r="AQ270" s="125">
        <f>Valores!$C$100</f>
        <v>-280.91000000000003</v>
      </c>
      <c r="AR270" s="125">
        <f>IF($F$5=0,Valores!$C$101,(Valores!$C$101+$F$5*(Valores!$C$101)))</f>
        <v>-385</v>
      </c>
      <c r="AS270" s="125">
        <f t="shared" si="47"/>
        <v>128911.51875</v>
      </c>
      <c r="AT270" s="125">
        <f t="shared" si="41"/>
        <v>-13971.640100000001</v>
      </c>
      <c r="AU270" s="125">
        <f>AH270*Valores!$C$74</f>
        <v>-3429.4025700000002</v>
      </c>
      <c r="AV270" s="125">
        <f>AH270*Valores!$C$75</f>
        <v>-381.04473000000002</v>
      </c>
      <c r="AW270" s="125">
        <f t="shared" si="45"/>
        <v>131482.65240000002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49279.22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10061.36</v>
      </c>
      <c r="N271" s="125">
        <f t="shared" si="42"/>
        <v>0</v>
      </c>
      <c r="O271" s="125">
        <f>Valores!$C$7*B271</f>
        <v>21154.48</v>
      </c>
      <c r="P271" s="125">
        <f>ROUND(IF(B271&lt;15,(Valores!$E$5*B271),Valores!$D$5),2)</f>
        <v>13864.36</v>
      </c>
      <c r="Q271" s="125">
        <v>0</v>
      </c>
      <c r="R271" s="125">
        <f>IF($F$4="NO",Valores!$C$49*B271,Valores!$C$49*B271/2)</f>
        <v>11143.04</v>
      </c>
      <c r="S271" s="125">
        <f>Valores!$C$18*B271</f>
        <v>6653.44</v>
      </c>
      <c r="T271" s="125">
        <f t="shared" si="48"/>
        <v>6653.44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6438.62</v>
      </c>
      <c r="AA271" s="125">
        <f>IF((Valores!$C$28)*B271&gt;Valores!$F$28,Valores!$F$28,(Valores!$C$28)*B271)</f>
        <v>522.55999999999995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435.16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9940.6</v>
      </c>
      <c r="AH271" s="125">
        <f t="shared" si="46"/>
        <v>129492.84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23000</v>
      </c>
      <c r="AL271" s="125">
        <f>IF($F$3="NO",0,IF(Valores!$C$62*B271&gt;Valores!$F$62,Valores!$F$62,Valores!$C$62*B271))</f>
        <v>261.1857</v>
      </c>
      <c r="AM271" s="125">
        <f t="shared" si="44"/>
        <v>23261.185700000002</v>
      </c>
      <c r="AN271" s="125">
        <f>AH271*Valores!$C$71</f>
        <v>-14244.2124</v>
      </c>
      <c r="AO271" s="125">
        <f>AH271*-Valores!$C$72</f>
        <v>0</v>
      </c>
      <c r="AP271" s="125">
        <f>AH271*Valores!$C$73</f>
        <v>-5827.1777999999995</v>
      </c>
      <c r="AQ271" s="125">
        <f>Valores!$C$100</f>
        <v>-280.91000000000003</v>
      </c>
      <c r="AR271" s="125">
        <f>IF($F$5=0,Valores!$C$101,(Valores!$C$101+$F$5*(Valores!$C$101)))</f>
        <v>-385</v>
      </c>
      <c r="AS271" s="125">
        <f t="shared" si="47"/>
        <v>132016.7255</v>
      </c>
      <c r="AT271" s="125">
        <f t="shared" si="41"/>
        <v>-14244.2124</v>
      </c>
      <c r="AU271" s="125">
        <f>AH271*Valores!$C$74</f>
        <v>-3496.3066799999997</v>
      </c>
      <c r="AV271" s="125">
        <f>AH271*Valores!$C$75</f>
        <v>-388.47852</v>
      </c>
      <c r="AW271" s="125">
        <f t="shared" si="45"/>
        <v>134625.0281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49279.22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10061.36</v>
      </c>
      <c r="N272" s="125">
        <f t="shared" si="42"/>
        <v>0</v>
      </c>
      <c r="O272" s="125">
        <f>Valores!$C$7*B272</f>
        <v>21154.48</v>
      </c>
      <c r="P272" s="125">
        <f>ROUND(IF(B272&lt;15,(Valores!$E$5*B272),Valores!$D$5),2)</f>
        <v>13864.36</v>
      </c>
      <c r="Q272" s="125">
        <v>0</v>
      </c>
      <c r="R272" s="125">
        <f>IF($F$4="NO",Valores!$C$49*B272,Valores!$C$49*B272/2)</f>
        <v>11143.04</v>
      </c>
      <c r="S272" s="125">
        <f>Valores!$C$18*B272</f>
        <v>6653.44</v>
      </c>
      <c r="T272" s="125">
        <f t="shared" si="48"/>
        <v>6653.44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6438.62</v>
      </c>
      <c r="AA272" s="125">
        <f>IF((Valores!$C$28)*B272&gt;Valores!$F$28,Valores!$F$28,(Valores!$C$28)*B272)</f>
        <v>522.55999999999995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435.16</v>
      </c>
      <c r="AE272" s="192">
        <v>94</v>
      </c>
      <c r="AF272" s="125">
        <f>ROUND(AE272*Valores!$C$2,2)</f>
        <v>2549.39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9940.6</v>
      </c>
      <c r="AH272" s="125">
        <f t="shared" si="46"/>
        <v>132042.22999999998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23000</v>
      </c>
      <c r="AL272" s="125">
        <f>IF($F$3="NO",0,IF(Valores!$C$62*B272&gt;Valores!$F$62,Valores!$F$62,Valores!$C$62*B272))</f>
        <v>261.1857</v>
      </c>
      <c r="AM272" s="125">
        <f t="shared" si="44"/>
        <v>23261.185700000002</v>
      </c>
      <c r="AN272" s="125">
        <f>AH272*Valores!$C$71</f>
        <v>-14524.645299999998</v>
      </c>
      <c r="AO272" s="125">
        <f>AH272*-Valores!$C$72</f>
        <v>0</v>
      </c>
      <c r="AP272" s="125">
        <f>AH272*Valores!$C$73</f>
        <v>-5941.900349999999</v>
      </c>
      <c r="AQ272" s="125">
        <f>Valores!$C$100</f>
        <v>-280.91000000000003</v>
      </c>
      <c r="AR272" s="125">
        <f>IF($F$5=0,Valores!$C$101,(Valores!$C$101+$F$5*(Valores!$C$101)))</f>
        <v>-385</v>
      </c>
      <c r="AS272" s="125">
        <f t="shared" si="47"/>
        <v>134170.96004999999</v>
      </c>
      <c r="AT272" s="125">
        <f t="shared" si="41"/>
        <v>-14524.645299999998</v>
      </c>
      <c r="AU272" s="125">
        <f>AH272*Valores!$C$74</f>
        <v>-3565.1402099999996</v>
      </c>
      <c r="AV272" s="125">
        <f>AH272*Valores!$C$75</f>
        <v>-396.12668999999994</v>
      </c>
      <c r="AW272" s="125">
        <f t="shared" si="45"/>
        <v>136817.50349999999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51421.8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10498.81</v>
      </c>
      <c r="N273" s="125">
        <f t="shared" si="42"/>
        <v>0</v>
      </c>
      <c r="O273" s="125">
        <f>Valores!$C$7*B273</f>
        <v>22074.239999999998</v>
      </c>
      <c r="P273" s="125">
        <f>ROUND(IF(B273&lt;15,(Valores!$E$5*B273),Valores!$D$5),2)</f>
        <v>13864.36</v>
      </c>
      <c r="Q273" s="125">
        <v>0</v>
      </c>
      <c r="R273" s="125">
        <f>IF($F$4="NO",Valores!$C$49*B273,Valores!$C$49*B273/2)</f>
        <v>11627.52</v>
      </c>
      <c r="S273" s="125">
        <f>Valores!$C$18*B273</f>
        <v>6942.7199999999993</v>
      </c>
      <c r="T273" s="125">
        <f t="shared" si="48"/>
        <v>6942.72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6718.5599999999995</v>
      </c>
      <c r="AA273" s="125">
        <f>IF((Valores!$C$28)*B273&gt;Valores!$F$28,Valores!$F$28,(Valores!$C$28)*B273)</f>
        <v>545.28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454.08000000000004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10372.799999999999</v>
      </c>
      <c r="AH273" s="125">
        <f t="shared" si="46"/>
        <v>134520.17000000001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24000</v>
      </c>
      <c r="AL273" s="125">
        <f>IF($F$3="NO",0,IF(Valores!$C$62*B273&gt;Valores!$F$62,Valores!$F$62,Valores!$C$62*B273))</f>
        <v>272.54160000000002</v>
      </c>
      <c r="AM273" s="125">
        <f t="shared" si="44"/>
        <v>24272.5416</v>
      </c>
      <c r="AN273" s="125">
        <f>AH273*Valores!$C$71</f>
        <v>-14797.218700000001</v>
      </c>
      <c r="AO273" s="125">
        <f>AH273*-Valores!$C$72</f>
        <v>0</v>
      </c>
      <c r="AP273" s="125">
        <f>AH273*Valores!$C$73</f>
        <v>-6053.4076500000001</v>
      </c>
      <c r="AQ273" s="125">
        <f>Valores!$C$100</f>
        <v>-280.91000000000003</v>
      </c>
      <c r="AR273" s="125">
        <f>IF($F$5=0,Valores!$C$101,(Valores!$C$101+$F$5*(Valores!$C$101)))</f>
        <v>-385</v>
      </c>
      <c r="AS273" s="125">
        <f t="shared" si="47"/>
        <v>137276.17525</v>
      </c>
      <c r="AT273" s="125">
        <f t="shared" si="41"/>
        <v>-14797.218700000001</v>
      </c>
      <c r="AU273" s="125">
        <f>AH273*Valores!$C$74</f>
        <v>-3632.0445900000004</v>
      </c>
      <c r="AV273" s="125">
        <f>AH273*Valores!$C$75</f>
        <v>-403.56051000000002</v>
      </c>
      <c r="AW273" s="125">
        <f t="shared" si="45"/>
        <v>139959.8878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51421.8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10498.81</v>
      </c>
      <c r="N274" s="125">
        <f t="shared" si="42"/>
        <v>0</v>
      </c>
      <c r="O274" s="125">
        <f>Valores!$C$7*B274</f>
        <v>22074.239999999998</v>
      </c>
      <c r="P274" s="125">
        <f>ROUND(IF(B274&lt;15,(Valores!$E$5*B274),Valores!$D$5),2)</f>
        <v>13864.36</v>
      </c>
      <c r="Q274" s="125">
        <v>0</v>
      </c>
      <c r="R274" s="125">
        <f>IF($F$4="NO",Valores!$C$49*B274,Valores!$C$49*B274/2)</f>
        <v>11627.52</v>
      </c>
      <c r="S274" s="125">
        <f>Valores!$C$18*B274</f>
        <v>6942.7199999999993</v>
      </c>
      <c r="T274" s="125">
        <f t="shared" si="48"/>
        <v>6942.72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6718.5599999999995</v>
      </c>
      <c r="AA274" s="125">
        <f>IF((Valores!$C$28)*B274&gt;Valores!$F$28,Valores!$F$28,(Valores!$C$28)*B274)</f>
        <v>545.28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454.08000000000004</v>
      </c>
      <c r="AE274" s="192">
        <v>94</v>
      </c>
      <c r="AF274" s="125">
        <f>ROUND(AE274*Valores!$C$2,2)</f>
        <v>2549.39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10372.799999999999</v>
      </c>
      <c r="AH274" s="125">
        <f t="shared" si="46"/>
        <v>137069.56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24000</v>
      </c>
      <c r="AL274" s="125">
        <f>IF($F$3="NO",0,IF(Valores!$C$62*B274&gt;Valores!$F$62,Valores!$F$62,Valores!$C$62*B274))</f>
        <v>272.54160000000002</v>
      </c>
      <c r="AM274" s="125">
        <f t="shared" si="44"/>
        <v>24272.5416</v>
      </c>
      <c r="AN274" s="125">
        <f>AH274*Valores!$C$71</f>
        <v>-15077.651599999999</v>
      </c>
      <c r="AO274" s="125">
        <f>AH274*-Valores!$C$72</f>
        <v>0</v>
      </c>
      <c r="AP274" s="125">
        <f>AH274*Valores!$C$73</f>
        <v>-6168.1301999999996</v>
      </c>
      <c r="AQ274" s="125">
        <f>Valores!$C$100</f>
        <v>-280.91000000000003</v>
      </c>
      <c r="AR274" s="125">
        <f>IF($F$5=0,Valores!$C$101,(Valores!$C$101+$F$5*(Valores!$C$101)))</f>
        <v>-385</v>
      </c>
      <c r="AS274" s="125">
        <f t="shared" si="47"/>
        <v>139430.40979999999</v>
      </c>
      <c r="AT274" s="125">
        <f t="shared" si="41"/>
        <v>-15077.651599999999</v>
      </c>
      <c r="AU274" s="125">
        <f>AH274*Valores!$C$74</f>
        <v>-3700.8781199999999</v>
      </c>
      <c r="AV274" s="125">
        <f>AH274*Valores!$C$75</f>
        <v>-411.20868000000002</v>
      </c>
      <c r="AW274" s="125">
        <f t="shared" si="45"/>
        <v>142152.36319999999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53564.37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10936.26</v>
      </c>
      <c r="N275" s="125">
        <f t="shared" si="42"/>
        <v>0</v>
      </c>
      <c r="O275" s="125">
        <f>Valores!$C$7*B275</f>
        <v>22994</v>
      </c>
      <c r="P275" s="125">
        <f>ROUND(IF(B275&lt;15,(Valores!$E$5*B275),Valores!$D$5),2)</f>
        <v>13864.36</v>
      </c>
      <c r="Q275" s="125">
        <v>0</v>
      </c>
      <c r="R275" s="125">
        <f>IF($F$4="NO",Valores!$C$49*B275,Valores!$C$49*B275/2)</f>
        <v>12112</v>
      </c>
      <c r="S275" s="125">
        <f>Valores!$C$18*B275</f>
        <v>7231.9999999999991</v>
      </c>
      <c r="T275" s="125">
        <f t="shared" si="48"/>
        <v>7232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6998.5</v>
      </c>
      <c r="AA275" s="125">
        <f>IF((Valores!$C$28)*B275&gt;Valores!$F$28,Valores!$F$28,(Valores!$C$28)*B275)</f>
        <v>568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473.00000000000006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10805</v>
      </c>
      <c r="AH275" s="125">
        <f t="shared" si="46"/>
        <v>139547.49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25000</v>
      </c>
      <c r="AL275" s="125">
        <f>IF($F$3="NO",0,IF(Valores!$C$62*B275&gt;Valores!$F$62,Valores!$F$62,Valores!$C$62*B275))</f>
        <v>283.89749999999998</v>
      </c>
      <c r="AM275" s="125">
        <f t="shared" si="44"/>
        <v>25283.897499999999</v>
      </c>
      <c r="AN275" s="125">
        <f>AH275*Valores!$C$71</f>
        <v>-15350.223899999999</v>
      </c>
      <c r="AO275" s="125">
        <f>AH275*-Valores!$C$72</f>
        <v>0</v>
      </c>
      <c r="AP275" s="125">
        <f>AH275*Valores!$C$73</f>
        <v>-6279.6370499999994</v>
      </c>
      <c r="AQ275" s="125">
        <f>Valores!$C$100</f>
        <v>-280.91000000000003</v>
      </c>
      <c r="AR275" s="125">
        <f>IF($F$5=0,Valores!$C$101,(Valores!$C$101+$F$5*(Valores!$C$101)))</f>
        <v>-385</v>
      </c>
      <c r="AS275" s="125">
        <f t="shared" si="47"/>
        <v>142535.61654999998</v>
      </c>
      <c r="AT275" s="125">
        <f t="shared" si="41"/>
        <v>-15350.223899999999</v>
      </c>
      <c r="AU275" s="125">
        <f>AH275*Valores!$C$74</f>
        <v>-3767.7822299999998</v>
      </c>
      <c r="AV275" s="125">
        <f>AH275*Valores!$C$75</f>
        <v>-418.64247</v>
      </c>
      <c r="AW275" s="125">
        <f t="shared" si="45"/>
        <v>145294.7389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53564.37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10936.26</v>
      </c>
      <c r="N276" s="125">
        <f t="shared" si="42"/>
        <v>0</v>
      </c>
      <c r="O276" s="125">
        <f>Valores!$C$7*B276</f>
        <v>22994</v>
      </c>
      <c r="P276" s="125">
        <f>ROUND(IF(B276&lt;15,(Valores!$E$5*B276),Valores!$D$5),2)</f>
        <v>13864.36</v>
      </c>
      <c r="Q276" s="125">
        <v>0</v>
      </c>
      <c r="R276" s="125">
        <f>IF($F$4="NO",Valores!$C$49*B276,Valores!$C$49*B276/2)</f>
        <v>12112</v>
      </c>
      <c r="S276" s="125">
        <f>Valores!$C$18*B276</f>
        <v>7231.9999999999991</v>
      </c>
      <c r="T276" s="125">
        <f t="shared" si="48"/>
        <v>7232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6998.5</v>
      </c>
      <c r="AA276" s="125">
        <f>IF((Valores!$C$28)*B276&gt;Valores!$F$28,Valores!$F$28,(Valores!$C$28)*B276)</f>
        <v>568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473.00000000000006</v>
      </c>
      <c r="AE276" s="192">
        <v>94</v>
      </c>
      <c r="AF276" s="125">
        <f>ROUND(AE276*Valores!$C$2,2)</f>
        <v>2549.39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10805</v>
      </c>
      <c r="AH276" s="125">
        <f t="shared" si="46"/>
        <v>142096.88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25000</v>
      </c>
      <c r="AL276" s="125">
        <f>IF($F$3="NO",0,IF(Valores!$C$62*B276&gt;Valores!$F$62,Valores!$F$62,Valores!$C$62*B276))</f>
        <v>283.89749999999998</v>
      </c>
      <c r="AM276" s="125">
        <f t="shared" si="44"/>
        <v>25283.897499999999</v>
      </c>
      <c r="AN276" s="125">
        <f>AH276*Valores!$C$71</f>
        <v>-15630.656800000001</v>
      </c>
      <c r="AO276" s="125">
        <f>AH276*-Valores!$C$72</f>
        <v>0</v>
      </c>
      <c r="AP276" s="125">
        <f>AH276*Valores!$C$73</f>
        <v>-6394.3595999999998</v>
      </c>
      <c r="AQ276" s="125">
        <f>Valores!$C$100</f>
        <v>-280.91000000000003</v>
      </c>
      <c r="AR276" s="125">
        <f>IF($F$5=0,Valores!$C$101,(Valores!$C$101+$F$5*(Valores!$C$101)))</f>
        <v>-385</v>
      </c>
      <c r="AS276" s="125">
        <f t="shared" si="47"/>
        <v>144689.8511</v>
      </c>
      <c r="AT276" s="125">
        <f t="shared" si="41"/>
        <v>-15630.656800000001</v>
      </c>
      <c r="AU276" s="125">
        <f>AH276*Valores!$C$74</f>
        <v>-3836.6157600000001</v>
      </c>
      <c r="AV276" s="125">
        <f>AH276*Valores!$C$75</f>
        <v>-426.29064</v>
      </c>
      <c r="AW276" s="125">
        <f t="shared" si="45"/>
        <v>147487.21429999999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55706.94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11373.71</v>
      </c>
      <c r="N277" s="125">
        <f t="shared" si="42"/>
        <v>0</v>
      </c>
      <c r="O277" s="125">
        <f>Valores!$C$7*B277</f>
        <v>23913.759999999998</v>
      </c>
      <c r="P277" s="125">
        <f>ROUND(IF(B277&lt;15,(Valores!$E$5*B277),Valores!$D$5),2)</f>
        <v>13864.36</v>
      </c>
      <c r="Q277" s="125">
        <v>0</v>
      </c>
      <c r="R277" s="125">
        <f>IF($F$4="NO",Valores!$C$49*B277,Valores!$C$49*B277/2)</f>
        <v>12596.48</v>
      </c>
      <c r="S277" s="125">
        <f>Valores!$C$18*B277</f>
        <v>7521.2799999999988</v>
      </c>
      <c r="T277" s="125">
        <f t="shared" si="48"/>
        <v>7521.28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7278.44</v>
      </c>
      <c r="AA277" s="125">
        <f>IF((Valores!$C$28)*B277&gt;Valores!$F$28,Valores!$F$28,(Valores!$C$28)*B277)</f>
        <v>590.72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491.92000000000007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11237.199999999999</v>
      </c>
      <c r="AH277" s="125">
        <f t="shared" si="46"/>
        <v>144574.81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26000</v>
      </c>
      <c r="AL277" s="125">
        <f>IF($F$3="NO",0,IF(Valores!$C$62*B277&gt;Valores!$F$62,Valores!$F$62,Valores!$C$62*B277))</f>
        <v>295.2534</v>
      </c>
      <c r="AM277" s="125">
        <f t="shared" si="44"/>
        <v>26295.253400000001</v>
      </c>
      <c r="AN277" s="125">
        <f>AH277*Valores!$C$71</f>
        <v>-15903.2291</v>
      </c>
      <c r="AO277" s="125">
        <f>AH277*-Valores!$C$72</f>
        <v>0</v>
      </c>
      <c r="AP277" s="125">
        <f>AH277*Valores!$C$73</f>
        <v>-6505.8664499999995</v>
      </c>
      <c r="AQ277" s="125">
        <f>Valores!$C$100</f>
        <v>-280.91000000000003</v>
      </c>
      <c r="AR277" s="125">
        <f>IF($F$5=0,Valores!$C$101,(Valores!$C$101+$F$5*(Valores!$C$101)))</f>
        <v>-385</v>
      </c>
      <c r="AS277" s="125">
        <f t="shared" si="47"/>
        <v>147795.05785000001</v>
      </c>
      <c r="AT277" s="125">
        <f t="shared" si="41"/>
        <v>-15903.2291</v>
      </c>
      <c r="AU277" s="125">
        <f>AH277*Valores!$C$74</f>
        <v>-3903.5198700000001</v>
      </c>
      <c r="AV277" s="125">
        <f>AH277*Valores!$C$75</f>
        <v>-433.72442999999998</v>
      </c>
      <c r="AW277" s="125">
        <f t="shared" si="45"/>
        <v>150629.59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55706.94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11373.71</v>
      </c>
      <c r="N278" s="125">
        <f t="shared" si="42"/>
        <v>0</v>
      </c>
      <c r="O278" s="125">
        <f>Valores!$C$7*B278</f>
        <v>23913.759999999998</v>
      </c>
      <c r="P278" s="125">
        <f>ROUND(IF(B278&lt;15,(Valores!$E$5*B278),Valores!$D$5),2)</f>
        <v>13864.36</v>
      </c>
      <c r="Q278" s="125">
        <v>0</v>
      </c>
      <c r="R278" s="125">
        <f>IF($F$4="NO",Valores!$C$49*B278,Valores!$C$49*B278/2)</f>
        <v>12596.48</v>
      </c>
      <c r="S278" s="125">
        <f>Valores!$C$18*B278</f>
        <v>7521.2799999999988</v>
      </c>
      <c r="T278" s="125">
        <f t="shared" si="48"/>
        <v>7521.28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7278.44</v>
      </c>
      <c r="AA278" s="125">
        <f>IF((Valores!$C$28)*B278&gt;Valores!$F$28,Valores!$F$28,(Valores!$C$28)*B278)</f>
        <v>590.72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491.92000000000007</v>
      </c>
      <c r="AE278" s="192">
        <v>94</v>
      </c>
      <c r="AF278" s="125">
        <f>ROUND(AE278*Valores!$C$2,2)</f>
        <v>2549.39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11237.199999999999</v>
      </c>
      <c r="AH278" s="125">
        <f t="shared" si="46"/>
        <v>147124.20000000001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26000</v>
      </c>
      <c r="AL278" s="125">
        <f>IF($F$3="NO",0,IF(Valores!$C$62*B278&gt;Valores!$F$62,Valores!$F$62,Valores!$C$62*B278))</f>
        <v>295.2534</v>
      </c>
      <c r="AM278" s="125">
        <f t="shared" si="44"/>
        <v>26295.253400000001</v>
      </c>
      <c r="AN278" s="125">
        <f>AH278*Valores!$C$71</f>
        <v>-16183.662000000002</v>
      </c>
      <c r="AO278" s="125">
        <f>AH278*-Valores!$C$72</f>
        <v>0</v>
      </c>
      <c r="AP278" s="125">
        <f>AH278*Valores!$C$73</f>
        <v>-6620.5889999999999</v>
      </c>
      <c r="AQ278" s="125">
        <f>Valores!$C$100</f>
        <v>-280.91000000000003</v>
      </c>
      <c r="AR278" s="125">
        <f>IF($F$5=0,Valores!$C$101,(Valores!$C$101+$F$5*(Valores!$C$101)))</f>
        <v>-385</v>
      </c>
      <c r="AS278" s="125">
        <f t="shared" si="47"/>
        <v>149949.29240000001</v>
      </c>
      <c r="AT278" s="125">
        <f t="shared" si="41"/>
        <v>-16183.662000000002</v>
      </c>
      <c r="AU278" s="125">
        <f>AH278*Valores!$C$74</f>
        <v>-3972.3534000000004</v>
      </c>
      <c r="AV278" s="125">
        <f>AH278*Valores!$C$75</f>
        <v>-441.37260000000003</v>
      </c>
      <c r="AW278" s="125">
        <f t="shared" si="45"/>
        <v>152822.06539999999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57849.52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11811.16</v>
      </c>
      <c r="N279" s="125">
        <f t="shared" si="42"/>
        <v>0</v>
      </c>
      <c r="O279" s="125">
        <f>Valores!$C$7*B279</f>
        <v>24833.52</v>
      </c>
      <c r="P279" s="125">
        <f>ROUND(IF(B279&lt;15,(Valores!$E$5*B279),Valores!$D$5),2)</f>
        <v>13864.36</v>
      </c>
      <c r="Q279" s="125">
        <v>0</v>
      </c>
      <c r="R279" s="125">
        <f>IF($F$4="NO",Valores!$C$49*B279,Valores!$C$49*B279/2)</f>
        <v>13080.960000000001</v>
      </c>
      <c r="S279" s="125">
        <f>Valores!$C$18*B279</f>
        <v>7810.5599999999995</v>
      </c>
      <c r="T279" s="125">
        <f t="shared" si="48"/>
        <v>7810.56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7558.38</v>
      </c>
      <c r="AA279" s="125">
        <f>IF((Valores!$C$28)*B279&gt;Valores!$F$28,Valores!$F$28,(Valores!$C$28)*B279)</f>
        <v>613.43999999999994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510.84000000000003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11669.4</v>
      </c>
      <c r="AH279" s="125">
        <f t="shared" si="46"/>
        <v>149602.13999999998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27000</v>
      </c>
      <c r="AL279" s="125">
        <f>IF($F$3="NO",0,IF(Valores!$C$62*B279&gt;Valores!$F$62,Valores!$F$62,Valores!$C$62*B279))</f>
        <v>306.60930000000002</v>
      </c>
      <c r="AM279" s="125">
        <f t="shared" si="44"/>
        <v>27306.6093</v>
      </c>
      <c r="AN279" s="125">
        <f>AH279*Valores!$C$71</f>
        <v>-16456.235399999998</v>
      </c>
      <c r="AO279" s="125">
        <f>AH279*-Valores!$C$72</f>
        <v>0</v>
      </c>
      <c r="AP279" s="125">
        <f>AH279*Valores!$C$73</f>
        <v>-6732.0962999999992</v>
      </c>
      <c r="AQ279" s="125">
        <f>Valores!$C$100</f>
        <v>-280.91000000000003</v>
      </c>
      <c r="AR279" s="125">
        <f>IF($F$5=0,Valores!$C$101,(Valores!$C$101+$F$5*(Valores!$C$101)))</f>
        <v>-385</v>
      </c>
      <c r="AS279" s="125">
        <f t="shared" si="47"/>
        <v>153054.50759999998</v>
      </c>
      <c r="AT279" s="125">
        <f t="shared" si="41"/>
        <v>-16456.235399999998</v>
      </c>
      <c r="AU279" s="125">
        <f>AH279*Valores!$C$74</f>
        <v>-4039.2577799999995</v>
      </c>
      <c r="AV279" s="125">
        <f>AH279*Valores!$C$75</f>
        <v>-448.80641999999995</v>
      </c>
      <c r="AW279" s="125">
        <f t="shared" si="45"/>
        <v>155964.4497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57849.52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11811.16</v>
      </c>
      <c r="N280" s="125">
        <f t="shared" si="42"/>
        <v>0</v>
      </c>
      <c r="O280" s="125">
        <f>Valores!$C$7*B280</f>
        <v>24833.52</v>
      </c>
      <c r="P280" s="125">
        <f>ROUND(IF(B280&lt;15,(Valores!$E$5*B280),Valores!$D$5),2)</f>
        <v>13864.36</v>
      </c>
      <c r="Q280" s="125">
        <v>0</v>
      </c>
      <c r="R280" s="125">
        <f>IF($F$4="NO",Valores!$C$49*B280,Valores!$C$49*B280/2)</f>
        <v>13080.960000000001</v>
      </c>
      <c r="S280" s="125">
        <f>Valores!$C$18*B280</f>
        <v>7810.5599999999995</v>
      </c>
      <c r="T280" s="125">
        <f t="shared" si="48"/>
        <v>7810.56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7558.38</v>
      </c>
      <c r="AA280" s="125">
        <f>IF((Valores!$C$28)*B280&gt;Valores!$F$28,Valores!$F$28,(Valores!$C$28)*B280)</f>
        <v>613.43999999999994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510.84000000000003</v>
      </c>
      <c r="AE280" s="192">
        <v>94</v>
      </c>
      <c r="AF280" s="125">
        <f>ROUND(AE280*Valores!$C$2,2)</f>
        <v>2549.39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11669.4</v>
      </c>
      <c r="AH280" s="125">
        <f t="shared" si="46"/>
        <v>152151.53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27000</v>
      </c>
      <c r="AL280" s="125">
        <f>IF($F$3="NO",0,IF(Valores!$C$62*B280&gt;Valores!$F$62,Valores!$F$62,Valores!$C$62*B280))</f>
        <v>306.60930000000002</v>
      </c>
      <c r="AM280" s="125">
        <f t="shared" si="44"/>
        <v>27306.6093</v>
      </c>
      <c r="AN280" s="125">
        <f>AH280*Valores!$C$71</f>
        <v>-16736.668300000001</v>
      </c>
      <c r="AO280" s="125">
        <f>AH280*-Valores!$C$72</f>
        <v>0</v>
      </c>
      <c r="AP280" s="125">
        <f>AH280*Valores!$C$73</f>
        <v>-6846.8188499999997</v>
      </c>
      <c r="AQ280" s="125">
        <f>Valores!$C$100</f>
        <v>-280.91000000000003</v>
      </c>
      <c r="AR280" s="125">
        <f>IF($F$5=0,Valores!$C$101,(Valores!$C$101+$F$5*(Valores!$C$101)))</f>
        <v>-385</v>
      </c>
      <c r="AS280" s="125">
        <f t="shared" si="47"/>
        <v>155208.74215000001</v>
      </c>
      <c r="AT280" s="125">
        <f t="shared" si="41"/>
        <v>-16736.668300000001</v>
      </c>
      <c r="AU280" s="125">
        <f>AH280*Valores!$C$74</f>
        <v>-4108.0913099999998</v>
      </c>
      <c r="AV280" s="125">
        <f>AH280*Valores!$C$75</f>
        <v>-456.45459</v>
      </c>
      <c r="AW280" s="125">
        <f t="shared" si="45"/>
        <v>158156.92509999999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59992.09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12248.61</v>
      </c>
      <c r="N281" s="125">
        <f t="shared" si="42"/>
        <v>0</v>
      </c>
      <c r="O281" s="125">
        <f>Valores!$C$7*B281</f>
        <v>25753.279999999999</v>
      </c>
      <c r="P281" s="125">
        <f>ROUND(IF(B281&lt;15,(Valores!$E$5*B281),Valores!$D$5),2)</f>
        <v>13864.36</v>
      </c>
      <c r="Q281" s="125">
        <v>0</v>
      </c>
      <c r="R281" s="125">
        <f>IF($F$4="NO",Valores!$C$49*B281,Valores!$C$49*B281/2)</f>
        <v>13565.44</v>
      </c>
      <c r="S281" s="125">
        <f>Valores!$C$18*B281</f>
        <v>8099.8399999999992</v>
      </c>
      <c r="T281" s="125">
        <f t="shared" si="48"/>
        <v>8099.84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7838.32</v>
      </c>
      <c r="AA281" s="125">
        <f>IF((Valores!$C$28)*B281&gt;Valores!$F$28,Valores!$F$28,(Valores!$C$28)*B281)</f>
        <v>636.16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529.76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12101.6</v>
      </c>
      <c r="AH281" s="125">
        <f t="shared" si="46"/>
        <v>154629.46000000002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28000</v>
      </c>
      <c r="AL281" s="125">
        <f>IF($F$3="NO",0,IF(Valores!$C$62*B281&gt;Valores!$F$62,Valores!$F$62,Valores!$C$62*B281))</f>
        <v>317.96519999999998</v>
      </c>
      <c r="AM281" s="125">
        <f t="shared" si="44"/>
        <v>28317.965199999999</v>
      </c>
      <c r="AN281" s="125">
        <f>AH281*Valores!$C$71</f>
        <v>-17009.240600000001</v>
      </c>
      <c r="AO281" s="125">
        <f>AH281*-Valores!$C$72</f>
        <v>0</v>
      </c>
      <c r="AP281" s="125">
        <f>AH281*Valores!$C$73</f>
        <v>-6958.3257000000003</v>
      </c>
      <c r="AQ281" s="125">
        <f>Valores!$C$100</f>
        <v>-280.91000000000003</v>
      </c>
      <c r="AR281" s="125">
        <f>IF($F$5=0,Valores!$C$101,(Valores!$C$101+$F$5*(Valores!$C$101)))</f>
        <v>-385</v>
      </c>
      <c r="AS281" s="125">
        <f t="shared" si="47"/>
        <v>158313.94890000002</v>
      </c>
      <c r="AT281" s="125">
        <f t="shared" si="41"/>
        <v>-17009.240600000001</v>
      </c>
      <c r="AU281" s="125">
        <f>AH281*Valores!$C$74</f>
        <v>-4174.9954200000002</v>
      </c>
      <c r="AV281" s="125">
        <f>AH281*Valores!$C$75</f>
        <v>-463.8883800000001</v>
      </c>
      <c r="AW281" s="125">
        <f t="shared" si="45"/>
        <v>161299.30080000003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59992.09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12248.61</v>
      </c>
      <c r="N282" s="125">
        <f t="shared" si="42"/>
        <v>0</v>
      </c>
      <c r="O282" s="125">
        <f>Valores!$C$7*B282</f>
        <v>25753.279999999999</v>
      </c>
      <c r="P282" s="125">
        <f>ROUND(IF(B282&lt;15,(Valores!$E$5*B282),Valores!$D$5),2)</f>
        <v>13864.36</v>
      </c>
      <c r="Q282" s="125">
        <v>0</v>
      </c>
      <c r="R282" s="125">
        <f>IF($F$4="NO",Valores!$C$49*B282,Valores!$C$49*B282/2)</f>
        <v>13565.44</v>
      </c>
      <c r="S282" s="125">
        <f>Valores!$C$18*B282</f>
        <v>8099.8399999999992</v>
      </c>
      <c r="T282" s="125">
        <f t="shared" si="48"/>
        <v>8099.84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7838.32</v>
      </c>
      <c r="AA282" s="125">
        <f>IF((Valores!$C$28)*B282&gt;Valores!$F$28,Valores!$F$28,(Valores!$C$28)*B282)</f>
        <v>636.16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529.76</v>
      </c>
      <c r="AE282" s="192">
        <v>94</v>
      </c>
      <c r="AF282" s="125">
        <f>ROUND(AE282*Valores!$C$2,2)</f>
        <v>2549.39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12101.6</v>
      </c>
      <c r="AH282" s="125">
        <f t="shared" si="46"/>
        <v>157178.85000000003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28000</v>
      </c>
      <c r="AL282" s="125">
        <f>IF($F$3="NO",0,IF(Valores!$C$62*B282&gt;Valores!$F$62,Valores!$F$62,Valores!$C$62*B282))</f>
        <v>317.96519999999998</v>
      </c>
      <c r="AM282" s="125">
        <f t="shared" si="44"/>
        <v>28317.965199999999</v>
      </c>
      <c r="AN282" s="125">
        <f>AH282*Valores!$C$71</f>
        <v>-17289.673500000004</v>
      </c>
      <c r="AO282" s="125">
        <f>AH282*-Valores!$C$72</f>
        <v>0</v>
      </c>
      <c r="AP282" s="125">
        <f>AH282*Valores!$C$73</f>
        <v>-7073.0482500000016</v>
      </c>
      <c r="AQ282" s="125">
        <f>Valores!$C$100</f>
        <v>-280.91000000000003</v>
      </c>
      <c r="AR282" s="125">
        <f>IF($F$5=0,Valores!$C$101,(Valores!$C$101+$F$5*(Valores!$C$101)))</f>
        <v>-385</v>
      </c>
      <c r="AS282" s="125">
        <f t="shared" si="47"/>
        <v>160468.18345000004</v>
      </c>
      <c r="AT282" s="125">
        <f t="shared" si="41"/>
        <v>-17289.673500000004</v>
      </c>
      <c r="AU282" s="125">
        <f>AH282*Valores!$C$74</f>
        <v>-4243.828950000001</v>
      </c>
      <c r="AV282" s="125">
        <f>AH282*Valores!$C$75</f>
        <v>-471.53655000000009</v>
      </c>
      <c r="AW282" s="125">
        <f t="shared" si="45"/>
        <v>163491.77620000002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62134.67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12686.06</v>
      </c>
      <c r="N283" s="125">
        <f t="shared" si="42"/>
        <v>0</v>
      </c>
      <c r="O283" s="125">
        <f>Valores!$C$7*B283</f>
        <v>26673.040000000001</v>
      </c>
      <c r="P283" s="125">
        <f>ROUND(IF(B283&lt;15,(Valores!$E$5*B283),Valores!$D$5),2)</f>
        <v>13864.36</v>
      </c>
      <c r="Q283" s="125">
        <v>0</v>
      </c>
      <c r="R283" s="125">
        <f>IF($F$4="NO",Valores!$C$49*B283,Valores!$C$49*B283/2)</f>
        <v>14049.92</v>
      </c>
      <c r="S283" s="125">
        <f>Valores!$C$18*B283</f>
        <v>8389.119999999999</v>
      </c>
      <c r="T283" s="125">
        <f t="shared" si="48"/>
        <v>8389.1200000000008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8118.26</v>
      </c>
      <c r="AA283" s="125">
        <f>IF((Valores!$C$28)*B283&gt;Valores!$F$28,Valores!$F$28,(Valores!$C$28)*B283)</f>
        <v>658.88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548.68000000000006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12533.8</v>
      </c>
      <c r="AH283" s="125">
        <f t="shared" si="46"/>
        <v>159656.78999999998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29000</v>
      </c>
      <c r="AL283" s="125">
        <f>IF($F$3="NO",0,IF(Valores!$C$62*B283&gt;Valores!$F$62,Valores!$F$62,Valores!$C$62*B283))</f>
        <v>327.60000000000002</v>
      </c>
      <c r="AM283" s="125">
        <f t="shared" si="44"/>
        <v>29327.599999999999</v>
      </c>
      <c r="AN283" s="125">
        <f>AH283*Valores!$C$71</f>
        <v>-17562.246899999998</v>
      </c>
      <c r="AO283" s="125">
        <f>AH283*-Valores!$C$72</f>
        <v>0</v>
      </c>
      <c r="AP283" s="125">
        <f>AH283*Valores!$C$73</f>
        <v>-7184.5555499999991</v>
      </c>
      <c r="AQ283" s="125">
        <f>Valores!$C$100</f>
        <v>-280.91000000000003</v>
      </c>
      <c r="AR283" s="125">
        <f>IF($F$5=0,Valores!$C$101,(Valores!$C$101+$F$5*(Valores!$C$101)))</f>
        <v>-385</v>
      </c>
      <c r="AS283" s="125">
        <f t="shared" si="47"/>
        <v>163571.67754999999</v>
      </c>
      <c r="AT283" s="125">
        <f t="shared" si="41"/>
        <v>-17562.246899999998</v>
      </c>
      <c r="AU283" s="125">
        <f>AH283*Valores!$C$74</f>
        <v>-4310.7333299999991</v>
      </c>
      <c r="AV283" s="125">
        <f>AH283*Valores!$C$75</f>
        <v>-478.97036999999995</v>
      </c>
      <c r="AW283" s="125">
        <f t="shared" si="45"/>
        <v>166632.43939999997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62134.67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12686.06</v>
      </c>
      <c r="N284" s="125">
        <f t="shared" si="42"/>
        <v>0</v>
      </c>
      <c r="O284" s="125">
        <f>Valores!$C$7*B284</f>
        <v>26673.040000000001</v>
      </c>
      <c r="P284" s="125">
        <f>ROUND(IF(B284&lt;15,(Valores!$E$5*B284),Valores!$D$5),2)</f>
        <v>13864.36</v>
      </c>
      <c r="Q284" s="125">
        <v>0</v>
      </c>
      <c r="R284" s="125">
        <f>IF($F$4="NO",Valores!$C$49*B284,Valores!$C$49*B284/2)</f>
        <v>14049.92</v>
      </c>
      <c r="S284" s="125">
        <f>Valores!$C$18*B284</f>
        <v>8389.119999999999</v>
      </c>
      <c r="T284" s="125">
        <f t="shared" si="48"/>
        <v>8389.1200000000008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8118.26</v>
      </c>
      <c r="AA284" s="125">
        <f>IF((Valores!$C$28)*B284&gt;Valores!$F$28,Valores!$F$28,(Valores!$C$28)*B284)</f>
        <v>658.88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548.68000000000006</v>
      </c>
      <c r="AE284" s="192">
        <v>94</v>
      </c>
      <c r="AF284" s="125">
        <f>ROUND(AE284*Valores!$C$2,2)</f>
        <v>2549.39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12533.8</v>
      </c>
      <c r="AH284" s="125">
        <f t="shared" si="46"/>
        <v>162206.18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29000</v>
      </c>
      <c r="AL284" s="125">
        <f>IF($F$3="NO",0,IF(Valores!$C$62*B284&gt;Valores!$F$62,Valores!$F$62,Valores!$C$62*B284))</f>
        <v>327.60000000000002</v>
      </c>
      <c r="AM284" s="125">
        <f t="shared" si="44"/>
        <v>29327.599999999999</v>
      </c>
      <c r="AN284" s="125">
        <f>AH284*Valores!$C$71</f>
        <v>-17842.679799999998</v>
      </c>
      <c r="AO284" s="125">
        <f>AH284*-Valores!$C$72</f>
        <v>0</v>
      </c>
      <c r="AP284" s="125">
        <f>AH284*Valores!$C$73</f>
        <v>-7299.2780999999995</v>
      </c>
      <c r="AQ284" s="125">
        <f>Valores!$C$100</f>
        <v>-280.91000000000003</v>
      </c>
      <c r="AR284" s="125">
        <f>IF($F$5=0,Valores!$C$101,(Valores!$C$101+$F$5*(Valores!$C$101)))</f>
        <v>-385</v>
      </c>
      <c r="AS284" s="125">
        <f t="shared" si="47"/>
        <v>165725.91209999999</v>
      </c>
      <c r="AT284" s="125">
        <f t="shared" si="41"/>
        <v>-17842.679799999998</v>
      </c>
      <c r="AU284" s="125">
        <f>AH284*Valores!$C$74</f>
        <v>-4379.5668599999999</v>
      </c>
      <c r="AV284" s="125">
        <f>AH284*Valores!$C$75</f>
        <v>-486.61854</v>
      </c>
      <c r="AW284" s="125">
        <f t="shared" si="45"/>
        <v>168824.9148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64277.24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13123.51</v>
      </c>
      <c r="N285" s="125">
        <f t="shared" si="42"/>
        <v>0</v>
      </c>
      <c r="O285" s="125">
        <f>Valores!$C$7*B285</f>
        <v>27592.799999999999</v>
      </c>
      <c r="P285" s="125">
        <f>ROUND(IF(B285&lt;15,(Valores!$E$5*B285),Valores!$D$5),2)</f>
        <v>13864.36</v>
      </c>
      <c r="Q285" s="125">
        <v>0</v>
      </c>
      <c r="R285" s="125">
        <f>IF($F$4="NO",Valores!$C$49*B285,Valores!$C$49*B285/2)</f>
        <v>14534.400000000001</v>
      </c>
      <c r="S285" s="125">
        <f>Valores!$C$18*B285</f>
        <v>8678.4</v>
      </c>
      <c r="T285" s="125">
        <f t="shared" si="48"/>
        <v>8678.4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8398.2000000000007</v>
      </c>
      <c r="AA285" s="125">
        <f>IF((Valores!$C$28)*B285&gt;Valores!$F$28,Valores!$F$28,(Valores!$C$28)*B285)</f>
        <v>681.59999999999991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567.05999999999995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12965.96</v>
      </c>
      <c r="AH285" s="125">
        <f t="shared" si="46"/>
        <v>164683.53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30000</v>
      </c>
      <c r="AL285" s="125">
        <f>IF($F$3="NO",0,IF(Valores!$C$62*B285&gt;Valores!$F$62,Valores!$F$62,Valores!$C$62*B285))</f>
        <v>327.60000000000002</v>
      </c>
      <c r="AM285" s="125">
        <f t="shared" si="44"/>
        <v>30327.599999999999</v>
      </c>
      <c r="AN285" s="125">
        <f>AH285*Valores!$C$71</f>
        <v>-18115.188300000002</v>
      </c>
      <c r="AO285" s="125">
        <f>AH285*-Valores!$C$72</f>
        <v>0</v>
      </c>
      <c r="AP285" s="125">
        <f>AH285*Valores!$C$73</f>
        <v>-7410.7588499999993</v>
      </c>
      <c r="AQ285" s="125">
        <f>Valores!$C$100</f>
        <v>-280.91000000000003</v>
      </c>
      <c r="AR285" s="125">
        <f>IF($F$5=0,Valores!$C$101,(Valores!$C$101+$F$5*(Valores!$C$101)))</f>
        <v>-385</v>
      </c>
      <c r="AS285" s="125">
        <f t="shared" si="47"/>
        <v>168819.27285000001</v>
      </c>
      <c r="AT285" s="125">
        <f t="shared" si="41"/>
        <v>-18115.188300000002</v>
      </c>
      <c r="AU285" s="125">
        <f>AH285*Valores!$C$74</f>
        <v>-4446.4553100000003</v>
      </c>
      <c r="AV285" s="125">
        <f>AH285*Valores!$C$75</f>
        <v>-494.05059</v>
      </c>
      <c r="AW285" s="125">
        <f t="shared" si="45"/>
        <v>171955.43580000001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64277.24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13123.51</v>
      </c>
      <c r="N286" s="125">
        <f t="shared" si="42"/>
        <v>0</v>
      </c>
      <c r="O286" s="125">
        <f>Valores!$C$7*B286</f>
        <v>27592.799999999999</v>
      </c>
      <c r="P286" s="125">
        <f>ROUND(IF(B286&lt;15,(Valores!$E$5*B286),Valores!$D$5),2)</f>
        <v>13864.36</v>
      </c>
      <c r="Q286" s="125">
        <v>0</v>
      </c>
      <c r="R286" s="125">
        <f>IF($F$4="NO",Valores!$C$49*B286,Valores!$C$49*B286/2)</f>
        <v>14534.400000000001</v>
      </c>
      <c r="S286" s="125">
        <f>Valores!$C$18*B286</f>
        <v>8678.4</v>
      </c>
      <c r="T286" s="125">
        <f t="shared" si="48"/>
        <v>8678.4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8398.2000000000007</v>
      </c>
      <c r="AA286" s="125">
        <f>IF((Valores!$C$28)*B286&gt;Valores!$F$28,Valores!$F$28,(Valores!$C$28)*B286)</f>
        <v>681.59999999999991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567.05999999999995</v>
      </c>
      <c r="AE286" s="192">
        <v>94</v>
      </c>
      <c r="AF286" s="125">
        <f>ROUND(AE286*Valores!$C$2,2)</f>
        <v>2549.39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12965.96</v>
      </c>
      <c r="AH286" s="125">
        <f t="shared" si="46"/>
        <v>167232.92000000001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30000</v>
      </c>
      <c r="AL286" s="125">
        <f>IF($F$3="NO",0,IF(Valores!$C$62*B286&gt;Valores!$F$62,Valores!$F$62,Valores!$C$62*B286))</f>
        <v>327.60000000000002</v>
      </c>
      <c r="AM286" s="125">
        <f t="shared" si="44"/>
        <v>30327.599999999999</v>
      </c>
      <c r="AN286" s="125">
        <f>AH286*Valores!$C$71</f>
        <v>-18395.621200000001</v>
      </c>
      <c r="AO286" s="125">
        <f>AH286*-Valores!$C$72</f>
        <v>0</v>
      </c>
      <c r="AP286" s="125">
        <f>AH286*Valores!$C$73</f>
        <v>-7525.4814000000006</v>
      </c>
      <c r="AQ286" s="125">
        <f>Valores!$C$100</f>
        <v>-280.91000000000003</v>
      </c>
      <c r="AR286" s="125">
        <f>IF($F$5=0,Valores!$C$101,(Valores!$C$101+$F$5*(Valores!$C$101)))</f>
        <v>-385</v>
      </c>
      <c r="AS286" s="125">
        <f t="shared" si="47"/>
        <v>170973.5074</v>
      </c>
      <c r="AT286" s="125">
        <f t="shared" si="41"/>
        <v>-18395.621200000001</v>
      </c>
      <c r="AU286" s="125">
        <f>AH286*Valores!$C$74</f>
        <v>-4515.2888400000002</v>
      </c>
      <c r="AV286" s="125">
        <f>AH286*Valores!$C$75</f>
        <v>-501.69876000000005</v>
      </c>
      <c r="AW286" s="125">
        <f t="shared" si="45"/>
        <v>174147.91120000003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66419.820000000007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13560.96</v>
      </c>
      <c r="N287" s="125">
        <f t="shared" si="42"/>
        <v>0</v>
      </c>
      <c r="O287" s="125">
        <f>Valores!$C$7*B287</f>
        <v>28512.560000000001</v>
      </c>
      <c r="P287" s="125">
        <f>ROUND(IF(B287&lt;15,(Valores!$E$5*B287),Valores!$D$5),2)</f>
        <v>13864.36</v>
      </c>
      <c r="Q287" s="125">
        <v>0</v>
      </c>
      <c r="R287" s="125">
        <f>IF($F$4="NO",Valores!$C$49*B287,Valores!$C$49*B287/2)</f>
        <v>15018.880000000001</v>
      </c>
      <c r="S287" s="125">
        <f>Valores!$C$18*B287</f>
        <v>8967.6799999999985</v>
      </c>
      <c r="T287" s="125">
        <f t="shared" si="48"/>
        <v>8967.68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8678.14</v>
      </c>
      <c r="AA287" s="125">
        <f>IF((Valores!$C$28)*B287&gt;Valores!$F$28,Valores!$F$28,(Valores!$C$28)*B287)</f>
        <v>704.31999999999994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567.05999999999995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12965.96</v>
      </c>
      <c r="AH287" s="125">
        <f t="shared" si="46"/>
        <v>169259.73999999996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30000</v>
      </c>
      <c r="AL287" s="125">
        <f>IF($F$3="NO",0,IF(Valores!$C$62*B287&gt;Valores!$F$62,Valores!$F$62,Valores!$C$62*B287))</f>
        <v>327.60000000000002</v>
      </c>
      <c r="AM287" s="125">
        <f t="shared" si="44"/>
        <v>30327.599999999999</v>
      </c>
      <c r="AN287" s="125">
        <f>AH287*Valores!$C$71</f>
        <v>-18618.571399999997</v>
      </c>
      <c r="AO287" s="125">
        <f>AH287*-Valores!$C$72</f>
        <v>0</v>
      </c>
      <c r="AP287" s="125">
        <f>AH287*Valores!$C$73</f>
        <v>-7616.688299999998</v>
      </c>
      <c r="AQ287" s="125">
        <f>Valores!$C$100</f>
        <v>-280.91000000000003</v>
      </c>
      <c r="AR287" s="125">
        <f>IF($F$5=0,Valores!$C$101,(Valores!$C$101+$F$5*(Valores!$C$101)))</f>
        <v>-385</v>
      </c>
      <c r="AS287" s="125">
        <f t="shared" si="47"/>
        <v>172686.17029999997</v>
      </c>
      <c r="AT287" s="125">
        <f t="shared" si="41"/>
        <v>-18618.571399999997</v>
      </c>
      <c r="AU287" s="125">
        <f>AH287*Valores!$C$74</f>
        <v>-4570.0129799999986</v>
      </c>
      <c r="AV287" s="125">
        <f>AH287*Valores!$C$75</f>
        <v>-507.7792199999999</v>
      </c>
      <c r="AW287" s="125">
        <f t="shared" si="45"/>
        <v>175890.97639999999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66419.820000000007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13560.96</v>
      </c>
      <c r="N288" s="125">
        <f t="shared" si="42"/>
        <v>0</v>
      </c>
      <c r="O288" s="125">
        <f>Valores!$C$7*B288</f>
        <v>28512.560000000001</v>
      </c>
      <c r="P288" s="125">
        <f>ROUND(IF(B288&lt;15,(Valores!$E$5*B288),Valores!$D$5),2)</f>
        <v>13864.36</v>
      </c>
      <c r="Q288" s="125">
        <v>0</v>
      </c>
      <c r="R288" s="125">
        <f>IF($F$4="NO",Valores!$C$49*B288,Valores!$C$49*B288/2)</f>
        <v>15018.880000000001</v>
      </c>
      <c r="S288" s="125">
        <f>Valores!$C$18*B288</f>
        <v>8967.6799999999985</v>
      </c>
      <c r="T288" s="125">
        <f t="shared" si="48"/>
        <v>8967.68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8678.14</v>
      </c>
      <c r="AA288" s="125">
        <f>IF((Valores!$C$28)*B288&gt;Valores!$F$28,Valores!$F$28,(Valores!$C$28)*B288)</f>
        <v>704.31999999999994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567.05999999999995</v>
      </c>
      <c r="AE288" s="192">
        <v>94</v>
      </c>
      <c r="AF288" s="125">
        <f>ROUND(AE288*Valores!$C$2,2)</f>
        <v>2549.39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12965.96</v>
      </c>
      <c r="AH288" s="125">
        <f t="shared" si="46"/>
        <v>171809.12999999998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30000</v>
      </c>
      <c r="AL288" s="125">
        <f>IF($F$3="NO",0,IF(Valores!$C$62*B288&gt;Valores!$F$62,Valores!$F$62,Valores!$C$62*B288))</f>
        <v>327.60000000000002</v>
      </c>
      <c r="AM288" s="125">
        <f t="shared" si="44"/>
        <v>30327.599999999999</v>
      </c>
      <c r="AN288" s="125">
        <f>AH288*Valores!$C$71</f>
        <v>-18899.004299999997</v>
      </c>
      <c r="AO288" s="125">
        <f>AH288*-Valores!$C$72</f>
        <v>0</v>
      </c>
      <c r="AP288" s="125">
        <f>AH288*Valores!$C$73</f>
        <v>-7731.4108499999984</v>
      </c>
      <c r="AQ288" s="125">
        <f>Valores!$C$100</f>
        <v>-280.91000000000003</v>
      </c>
      <c r="AR288" s="125">
        <f>IF($F$5=0,Valores!$C$101,(Valores!$C$101+$F$5*(Valores!$C$101)))</f>
        <v>-385</v>
      </c>
      <c r="AS288" s="125">
        <f t="shared" si="47"/>
        <v>174840.40484999999</v>
      </c>
      <c r="AT288" s="125">
        <f t="shared" si="41"/>
        <v>-18899.004299999997</v>
      </c>
      <c r="AU288" s="125">
        <f>AH288*Valores!$C$74</f>
        <v>-4638.8465099999994</v>
      </c>
      <c r="AV288" s="125">
        <f>AH288*Valores!$C$75</f>
        <v>-515.42738999999995</v>
      </c>
      <c r="AW288" s="125">
        <f t="shared" si="45"/>
        <v>178083.45179999998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68562.39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13998.41</v>
      </c>
      <c r="N289" s="125">
        <f t="shared" si="42"/>
        <v>0</v>
      </c>
      <c r="O289" s="125">
        <f>Valores!$C$7*B289</f>
        <v>29432.32</v>
      </c>
      <c r="P289" s="125">
        <f>ROUND(IF(B289&lt;15,(Valores!$E$5*B289),Valores!$D$5),2)</f>
        <v>13864.36</v>
      </c>
      <c r="Q289" s="125">
        <v>0</v>
      </c>
      <c r="R289" s="125">
        <f>IF($F$4="NO",Valores!$C$49*B289,Valores!$C$49*B289/2)</f>
        <v>15503.36</v>
      </c>
      <c r="S289" s="125">
        <f>Valores!$C$18*B289</f>
        <v>9256.9599999999991</v>
      </c>
      <c r="T289" s="125">
        <f t="shared" si="48"/>
        <v>9256.9599999999991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8958.08</v>
      </c>
      <c r="AA289" s="125">
        <f>IF((Valores!$C$28)*B289&gt;Valores!$F$28,Valores!$F$28,(Valores!$C$28)*B289)</f>
        <v>727.04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567.05999999999995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12965.96</v>
      </c>
      <c r="AH289" s="125">
        <f t="shared" si="46"/>
        <v>173835.93999999997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30000</v>
      </c>
      <c r="AL289" s="125">
        <f>IF($F$3="NO",0,IF(Valores!$C$62*B289&gt;Valores!$F$62,Valores!$F$62,Valores!$C$62*B289))</f>
        <v>327.60000000000002</v>
      </c>
      <c r="AM289" s="125">
        <f t="shared" si="44"/>
        <v>30327.599999999999</v>
      </c>
      <c r="AN289" s="125">
        <f>AH289*Valores!$C$71</f>
        <v>-19121.953399999999</v>
      </c>
      <c r="AO289" s="125">
        <f>AH289*-Valores!$C$72</f>
        <v>0</v>
      </c>
      <c r="AP289" s="125">
        <f>AH289*Valores!$C$73</f>
        <v>-7822.6172999999981</v>
      </c>
      <c r="AQ289" s="125">
        <f>Valores!$C$100</f>
        <v>-280.91000000000003</v>
      </c>
      <c r="AR289" s="125">
        <f>IF($F$5=0,Valores!$C$101,(Valores!$C$101+$F$5*(Valores!$C$101)))</f>
        <v>-385</v>
      </c>
      <c r="AS289" s="125">
        <f t="shared" si="47"/>
        <v>176553.05929999996</v>
      </c>
      <c r="AT289" s="125">
        <f t="shared" si="41"/>
        <v>-19121.953399999999</v>
      </c>
      <c r="AU289" s="125">
        <f>AH289*Valores!$C$74</f>
        <v>-4693.5703799999992</v>
      </c>
      <c r="AV289" s="125">
        <f>AH289*Valores!$C$75</f>
        <v>-521.50781999999992</v>
      </c>
      <c r="AW289" s="125">
        <f t="shared" si="45"/>
        <v>179826.50839999999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68562.39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13998.41</v>
      </c>
      <c r="N290" s="125">
        <f t="shared" si="42"/>
        <v>0</v>
      </c>
      <c r="O290" s="125">
        <f>Valores!$C$7*B290</f>
        <v>29432.32</v>
      </c>
      <c r="P290" s="125">
        <f>ROUND(IF(B290&lt;15,(Valores!$E$5*B290),Valores!$D$5),2)</f>
        <v>13864.36</v>
      </c>
      <c r="Q290" s="125">
        <v>0</v>
      </c>
      <c r="R290" s="125">
        <f>IF($F$4="NO",Valores!$C$49*B290,Valores!$C$49*B290/2)</f>
        <v>15503.36</v>
      </c>
      <c r="S290" s="125">
        <f>Valores!$C$18*B290</f>
        <v>9256.9599999999991</v>
      </c>
      <c r="T290" s="125">
        <f t="shared" si="48"/>
        <v>9256.9599999999991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8958.08</v>
      </c>
      <c r="AA290" s="125">
        <f>IF((Valores!$C$28)*B290&gt;Valores!$F$28,Valores!$F$28,(Valores!$C$28)*B290)</f>
        <v>727.04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567.05999999999995</v>
      </c>
      <c r="AE290" s="192">
        <v>94</v>
      </c>
      <c r="AF290" s="125">
        <f>ROUND(AE290*Valores!$C$2,2)</f>
        <v>2549.39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12965.96</v>
      </c>
      <c r="AH290" s="125">
        <f t="shared" si="46"/>
        <v>176385.33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30000</v>
      </c>
      <c r="AL290" s="125">
        <f>IF($F$3="NO",0,IF(Valores!$C$62*B290&gt;Valores!$F$62,Valores!$F$62,Valores!$C$62*B290))</f>
        <v>327.60000000000002</v>
      </c>
      <c r="AM290" s="125">
        <f t="shared" si="44"/>
        <v>30327.599999999999</v>
      </c>
      <c r="AN290" s="125">
        <f>AH290*Valores!$C$71</f>
        <v>-19402.386299999998</v>
      </c>
      <c r="AO290" s="125">
        <f>AH290*-Valores!$C$72</f>
        <v>0</v>
      </c>
      <c r="AP290" s="125">
        <f>AH290*Valores!$C$73</f>
        <v>-7937.3398499999994</v>
      </c>
      <c r="AQ290" s="125">
        <f>Valores!$C$100</f>
        <v>-280.91000000000003</v>
      </c>
      <c r="AR290" s="125">
        <f>IF($F$5=0,Valores!$C$101,(Valores!$C$101+$F$5*(Valores!$C$101)))</f>
        <v>-385</v>
      </c>
      <c r="AS290" s="125">
        <f t="shared" si="47"/>
        <v>178707.29384999999</v>
      </c>
      <c r="AT290" s="125">
        <f t="shared" si="41"/>
        <v>-19402.386299999998</v>
      </c>
      <c r="AU290" s="125">
        <f>AH290*Valores!$C$74</f>
        <v>-4762.40391</v>
      </c>
      <c r="AV290" s="125">
        <f>AH290*Valores!$C$75</f>
        <v>-529.15598999999997</v>
      </c>
      <c r="AW290" s="125">
        <f t="shared" si="45"/>
        <v>182018.98379999999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70704.97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14435.86</v>
      </c>
      <c r="N291" s="125">
        <f t="shared" si="42"/>
        <v>0</v>
      </c>
      <c r="O291" s="125">
        <f>Valores!$C$7*B291</f>
        <v>30352.079999999998</v>
      </c>
      <c r="P291" s="125">
        <f>ROUND(IF(B291&lt;15,(Valores!$E$5*B291),Valores!$D$5),2)</f>
        <v>13864.36</v>
      </c>
      <c r="Q291" s="125">
        <v>0</v>
      </c>
      <c r="R291" s="125">
        <f>IF($F$4="NO",Valores!$C$49*B291,Valores!$C$49*B291/2)</f>
        <v>15987.84</v>
      </c>
      <c r="S291" s="125">
        <f>Valores!$C$18*B291</f>
        <v>9546.24</v>
      </c>
      <c r="T291" s="125">
        <f t="shared" si="48"/>
        <v>9546.24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9238.02</v>
      </c>
      <c r="AA291" s="125">
        <f>IF((Valores!$C$28)*B291&gt;Valores!$F$28,Valores!$F$28,(Valores!$C$28)*B291)</f>
        <v>749.76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567.05999999999995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12965.96</v>
      </c>
      <c r="AH291" s="125">
        <f t="shared" si="46"/>
        <v>178412.15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30000</v>
      </c>
      <c r="AL291" s="125">
        <f>IF($F$3="NO",0,IF(Valores!$C$62*B291&gt;Valores!$F$62,Valores!$F$62,Valores!$C$62*B291))</f>
        <v>327.60000000000002</v>
      </c>
      <c r="AM291" s="125">
        <f t="shared" si="44"/>
        <v>30327.599999999999</v>
      </c>
      <c r="AN291" s="125">
        <f>AH291*Valores!$C$71</f>
        <v>-19625.336500000001</v>
      </c>
      <c r="AO291" s="125">
        <f>AH291*-Valores!$C$72</f>
        <v>0</v>
      </c>
      <c r="AP291" s="125">
        <f>AH291*Valores!$C$73</f>
        <v>-8028.5467499999995</v>
      </c>
      <c r="AQ291" s="125">
        <f>Valores!$C$100</f>
        <v>-280.91000000000003</v>
      </c>
      <c r="AR291" s="125">
        <f>IF($F$5=0,Valores!$C$101,(Valores!$C$101+$F$5*(Valores!$C$101)))</f>
        <v>-385</v>
      </c>
      <c r="AS291" s="125">
        <f t="shared" si="47"/>
        <v>180419.95674999998</v>
      </c>
      <c r="AT291" s="125">
        <f t="shared" si="41"/>
        <v>-19625.336500000001</v>
      </c>
      <c r="AU291" s="125">
        <f>AH291*Valores!$C$74</f>
        <v>-4817.1280499999993</v>
      </c>
      <c r="AV291" s="125">
        <f>AH291*Valores!$C$75</f>
        <v>-535.23644999999999</v>
      </c>
      <c r="AW291" s="125">
        <f t="shared" si="45"/>
        <v>183762.049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70704.97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14435.86</v>
      </c>
      <c r="N292" s="125">
        <f t="shared" si="42"/>
        <v>0</v>
      </c>
      <c r="O292" s="125">
        <f>Valores!$C$7*B292</f>
        <v>30352.079999999998</v>
      </c>
      <c r="P292" s="125">
        <f>ROUND(IF(B292&lt;15,(Valores!$E$5*B292),Valores!$D$5),2)</f>
        <v>13864.36</v>
      </c>
      <c r="Q292" s="125">
        <v>0</v>
      </c>
      <c r="R292" s="125">
        <f>IF($F$4="NO",Valores!$C$49*B292,Valores!$C$49*B292/2)</f>
        <v>15987.84</v>
      </c>
      <c r="S292" s="125">
        <f>Valores!$C$18*B292</f>
        <v>9546.24</v>
      </c>
      <c r="T292" s="125">
        <f t="shared" si="48"/>
        <v>9546.24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9238.02</v>
      </c>
      <c r="AA292" s="125">
        <f>IF((Valores!$C$28)*B292&gt;Valores!$F$28,Valores!$F$28,(Valores!$C$28)*B292)</f>
        <v>749.76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567.05999999999995</v>
      </c>
      <c r="AE292" s="192">
        <v>94</v>
      </c>
      <c r="AF292" s="125">
        <f>ROUND(AE292*Valores!$C$2,2)</f>
        <v>2549.39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12965.96</v>
      </c>
      <c r="AH292" s="125">
        <f t="shared" si="46"/>
        <v>180961.54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30000</v>
      </c>
      <c r="AL292" s="125">
        <f>IF($F$3="NO",0,IF(Valores!$C$62*B292&gt;Valores!$F$62,Valores!$F$62,Valores!$C$62*B292))</f>
        <v>327.60000000000002</v>
      </c>
      <c r="AM292" s="125">
        <f t="shared" si="44"/>
        <v>30327.599999999999</v>
      </c>
      <c r="AN292" s="125">
        <f>AH292*Valores!$C$71</f>
        <v>-19905.769400000001</v>
      </c>
      <c r="AO292" s="125">
        <f>AH292*-Valores!$C$72</f>
        <v>0</v>
      </c>
      <c r="AP292" s="125">
        <f>AH292*Valores!$C$73</f>
        <v>-8143.2692999999999</v>
      </c>
      <c r="AQ292" s="125">
        <f>Valores!$C$100</f>
        <v>-280.91000000000003</v>
      </c>
      <c r="AR292" s="125">
        <f>IF($F$5=0,Valores!$C$101,(Valores!$C$101+$F$5*(Valores!$C$101)))</f>
        <v>-385</v>
      </c>
      <c r="AS292" s="125">
        <f t="shared" si="47"/>
        <v>182574.19130000001</v>
      </c>
      <c r="AT292" s="125">
        <f t="shared" si="41"/>
        <v>-19905.769400000001</v>
      </c>
      <c r="AU292" s="125">
        <f>AH292*Valores!$C$74</f>
        <v>-4885.9615800000001</v>
      </c>
      <c r="AV292" s="125">
        <f>AH292*Valores!$C$75</f>
        <v>-542.88462000000004</v>
      </c>
      <c r="AW292" s="125">
        <f t="shared" si="45"/>
        <v>185954.52440000002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72847.539999999994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14873.31</v>
      </c>
      <c r="N293" s="125">
        <f t="shared" si="42"/>
        <v>0</v>
      </c>
      <c r="O293" s="125">
        <f>Valores!$C$7*B293</f>
        <v>31271.84</v>
      </c>
      <c r="P293" s="125">
        <f>ROUND(IF(B293&lt;15,(Valores!$E$5*B293),Valores!$D$5),2)</f>
        <v>13864.36</v>
      </c>
      <c r="Q293" s="125">
        <v>0</v>
      </c>
      <c r="R293" s="125">
        <f>IF($F$4="NO",Valores!$C$49*B293,Valores!$C$49*B293/2)</f>
        <v>16472.32</v>
      </c>
      <c r="S293" s="125">
        <f>Valores!$C$18*B293</f>
        <v>9835.5199999999986</v>
      </c>
      <c r="T293" s="125">
        <f t="shared" si="48"/>
        <v>9835.52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9517.9599999999991</v>
      </c>
      <c r="AA293" s="125">
        <f>IF((Valores!$C$28)*B293&gt;Valores!$F$28,Valores!$F$28,(Valores!$C$28)*B293)</f>
        <v>772.48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567.05999999999995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12965.96</v>
      </c>
      <c r="AH293" s="125">
        <f t="shared" si="46"/>
        <v>182988.34999999998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30000</v>
      </c>
      <c r="AL293" s="125">
        <f>IF($F$3="NO",0,IF(Valores!$C$62*B293&gt;Valores!$F$62,Valores!$F$62,Valores!$C$62*B293))</f>
        <v>327.60000000000002</v>
      </c>
      <c r="AM293" s="125">
        <f t="shared" si="44"/>
        <v>30327.599999999999</v>
      </c>
      <c r="AN293" s="125">
        <f>AH293*Valores!$C$71</f>
        <v>-20128.718499999999</v>
      </c>
      <c r="AO293" s="125">
        <f>AH293*-Valores!$C$72</f>
        <v>0</v>
      </c>
      <c r="AP293" s="125">
        <f>AH293*Valores!$C$73</f>
        <v>-8234.4757499999978</v>
      </c>
      <c r="AQ293" s="125">
        <f>Valores!$C$100</f>
        <v>-280.91000000000003</v>
      </c>
      <c r="AR293" s="125">
        <f>IF($F$5=0,Valores!$C$101,(Valores!$C$101+$F$5*(Valores!$C$101)))</f>
        <v>-385</v>
      </c>
      <c r="AS293" s="125">
        <f t="shared" si="47"/>
        <v>184286.84574999998</v>
      </c>
      <c r="AT293" s="125">
        <f t="shared" si="41"/>
        <v>-20128.718499999999</v>
      </c>
      <c r="AU293" s="125">
        <f>AH293*Valores!$C$74</f>
        <v>-4940.685449999999</v>
      </c>
      <c r="AV293" s="125">
        <f>AH293*Valores!$C$75</f>
        <v>-548.96504999999991</v>
      </c>
      <c r="AW293" s="125">
        <f t="shared" si="45"/>
        <v>187697.58099999998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72847.539999999994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14873.31</v>
      </c>
      <c r="N294" s="125">
        <f t="shared" si="42"/>
        <v>0</v>
      </c>
      <c r="O294" s="125">
        <f>Valores!$C$7*B294</f>
        <v>31271.84</v>
      </c>
      <c r="P294" s="125">
        <f>ROUND(IF(B294&lt;15,(Valores!$E$5*B294),Valores!$D$5),2)</f>
        <v>13864.36</v>
      </c>
      <c r="Q294" s="125">
        <v>0</v>
      </c>
      <c r="R294" s="125">
        <f>IF($F$4="NO",Valores!$C$49*B294,Valores!$C$49*B294/2)</f>
        <v>16472.32</v>
      </c>
      <c r="S294" s="125">
        <f>Valores!$C$18*B294</f>
        <v>9835.5199999999986</v>
      </c>
      <c r="T294" s="125">
        <f t="shared" si="48"/>
        <v>9835.52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9517.9599999999991</v>
      </c>
      <c r="AA294" s="125">
        <f>IF((Valores!$C$28)*B294&gt;Valores!$F$28,Valores!$F$28,(Valores!$C$28)*B294)</f>
        <v>772.48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567.05999999999995</v>
      </c>
      <c r="AE294" s="192">
        <v>94</v>
      </c>
      <c r="AF294" s="125">
        <f>ROUND(AE294*Valores!$C$2,2)</f>
        <v>2549.39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12965.96</v>
      </c>
      <c r="AH294" s="125">
        <f t="shared" si="46"/>
        <v>185537.74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30000</v>
      </c>
      <c r="AL294" s="125">
        <f>IF($F$3="NO",0,IF(Valores!$C$62*B294&gt;Valores!$F$62,Valores!$F$62,Valores!$C$62*B294))</f>
        <v>327.60000000000002</v>
      </c>
      <c r="AM294" s="125">
        <f t="shared" si="44"/>
        <v>30327.599999999999</v>
      </c>
      <c r="AN294" s="125">
        <f>AH294*Valores!$C$71</f>
        <v>-20409.151399999999</v>
      </c>
      <c r="AO294" s="125">
        <f>AH294*-Valores!$C$72</f>
        <v>0</v>
      </c>
      <c r="AP294" s="125">
        <f>AH294*Valores!$C$73</f>
        <v>-8349.1983</v>
      </c>
      <c r="AQ294" s="125">
        <f>Valores!$C$100</f>
        <v>-280.91000000000003</v>
      </c>
      <c r="AR294" s="125">
        <f>IF($F$5=0,Valores!$C$101,(Valores!$C$101+$F$5*(Valores!$C$101)))</f>
        <v>-385</v>
      </c>
      <c r="AS294" s="125">
        <f t="shared" si="47"/>
        <v>186441.0803</v>
      </c>
      <c r="AT294" s="125">
        <f t="shared" si="41"/>
        <v>-20409.151399999999</v>
      </c>
      <c r="AU294" s="125">
        <f>AH294*Valores!$C$74</f>
        <v>-5009.5189799999998</v>
      </c>
      <c r="AV294" s="125">
        <f>AH294*Valores!$C$75</f>
        <v>-556.61321999999996</v>
      </c>
      <c r="AW294" s="125">
        <f t="shared" si="45"/>
        <v>189890.0564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74990.12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15310.76</v>
      </c>
      <c r="N295" s="125">
        <f t="shared" si="42"/>
        <v>0</v>
      </c>
      <c r="O295" s="125">
        <f>Valores!$C$7*B295</f>
        <v>32191.599999999999</v>
      </c>
      <c r="P295" s="125">
        <f>ROUND(IF(B295&lt;15,(Valores!$E$5*B295),Valores!$D$5),2)</f>
        <v>13864.36</v>
      </c>
      <c r="Q295" s="125">
        <v>0</v>
      </c>
      <c r="R295" s="125">
        <f>IF($F$4="NO",Valores!$C$49*B295,Valores!$C$49*B295/2)</f>
        <v>16956.8</v>
      </c>
      <c r="S295" s="125">
        <f>Valores!$C$18*B295</f>
        <v>10124.799999999999</v>
      </c>
      <c r="T295" s="125">
        <f t="shared" si="48"/>
        <v>10124.799999999999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9797.9</v>
      </c>
      <c r="AA295" s="125">
        <f>IF((Valores!$C$28)*B295&gt;Valores!$F$28,Valores!$F$28,(Valores!$C$28)*B295)</f>
        <v>795.19999999999993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567.05999999999995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12965.96</v>
      </c>
      <c r="AH295" s="125">
        <f t="shared" si="46"/>
        <v>187564.55999999994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30000</v>
      </c>
      <c r="AL295" s="125">
        <f>IF($F$3="NO",0,IF(Valores!$C$62*B295&gt;Valores!$F$62,Valores!$F$62,Valores!$C$62*B295))</f>
        <v>327.60000000000002</v>
      </c>
      <c r="AM295" s="125">
        <f t="shared" si="44"/>
        <v>30327.599999999999</v>
      </c>
      <c r="AN295" s="125">
        <f>AH295*Valores!$C$71</f>
        <v>-20632.101599999995</v>
      </c>
      <c r="AO295" s="125">
        <f>AH295*-Valores!$C$72</f>
        <v>0</v>
      </c>
      <c r="AP295" s="125">
        <f>AH295*Valores!$C$73</f>
        <v>-8440.4051999999974</v>
      </c>
      <c r="AQ295" s="125">
        <f>Valores!$C$100</f>
        <v>-280.91000000000003</v>
      </c>
      <c r="AR295" s="125">
        <f>IF($F$5=0,Valores!$C$101,(Valores!$C$101+$F$5*(Valores!$C$101)))</f>
        <v>-385</v>
      </c>
      <c r="AS295" s="125">
        <f t="shared" si="47"/>
        <v>188153.74319999994</v>
      </c>
      <c r="AT295" s="125">
        <f t="shared" si="41"/>
        <v>-20632.101599999995</v>
      </c>
      <c r="AU295" s="125">
        <f>AH295*Valores!$C$74</f>
        <v>-5064.2431199999983</v>
      </c>
      <c r="AV295" s="125">
        <f>AH295*Valores!$C$75</f>
        <v>-562.69367999999986</v>
      </c>
      <c r="AW295" s="125">
        <f t="shared" si="45"/>
        <v>191633.12159999995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74990.12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15310.76</v>
      </c>
      <c r="N296" s="125">
        <f t="shared" si="42"/>
        <v>0</v>
      </c>
      <c r="O296" s="125">
        <f>Valores!$C$7*B296</f>
        <v>32191.599999999999</v>
      </c>
      <c r="P296" s="125">
        <f>ROUND(IF(B296&lt;15,(Valores!$E$5*B296),Valores!$D$5),2)</f>
        <v>13864.36</v>
      </c>
      <c r="Q296" s="125">
        <v>0</v>
      </c>
      <c r="R296" s="125">
        <f>IF($F$4="NO",Valores!$C$49*B296,Valores!$C$49*B296/2)</f>
        <v>16956.8</v>
      </c>
      <c r="S296" s="125">
        <f>Valores!$C$18*B296</f>
        <v>10124.799999999999</v>
      </c>
      <c r="T296" s="125">
        <f t="shared" si="48"/>
        <v>10124.799999999999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9797.9</v>
      </c>
      <c r="AA296" s="125">
        <f>IF((Valores!$C$28)*B296&gt;Valores!$F$28,Valores!$F$28,(Valores!$C$28)*B296)</f>
        <v>795.19999999999993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567.05999999999995</v>
      </c>
      <c r="AE296" s="192">
        <v>94</v>
      </c>
      <c r="AF296" s="125">
        <f>ROUND(AE296*Valores!$C$2,2)</f>
        <v>2549.39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12965.96</v>
      </c>
      <c r="AH296" s="125">
        <f t="shared" si="46"/>
        <v>190113.94999999995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30000</v>
      </c>
      <c r="AL296" s="125">
        <f>IF($F$3="NO",0,IF(Valores!$C$62*B296&gt;Valores!$F$62,Valores!$F$62,Valores!$C$62*B296))</f>
        <v>327.60000000000002</v>
      </c>
      <c r="AM296" s="125">
        <f t="shared" si="44"/>
        <v>30327.599999999999</v>
      </c>
      <c r="AN296" s="125">
        <f>AH296*Valores!$C$71</f>
        <v>-20912.534499999994</v>
      </c>
      <c r="AO296" s="125">
        <f>AH296*-Valores!$C$72</f>
        <v>0</v>
      </c>
      <c r="AP296" s="125">
        <f>AH296*Valores!$C$73</f>
        <v>-8555.1277499999978</v>
      </c>
      <c r="AQ296" s="125">
        <f>Valores!$C$100</f>
        <v>-280.91000000000003</v>
      </c>
      <c r="AR296" s="125">
        <f>IF($F$5=0,Valores!$C$101,(Valores!$C$101+$F$5*(Valores!$C$101)))</f>
        <v>-385</v>
      </c>
      <c r="AS296" s="125">
        <f t="shared" si="47"/>
        <v>190307.97774999996</v>
      </c>
      <c r="AT296" s="125">
        <f t="shared" si="41"/>
        <v>-20912.534499999994</v>
      </c>
      <c r="AU296" s="125">
        <f>AH296*Valores!$C$74</f>
        <v>-5133.0766499999991</v>
      </c>
      <c r="AV296" s="125">
        <f>AH296*Valores!$C$75</f>
        <v>-570.34184999999991</v>
      </c>
      <c r="AW296" s="125">
        <f t="shared" si="45"/>
        <v>193825.59699999995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77132.69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15748.21</v>
      </c>
      <c r="N297" s="125">
        <f t="shared" si="42"/>
        <v>0</v>
      </c>
      <c r="O297" s="125">
        <f>Valores!$C$7*B297</f>
        <v>33111.360000000001</v>
      </c>
      <c r="P297" s="125">
        <f>ROUND(IF(B297&lt;15,(Valores!$E$5*B297),Valores!$D$5),2)</f>
        <v>13864.36</v>
      </c>
      <c r="Q297" s="125">
        <v>0</v>
      </c>
      <c r="R297" s="125">
        <f>IF($F$4="NO",Valores!$C$49*B297,Valores!$C$49*B297/2)</f>
        <v>17441.28</v>
      </c>
      <c r="S297" s="125">
        <f>Valores!$C$18*B297</f>
        <v>10414.079999999998</v>
      </c>
      <c r="T297" s="125">
        <f t="shared" si="48"/>
        <v>10414.08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10077.84</v>
      </c>
      <c r="AA297" s="125">
        <f>IF((Valores!$C$28)*B297&gt;Valores!$F$28,Valores!$F$28,(Valores!$C$28)*B297)</f>
        <v>817.92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567.05999999999995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12965.96</v>
      </c>
      <c r="AH297" s="125">
        <f t="shared" si="46"/>
        <v>192140.75999999998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30000</v>
      </c>
      <c r="AL297" s="125">
        <f>IF($F$3="NO",0,IF(Valores!$C$62*B297&gt;Valores!$F$62,Valores!$F$62,Valores!$C$62*B297))</f>
        <v>327.60000000000002</v>
      </c>
      <c r="AM297" s="125">
        <f t="shared" si="44"/>
        <v>30327.599999999999</v>
      </c>
      <c r="AN297" s="125">
        <f>AH297*Valores!$C$71</f>
        <v>-21135.4836</v>
      </c>
      <c r="AO297" s="125">
        <f>AH297*-Valores!$C$72</f>
        <v>0</v>
      </c>
      <c r="AP297" s="125">
        <f>AH297*Valores!$C$73</f>
        <v>-8646.3341999999993</v>
      </c>
      <c r="AQ297" s="125">
        <f>Valores!$C$100</f>
        <v>-280.91000000000003</v>
      </c>
      <c r="AR297" s="125">
        <f>IF($F$5=0,Valores!$C$101,(Valores!$C$101+$F$5*(Valores!$C$101)))</f>
        <v>-385</v>
      </c>
      <c r="AS297" s="125">
        <f t="shared" si="47"/>
        <v>192020.63219999999</v>
      </c>
      <c r="AT297" s="125">
        <f t="shared" si="41"/>
        <v>-21135.4836</v>
      </c>
      <c r="AU297" s="125">
        <f>AH297*Valores!$C$74</f>
        <v>-5187.8005199999998</v>
      </c>
      <c r="AV297" s="125">
        <f>AH297*Valores!$C$75</f>
        <v>-576.42228</v>
      </c>
      <c r="AW297" s="125">
        <f t="shared" si="45"/>
        <v>195568.65359999999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77132.69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15748.21</v>
      </c>
      <c r="N298" s="125">
        <f t="shared" si="42"/>
        <v>0</v>
      </c>
      <c r="O298" s="125">
        <f>Valores!$C$7*B298</f>
        <v>33111.360000000001</v>
      </c>
      <c r="P298" s="125">
        <f>ROUND(IF(B298&lt;15,(Valores!$E$5*B298),Valores!$D$5),2)</f>
        <v>13864.36</v>
      </c>
      <c r="Q298" s="125">
        <v>0</v>
      </c>
      <c r="R298" s="125">
        <f>IF($F$4="NO",Valores!$C$49*B298,Valores!$C$49*B298/2)</f>
        <v>17441.28</v>
      </c>
      <c r="S298" s="125">
        <f>Valores!$C$18*B298</f>
        <v>10414.079999999998</v>
      </c>
      <c r="T298" s="125">
        <f t="shared" si="48"/>
        <v>10414.08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10077.84</v>
      </c>
      <c r="AA298" s="125">
        <f>IF((Valores!$C$28)*B298&gt;Valores!$F$28,Valores!$F$28,(Valores!$C$28)*B298)</f>
        <v>817.92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567.05999999999995</v>
      </c>
      <c r="AE298" s="192">
        <v>94</v>
      </c>
      <c r="AF298" s="125">
        <f>ROUND(AE298*Valores!$C$2,2)</f>
        <v>2549.39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12965.96</v>
      </c>
      <c r="AH298" s="125">
        <f t="shared" si="46"/>
        <v>194690.15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30000</v>
      </c>
      <c r="AL298" s="125">
        <f>IF($F$3="NO",0,IF(Valores!$C$62*B298&gt;Valores!$F$62,Valores!$F$62,Valores!$C$62*B298))</f>
        <v>327.60000000000002</v>
      </c>
      <c r="AM298" s="125">
        <f t="shared" si="44"/>
        <v>30327.599999999999</v>
      </c>
      <c r="AN298" s="125">
        <f>AH298*Valores!$C$71</f>
        <v>-21415.916499999999</v>
      </c>
      <c r="AO298" s="125">
        <f>AH298*-Valores!$C$72</f>
        <v>0</v>
      </c>
      <c r="AP298" s="125">
        <f>AH298*Valores!$C$73</f>
        <v>-8761.0567499999997</v>
      </c>
      <c r="AQ298" s="125">
        <f>Valores!$C$100</f>
        <v>-280.91000000000003</v>
      </c>
      <c r="AR298" s="125">
        <f>IF($F$5=0,Valores!$C$101,(Valores!$C$101+$F$5*(Valores!$C$101)))</f>
        <v>-385</v>
      </c>
      <c r="AS298" s="125">
        <f t="shared" si="47"/>
        <v>194174.86674999999</v>
      </c>
      <c r="AT298" s="125">
        <f t="shared" si="41"/>
        <v>-21415.916499999999</v>
      </c>
      <c r="AU298" s="125">
        <f>AH298*Valores!$C$74</f>
        <v>-5256.6340499999997</v>
      </c>
      <c r="AV298" s="125">
        <f>AH298*Valores!$C$75</f>
        <v>-584.07045000000005</v>
      </c>
      <c r="AW298" s="125">
        <f t="shared" si="45"/>
        <v>197761.12900000002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2142.5700000000002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437.45</v>
      </c>
      <c r="N299" s="125">
        <f t="shared" si="42"/>
        <v>0</v>
      </c>
      <c r="O299" s="125">
        <f>Valores!$C$7*B299</f>
        <v>919.76</v>
      </c>
      <c r="P299" s="125">
        <f>ROUND(IF(B299&lt;15,(Valores!$E$5*B299),Valores!$D$5),2)</f>
        <v>924.29</v>
      </c>
      <c r="Q299" s="125">
        <v>0</v>
      </c>
      <c r="R299" s="125">
        <f>IF($F$4="NO",Valores!$C$49*B299,Valores!$C$49*B299/2)</f>
        <v>484.48</v>
      </c>
      <c r="S299" s="125">
        <f>Valores!$C$18*B299</f>
        <v>289.27999999999997</v>
      </c>
      <c r="T299" s="125">
        <f t="shared" si="48"/>
        <v>289.27999999999997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279.94</v>
      </c>
      <c r="AA299" s="125">
        <f>IF((Valores!$C$28)*B299&gt;Valores!$F$28,Valores!$F$28,(Valores!$C$28)*B299)</f>
        <v>22.72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18.920000000000002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432.2</v>
      </c>
      <c r="AH299" s="125">
        <f t="shared" si="46"/>
        <v>5951.6099999999988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1000</v>
      </c>
      <c r="AL299" s="125">
        <f>IF($F$3="NO",0,IF(Valores!$C$62*B299&gt;Valores!$F$62,Valores!$F$62,Valores!$C$62*B299))</f>
        <v>11.3559</v>
      </c>
      <c r="AM299" s="125">
        <f t="shared" si="44"/>
        <v>1011.3559</v>
      </c>
      <c r="AN299" s="125">
        <f>AH299*Valores!$C$71</f>
        <v>-654.67709999999988</v>
      </c>
      <c r="AO299" s="125">
        <f>AH299*-Valores!$C$72</f>
        <v>0</v>
      </c>
      <c r="AP299" s="125">
        <f>AH299*Valores!$C$73</f>
        <v>-267.82244999999995</v>
      </c>
      <c r="AQ299" s="125">
        <f>Valores!$C$100</f>
        <v>-280.91000000000003</v>
      </c>
      <c r="AR299" s="125">
        <f>IF($F$5=0,Valores!$C$101,(Valores!$C$101+$F$5*(Valores!$C$101)))</f>
        <v>-385</v>
      </c>
      <c r="AS299" s="125">
        <f t="shared" si="47"/>
        <v>5374.5563499999989</v>
      </c>
      <c r="AT299" s="125">
        <f t="shared" si="41"/>
        <v>-654.67709999999988</v>
      </c>
      <c r="AU299" s="125">
        <f>AH299*Valores!$C$74</f>
        <v>-160.69346999999996</v>
      </c>
      <c r="AV299" s="125">
        <f>AH299*Valores!$C$75</f>
        <v>-17.854829999999996</v>
      </c>
      <c r="AW299" s="125">
        <f t="shared" si="45"/>
        <v>6129.7404999999999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6590.45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1848.58</v>
      </c>
      <c r="Q300" s="125">
        <v>0</v>
      </c>
      <c r="R300" s="125">
        <f>IF($F$4="NO",Valores!C50,Valores!C50/2)</f>
        <v>720.3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631.88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652.73</v>
      </c>
      <c r="AH300" s="125">
        <f t="shared" si="46"/>
        <v>10443.939999999997</v>
      </c>
      <c r="AI300" s="125">
        <f>Valores!$C$33</f>
        <v>0</v>
      </c>
      <c r="AJ300" s="125">
        <f>Valores!$C$91</f>
        <v>0</v>
      </c>
      <c r="AK300" s="125">
        <f>AK299*2</f>
        <v>2000</v>
      </c>
      <c r="AL300" s="125">
        <v>0</v>
      </c>
      <c r="AM300" s="125">
        <f t="shared" si="44"/>
        <v>2000</v>
      </c>
      <c r="AN300" s="125">
        <f>AH300*Valores!$C$71</f>
        <v>-1148.8333999999998</v>
      </c>
      <c r="AO300" s="125">
        <f>AH300*-Valores!$C$72</f>
        <v>0</v>
      </c>
      <c r="AP300" s="125">
        <f>AH300*Valores!$C$73</f>
        <v>-469.97729999999984</v>
      </c>
      <c r="AQ300" s="125">
        <f>Valores!$C$100</f>
        <v>-280.91000000000003</v>
      </c>
      <c r="AR300" s="125">
        <f>IF($F$5=0,Valores!$C$101,(Valores!$C$101+$F$5*(Valores!$C$101)))</f>
        <v>-385</v>
      </c>
      <c r="AS300" s="125">
        <f t="shared" si="47"/>
        <v>10159.219299999997</v>
      </c>
      <c r="AT300" s="125">
        <f t="shared" si="41"/>
        <v>-1148.8333999999998</v>
      </c>
      <c r="AU300" s="125">
        <f>AH300*Valores!$C$74</f>
        <v>-281.98637999999994</v>
      </c>
      <c r="AV300" s="125">
        <f>AH300*Valores!$C$75</f>
        <v>-31.33181999999999</v>
      </c>
      <c r="AW300" s="125">
        <f t="shared" si="45"/>
        <v>10981.788399999998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652</v>
      </c>
      <c r="B301" s="123">
        <v>1</v>
      </c>
      <c r="C301" s="126">
        <v>294</v>
      </c>
      <c r="D301" s="124" t="s">
        <v>653</v>
      </c>
      <c r="E301" s="194">
        <f>E300/2</f>
        <v>121.5</v>
      </c>
      <c r="F301" s="125">
        <f>ROUND(E301*Valores!$C$2,2)</f>
        <v>3295.23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924.29</v>
      </c>
      <c r="Q301" s="125">
        <v>0</v>
      </c>
      <c r="R301" s="125">
        <f>IF($F$4="NO",Valores!C51,Valores!C51/2)</f>
        <v>360.15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315.94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326.36500000000001</v>
      </c>
      <c r="AH301" s="125">
        <f t="shared" si="46"/>
        <v>5221.9749999999995</v>
      </c>
      <c r="AI301" s="125">
        <f>Valores!C34</f>
        <v>0</v>
      </c>
      <c r="AJ301" s="125">
        <f>Valores!$C$92</f>
        <v>0</v>
      </c>
      <c r="AK301" s="125">
        <f>AK300/2</f>
        <v>1000</v>
      </c>
      <c r="AL301" s="125">
        <v>0</v>
      </c>
      <c r="AM301" s="125">
        <f t="shared" si="44"/>
        <v>1000</v>
      </c>
      <c r="AN301" s="125">
        <f>AH301*Valores!$C$71</f>
        <v>-574.41724999999997</v>
      </c>
      <c r="AO301" s="125">
        <v>0</v>
      </c>
      <c r="AP301" s="125">
        <f>AH301*Valores!$C$73</f>
        <v>-234.98887499999998</v>
      </c>
      <c r="AQ301" s="125">
        <f>Valores!$C$100</f>
        <v>-280.91000000000003</v>
      </c>
      <c r="AR301" s="125">
        <f>IF($F$5=0,Valores!$C$101,(Valores!$C$101+$F$5*(Valores!$C$101)))</f>
        <v>-385</v>
      </c>
      <c r="AS301" s="125">
        <f t="shared" si="47"/>
        <v>4746.6588749999992</v>
      </c>
      <c r="AT301" s="125">
        <f>AN301</f>
        <v>-574.41724999999997</v>
      </c>
      <c r="AU301" s="125">
        <f>AH301*Valores!$C$74</f>
        <v>-140.99332499999997</v>
      </c>
      <c r="AV301" s="125">
        <f>AH301*Valores!$C$75</f>
        <v>-15.665924999999998</v>
      </c>
      <c r="AW301" s="125">
        <f t="shared" si="45"/>
        <v>5490.8984999999993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18984.84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3937.81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7267.2000000000007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30189.850000000002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-3320.8835000000004</v>
      </c>
      <c r="AO302" s="125">
        <f>AH302*-Valores!$C$72</f>
        <v>0</v>
      </c>
      <c r="AP302" s="125">
        <f>AH302*Valores!$C$73</f>
        <v>-1358.5432499999999</v>
      </c>
      <c r="AQ302" s="125">
        <v>0</v>
      </c>
      <c r="AR302" s="125">
        <v>0</v>
      </c>
      <c r="AS302" s="125">
        <f t="shared" si="47"/>
        <v>25510.42325</v>
      </c>
      <c r="AT302" s="125">
        <f t="shared" si="41"/>
        <v>-3320.8835000000004</v>
      </c>
      <c r="AU302" s="125">
        <f>AH302*Valores!$C$74</f>
        <v>-815.1259500000001</v>
      </c>
      <c r="AV302" s="125">
        <f>AH302*Valores!$C$75</f>
        <v>-90.569550000000007</v>
      </c>
      <c r="AW302" s="125">
        <f t="shared" si="45"/>
        <v>25963.271000000001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13560.6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2760.81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4844.8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21166.21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-2328.2831000000001</v>
      </c>
      <c r="AO303" s="125">
        <f>AH303*-Valores!$C$72</f>
        <v>0</v>
      </c>
      <c r="AP303" s="125">
        <f>AH303*Valores!$C$73</f>
        <v>-952.47944999999993</v>
      </c>
      <c r="AQ303" s="125">
        <v>0</v>
      </c>
      <c r="AR303" s="125">
        <v>0</v>
      </c>
      <c r="AS303" s="125">
        <f t="shared" si="47"/>
        <v>17885.44745</v>
      </c>
      <c r="AT303" s="125">
        <f t="shared" si="41"/>
        <v>-2328.2831000000001</v>
      </c>
      <c r="AU303" s="125">
        <f>AH303*Valores!$C$74</f>
        <v>-571.48766999999998</v>
      </c>
      <c r="AV303" s="125">
        <f>AH303*Valores!$C$75</f>
        <v>-63.498629999999999</v>
      </c>
      <c r="AW303" s="125">
        <f t="shared" si="45"/>
        <v>18202.940599999998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8136.36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1583.81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2422.4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12142.57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-1335.6827000000001</v>
      </c>
      <c r="AO304" s="125">
        <f>AH304*-Valores!$C$72</f>
        <v>0</v>
      </c>
      <c r="AP304" s="125">
        <f>AH304*Valores!$C$73</f>
        <v>-546.41564999999991</v>
      </c>
      <c r="AQ304" s="125">
        <v>0</v>
      </c>
      <c r="AR304" s="125">
        <v>0</v>
      </c>
      <c r="AS304" s="125">
        <f t="shared" si="47"/>
        <v>10260.471649999999</v>
      </c>
      <c r="AT304" s="125">
        <f t="shared" si="41"/>
        <v>-1335.6827000000001</v>
      </c>
      <c r="AU304" s="125">
        <f>AH304*Valores!$C$74</f>
        <v>-327.84938999999997</v>
      </c>
      <c r="AV304" s="125">
        <f>AH304*Valores!$C$75</f>
        <v>-36.427709999999998</v>
      </c>
      <c r="AW304" s="125">
        <f t="shared" si="45"/>
        <v>10442.610199999999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4203.79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703.24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484.48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5391.51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-593.06610000000001</v>
      </c>
      <c r="AO305" s="125">
        <f>AH305*-Valores!$C$72</f>
        <v>0</v>
      </c>
      <c r="AP305" s="125">
        <f>AH305*Valores!$C$73</f>
        <v>-242.61795000000001</v>
      </c>
      <c r="AQ305" s="125">
        <v>0</v>
      </c>
      <c r="AR305" s="125">
        <v>0</v>
      </c>
      <c r="AS305" s="125">
        <f t="shared" si="47"/>
        <v>4555.8259500000004</v>
      </c>
      <c r="AT305" s="125">
        <f t="shared" si="41"/>
        <v>-593.06610000000001</v>
      </c>
      <c r="AU305" s="125">
        <f>AH305*Valores!$C$74</f>
        <v>-145.57077000000001</v>
      </c>
      <c r="AV305" s="125">
        <f>AH305*Valores!$C$75</f>
        <v>-16.174530000000001</v>
      </c>
      <c r="AW305" s="125">
        <f t="shared" si="45"/>
        <v>4636.6985999999997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8407.57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1406.48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968.96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10783.009999999998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-1186.1310999999998</v>
      </c>
      <c r="AO306" s="125">
        <f>AH306*-Valores!$C$72</f>
        <v>0</v>
      </c>
      <c r="AP306" s="125">
        <f>AH306*Valores!$C$73</f>
        <v>-485.2354499999999</v>
      </c>
      <c r="AQ306" s="125">
        <v>0</v>
      </c>
      <c r="AR306" s="125">
        <v>0</v>
      </c>
      <c r="AS306" s="125">
        <f t="shared" si="47"/>
        <v>9111.6434499999996</v>
      </c>
      <c r="AT306" s="125">
        <f t="shared" si="41"/>
        <v>-1186.1310999999998</v>
      </c>
      <c r="AU306" s="125">
        <f>AH306*Valores!$C$74</f>
        <v>-291.14126999999996</v>
      </c>
      <c r="AV306" s="125">
        <f>AH306*Valores!$C$75</f>
        <v>-32.349029999999999</v>
      </c>
      <c r="AW306" s="125">
        <f t="shared" si="45"/>
        <v>9273.3885999999984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12611.36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2109.7199999999998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1453.44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16174.52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-1779.1972000000001</v>
      </c>
      <c r="AO307" s="125">
        <f>AH307*-Valores!$C$72</f>
        <v>0</v>
      </c>
      <c r="AP307" s="125">
        <f>AH307*Valores!$C$73</f>
        <v>-727.85339999999997</v>
      </c>
      <c r="AQ307" s="125">
        <v>0</v>
      </c>
      <c r="AR307" s="125">
        <v>0</v>
      </c>
      <c r="AS307" s="125">
        <f t="shared" si="47"/>
        <v>13667.4694</v>
      </c>
      <c r="AT307" s="125">
        <f t="shared" si="41"/>
        <v>-1779.1972000000001</v>
      </c>
      <c r="AU307" s="125">
        <f>AH307*Valores!$C$74</f>
        <v>-436.71204</v>
      </c>
      <c r="AV307" s="125">
        <f>AH307*Valores!$C$75</f>
        <v>-48.523560000000003</v>
      </c>
      <c r="AW307" s="125">
        <f t="shared" si="45"/>
        <v>13910.0872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16815.14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2812.96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1937.92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21566.019999999997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-2372.2621999999997</v>
      </c>
      <c r="AO308" s="125">
        <f>AH308*-Valores!$C$72</f>
        <v>0</v>
      </c>
      <c r="AP308" s="125">
        <f>AH308*Valores!$C$73</f>
        <v>-970.4708999999998</v>
      </c>
      <c r="AQ308" s="125">
        <v>0</v>
      </c>
      <c r="AR308" s="125">
        <v>0</v>
      </c>
      <c r="AS308" s="125">
        <f t="shared" si="47"/>
        <v>18223.286899999999</v>
      </c>
      <c r="AT308" s="125">
        <f t="shared" si="41"/>
        <v>-2372.2621999999997</v>
      </c>
      <c r="AU308" s="125">
        <f>AH308*Valores!$C$74</f>
        <v>-582.28253999999993</v>
      </c>
      <c r="AV308" s="125">
        <f>AH308*Valores!$C$75</f>
        <v>-64.698059999999998</v>
      </c>
      <c r="AW308" s="125">
        <f t="shared" si="45"/>
        <v>18546.777199999997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21018.93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3516.2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2422.4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26957.530000000002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-2965.3283000000001</v>
      </c>
      <c r="AO309" s="125">
        <f>AH309*-Valores!$C$72</f>
        <v>0</v>
      </c>
      <c r="AP309" s="125">
        <f>AH309*Valores!$C$73</f>
        <v>-1213.0888500000001</v>
      </c>
      <c r="AQ309" s="125">
        <v>0</v>
      </c>
      <c r="AR309" s="125">
        <v>0</v>
      </c>
      <c r="AS309" s="125">
        <f t="shared" si="47"/>
        <v>22779.112850000001</v>
      </c>
      <c r="AT309" s="125">
        <f t="shared" si="41"/>
        <v>-2965.3283000000001</v>
      </c>
      <c r="AU309" s="125">
        <f>AH309*Valores!$C$74</f>
        <v>-727.85331000000008</v>
      </c>
      <c r="AV309" s="125">
        <f>AH309*Valores!$C$75</f>
        <v>-80.872590000000002</v>
      </c>
      <c r="AW309" s="125">
        <f t="shared" si="45"/>
        <v>23183.475800000004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25222.720000000001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4219.4399999999996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2906.88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32349.040000000001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-3558.3944000000001</v>
      </c>
      <c r="AO310" s="125">
        <f>AH310*-Valores!$C$72</f>
        <v>0</v>
      </c>
      <c r="AP310" s="125">
        <f>AH310*Valores!$C$73</f>
        <v>-1455.7067999999999</v>
      </c>
      <c r="AQ310" s="125">
        <v>0</v>
      </c>
      <c r="AR310" s="125">
        <v>0</v>
      </c>
      <c r="AS310" s="125">
        <f t="shared" si="47"/>
        <v>27334.9388</v>
      </c>
      <c r="AT310" s="125">
        <f t="shared" si="41"/>
        <v>-3558.3944000000001</v>
      </c>
      <c r="AU310" s="125">
        <f>AH310*Valores!$C$74</f>
        <v>-873.42408</v>
      </c>
      <c r="AV310" s="125">
        <f>AH310*Valores!$C$75</f>
        <v>-97.047120000000007</v>
      </c>
      <c r="AW310" s="125">
        <f t="shared" si="45"/>
        <v>27820.1744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29426.5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4922.68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3391.36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37740.54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-4151.4593999999997</v>
      </c>
      <c r="AO311" s="125">
        <f>AH311*-Valores!$C$72</f>
        <v>0</v>
      </c>
      <c r="AP311" s="125">
        <f>AH311*Valores!$C$73</f>
        <v>-1698.3243</v>
      </c>
      <c r="AQ311" s="125">
        <v>0</v>
      </c>
      <c r="AR311" s="125">
        <v>0</v>
      </c>
      <c r="AS311" s="125">
        <f t="shared" si="47"/>
        <v>31890.756300000001</v>
      </c>
      <c r="AT311" s="125">
        <f t="shared" si="41"/>
        <v>-4151.4593999999997</v>
      </c>
      <c r="AU311" s="125">
        <f>AH311*Valores!$C$74</f>
        <v>-1018.99458</v>
      </c>
      <c r="AV311" s="125">
        <f>AH311*Valores!$C$75</f>
        <v>-113.22162</v>
      </c>
      <c r="AW311" s="125">
        <f t="shared" si="45"/>
        <v>32456.864399999999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33630.29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5625.92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3875.84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43132.05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-4744.5255000000006</v>
      </c>
      <c r="AO312" s="125">
        <f>AH312*-Valores!$C$72</f>
        <v>0</v>
      </c>
      <c r="AP312" s="125">
        <f>AH312*Valores!$C$73</f>
        <v>-1940.9422500000001</v>
      </c>
      <c r="AQ312" s="125">
        <v>0</v>
      </c>
      <c r="AR312" s="125">
        <v>0</v>
      </c>
      <c r="AS312" s="125">
        <f t="shared" si="47"/>
        <v>36446.582249999999</v>
      </c>
      <c r="AT312" s="125">
        <f t="shared" si="41"/>
        <v>-4744.5255000000006</v>
      </c>
      <c r="AU312" s="125">
        <f>AH312*Valores!$C$74</f>
        <v>-1164.5653500000001</v>
      </c>
      <c r="AV312" s="125">
        <f>AH312*Valores!$C$75</f>
        <v>-129.39615000000001</v>
      </c>
      <c r="AW312" s="125">
        <f t="shared" si="45"/>
        <v>37093.563000000002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37834.07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6329.16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4360.32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48523.549999999996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-5337.5904999999993</v>
      </c>
      <c r="AO313" s="125">
        <f>AH313*-Valores!$C$72</f>
        <v>0</v>
      </c>
      <c r="AP313" s="125">
        <f>AH313*Valores!$C$73</f>
        <v>-2183.5597499999999</v>
      </c>
      <c r="AQ313" s="125">
        <v>0</v>
      </c>
      <c r="AR313" s="125">
        <v>0</v>
      </c>
      <c r="AS313" s="125">
        <f t="shared" si="47"/>
        <v>41002.399749999997</v>
      </c>
      <c r="AT313" s="125">
        <f t="shared" si="41"/>
        <v>-5337.5904999999993</v>
      </c>
      <c r="AU313" s="125">
        <f>AH313*Valores!$C$74</f>
        <v>-1310.1358499999999</v>
      </c>
      <c r="AV313" s="125">
        <f>AH313*Valores!$C$75</f>
        <v>-145.57065</v>
      </c>
      <c r="AW313" s="125">
        <f t="shared" si="45"/>
        <v>41730.252999999997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42037.86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7032.4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4844.8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53915.060000000005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-5930.6566000000003</v>
      </c>
      <c r="AO314" s="125">
        <f>AH314*-Valores!$C$72</f>
        <v>0</v>
      </c>
      <c r="AP314" s="125">
        <f>AH314*Valores!$C$73</f>
        <v>-2426.1777000000002</v>
      </c>
      <c r="AQ314" s="125">
        <v>0</v>
      </c>
      <c r="AR314" s="125">
        <v>0</v>
      </c>
      <c r="AS314" s="125">
        <f t="shared" si="47"/>
        <v>45558.225700000003</v>
      </c>
      <c r="AT314" s="125">
        <f t="shared" si="41"/>
        <v>-5930.6566000000003</v>
      </c>
      <c r="AU314" s="125">
        <f>AH314*Valores!$C$74</f>
        <v>-1455.7066200000002</v>
      </c>
      <c r="AV314" s="125">
        <f>AH314*Valores!$C$75</f>
        <v>-161.74518</v>
      </c>
      <c r="AW314" s="125">
        <f t="shared" si="45"/>
        <v>46366.951600000008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46241.65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7735.64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5329.2800000000007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59306.57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-6523.7227000000003</v>
      </c>
      <c r="AO315" s="125">
        <f>AH315*-Valores!$C$72</f>
        <v>0</v>
      </c>
      <c r="AP315" s="125">
        <f>AH315*Valores!$C$73</f>
        <v>-2668.79565</v>
      </c>
      <c r="AQ315" s="125">
        <v>0</v>
      </c>
      <c r="AR315" s="125">
        <v>0</v>
      </c>
      <c r="AS315" s="125">
        <f t="shared" si="47"/>
        <v>50114.051650000001</v>
      </c>
      <c r="AT315" s="125">
        <f t="shared" si="41"/>
        <v>-6523.7227000000003</v>
      </c>
      <c r="AU315" s="125">
        <f>AH315*Valores!$C$74</f>
        <v>-1601.27739</v>
      </c>
      <c r="AV315" s="125">
        <f>AH315*Valores!$C$75</f>
        <v>-177.91971000000001</v>
      </c>
      <c r="AW315" s="125">
        <f t="shared" si="45"/>
        <v>51003.650200000004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50445.43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8438.8799999999992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5813.76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64698.07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-7116.7876999999999</v>
      </c>
      <c r="AO316" s="125">
        <f>AH316*-Valores!$C$72</f>
        <v>0</v>
      </c>
      <c r="AP316" s="125">
        <f>AH316*Valores!$C$73</f>
        <v>-2911.4131499999999</v>
      </c>
      <c r="AQ316" s="125">
        <v>0</v>
      </c>
      <c r="AR316" s="125">
        <v>0</v>
      </c>
      <c r="AS316" s="125">
        <f t="shared" si="47"/>
        <v>54669.869149999999</v>
      </c>
      <c r="AT316" s="125">
        <f t="shared" si="41"/>
        <v>-7116.7876999999999</v>
      </c>
      <c r="AU316" s="125">
        <f>AH316*Valores!$C$74</f>
        <v>-1746.84789</v>
      </c>
      <c r="AV316" s="125">
        <f>AH316*Valores!$C$75</f>
        <v>-194.09421</v>
      </c>
      <c r="AW316" s="125">
        <f t="shared" si="45"/>
        <v>55640.340199999999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54649.22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9142.1200000000008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6298.24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70089.58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-7709.8537999999999</v>
      </c>
      <c r="AO317" s="125">
        <f>AH317*-Valores!$C$72</f>
        <v>0</v>
      </c>
      <c r="AP317" s="125">
        <f>AH317*Valores!$C$73</f>
        <v>-3154.0311000000002</v>
      </c>
      <c r="AQ317" s="125">
        <v>0</v>
      </c>
      <c r="AR317" s="125">
        <v>0</v>
      </c>
      <c r="AS317" s="125">
        <f t="shared" si="47"/>
        <v>59225.695099999997</v>
      </c>
      <c r="AT317" s="125">
        <f t="shared" si="41"/>
        <v>-7709.8537999999999</v>
      </c>
      <c r="AU317" s="125">
        <f>AH317*Valores!$C$74</f>
        <v>-1892.41866</v>
      </c>
      <c r="AV317" s="125">
        <f>AH317*Valores!$C$75</f>
        <v>-210.26874000000001</v>
      </c>
      <c r="AW317" s="125">
        <f t="shared" si="45"/>
        <v>60277.038800000002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58853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9845.36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6782.72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75481.08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-8302.9187999999995</v>
      </c>
      <c r="AO318" s="125">
        <f>AH318*-Valores!$C$72</f>
        <v>0</v>
      </c>
      <c r="AP318" s="125">
        <f>AH318*Valores!$C$73</f>
        <v>-3396.6486</v>
      </c>
      <c r="AQ318" s="125">
        <v>0</v>
      </c>
      <c r="AR318" s="125">
        <v>0</v>
      </c>
      <c r="AS318" s="125">
        <f t="shared" si="47"/>
        <v>63781.512600000002</v>
      </c>
      <c r="AT318" s="125">
        <f t="shared" si="41"/>
        <v>-8302.9187999999995</v>
      </c>
      <c r="AU318" s="125">
        <f>AH318*Valores!$C$74</f>
        <v>-2037.9891600000001</v>
      </c>
      <c r="AV318" s="125">
        <f>AH318*Valores!$C$75</f>
        <v>-226.44324</v>
      </c>
      <c r="AW318" s="125">
        <f t="shared" si="45"/>
        <v>64913.728799999997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63056.79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10548.6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7267.2000000000007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80872.59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-8895.9848999999995</v>
      </c>
      <c r="AO319" s="125">
        <f>AH319*-Valores!$C$72</f>
        <v>0</v>
      </c>
      <c r="AP319" s="125">
        <f>AH319*Valores!$C$73</f>
        <v>-3639.2665499999998</v>
      </c>
      <c r="AQ319" s="125">
        <v>0</v>
      </c>
      <c r="AR319" s="125">
        <v>0</v>
      </c>
      <c r="AS319" s="125">
        <f t="shared" si="47"/>
        <v>68337.33855</v>
      </c>
      <c r="AT319" s="125">
        <f t="shared" si="41"/>
        <v>-8895.9848999999995</v>
      </c>
      <c r="AU319" s="125">
        <f>AH319*Valores!$C$74</f>
        <v>-2183.5599299999999</v>
      </c>
      <c r="AV319" s="125">
        <f>AH319*Valores!$C$75</f>
        <v>-242.61777000000001</v>
      </c>
      <c r="AW319" s="125">
        <f t="shared" si="45"/>
        <v>69550.4274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67260.58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11251.84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7751.68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86264.1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-9489.0510000000013</v>
      </c>
      <c r="AO320" s="125">
        <f>AH320*-Valores!$C$72</f>
        <v>0</v>
      </c>
      <c r="AP320" s="125">
        <f>AH320*Valores!$C$73</f>
        <v>-3881.8845000000001</v>
      </c>
      <c r="AQ320" s="125">
        <v>0</v>
      </c>
      <c r="AR320" s="125">
        <v>0</v>
      </c>
      <c r="AS320" s="125">
        <f t="shared" si="47"/>
        <v>72893.164499999999</v>
      </c>
      <c r="AT320" s="125">
        <f t="shared" si="41"/>
        <v>-9489.0510000000013</v>
      </c>
      <c r="AU320" s="125">
        <f>AH320*Valores!$C$74</f>
        <v>-2329.1307000000002</v>
      </c>
      <c r="AV320" s="125">
        <f>AH320*Valores!$C$75</f>
        <v>-258.79230000000001</v>
      </c>
      <c r="AW320" s="125">
        <f t="shared" si="45"/>
        <v>74187.126000000004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7458.33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720.3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631.88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652.73</v>
      </c>
      <c r="AH321" s="125">
        <f t="shared" si="46"/>
        <v>9463.24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-1040.9564</v>
      </c>
      <c r="AO321" s="125">
        <f>AH321*-Valores!$C$72</f>
        <v>0</v>
      </c>
      <c r="AP321" s="125">
        <f>AH321*Valores!$C$73</f>
        <v>-425.8458</v>
      </c>
      <c r="AQ321" s="125">
        <v>0</v>
      </c>
      <c r="AR321" s="125">
        <v>0</v>
      </c>
      <c r="AS321" s="125">
        <f t="shared" si="47"/>
        <v>7996.4377999999997</v>
      </c>
      <c r="AT321" s="125">
        <f t="shared" si="41"/>
        <v>-1040.9564</v>
      </c>
      <c r="AU321" s="125">
        <f>AH321*Valores!$C$74</f>
        <v>-255.50747999999999</v>
      </c>
      <c r="AV321" s="125">
        <f>AH321*Valores!$C$75</f>
        <v>-28.389720000000001</v>
      </c>
      <c r="AW321" s="125">
        <f t="shared" si="45"/>
        <v>8138.3863999999994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6644.69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720.3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631.88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652.73</v>
      </c>
      <c r="AH322" s="125">
        <f t="shared" si="46"/>
        <v>8649.6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-951.45600000000002</v>
      </c>
      <c r="AO322" s="125">
        <f>AH322*-Valores!$C$72</f>
        <v>0</v>
      </c>
      <c r="AP322" s="125">
        <f>AH322*Valores!$C$73</f>
        <v>-389.23200000000003</v>
      </c>
      <c r="AQ322" s="125">
        <v>0</v>
      </c>
      <c r="AR322" s="125">
        <v>0</v>
      </c>
      <c r="AS322" s="125">
        <f t="shared" si="47"/>
        <v>7308.9120000000003</v>
      </c>
      <c r="AT322" s="125">
        <f t="shared" si="41"/>
        <v>-951.45600000000002</v>
      </c>
      <c r="AU322" s="125">
        <f>AH322*Valores!$C$74</f>
        <v>-233.53919999999999</v>
      </c>
      <c r="AV322" s="125">
        <f>AH322*Valores!$C$75</f>
        <v>-25.948800000000002</v>
      </c>
      <c r="AW322" s="125">
        <f t="shared" si="45"/>
        <v>7438.6560000000009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6454.85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720.3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631.88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652.73</v>
      </c>
      <c r="AH323" s="125">
        <f t="shared" si="46"/>
        <v>8459.76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-930.57360000000006</v>
      </c>
      <c r="AO323" s="125">
        <f>AH323*-Valores!$C$72</f>
        <v>0</v>
      </c>
      <c r="AP323" s="125">
        <f>AH323*Valores!$C$73</f>
        <v>-380.68919999999997</v>
      </c>
      <c r="AQ323" s="125">
        <v>0</v>
      </c>
      <c r="AR323" s="125">
        <v>0</v>
      </c>
      <c r="AS323" s="125">
        <f t="shared" si="47"/>
        <v>7148.4971999999998</v>
      </c>
      <c r="AT323" s="125">
        <f t="shared" si="41"/>
        <v>-930.57360000000006</v>
      </c>
      <c r="AU323" s="125">
        <f>AH323*Valores!$C$74</f>
        <v>-228.41352000000001</v>
      </c>
      <c r="AV323" s="125">
        <f>AH323*Valores!$C$75</f>
        <v>-25.379280000000001</v>
      </c>
      <c r="AW323" s="125">
        <f t="shared" si="45"/>
        <v>7275.3936000000003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6644.69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720.3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631.88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652.73</v>
      </c>
      <c r="AH324" s="125">
        <f t="shared" si="46"/>
        <v>8649.6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-951.45600000000002</v>
      </c>
      <c r="AO324" s="125">
        <f>AH324*-Valores!$C$72</f>
        <v>0</v>
      </c>
      <c r="AP324" s="125">
        <f>AH324*Valores!$C$73</f>
        <v>-389.23200000000003</v>
      </c>
      <c r="AQ324" s="125">
        <v>0</v>
      </c>
      <c r="AR324" s="125">
        <v>0</v>
      </c>
      <c r="AS324" s="125">
        <f t="shared" si="47"/>
        <v>7308.9120000000003</v>
      </c>
      <c r="AT324" s="125">
        <f t="shared" si="41"/>
        <v>-951.45600000000002</v>
      </c>
      <c r="AU324" s="125">
        <f>AH324*Valores!$C$74</f>
        <v>-233.53919999999999</v>
      </c>
      <c r="AV324" s="125">
        <f>AH324*Valores!$C$75</f>
        <v>-25.948800000000002</v>
      </c>
      <c r="AW324" s="125">
        <f t="shared" si="45"/>
        <v>7438.6560000000009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6590.45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720.3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631.88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652.73</v>
      </c>
      <c r="AH325" s="125">
        <f t="shared" si="46"/>
        <v>8595.36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-945.48960000000011</v>
      </c>
      <c r="AO325" s="125">
        <f>AH325*-Valores!$C$72</f>
        <v>0</v>
      </c>
      <c r="AP325" s="125">
        <f>AH325*Valores!$C$73</f>
        <v>-386.7912</v>
      </c>
      <c r="AQ325" s="125">
        <v>0</v>
      </c>
      <c r="AR325" s="125">
        <v>0</v>
      </c>
      <c r="AS325" s="125">
        <f t="shared" si="47"/>
        <v>7263.0792000000001</v>
      </c>
      <c r="AT325" s="125">
        <f t="shared" si="41"/>
        <v>-945.48960000000011</v>
      </c>
      <c r="AU325" s="125">
        <f>AH325*Valores!$C$74</f>
        <v>-232.07472000000001</v>
      </c>
      <c r="AV325" s="125">
        <f>AH325*Valores!$C$75</f>
        <v>-25.786080000000002</v>
      </c>
      <c r="AW325" s="125">
        <f t="shared" si="45"/>
        <v>7392.0096000000003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6373.48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720.3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631.88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652.73</v>
      </c>
      <c r="AH326" s="125">
        <f t="shared" si="46"/>
        <v>8378.39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-921.62289999999996</v>
      </c>
      <c r="AO326" s="125">
        <f>AH326*-Valores!$C$72</f>
        <v>0</v>
      </c>
      <c r="AP326" s="125">
        <f>AH326*Valores!$C$73</f>
        <v>-377.02754999999996</v>
      </c>
      <c r="AQ326" s="125">
        <v>0</v>
      </c>
      <c r="AR326" s="125">
        <v>0</v>
      </c>
      <c r="AS326" s="125">
        <f t="shared" si="47"/>
        <v>7079.7395499999993</v>
      </c>
      <c r="AT326" s="125">
        <f>AN326</f>
        <v>-921.62289999999996</v>
      </c>
      <c r="AU326" s="125">
        <f>AH326*Valores!$C$74</f>
        <v>-226.21652999999998</v>
      </c>
      <c r="AV326" s="125">
        <f>AH326*Valores!$C$75</f>
        <v>-25.135169999999999</v>
      </c>
      <c r="AW326" s="125">
        <f t="shared" si="45"/>
        <v>7205.4153999999999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661</v>
      </c>
      <c r="B1" t="s">
        <v>662</v>
      </c>
      <c r="C1" t="s">
        <v>76</v>
      </c>
      <c r="D1" t="s">
        <v>692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694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702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698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699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700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701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703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704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705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706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707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708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710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709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711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712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713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714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715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716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717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718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719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720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721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722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723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724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725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726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727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728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729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730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731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732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733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734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735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736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737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738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739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740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741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742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743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744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745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746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747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748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749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750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751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752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753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754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755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756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757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758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759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760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761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762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763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764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765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766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767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768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769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770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771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772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773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774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775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776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777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778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779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780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781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782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783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784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788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786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785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789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787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790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791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792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793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794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795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796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797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798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799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800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801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802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803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804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805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653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664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693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688</v>
      </c>
      <c r="B3" s="204" t="s">
        <v>691</v>
      </c>
      <c r="E3" s="206" t="s">
        <v>806</v>
      </c>
      <c r="F3" s="207"/>
      <c r="G3" s="206" t="s">
        <v>807</v>
      </c>
      <c r="H3" s="207"/>
      <c r="I3" s="206" t="s">
        <v>808</v>
      </c>
      <c r="J3" s="207"/>
      <c r="K3" s="206" t="s">
        <v>695</v>
      </c>
    </row>
    <row r="4" spans="1:11" hidden="1" x14ac:dyDescent="0.2">
      <c r="B4" t="s">
        <v>690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688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665</v>
      </c>
      <c r="C6" s="8">
        <v>0</v>
      </c>
      <c r="D6" s="209">
        <f>_xlfn.IFNA(VLOOKUP(E$4,'Escala Docente'!$C$8:$AW$326,4,FALSE),0)</f>
        <v>6427.72</v>
      </c>
      <c r="E6" s="203">
        <f>ROUND(D6*E$1/30,2)</f>
        <v>6427.72</v>
      </c>
      <c r="F6" s="209">
        <f>_xlfn.IFNA(VLOOKUP(G$4,'Escala Docente'!$C$8:$AW$326,4,FALSE),0)</f>
        <v>26334.69</v>
      </c>
      <c r="G6" s="203">
        <f>ROUND(F6*G$1/30,2)</f>
        <v>26334.69</v>
      </c>
      <c r="H6" s="209">
        <f>_xlfn.IFNA(VLOOKUP(I$4,'Escala Docente'!$C$8:$AW$326,4,FALSE),0)</f>
        <v>67260.58</v>
      </c>
      <c r="I6" s="203">
        <f>ROUND(H6*I$1/30,2)</f>
        <v>67260.58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666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667</v>
      </c>
      <c r="C8" s="8">
        <f>Valores!F96</f>
        <v>12637.52</v>
      </c>
      <c r="D8" s="209">
        <f>_xlfn.IFNA(VLOOKUP(E$4,'Escala Docente'!$C$8:$AW$326,24,FALSE),0)</f>
        <v>839.81999999999994</v>
      </c>
      <c r="E8" s="203">
        <f>IF((ROUND(D8*E$1/30,2)+(ROUND(F8*$G$1/30,2))+ROUND(H8*$I$1/30,2)+ROUND(J8*$K$1/30,2))&gt;C8,C8,(ROUND(D8*E$1/30,2)+ROUND(F8*$G$1/30,2)+ROUND(H8*$I$1/30,2)+ROUND(J8*$K$1/30,2)))</f>
        <v>7158.58</v>
      </c>
      <c r="F8" s="209">
        <f>_xlfn.IFNA(VLOOKUP(G$4,'Escala Docente'!$C$8:$AW$326,24,FALSE),0)</f>
        <v>6318.76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668</v>
      </c>
      <c r="C9" s="8">
        <v>0</v>
      </c>
      <c r="D9" s="209">
        <f>_xlfn.IFNA(VLOOKUP(E$4,'Escala Docente'!$C$8:$AW$326,13,FALSE),0)</f>
        <v>2759.2799999999997</v>
      </c>
      <c r="E9" s="203">
        <f>ROUND(D9*E$1/30,2)</f>
        <v>2759.28</v>
      </c>
      <c r="F9" s="209">
        <f>_xlfn.IFNA(VLOOKUP(G$4,'Escala Docente'!$C$8:$AW$326,13,FALSE),0)</f>
        <v>23436.25</v>
      </c>
      <c r="G9" s="203">
        <f>ROUND(F9*G$1/30,2)</f>
        <v>23436.25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669</v>
      </c>
      <c r="C10" s="8">
        <f>IF('Escala Docente'!$F$4="NO",Valores!F46,Valores!F46/2)</f>
        <v>14493.86</v>
      </c>
      <c r="D10" s="209">
        <f>_xlfn.IFNA(VLOOKUP(E$4,'Escala Docente'!$C$8:$AW$326,16,FALSE),0)</f>
        <v>1453.44</v>
      </c>
      <c r="E10" s="203">
        <f>IF((ROUND(D10*E$1/30,2)+(ROUND(F10*$G$1/30,2))+ROUND(H10*$I$1/30,2)+ROUND(J10*$K$1/30,2))&gt;C10,C10,(ROUND(D10*E$1/30,2)+ROUND(F10*$G$1/30,2)+ROUND(H10*$I$1/30,2)+ROUND(J10*$K$1/30,2)))</f>
        <v>14493.86</v>
      </c>
      <c r="F10" s="209">
        <f>_xlfn.IFNA(VLOOKUP(G$4,'Escala Docente'!$C$8:$AW$326,16,FALSE),0)</f>
        <v>9088.77</v>
      </c>
      <c r="G10" s="203">
        <f>IF($E10&gt;0,0,ROUND($F10*G$1/30,2))</f>
        <v>0</v>
      </c>
      <c r="H10" s="209">
        <f>_xlfn.IFNA(VLOOKUP(I$4,'Escala Docente'!$C$8:$AW$326,16,FALSE),0)</f>
        <v>7751.68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670</v>
      </c>
      <c r="C11" s="8">
        <f>Valores!F26</f>
        <v>567.05999999999995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671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683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11512.45</v>
      </c>
      <c r="G13" s="203">
        <f>ROUND(F13*G$1/30,2)</f>
        <v>11512.45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672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673</v>
      </c>
      <c r="C15" s="8">
        <f>Valores!D5</f>
        <v>13864.36</v>
      </c>
      <c r="D15" s="209">
        <f>_xlfn.IFNA(VLOOKUP(E$4,'Escala Docente'!$C$8:$AW$326,14,FALSE),0)</f>
        <v>2772.87</v>
      </c>
      <c r="E15" s="203">
        <f>IF((ROUND(D15*E$1/30,2)+(ROUND(F15*$G$1/30,2))+ROUND(H15*$I$1/30,2)+ROUND(J15*$K$1/30,2))&gt;C15,C15,(ROUND(D15*E$1/30,2)+ROUND(F15*$G$1/30,2)+ROUND(H15*$I$1/30,2)+ROUND(J15*$K$1/30,2)))</f>
        <v>13864.36</v>
      </c>
      <c r="F15" s="209">
        <f>_xlfn.IFNA(VLOOKUP(G$4,'Escala Docente'!$C$8:$AW$326,14,FALSE),0)</f>
        <v>13864.36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674</v>
      </c>
      <c r="C16" s="8">
        <f>Valores!F25</f>
        <v>850.58999999999992</v>
      </c>
      <c r="D16" s="209">
        <f>_xlfn.IFNA(VLOOKUP(E$4,'Escala Docente'!$C$8:$AW$326,25,FALSE),0)</f>
        <v>68.16</v>
      </c>
      <c r="E16" s="203">
        <f>ROUND(D16*E$1/30,2)</f>
        <v>68.16</v>
      </c>
      <c r="F16" s="209">
        <f>_xlfn.IFNA(VLOOKUP(G$4,'Escala Docente'!$C$8:$AW$326,25,FALSE),0)</f>
        <v>567.05999999999995</v>
      </c>
      <c r="G16" s="203">
        <f>IF(E16&gt;=C16,0,IF((F16*G$1/30)&gt;(E16-C16),F16*G$1/30,E16-C16))</f>
        <v>567.05999999999995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687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686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675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682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676</v>
      </c>
      <c r="C21" s="8">
        <v>0</v>
      </c>
      <c r="D21" s="209">
        <f>_xlfn.IFNA(VLOOKUP(E$4,'Escala Docente'!$C$8:$AW$326,18,FALSE),0)</f>
        <v>867.84</v>
      </c>
      <c r="E21" s="203">
        <f>ROUND(D21*E$1/30,2)</f>
        <v>867.84</v>
      </c>
      <c r="F21" s="209">
        <f>_xlfn.IFNA(VLOOKUP(G$4,'Escala Docente'!$C$8:$AW$326,18,FALSE),0)</f>
        <v>12901.01</v>
      </c>
      <c r="G21" s="203">
        <f>ROUND(F21*G$1/30,2)</f>
        <v>12901.01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680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685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696</v>
      </c>
      <c r="C24" s="8">
        <f>Valores!F38</f>
        <v>30000</v>
      </c>
      <c r="D24" s="209">
        <f>_xlfn.IFNA(VLOOKUP(E$4,'Escala Docente'!$C$8:$AW$326,35,FALSE),0)</f>
        <v>3000</v>
      </c>
      <c r="E24" s="203">
        <f>ROUND(D24*E$1/30,2)</f>
        <v>3000</v>
      </c>
      <c r="F24" s="209">
        <f>_xlfn.IFNA(VLOOKUP(G$4,'Escala Docente'!$C$8:$AW$326,35,FALSE),0)</f>
        <v>30000</v>
      </c>
      <c r="G24" s="203">
        <f>ROUND(F24*G$1/30,2)</f>
        <v>30000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677</v>
      </c>
      <c r="C25" s="8">
        <f>IF('Escala Docente'!$F$4="NO",Valores!F63,Valores!F63/2)</f>
        <v>12965.96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678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679</v>
      </c>
      <c r="C27" s="8" t="e">
        <f>IF('Escala Docente'!$F$4="NO",Valores!#REF!,Valores!#REF!/2)</f>
        <v>#REF!</v>
      </c>
      <c r="D27" s="209">
        <f>_xlfn.IFNA(VLOOKUP(E$4,'Escala Docente'!$C$8:$AW$326,31,FALSE),0)</f>
        <v>1296.5999999999999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6482.98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681</v>
      </c>
      <c r="C28" s="8">
        <f>Valores!F62</f>
        <v>327.60000000000002</v>
      </c>
      <c r="D28" s="209">
        <f>_xlfn.IFNA(VLOOKUP(E$4,'Escala Docente'!$C$8:$AW$326,36,FALSE),0)</f>
        <v>34.067700000000002</v>
      </c>
      <c r="E28" s="203">
        <f>ROUND(D28*E$1/30,2)</f>
        <v>34.07</v>
      </c>
      <c r="F28" s="209">
        <f>_xlfn.IFNA(VLOOKUP(G$4,'Escala Docente'!$C$8:$AW$326,36,FALSE),0)</f>
        <v>155.18</v>
      </c>
      <c r="G28" s="203">
        <f>IF(E28&gt;=C28,0,IF((F28*G$1/30)&gt;(E28-C28),F28*G$1/30,E28-C28))</f>
        <v>155.18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684</v>
      </c>
      <c r="C29" s="8">
        <v>0</v>
      </c>
      <c r="D29" s="209">
        <f>_xlfn.IFNA(VLOOKUP(E$4,'Escala Docente'!$C$8:$AW$326,11,FALSE),0)</f>
        <v>1312.35</v>
      </c>
      <c r="E29" s="210">
        <f>ROUND(IF('Escala Docente'!$H$2=0,IF(AND(MID(E$3,1,5)&lt;&gt;"13930",MID(E$3,1,5)&lt;&gt;"13940"),(SUM(E6+E12+E14+E18+E10+E17+E21)*Valores!$C$4),0),0),2)</f>
        <v>3268.41</v>
      </c>
      <c r="F29" s="209">
        <f>_xlfn.IFNA(VLOOKUP(G$4,'Escala Docente'!$C$8:$AW$326,11,FALSE),0)</f>
        <v>7248.67</v>
      </c>
      <c r="G29" s="210">
        <f>ROUND(IF('Escala Docente'!$H$2=0,IF(AND(MID(G$3,1,5)&lt;&gt;"13930",MID(G$3,1,5)&lt;&gt;"13940"),(SUM(G6+G12+G14+G18+G10+G17+G21)*Valores!$C$4),0),0),2)</f>
        <v>5885.36</v>
      </c>
      <c r="H29" s="209">
        <f>_xlfn.IFNA(VLOOKUP(I$4,'Escala Docente'!$C$8:$AW$326,11,FALSE),0)</f>
        <v>11251.84</v>
      </c>
      <c r="I29" s="210">
        <f>ROUND(IF('Escala Docente'!$H$2=0,IF(AND(MID(I$3,1,5)&lt;&gt;"13930",MID(I$3,1,5)&lt;&gt;"13940"),(SUM(I6+I12+I14+I18+I10+I17+I21)*Valores!$C$4),0),0),2)</f>
        <v>10089.09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01 Cba V 1 2.xlsx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</cp:lastModifiedBy>
  <cp:revision>1</cp:revision>
  <cp:lastPrinted>2022-12-23T13:22:59Z</cp:lastPrinted>
  <dcterms:created xsi:type="dcterms:W3CDTF">2005-08-10T23:49:01Z</dcterms:created>
  <dcterms:modified xsi:type="dcterms:W3CDTF">2023-01-18T00:51:14Z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