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r:id="rId4"/>
    <sheet name="UPC" sheetId="3" state="hidden" r:id="rId5"/>
  </sheets>
  <definedNames>
    <definedName name="_xlnm._FilterDatabase" localSheetId="1" hidden="1">'Escala Docente'!$A$7:$AZ$326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'Valores'!$A$1:$J$95</definedName>
    <definedName name="_xlnm.Print_Area" localSheetId="1">'Escala Docente'!$A$1:$AL$326</definedName>
    <definedName name="_xlnm.Print_Area" localSheetId="4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<sst xmlns="http://schemas.openxmlformats.org/spreadsheetml/2006/main" count="1566" uniqueCount="819">
  <si>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</si>
  <si>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</si>
  <si>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</si>
  <si>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</si>
  <si>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</si>
  <si>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</si>
  <si>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</si>
  <si>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</si>
  <si>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</si>
  <si>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</si>
  <si>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</si>
  <si>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</si>
  <si>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</si>
  <si>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</si>
  <si>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</si>
  <si>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</si>
  <si>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</si>
  <si>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</si>
  <si>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</si>
  <si>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</si>
  <si>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</si>
  <si>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</si>
  <si>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</si>
  <si>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</si>
  <si>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</si>
  <si>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</si>
  <si>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</si>
  <si>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</si>
  <si>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</si>
  <si>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</si>
  <si>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</si>
  <si>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</si>
  <si>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</si>
  <si>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</si>
  <si>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</si>
  <si>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</si>
  <si>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</si>
  <si>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</si>
  <si>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</si>
  <si>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</si>
  <si>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</si>
  <si>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</si>
  <si>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</si>
  <si>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</si>
  <si>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</si>
  <si>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</si>
  <si>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</si>
  <si>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</si>
  <si>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</si>
  <si>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</si>
  <si>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</si>
  <si>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</si>
  <si>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</si>
  <si>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</si>
  <si>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</si>
  <si>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</si>
  <si>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</si>
  <si>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</si>
  <si>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</si>
  <si>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</si>
  <si>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</si>
  <si>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</si>
  <si>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</si>
  <si>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</si>
  <si>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</si>
  <si>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</si>
  <si>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</si>
  <si>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</si>
  <si>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</si>
  <si>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</si>
  <si>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</si>
  <si>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</si>
  <si>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</si>
  <si>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</si>
  <si>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</si>
  <si>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</si>
  <si>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</si>
  <si>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</si>
  <si>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</si>
  <si>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</si>
  <si>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</si>
  <si>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</si>
  <si>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</si>
  <si>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</si>
  <si>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</si>
  <si>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</si>
  <si>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</si>
  <si>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</si>
  <si>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</si>
  <si>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</si>
  <si>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</si>
  <si>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</si>
  <si>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</si>
  <si>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</si>
  <si>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</si>
  <si>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</si>
  <si>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</si>
  <si>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</si>
  <si>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</si>
  <si>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</si>
  <si>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</si>
  <si>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</si>
  <si>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</si>
  <si>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</si>
  <si>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</si>
  <si>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</si>
  <si>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</si>
  <si>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</si>
  <si>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</si>
  <si>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</si>
  <si>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</si>
  <si>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</si>
  <si>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</si>
  <si>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</si>
  <si>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</si>
  <si>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</si>
  <si>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</si>
  <si>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</si>
  <si>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</si>
  <si>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</si>
  <si>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</si>
  <si>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</si>
  <si>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</si>
  <si>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</si>
  <si>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</si>
  <si>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</si>
  <si>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</si>
  <si>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</si>
  <si>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</si>
  <si>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</si>
  <si>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</si>
  <si>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</si>
  <si>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</si>
  <si>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</si>
  <si>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</si>
  <si>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</si>
  <si>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</si>
  <si>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</si>
  <si>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</si>
  <si>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</si>
  <si>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</si>
  <si>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</si>
  <si>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</si>
  <si>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</si>
  <si>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</si>
  <si>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</si>
  <si>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</si>
  <si>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</si>
  <si>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</si>
  <si>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</si>
  <si>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</si>
  <si>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</si>
  <si>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</si>
  <si>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</si>
  <si>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</si>
  <si>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</si>
  <si>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</si>
  <si>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</si>
  <si>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</si>
  <si>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</si>
  <si>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</si>
  <si>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</si>
  <si>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</si>
  <si>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</si>
  <si>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</si>
  <si>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</si>
  <si>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</si>
  <si>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</si>
  <si>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</si>
  <si>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</si>
  <si>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</si>
  <si>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</si>
  <si>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</si>
  <si>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</si>
  <si>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</si>
  <si>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</si>
  <si>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</si>
  <si>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</si>
  <si>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</si>
  <si>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</si>
  <si>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</si>
  <si>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</si>
  <si>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</si>
  <si>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</si>
  <si>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</si>
  <si>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</si>
  <si>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</si>
  <si>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</si>
  <si>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</si>
  <si>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</si>
  <si>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</si>
  <si>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</si>
  <si>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</si>
  <si>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</si>
  <si>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</si>
  <si>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</si>
  <si>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</si>
  <si>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</si>
  <si>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</si>
  <si>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</si>
  <si>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</si>
  <si>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</si>
  <si>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</si>
  <si>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</si>
  <si>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</si>
  <si>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</si>
  <si>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</si>
  <si>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</si>
  <si>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</si>
  <si>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</si>
  <si>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</si>
  <si>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</si>
  <si>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</si>
  <si>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</si>
  <si>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</si>
  <si>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</si>
  <si>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</si>
  <si>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</si>
  <si>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</si>
  <si>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</si>
  <si>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</si>
  <si>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</si>
  <si>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</si>
  <si>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</si>
  <si>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</si>
  <si>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</si>
  <si>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</si>
  <si>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</si>
  <si>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</si>
  <si>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</si>
  <si>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</si>
  <si>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</si>
  <si>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</si>
  <si>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</si>
  <si>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</si>
  <si>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</si>
  <si>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</si>
  <si>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</si>
  <si>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</si>
  <si>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</si>
  <si>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</si>
  <si>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</si>
  <si>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</si>
  <si>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</si>
  <si>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</si>
  <si>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</si>
  <si>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</si>
  <si>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</si>
  <si>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</si>
  <si>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</si>
  <si>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</si>
  <si>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</si>
  <si>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</si>
  <si>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</si>
  <si>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</si>
  <si>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</si>
  <si>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</si>
  <si>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</si>
  <si>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</si>
  <si>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</si>
  <si>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</si>
  <si>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</si>
  <si>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</si>
  <si>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</si>
  <si>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</si>
  <si>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</si>
  <si>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</si>
  <si>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</si>
  <si>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</si>
  <si>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</si>
  <si>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</si>
  <si>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</si>
  <si>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</si>
  <si>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</si>
  <si>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</si>
  <si>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</si>
  <si>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</si>
  <si>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</si>
  <si>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</si>
  <si>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</si>
  <si>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</si>
  <si>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</si>
  <si>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</si>
  <si>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</si>
  <si>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</si>
  <si>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</si>
  <si>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</si>
  <si>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</si>
  <si>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</si>
  <si>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</si>
  <si>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</si>
  <si>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</si>
  <si>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</si>
  <si>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</si>
  <si>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</si>
  <si>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</si>
  <si>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</si>
  <si>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</si>
  <si>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</si>
  <si>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</si>
  <si>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</si>
  <si>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</si>
  <si>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</si>
  <si>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</si>
  <si>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</si>
  <si>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</si>
  <si>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</si>
  <si>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</si>
  <si>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</si>
  <si>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</si>
  <si>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</si>
  <si>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</si>
  <si>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</si>
  <si>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</si>
  <si>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</si>
  <si>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</si>
  <si>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</si>
  <si>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</si>
  <si>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</si>
  <si>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</si>
  <si>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</si>
  <si>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</si>
  <si>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</si>
  <si>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</si>
  <si>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</si>
  <si>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</si>
  <si>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</si>
  <si>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</si>
  <si>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</si>
  <si>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</si>
  <si>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</si>
  <si>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</si>
  <si>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</si>
  <si>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</si>
  <si>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</si>
  <si>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</si>
  <si>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</si>
  <si>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</si>
  <si>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</si>
  <si>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</si>
  <si>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</si>
  <si>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</si>
  <si>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</si>
  <si>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</si>
  <si>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</si>
  <si>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</si>
  <si>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</si>
  <si>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</si>
  <si>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</si>
  <si>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</si>
  <si>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</si>
  <si>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</si>
  <si>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</si>
  <si>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</si>
  <si>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</si>
  <si>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</si>
  <si>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</si>
  <si>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</si>
  <si>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</si>
  <si>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</si>
  <si>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</si>
  <si>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</si>
  <si>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</si>
  <si>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</si>
  <si>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</si>
  <si>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</si>
  <si>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</si>
  <si>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</si>
  <si>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</si>
  <si>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</si>
  <si>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</si>
  <si>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</si>
  <si>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</si>
  <si>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</si>
  <si>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</si>
  <si>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</si>
  <si>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</si>
  <si>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</si>
  <si>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</si>
  <si>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</si>
  <si>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</si>
  <si>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</si>
  <si>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</si>
  <si>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</si>
  <si>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</si>
  <si>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</si>
  <si>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</si>
  <si>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</si>
  <si>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</si>
  <si>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</si>
  <si>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</si>
  <si>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</si>
  <si>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</si>
  <si>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</si>
  <si>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</si>
  <si>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</si>
  <si>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</si>
  <si>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</si>
  <si>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</si>
  <si>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</si>
  <si>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</si>
  <si>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</si>
  <si>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</si>
  <si>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</si>
  <si>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</si>
  <si>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</si>
  <si>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</si>
  <si>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</si>
  <si>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</si>
  <si>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</si>
  <si>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</si>
  <si>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</si>
  <si>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</si>
  <si>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</si>
  <si>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</si>
  <si>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</si>
  <si>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</si>
  <si>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</si>
  <si>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</si>
  <si>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</si>
  <si>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</si>
  <si>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</si>
  <si>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</si>
  <si>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</si>
  <si>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</si>
  <si>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</si>
  <si>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</si>
  <si>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</si>
  <si>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</si>
  <si>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</si>
  <si>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</si>
  <si>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</si>
  <si>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</si>
  <si>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</si>
  <si>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</si>
  <si>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</si>
  <si>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</si>
  <si>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</si>
  <si>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</si>
  <si>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</si>
  <si>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</si>
  <si>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</si>
  <si>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</si>
  <si>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</si>
  <si>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</si>
  <si>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</si>
  <si>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</si>
  <si>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</si>
  <si>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</si>
  <si>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</si>
  <si>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</si>
  <si>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</si>
  <si>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</si>
  <si>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</si>
  <si>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</si>
  <si>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</si>
  <si>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</si>
  <si>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</si>
  <si>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</si>
  <si>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</si>
  <si>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</si>
  <si>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</si>
  <si>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</si>
  <si>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</si>
  <si>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</si>
  <si>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</si>
  <si>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</si>
  <si>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</si>
  <si>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</si>
  <si>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</si>
  <si>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</si>
  <si>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</si>
  <si>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</si>
  <si>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</si>
  <si>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</si>
  <si>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</si>
  <si>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</si>
  <si>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</si>
  <si>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</si>
  <si>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</si>
  <si>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</si>
  <si>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</si>
  <si>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</si>
  <si>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</si>
  <si>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</si>
  <si>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</si>
  <si>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</si>
  <si>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</si>
  <si>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</si>
  <si>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</si>
  <si>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</si>
  <si>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</si>
  <si>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</si>
  <si>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</si>
  <si>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</si>
  <si>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</si>
  <si>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</si>
  <si>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</si>
  <si>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</si>
  <si>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</si>
  <si>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</si>
  <si>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</si>
  <si>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</si>
  <si>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</si>
  <si>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</si>
  <si>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</si>
  <si>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</si>
  <si>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</si>
  <si>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</si>
  <si>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</si>
  <si>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</si>
  <si>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</si>
  <si>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</si>
  <si>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</si>
  <si>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</si>
  <si>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</si>
  <si>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</si>
  <si>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</si>
  <si>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</si>
  <si>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</si>
  <si>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</si>
  <si>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</si>
  <si>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</si>
  <si>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</si>
  <si>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</si>
  <si>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</si>
  <si>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</si>
  <si>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</si>
  <si>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</si>
  <si>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</si>
  <si>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</si>
  <si>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</si>
  <si>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</si>
  <si>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</si>
  <si>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</si>
  <si>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</si>
  <si>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</si>
  <si>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</si>
  <si>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</si>
  <si>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</si>
  <si>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</si>
  <si>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</si>
  <si>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</si>
  <si>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</si>
  <si>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</si>
  <si>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</si>
  <si>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</si>
  <si>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</si>
  <si>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</si>
  <si>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</si>
  <si>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</si>
  <si>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</si>
  <si>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</si>
  <si>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</si>
  <si>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</si>
  <si>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</si>
  <si>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</si>
  <si>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</si>
  <si>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</si>
  <si>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</si>
  <si>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</si>
  <si>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</si>
  <si>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</si>
  <si>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</si>
  <si>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</si>
  <si>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</si>
  <si>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</si>
  <si>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</si>
  <si>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</si>
  <si>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</si>
  <si>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</si>
  <si>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</si>
  <si>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</si>
  <si>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</si>
  <si>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</si>
  <si>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</si>
  <si>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</si>
  <si>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</si>
  <si>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</si>
  <si>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</si>
  <si>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</si>
  <si>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</si>
  <si>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</si>
  <si>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</si>
  <si>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</si>
  <si>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</si>
  <si>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</si>
  <si>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</si>
  <si>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</si>
  <si>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</si>
  <si>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</si>
  <si>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</si>
  <si>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</si>
  <si>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</si>
  <si>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</si>
  <si>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</si>
  <si>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</si>
  <si>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</si>
  <si>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</si>
  <si>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</si>
  <si>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</si>
  <si>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</si>
  <si>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</si>
  <si>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</si>
  <si>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</si>
  <si>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</si>
  <si>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</si>
  <si>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</si>
  <si>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</si>
  <si>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</si>
  <si>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</si>
  <si>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</si>
  <si>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Dir Med Esp y Sup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</si>
  <si>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</si>
  <si>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</si>
  <si>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</si>
  <si>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</si>
  <si>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</si>
  <si>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</si>
  <si>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</si>
  <si>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</si>
  <si>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</si>
  <si>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</si>
  <si>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</si>
  <si>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</si>
  <si>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</si>
  <si>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</si>
  <si>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</si>
  <si>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</si>
  <si>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</si>
  <si>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</si>
  <si>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</si>
  <si>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</si>
  <si>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</si>
  <si>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</si>
  <si>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</si>
  <si>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</si>
  <si>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</si>
  <si>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</si>
  <si>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</si>
  <si>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</si>
  <si>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</si>
  <si>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</si>
  <si>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</si>
  <si>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</si>
  <si>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</si>
  <si>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</si>
  <si>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</si>
  <si>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</si>
  <si>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</si>
  <si>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</si>
  <si>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"2022 - Las Malvinas son argentinas”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</si>
  <si>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</si>
  <si>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</si>
  <si>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</si>
  <si>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</si>
  <si>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</si>
  <si>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</si>
  <si>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</si>
  <si>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</si>
  <si>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</si>
  <si>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</si>
  <si>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</si>
  <si>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</si>
  <si>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</si>
  <si>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</si>
  <si>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</si>
  <si>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</si>
  <si>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</si>
  <si>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</si>
  <si>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</si>
  <si>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</si>
  <si>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</si>
  <si>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</si>
  <si>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</si>
  <si>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</si>
  <si>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</si>
  <si>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</si>
  <si>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</si>
  <si>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</si>
  <si>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</si>
  <si>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</si>
  <si>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</si>
  <si>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</si>
  <si>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</si>
  <si>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</si>
  <si>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</si>
  <si>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</si>
  <si>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</si>
  <si>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</si>
  <si>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</si>
  <si>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</si>
  <si>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</si>
  <si>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</si>
  <si>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</si>
  <si>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</si>
  <si>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</si>
  <si>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</si>
  <si>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</si>
  <si>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</si>
  <si>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</si>
  <si>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</si>
  <si>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</si>
  <si>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</si>
  <si>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</si>
  <si>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</si>
  <si>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</si>
  <si>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</si>
  <si>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</si>
  <si>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</si>
  <si>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</si>
  <si>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</si>
  <si>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</si>
  <si>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</si>
  <si>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</si>
  <si>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</si>
  <si>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</si>
  <si>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</si>
  <si>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</si>
  <si>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</si>
  <si>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</si>
  <si>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</si>
  <si>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</si>
  <si>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</si>
  <si>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</si>
  <si>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</si>
  <si>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</si>
  <si>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</si>
  <si>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</si>
  <si>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</si>
  <si>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</si>
  <si>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</si>
  <si>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</si>
  <si>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</si>
  <si>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</si>
  <si>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</si>
  <si>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</si>
  <si>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</si>
  <si>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</si>
  <si>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</si>
  <si>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</si>
  <si>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</si>
  <si>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</si>
  <si>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</si>
  <si>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</si>
  <si>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</si>
  <si>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</si>
  <si>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</si>
  <si>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</si>
  <si>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</si>
  <si>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</si>
  <si>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</si>
  <si>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</si>
  <si>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</si>
  <si>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</si>
  <si>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</si>
  <si>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</si>
  <si>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</si>
  <si>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</si>
  <si>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</si>
  <si>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</si>
  <si>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</si>
  <si>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</si>
  <si>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</si>
  <si>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</si>
  <si>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</si>
  <si>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</si>
  <si>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</si>
  <si>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</si>
  <si>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</si>
  <si>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</si>
  <si>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</si>
  <si>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</si>
  <si>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</si>
  <si>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</si>
  <si>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</si>
  <si>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</si>
  <si>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</si>
  <si>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</si>
  <si>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</si>
  <si>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</si>
  <si>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</si>
  <si>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</si>
  <si>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</si>
  <si>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</si>
  <si>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</si>
  <si>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</si>
  <si>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</si>
  <si>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</si>
  <si>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</si>
  <si>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</si>
  <si>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</si>
  <si>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</si>
  <si>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</si>
  <si>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</si>
  <si>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</si>
  <si>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</si>
  <si>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</si>
  <si>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</si>
  <si>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</si>
  <si>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</si>
  <si>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</si>
  <si>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</si>
  <si>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</si>
  <si>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</si>
  <si>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</si>
  <si>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</si>
  <si>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</si>
  <si>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</si>
  <si>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Adic Rem Cgo 4 DIR JURISDICCION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</si>
  <si>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</si>
  <si>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</si>
  <si>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</si>
  <si>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</si>
  <si>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</si>
  <si>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Adic Rem Cgo 10 DIR 2da CTRO DEP</t>
  </si>
  <si>
    <t>Gto. Inh. Lab. Doc 07 13-164</t>
  </si>
  <si>
    <t>Ad. Extr 13515</t>
  </si>
  <si>
    <t>Gtos. Inh. Lab. Doc.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</si>
</sst>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_ * #,##0.00_ ;_ * \-#,##0.00_ ;_ * &quot;-&quot;??_ ;_ @_ "/>
    <numFmt numFmtId="165" formatCode="0.000000"/>
    <numFmt numFmtId="166" formatCode="_ * #,##0.00_ ;_ * \-#,##0.00_ ;_ * \-??_ ;_ @_ "/>
    <numFmt numFmtId="167" formatCode="_-* #,##0.00\ _€_-;\-* #,##0.00\ _€_-;_-* \-??\ _€_-;_-@_-"/>
    <numFmt numFmtId="168" formatCode="_ * #,##0.00000_ ;_ * \-#,##0.00000_ ;_ * \-??_ ;_ @_ "/>
    <numFmt numFmtId="169" formatCode="0\ %"/>
    <numFmt numFmtId="170" formatCode="0.0000%"/>
    <numFmt numFmtId="171" formatCode="0.00\ %"/>
    <numFmt numFmtId="172" formatCode="_-* #,##0_-;\-* #,##0_-;_-* \-_-;_-@_-"/>
    <numFmt numFmtId="173" formatCode="_ &quot;$ &quot;* #,##0.00_ ;_ &quot;$ &quot;* \-#,##0.00_ ;_ &quot;$ &quot;* \-??_ ;_ @_ "/>
    <numFmt numFmtId="174" formatCode="_ * #,##0_ ;_ * \-#,##0_ ;_ * \-??_ ;_ @_ "/>
    <numFmt numFmtId="175" formatCode="0_ ;\-0\ "/>
    <numFmt numFmtId="176" formatCode="0.0000"/>
    <numFmt numFmtId="177" formatCode="#,##0.00000000_ ;\-#,##0.00000000\ "/>
    <numFmt numFmtId="178" formatCode="#,##0.0000_ ;\-#,##0.0000\ "/>
    <numFmt numFmtId="179" formatCode="#,##0_ ;\-#,##0\ "/>
    <numFmt numFmtId="180" formatCode="#,##0.00_ ;\-#,##0.00\ "/>
    <numFmt numFmtId="181" formatCode="0.00_ ;\-0.00\ "/>
    <numFmt numFmtId="182" formatCode="0.0"/>
    <numFmt numFmtId="183" formatCode="&quot;$&quot;\ #,##0.00;[Red]&quot;$&quot;\ \-#,##0.00"/>
  </numFmts>
  <fonts count="37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32"/>
      <color rgb="FF000000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  <xf numFmtId="173" fontId="0" fillId="0" borderId="0" applyBorder="0" applyProtection="0">
      <alignment/>
    </xf>
    <xf numFmtId="169" fontId="0" fillId="0" borderId="0" applyBorder="0" applyProtection="0">
      <alignment/>
    </xf>
    <xf numFmtId="0" fontId="1" fillId="0" borderId="0">
      <alignment/>
      <protection/>
    </xf>
  </cellStyleXfs>
  <cellXfs count="237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6" fontId="0" fillId="0" borderId="0" xfId="20" applyFont="1" applyBorder="1" applyAlignment="1" applyProtection="1">
      <alignment/>
      <protection/>
    </xf>
    <xf numFmtId="166" fontId="0" fillId="0" borderId="0" xfId="0" applyNumberFormat="1"/>
    <xf numFmtId="166" fontId="0" fillId="0" borderId="0" xfId="20" applyFont="1" applyBorder="1" applyAlignment="1" applyProtection="1">
      <alignment/>
      <protection/>
    </xf>
    <xf numFmtId="167" fontId="0" fillId="0" borderId="0" xfId="0" applyNumberFormat="1"/>
    <xf numFmtId="4" fontId="0" fillId="0" borderId="0" xfId="0" applyNumberFormat="1"/>
    <xf numFmtId="165" fontId="0" fillId="0" borderId="0" xfId="0" applyNumberFormat="1"/>
    <xf numFmtId="170" fontId="0" fillId="0" borderId="0" xfId="22" applyNumberFormat="1" applyFont="1" applyBorder="1" applyAlignment="1" applyProtection="1">
      <alignment/>
      <protection/>
    </xf>
    <xf numFmtId="171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6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6" fontId="4" fillId="0" borderId="0" xfId="23" applyNumberFormat="1" applyFont="1" applyBorder="1" applyAlignment="1" applyProtection="1">
      <alignment/>
      <protection/>
    </xf>
    <xf numFmtId="166" fontId="7" fillId="0" borderId="0" xfId="23" applyNumberFormat="1" applyFont="1" applyBorder="1" applyAlignment="1">
      <alignment horizontal="right" wrapText="1"/>
      <protection/>
    </xf>
    <xf numFmtId="166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5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6" fontId="3" fillId="0" borderId="10" xfId="23" applyNumberFormat="1" applyFont="1" applyBorder="1" applyAlignment="1">
      <alignment horizontal="center" wrapText="1"/>
      <protection/>
    </xf>
    <xf numFmtId="166" fontId="3" fillId="0" borderId="8" xfId="23" applyNumberFormat="1" applyFont="1" applyBorder="1" applyAlignment="1">
      <alignment horizontal="center"/>
      <protection/>
    </xf>
    <xf numFmtId="166" fontId="3" fillId="0" borderId="2" xfId="23" applyNumberFormat="1" applyFont="1" applyBorder="1" applyAlignment="1">
      <alignment horizontal="center" wrapText="1"/>
      <protection/>
    </xf>
    <xf numFmtId="166" fontId="7" fillId="0" borderId="11" xfId="23" applyNumberFormat="1" applyFont="1" applyBorder="1" applyAlignment="1">
      <alignment horizontal="center" vertical="center" wrapText="1"/>
      <protection/>
    </xf>
    <xf numFmtId="166" fontId="3" fillId="0" borderId="8" xfId="23" applyNumberFormat="1" applyFont="1" applyBorder="1" applyAlignment="1">
      <alignment horizontal="center" wrapText="1"/>
      <protection/>
    </xf>
    <xf numFmtId="166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6" fontId="4" fillId="0" borderId="10" xfId="23" applyNumberFormat="1" applyFont="1" applyBorder="1" applyAlignment="1" applyProtection="1">
      <alignment horizontal="center"/>
      <protection/>
    </xf>
    <xf numFmtId="166" fontId="4" fillId="0" borderId="10" xfId="23" applyNumberFormat="1" applyFont="1" applyBorder="1" applyAlignment="1">
      <alignment horizontal="center"/>
      <protection/>
    </xf>
    <xf numFmtId="166" fontId="4" fillId="0" borderId="2" xfId="23" applyNumberFormat="1" applyFont="1" applyBorder="1" applyAlignment="1">
      <alignment horizontal="center"/>
      <protection/>
    </xf>
    <xf numFmtId="166" fontId="7" fillId="0" borderId="2" xfId="23" applyNumberFormat="1" applyFont="1" applyBorder="1" applyAlignment="1">
      <alignment horizontal="center"/>
      <protection/>
    </xf>
    <xf numFmtId="166" fontId="4" fillId="0" borderId="8" xfId="23" applyNumberFormat="1" applyFont="1" applyBorder="1" applyAlignment="1">
      <alignment horizontal="center"/>
      <protection/>
    </xf>
    <xf numFmtId="166" fontId="4" fillId="0" borderId="12" xfId="23" applyNumberFormat="1" applyFont="1" applyBorder="1" applyAlignment="1">
      <alignment horizontal="center"/>
      <protection/>
    </xf>
    <xf numFmtId="171" fontId="4" fillId="2" borderId="2" xfId="22" applyNumberFormat="1" applyFont="1" applyFill="1" applyBorder="1" applyAlignment="1" applyProtection="1">
      <alignment horizontal="center"/>
      <protection/>
    </xf>
    <xf numFmtId="171" fontId="4" fillId="2" borderId="8" xfId="22" applyNumberFormat="1" applyFont="1" applyFill="1" applyBorder="1" applyAlignment="1" applyProtection="1">
      <alignment horizontal="center"/>
      <protection/>
    </xf>
    <xf numFmtId="171" fontId="4" fillId="2" borderId="8" xfId="23" applyNumberFormat="1" applyFont="1" applyFill="1" applyBorder="1" applyAlignment="1">
      <alignment horizontal="center"/>
      <protection/>
    </xf>
    <xf numFmtId="171" fontId="4" fillId="3" borderId="2" xfId="22" applyNumberFormat="1" applyFont="1" applyFill="1" applyBorder="1" applyAlignment="1" applyProtection="1">
      <alignment horizontal="center"/>
      <protection/>
    </xf>
    <xf numFmtId="171" fontId="4" fillId="3" borderId="8" xfId="22" applyNumberFormat="1" applyFont="1" applyFill="1" applyBorder="1" applyAlignment="1" applyProtection="1">
      <alignment horizontal="center"/>
      <protection/>
    </xf>
    <xf numFmtId="171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6" fontId="4" fillId="4" borderId="0" xfId="23" applyNumberFormat="1" applyFont="1" applyFill="1" applyBorder="1" applyAlignment="1" applyProtection="1">
      <alignment/>
      <protection/>
    </xf>
    <xf numFmtId="166" fontId="7" fillId="4" borderId="0" xfId="23" applyNumberFormat="1" applyFont="1" applyFill="1" applyBorder="1" applyAlignment="1">
      <alignment horizontal="right" wrapText="1"/>
      <protection/>
    </xf>
    <xf numFmtId="166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6" fontId="4" fillId="5" borderId="0" xfId="23" applyNumberFormat="1" applyFont="1" applyFill="1" applyBorder="1" applyAlignment="1" applyProtection="1">
      <alignment/>
      <protection/>
    </xf>
    <xf numFmtId="166" fontId="7" fillId="5" borderId="0" xfId="23" applyNumberFormat="1" applyFont="1" applyFill="1" applyBorder="1" applyAlignment="1">
      <alignment horizontal="right" wrapText="1"/>
      <protection/>
    </xf>
    <xf numFmtId="166" fontId="7" fillId="5" borderId="0" xfId="23" applyNumberFormat="1" applyFont="1" applyFill="1" applyBorder="1" applyAlignment="1">
      <alignment wrapText="1"/>
      <protection/>
    </xf>
    <xf numFmtId="171" fontId="4" fillId="0" borderId="10" xfId="22" applyNumberFormat="1" applyFont="1" applyBorder="1" applyAlignment="1" applyProtection="1">
      <alignment horizontal="center"/>
      <protection/>
    </xf>
    <xf numFmtId="171" fontId="4" fillId="0" borderId="10" xfId="23" applyNumberFormat="1" applyFont="1" applyBorder="1" applyAlignment="1">
      <alignment horizontal="center"/>
      <protection/>
    </xf>
    <xf numFmtId="171" fontId="4" fillId="0" borderId="2" xfId="22" applyNumberFormat="1" applyFont="1" applyBorder="1" applyAlignment="1" applyProtection="1">
      <alignment horizontal="center"/>
      <protection/>
    </xf>
    <xf numFmtId="171" fontId="4" fillId="0" borderId="8" xfId="22" applyNumberFormat="1" applyFont="1" applyBorder="1" applyAlignment="1" applyProtection="1">
      <alignment horizontal="center"/>
      <protection/>
    </xf>
    <xf numFmtId="171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4" fontId="0" fillId="0" borderId="0" xfId="0" applyNumberFormat="1"/>
    <xf numFmtId="0" fontId="0" fillId="0" borderId="0" xfId="0" applyFont="1"/>
    <xf numFmtId="0" fontId="0" fillId="6" borderId="0" xfId="0" applyFill="1"/>
    <xf numFmtId="166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5" fontId="0" fillId="0" borderId="0" xfId="0" applyNumberFormat="1" applyBorder="1"/>
    <xf numFmtId="2" fontId="0" fillId="0" borderId="0" xfId="0" applyNumberFormat="1" applyBorder="1"/>
    <xf numFmtId="166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7" fontId="0" fillId="0" borderId="0" xfId="0" applyNumberFormat="1" applyBorder="1"/>
    <xf numFmtId="164" fontId="0" fillId="0" borderId="0" xfId="0" applyNumberFormat="1" applyBorder="1"/>
    <xf numFmtId="177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8" fontId="0" fillId="0" borderId="0" xfId="0" applyNumberFormat="1" applyBorder="1"/>
    <xf numFmtId="0" fontId="9" fillId="0" borderId="0" xfId="0" applyFont="1" applyFill="1"/>
    <xf numFmtId="166" fontId="9" fillId="0" borderId="0" xfId="0" applyNumberFormat="1" applyFont="1" applyFill="1"/>
    <xf numFmtId="178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6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6" fontId="10" fillId="0" borderId="0" xfId="23" applyNumberFormat="1" applyFont="1" applyBorder="1">
      <alignment/>
      <protection/>
    </xf>
    <xf numFmtId="166" fontId="12" fillId="0" borderId="0" xfId="23" applyNumberFormat="1" applyFont="1" applyBorder="1">
      <alignment/>
      <protection/>
    </xf>
    <xf numFmtId="166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4" fontId="10" fillId="0" borderId="0" xfId="21" applyNumberFormat="1" applyFont="1" applyBorder="1" applyAlignment="1" applyProtection="1">
      <alignment horizontal="right"/>
      <protection/>
    </xf>
    <xf numFmtId="166" fontId="10" fillId="0" borderId="0" xfId="23" applyNumberFormat="1" applyFont="1" applyBorder="1" applyAlignment="1">
      <alignment/>
      <protection/>
    </xf>
    <xf numFmtId="172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6" fontId="20" fillId="0" borderId="0" xfId="21" applyNumberFormat="1" applyFont="1" applyBorder="1" applyAlignment="1" applyProtection="1">
      <alignment vertical="center"/>
      <protection/>
    </xf>
    <xf numFmtId="176" fontId="21" fillId="0" borderId="0" xfId="21" applyNumberFormat="1" applyFont="1" applyBorder="1" applyAlignment="1" applyProtection="1">
      <alignment vertical="center"/>
      <protection/>
    </xf>
    <xf numFmtId="176" fontId="20" fillId="0" borderId="0" xfId="21" applyNumberFormat="1" applyFont="1" applyBorder="1" applyAlignment="1" applyProtection="1">
      <alignment horizontal="center"/>
      <protection/>
    </xf>
    <xf numFmtId="176" fontId="21" fillId="0" borderId="0" xfId="21" applyNumberFormat="1" applyFont="1" applyBorder="1" applyAlignment="1" applyProtection="1">
      <alignment horizontal="center"/>
      <protection/>
    </xf>
    <xf numFmtId="176" fontId="22" fillId="0" borderId="0" xfId="21" applyNumberFormat="1" applyFont="1" applyBorder="1" applyAlignment="1" applyProtection="1">
      <alignment horizontal="center"/>
      <protection/>
    </xf>
    <xf numFmtId="166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6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6" fontId="10" fillId="0" borderId="0" xfId="23" applyNumberFormat="1" applyFont="1" applyBorder="1" applyAlignment="1" applyProtection="1">
      <alignment/>
      <protection/>
    </xf>
    <xf numFmtId="172" fontId="10" fillId="0" borderId="0" xfId="23" applyNumberFormat="1" applyFont="1" applyBorder="1" applyAlignment="1" applyProtection="1">
      <alignment/>
      <protection/>
    </xf>
    <xf numFmtId="166" fontId="19" fillId="0" borderId="0" xfId="23" applyNumberFormat="1" applyFont="1" applyBorder="1">
      <alignment/>
      <protection/>
    </xf>
    <xf numFmtId="166" fontId="16" fillId="0" borderId="0" xfId="23" applyNumberFormat="1" applyFont="1" applyBorder="1">
      <alignment/>
      <protection/>
    </xf>
    <xf numFmtId="175" fontId="16" fillId="0" borderId="10" xfId="23" applyNumberFormat="1" applyFont="1" applyBorder="1" applyAlignment="1" applyProtection="1">
      <alignment horizontal="center" vertical="center"/>
      <protection/>
    </xf>
    <xf numFmtId="166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69" fontId="27" fillId="0" borderId="0" xfId="22" applyFont="1" applyBorder="1" applyProtection="1">
      <alignment/>
      <protection/>
    </xf>
    <xf numFmtId="174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9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6" fontId="10" fillId="0" borderId="12" xfId="23" applyNumberFormat="1" applyFont="1" applyBorder="1" applyAlignment="1" applyProtection="1">
      <alignment horizontal="center" vertical="center"/>
      <protection/>
    </xf>
    <xf numFmtId="166" fontId="12" fillId="0" borderId="10" xfId="23" applyNumberFormat="1" applyFont="1" applyBorder="1" applyAlignment="1">
      <alignment horizontal="center" vertical="center" wrapText="1"/>
      <protection/>
    </xf>
    <xf numFmtId="166" fontId="12" fillId="0" borderId="10" xfId="23" applyNumberFormat="1" applyFont="1" applyBorder="1" applyAlignment="1">
      <alignment horizontal="center" vertical="center"/>
      <protection/>
    </xf>
    <xf numFmtId="166" fontId="10" fillId="0" borderId="10" xfId="23" applyNumberFormat="1" applyFont="1" applyBorder="1" applyAlignment="1">
      <alignment horizontal="center" vertical="center" wrapText="1"/>
      <protection/>
    </xf>
    <xf numFmtId="166" fontId="10" fillId="0" borderId="10" xfId="23" applyNumberFormat="1" applyFont="1" applyBorder="1" applyAlignment="1">
      <alignment horizontal="center" vertical="center"/>
      <protection/>
    </xf>
    <xf numFmtId="174" fontId="12" fillId="0" borderId="10" xfId="21" applyNumberFormat="1" applyFont="1" applyBorder="1" applyAlignment="1" applyProtection="1">
      <alignment horizontal="center" vertical="center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/>
      <protection/>
    </xf>
    <xf numFmtId="166" fontId="10" fillId="0" borderId="10" xfId="20" applyFont="1" applyBorder="1" applyAlignment="1" applyProtection="1">
      <alignment horizontal="center" vertical="center"/>
      <protection/>
    </xf>
    <xf numFmtId="166" fontId="12" fillId="8" borderId="1" xfId="23" applyNumberFormat="1" applyFont="1" applyFill="1" applyBorder="1" applyAlignment="1">
      <alignment horizontal="center" vertical="center" wrapText="1"/>
      <protection/>
    </xf>
    <xf numFmtId="166" fontId="12" fillId="8" borderId="1" xfId="20" applyFont="1" applyFill="1" applyBorder="1" applyAlignment="1" applyProtection="1">
      <alignment horizontal="center" vertical="center" wrapText="1"/>
      <protection/>
    </xf>
    <xf numFmtId="166" fontId="13" fillId="0" borderId="10" xfId="23" applyNumberFormat="1" applyFont="1" applyBorder="1" applyAlignment="1">
      <alignment horizontal="center" vertical="center"/>
      <protection/>
    </xf>
    <xf numFmtId="179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0" fontId="0" fillId="0" borderId="0" xfId="0" applyNumberFormat="1"/>
    <xf numFmtId="180" fontId="0" fillId="0" borderId="0" xfId="0" applyNumberFormat="1" applyBorder="1"/>
    <xf numFmtId="181" fontId="0" fillId="0" borderId="0" xfId="0" applyNumberFormat="1" applyBorder="1"/>
    <xf numFmtId="178" fontId="10" fillId="0" borderId="0" xfId="23" applyNumberFormat="1" applyFont="1" applyBorder="1">
      <alignment/>
      <protection/>
    </xf>
    <xf numFmtId="166" fontId="12" fillId="8" borderId="1" xfId="23" applyNumberFormat="1" applyFont="1" applyFill="1" applyBorder="1" applyAlignment="1" quotePrefix="1">
      <alignment horizontal="center" vertical="center" wrapText="1"/>
      <protection/>
    </xf>
    <xf numFmtId="166" fontId="12" fillId="0" borderId="11" xfId="23" applyNumberFormat="1" applyFont="1" applyBorder="1" applyAlignment="1">
      <alignment horizontal="center" vertical="center"/>
      <protection/>
    </xf>
    <xf numFmtId="166" fontId="10" fillId="0" borderId="11" xfId="23" applyNumberFormat="1" applyFont="1" applyBorder="1" applyAlignment="1">
      <alignment horizontal="center" vertical="center"/>
      <protection/>
    </xf>
    <xf numFmtId="182" fontId="0" fillId="0" borderId="0" xfId="0" applyNumberFormat="1"/>
    <xf numFmtId="183" fontId="30" fillId="0" borderId="0" xfId="21" applyNumberFormat="1" applyFont="1">
      <alignment/>
    </xf>
    <xf numFmtId="176" fontId="0" fillId="0" borderId="0" xfId="0" applyNumberFormat="1"/>
    <xf numFmtId="4" fontId="0" fillId="0" borderId="0" xfId="0" applyNumberFormat="1" applyFill="1" applyBorder="1"/>
    <xf numFmtId="174" fontId="32" fillId="0" borderId="0" xfId="23" applyNumberFormat="1" applyFont="1" applyBorder="1" applyAlignment="1">
      <alignment horizontal="right"/>
      <protection/>
    </xf>
    <xf numFmtId="166" fontId="32" fillId="0" borderId="0" xfId="23" applyNumberFormat="1" applyFont="1" applyBorder="1">
      <alignment/>
      <protection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/>
    </xf>
    <xf numFmtId="179" fontId="9" fillId="0" borderId="0" xfId="0" applyNumberFormat="1" applyFont="1" applyFill="1"/>
    <xf numFmtId="2" fontId="9" fillId="0" borderId="0" xfId="0" applyNumberFormat="1" applyFont="1" applyFill="1"/>
    <xf numFmtId="166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6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4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4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2" fontId="19" fillId="0" borderId="0" xfId="23" applyNumberFormat="1" applyFont="1" applyBorder="1" applyAlignment="1">
      <alignment horizontal="center" wrapText="1"/>
      <protection/>
    </xf>
    <xf numFmtId="172" fontId="10" fillId="0" borderId="0" xfId="23" applyNumberFormat="1" applyFont="1" applyBorder="1" applyAlignment="1">
      <alignment horizontal="center" wrapText="1"/>
      <protection/>
    </xf>
    <xf numFmtId="174" fontId="10" fillId="0" borderId="0" xfId="23" applyNumberFormat="1" applyFont="1" applyBorder="1" applyAlignment="1">
      <alignment horizontal="center"/>
      <protection/>
    </xf>
    <xf numFmtId="174" fontId="33" fillId="0" borderId="0" xfId="23" applyNumberFormat="1" applyFont="1" applyBorder="1" applyAlignment="1">
      <alignment horizontal="center"/>
      <protection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/>
    <xf numFmtId="169" fontId="0" fillId="0" borderId="0" xfId="22" applyAlignment="1">
      <alignment horizontal="center" vertical="center"/>
    </xf>
    <xf numFmtId="43" fontId="0" fillId="0" borderId="0" xfId="0" applyNumberFormat="1" applyAlignment="1">
      <alignment wrapText="1"/>
    </xf>
    <xf numFmtId="43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69" fontId="0" fillId="0" borderId="0" xfId="22" applyBorder="1">
      <alignment/>
    </xf>
    <xf numFmtId="169" fontId="24" fillId="0" borderId="10" xfId="22" applyFont="1" applyBorder="1" applyProtection="1">
      <alignment/>
      <protection/>
    </xf>
    <xf numFmtId="0" fontId="0" fillId="0" borderId="0" xfId="0" applyNumberFormat="1" applyBorder="1"/>
    <xf numFmtId="181" fontId="0" fillId="0" borderId="0" xfId="0" applyNumberFormat="1" applyFont="1" applyBorder="1"/>
    <xf numFmtId="0" fontId="36" fillId="0" borderId="0" xfId="0" applyFont="1" applyAlignment="1">
      <alignment horizontal="left"/>
    </xf>
    <xf numFmtId="17" fontId="25" fillId="0" borderId="0" xfId="23" applyNumberFormat="1" applyFont="1" applyBorder="1" applyAlignment="1" quotePrefix="1">
      <alignment horizontal="left" vertical="center" wrapText="1"/>
      <protection/>
    </xf>
    <xf numFmtId="0" fontId="25" fillId="0" borderId="0" xfId="23" applyNumberFormat="1" applyFont="1" applyBorder="1" applyAlignment="1">
      <alignment horizontal="left" vertical="center" wrapText="1"/>
      <protection/>
    </xf>
    <xf numFmtId="166" fontId="17" fillId="0" borderId="0" xfId="20" applyFont="1" applyBorder="1" applyAlignment="1" applyProtection="1">
      <alignment horizontal="center" wrapText="1"/>
      <protection/>
    </xf>
    <xf numFmtId="166" fontId="19" fillId="0" borderId="0" xfId="23" applyNumberFormat="1" applyFont="1" applyBorder="1" applyAlignment="1">
      <alignment horizontal="center"/>
      <protection/>
    </xf>
    <xf numFmtId="168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6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72" fontId="12" fillId="0" borderId="10" xfId="23" applyNumberFormat="1" applyFon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25</xdr:col>
      <xdr:colOff>447675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workbookViewId="0" topLeftCell="A1">
      <pane ySplit="1" topLeftCell="A26" activePane="bottomLeft" state="frozen"/>
      <selection pane="bottomLeft" activeCell="C49" sqref="C49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608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>
      <c r="A2" s="80" t="s">
        <v>4</v>
      </c>
      <c r="B2" s="81" t="s">
        <v>5</v>
      </c>
      <c r="C2" s="211">
        <v>27.1212</v>
      </c>
      <c r="G2" s="82"/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3">
        <v>0.15</v>
      </c>
      <c r="L3" s="136">
        <v>2</v>
      </c>
      <c r="N3" s="213">
        <v>0.2</v>
      </c>
    </row>
    <row r="4" spans="1:14" s="81" customFormat="1" ht="12.75">
      <c r="A4" s="80" t="s">
        <v>4</v>
      </c>
      <c r="B4" s="80" t="s">
        <v>663</v>
      </c>
      <c r="C4" s="6">
        <v>0.15</v>
      </c>
      <c r="H4" s="84"/>
      <c r="I4" s="81">
        <v>2</v>
      </c>
      <c r="J4" s="83">
        <v>0.15</v>
      </c>
      <c r="L4" s="137">
        <v>3</v>
      </c>
      <c r="N4" s="213">
        <v>0.4</v>
      </c>
    </row>
    <row r="5" spans="1:14" s="81" customFormat="1" ht="12.75">
      <c r="A5" s="80" t="s">
        <v>4</v>
      </c>
      <c r="B5" s="81" t="s">
        <v>7</v>
      </c>
      <c r="C5" s="6">
        <v>0.4</v>
      </c>
      <c r="D5" s="95">
        <f>ROUND(('Escala Docente'!F142*C5),2)</f>
        <v>13864.36</v>
      </c>
      <c r="E5" s="95">
        <f>ROUND(D5/15,2)</f>
        <v>924.29</v>
      </c>
      <c r="F5" s="84"/>
      <c r="G5" s="84"/>
      <c r="I5" s="81">
        <v>3</v>
      </c>
      <c r="J5" s="83">
        <v>0.15</v>
      </c>
      <c r="L5" s="137">
        <v>4</v>
      </c>
      <c r="N5" s="213">
        <v>0.6</v>
      </c>
    </row>
    <row r="6" spans="1:14" s="81" customFormat="1" ht="12.75">
      <c r="A6" s="85" t="s">
        <v>607</v>
      </c>
      <c r="B6" s="85"/>
      <c r="C6" s="76"/>
      <c r="D6" s="85"/>
      <c r="E6" s="85"/>
      <c r="F6" s="85"/>
      <c r="G6" s="85"/>
      <c r="I6" s="81">
        <v>4</v>
      </c>
      <c r="J6" s="83">
        <v>0.15</v>
      </c>
      <c r="L6" s="137">
        <v>5</v>
      </c>
      <c r="N6" s="213">
        <v>0.8</v>
      </c>
    </row>
    <row r="7" spans="1:14" s="81" customFormat="1" ht="12.75">
      <c r="A7" s="162" t="s">
        <v>607</v>
      </c>
      <c r="B7" s="163" t="s">
        <v>9</v>
      </c>
      <c r="C7" s="175">
        <v>919.76</v>
      </c>
      <c r="D7" s="95"/>
      <c r="E7" s="83"/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>
      <c r="A8" s="162" t="s">
        <v>607</v>
      </c>
      <c r="B8" s="164" t="s">
        <v>10</v>
      </c>
      <c r="C8" s="175">
        <v>29851.25</v>
      </c>
      <c r="D8" s="95"/>
      <c r="E8" s="83"/>
      <c r="F8" s="89"/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>
      <c r="A9" s="162" t="s">
        <v>607</v>
      </c>
      <c r="B9" s="164" t="s">
        <v>11</v>
      </c>
      <c r="C9" s="101">
        <v>29939.09</v>
      </c>
      <c r="D9" s="95"/>
      <c r="E9" s="83"/>
      <c r="F9" s="89"/>
      <c r="I9" s="81">
        <v>7</v>
      </c>
      <c r="J9" s="83">
        <v>0.4</v>
      </c>
      <c r="L9" s="137">
        <v>8</v>
      </c>
    </row>
    <row r="10" spans="1:12" s="81" customFormat="1" ht="12.75">
      <c r="A10" s="162" t="s">
        <v>607</v>
      </c>
      <c r="B10" s="164" t="s">
        <v>622</v>
      </c>
      <c r="C10" s="101">
        <v>25683.22</v>
      </c>
      <c r="D10" s="95"/>
      <c r="E10" s="83"/>
      <c r="F10" s="89"/>
      <c r="I10" s="81">
        <v>8</v>
      </c>
      <c r="J10" s="83">
        <v>0.4</v>
      </c>
      <c r="L10" s="137">
        <v>9</v>
      </c>
    </row>
    <row r="11" spans="1:10" s="81" customFormat="1" ht="12.75">
      <c r="A11" s="162" t="s">
        <v>607</v>
      </c>
      <c r="B11" s="164" t="s">
        <v>809</v>
      </c>
      <c r="C11" s="101">
        <v>24183.22</v>
      </c>
      <c r="D11" s="95"/>
      <c r="E11" s="83"/>
      <c r="F11" s="89"/>
      <c r="I11" s="81">
        <v>9</v>
      </c>
      <c r="J11" s="83">
        <v>0.4</v>
      </c>
    </row>
    <row r="12" spans="1:10" s="81" customFormat="1" ht="12.75">
      <c r="A12" s="162" t="s">
        <v>607</v>
      </c>
      <c r="B12" s="163" t="s">
        <v>12</v>
      </c>
      <c r="C12" s="101">
        <v>55613.13</v>
      </c>
      <c r="D12" s="95"/>
      <c r="E12" s="83"/>
      <c r="F12" s="89"/>
      <c r="G12" s="84"/>
      <c r="I12" s="81">
        <v>10</v>
      </c>
      <c r="J12" s="83">
        <v>0.5</v>
      </c>
    </row>
    <row r="13" spans="1:14" s="81" customFormat="1" ht="12.75">
      <c r="A13" s="162" t="s">
        <v>607</v>
      </c>
      <c r="B13" s="164" t="s">
        <v>13</v>
      </c>
      <c r="C13" s="101">
        <v>24842.34</v>
      </c>
      <c r="D13" s="95"/>
      <c r="E13" s="83"/>
      <c r="F13" s="90"/>
      <c r="G13" s="84"/>
      <c r="I13" s="81">
        <v>11</v>
      </c>
      <c r="J13" s="83">
        <v>0.5</v>
      </c>
      <c r="M13" s="217" t="str">
        <f ca="1">MID(CELL("FILENAME",N30),FIND("[",CELL("FILENAME",N30))+1,FIND("]",CELL("FILENAME",N30))-FIND("[",CELL("FILENAME",N30))-6)</f>
        <v>Esc Doc 2023 01 Cba V 1 2</v>
      </c>
      <c r="N13" s="217"/>
    </row>
    <row r="14" spans="1:13" s="81" customFormat="1" ht="12.75">
      <c r="A14" s="162" t="s">
        <v>607</v>
      </c>
      <c r="B14" s="164" t="s">
        <v>14</v>
      </c>
      <c r="C14" s="175">
        <v>24936.25</v>
      </c>
      <c r="D14" s="95"/>
      <c r="E14" s="83"/>
      <c r="F14" s="90"/>
      <c r="G14" s="84"/>
      <c r="I14" s="81">
        <v>12</v>
      </c>
      <c r="J14" s="83">
        <v>0.6</v>
      </c>
      <c r="M14" s="215" t="str">
        <f ca="1">MID($M$13,14,2)</f>
        <v>01</v>
      </c>
    </row>
    <row r="15" spans="1:13" s="81" customFormat="1" ht="12.75">
      <c r="A15" s="162" t="s">
        <v>607</v>
      </c>
      <c r="B15" s="164" t="s">
        <v>609</v>
      </c>
      <c r="C15" s="101">
        <v>35046.14</v>
      </c>
      <c r="D15" s="95"/>
      <c r="E15" s="83"/>
      <c r="F15" s="90"/>
      <c r="G15" s="84"/>
      <c r="I15" s="81">
        <v>13</v>
      </c>
      <c r="J15" s="83">
        <v>0.6</v>
      </c>
      <c r="M15" s="215" t="str">
        <f ca="1">MID($M$13,9,4)</f>
        <v>2023</v>
      </c>
    </row>
    <row r="16" spans="1:13" s="81" customFormat="1" ht="12.75">
      <c r="A16" s="162" t="s">
        <v>607</v>
      </c>
      <c r="B16" s="164" t="s">
        <v>815</v>
      </c>
      <c r="C16" s="101">
        <v>23436.25</v>
      </c>
      <c r="D16" s="95"/>
      <c r="E16" s="83"/>
      <c r="F16" s="90"/>
      <c r="G16" s="84"/>
      <c r="I16" s="81">
        <v>14</v>
      </c>
      <c r="J16" s="83">
        <v>0.6</v>
      </c>
      <c r="M16" s="81" t="str">
        <f ca="1">VLOOKUP(VALUE(M14),L17:M28,2,FALSE)</f>
        <v>ENERO</v>
      </c>
    </row>
    <row r="17" spans="1:13" s="81" customFormat="1" ht="12.75">
      <c r="A17" s="85" t="s">
        <v>607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637</v>
      </c>
    </row>
    <row r="18" spans="1:13" s="81" customFormat="1" ht="12.75">
      <c r="A18" s="162" t="s">
        <v>4</v>
      </c>
      <c r="B18" s="163" t="s">
        <v>15</v>
      </c>
      <c r="C18" s="101">
        <v>289.28</v>
      </c>
      <c r="D18" s="95"/>
      <c r="E18" s="167"/>
      <c r="F18" s="84"/>
      <c r="G18" s="84"/>
      <c r="H18" s="84"/>
      <c r="I18" s="81">
        <v>16</v>
      </c>
      <c r="J18" s="83">
        <v>0.7</v>
      </c>
      <c r="L18" s="215">
        <v>2</v>
      </c>
      <c r="M18" s="81" t="s">
        <v>638</v>
      </c>
    </row>
    <row r="19" spans="1:13" s="81" customFormat="1" ht="12.75">
      <c r="A19" s="162" t="s">
        <v>4</v>
      </c>
      <c r="B19" s="163" t="s">
        <v>631</v>
      </c>
      <c r="C19" s="101">
        <v>12901.01</v>
      </c>
      <c r="D19" s="95"/>
      <c r="E19" s="216" t="s">
        <v>574</v>
      </c>
      <c r="F19" s="84"/>
      <c r="G19" s="84"/>
      <c r="I19" s="81">
        <v>17</v>
      </c>
      <c r="J19" s="83">
        <v>0.8</v>
      </c>
      <c r="L19" s="215">
        <v>3</v>
      </c>
      <c r="M19" s="81" t="s">
        <v>639</v>
      </c>
    </row>
    <row r="20" spans="1:13" s="81" customFormat="1" ht="12.75">
      <c r="A20" s="162" t="s">
        <v>4</v>
      </c>
      <c r="B20" s="163" t="s">
        <v>632</v>
      </c>
      <c r="C20" s="101">
        <v>12769.11</v>
      </c>
      <c r="D20" s="95"/>
      <c r="E20" s="167"/>
      <c r="F20" s="84"/>
      <c r="G20" s="84"/>
      <c r="H20" s="84"/>
      <c r="I20" s="81">
        <v>18</v>
      </c>
      <c r="J20" s="83">
        <v>0.8</v>
      </c>
      <c r="L20" s="215">
        <v>4</v>
      </c>
      <c r="M20" s="81" t="s">
        <v>640</v>
      </c>
    </row>
    <row r="21" spans="1:13" s="81" customFormat="1" ht="12.75">
      <c r="A21" s="85" t="s">
        <v>607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641</v>
      </c>
    </row>
    <row r="22" spans="1:13" s="81" customFormat="1" ht="12.75">
      <c r="A22" s="80" t="s">
        <v>4</v>
      </c>
      <c r="B22" s="86" t="s">
        <v>633</v>
      </c>
      <c r="C22" s="101">
        <v>12369.22</v>
      </c>
      <c r="D22" s="166"/>
      <c r="H22" s="84"/>
      <c r="I22" s="81">
        <v>20</v>
      </c>
      <c r="J22" s="83">
        <v>1</v>
      </c>
      <c r="L22" s="215">
        <v>6</v>
      </c>
      <c r="M22" s="81" t="s">
        <v>642</v>
      </c>
    </row>
    <row r="23" spans="1:13" s="81" customFormat="1" ht="12.75">
      <c r="A23" s="80" t="s">
        <v>4</v>
      </c>
      <c r="B23" s="86" t="s">
        <v>630</v>
      </c>
      <c r="C23" s="101">
        <v>11512.45</v>
      </c>
      <c r="D23" s="166"/>
      <c r="H23" s="84"/>
      <c r="I23" s="81">
        <v>21</v>
      </c>
      <c r="J23" s="83">
        <v>1</v>
      </c>
      <c r="L23" s="215">
        <v>7</v>
      </c>
      <c r="M23" s="81" t="s">
        <v>643</v>
      </c>
    </row>
    <row r="24" spans="1:13" s="81" customFormat="1" ht="12.75">
      <c r="A24" s="85" t="s">
        <v>607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644</v>
      </c>
    </row>
    <row r="25" spans="1:13" s="81" customFormat="1" ht="12.75">
      <c r="A25" s="80" t="s">
        <v>4</v>
      </c>
      <c r="B25" s="86" t="s">
        <v>16</v>
      </c>
      <c r="C25" s="101">
        <v>567.06</v>
      </c>
      <c r="D25" s="95"/>
      <c r="F25" s="87">
        <f>+C25*1.5</f>
        <v>850.5899999999999</v>
      </c>
      <c r="H25" s="84"/>
      <c r="I25" s="81">
        <v>23</v>
      </c>
      <c r="J25" s="83">
        <v>1.1</v>
      </c>
      <c r="L25" s="215">
        <v>9</v>
      </c>
      <c r="M25" s="81" t="s">
        <v>645</v>
      </c>
    </row>
    <row r="26" spans="1:13" s="81" customFormat="1" ht="12.75">
      <c r="A26" s="80" t="s">
        <v>4</v>
      </c>
      <c r="B26" s="86" t="s">
        <v>17</v>
      </c>
      <c r="C26" s="101">
        <f>C25</f>
        <v>567.06</v>
      </c>
      <c r="D26" s="95"/>
      <c r="F26" s="87">
        <f>C26</f>
        <v>567.06</v>
      </c>
      <c r="H26" s="84"/>
      <c r="I26" s="81">
        <v>24</v>
      </c>
      <c r="J26" s="83">
        <v>1.2</v>
      </c>
      <c r="L26" s="215">
        <v>10</v>
      </c>
      <c r="M26" s="81" t="s">
        <v>646</v>
      </c>
    </row>
    <row r="27" spans="1:13" s="81" customFormat="1" ht="12.75">
      <c r="A27" s="85" t="s">
        <v>607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647</v>
      </c>
    </row>
    <row r="28" spans="1:13" s="81" customFormat="1" ht="12.75">
      <c r="A28" s="80" t="s">
        <v>4</v>
      </c>
      <c r="B28" s="81" t="s">
        <v>18</v>
      </c>
      <c r="C28" s="101">
        <v>22.72</v>
      </c>
      <c r="F28" s="87">
        <f>F25</f>
        <v>850.5899999999999</v>
      </c>
      <c r="I28" s="81">
        <v>26</v>
      </c>
      <c r="J28" s="83">
        <v>1.3</v>
      </c>
      <c r="L28" s="215">
        <v>12</v>
      </c>
      <c r="M28" s="81" t="s">
        <v>648</v>
      </c>
    </row>
    <row r="29" spans="1:10" s="81" customFormat="1" ht="13.5" thickBot="1">
      <c r="A29" s="91" t="s">
        <v>4</v>
      </c>
      <c r="B29" s="92" t="s">
        <v>19</v>
      </c>
      <c r="C29" s="101">
        <v>18.92</v>
      </c>
      <c r="D29" s="92"/>
      <c r="E29" s="92"/>
      <c r="F29" s="93">
        <f>F26</f>
        <v>567.06</v>
      </c>
      <c r="G29" s="92">
        <f>C29*30</f>
        <v>567.6</v>
      </c>
      <c r="I29" s="81">
        <v>27</v>
      </c>
      <c r="J29" s="83">
        <v>1.3</v>
      </c>
    </row>
    <row r="30" spans="1:10" s="81" customFormat="1" ht="13.5" thickTop="1">
      <c r="A30" s="75" t="s">
        <v>607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>
      <c r="A31" s="96" t="s">
        <v>4</v>
      </c>
      <c r="B31" s="96" t="s">
        <v>20</v>
      </c>
      <c r="C31" s="101">
        <v>0</v>
      </c>
      <c r="D31" s="97" t="e">
        <f>C31/C32</f>
        <v>#DIV/0!</v>
      </c>
      <c r="E31" s="98"/>
      <c r="F31" s="97"/>
      <c r="G31" s="98"/>
      <c r="I31" s="81">
        <v>29</v>
      </c>
      <c r="J31" s="83">
        <v>1.4</v>
      </c>
    </row>
    <row r="32" spans="1:10" s="81" customFormat="1" ht="12.75">
      <c r="A32" s="96" t="s">
        <v>4</v>
      </c>
      <c r="B32" s="96" t="s">
        <v>21</v>
      </c>
      <c r="C32" s="101">
        <v>0</v>
      </c>
      <c r="D32" s="98"/>
      <c r="E32" s="97"/>
      <c r="F32" s="97">
        <f>(C31*2)+0</f>
        <v>0</v>
      </c>
      <c r="G32" s="97"/>
      <c r="I32" s="81">
        <v>30</v>
      </c>
      <c r="J32" s="83">
        <v>1.5</v>
      </c>
    </row>
    <row r="33" spans="1:10" s="81" customFormat="1" ht="12.75">
      <c r="A33" s="96"/>
      <c r="B33" s="96" t="s">
        <v>810</v>
      </c>
      <c r="C33" s="101">
        <v>0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>
      <c r="A34" s="96"/>
      <c r="B34" s="96" t="s">
        <v>811</v>
      </c>
      <c r="C34" s="101">
        <f>C33/2</f>
        <v>0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thickBot="1">
      <c r="A35" s="96"/>
      <c r="B35" s="96" t="s">
        <v>649</v>
      </c>
      <c r="C35" s="101">
        <v>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/>
      <c r="B36" s="96" t="s">
        <v>650</v>
      </c>
      <c r="C36" s="101">
        <v>0</v>
      </c>
      <c r="D36" s="98"/>
      <c r="E36" s="97"/>
      <c r="F36" s="97">
        <f>(C35*2)+0</f>
        <v>0</v>
      </c>
      <c r="G36" s="97"/>
      <c r="I36">
        <v>34</v>
      </c>
      <c r="J36" s="3">
        <v>1.5</v>
      </c>
      <c r="M36" s="7"/>
    </row>
    <row r="37" spans="1:10" ht="12.75">
      <c r="A37" s="75" t="s">
        <v>607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>
      <c r="A38" s="74"/>
      <c r="B38" t="s">
        <v>22</v>
      </c>
      <c r="C38" s="77">
        <v>30000</v>
      </c>
      <c r="D38" s="5"/>
      <c r="E38" s="5"/>
      <c r="F38" s="181">
        <f>C38</f>
        <v>30000</v>
      </c>
      <c r="G38" s="5"/>
      <c r="H38" s="5"/>
      <c r="I38">
        <v>36</v>
      </c>
      <c r="J38" s="3">
        <v>1.5</v>
      </c>
    </row>
    <row r="39" spans="1:10" ht="12.75">
      <c r="A39" s="74"/>
      <c r="B39" s="74" t="s">
        <v>660</v>
      </c>
      <c r="C39" s="77">
        <f>C38/30</f>
        <v>1000</v>
      </c>
      <c r="D39" s="5"/>
      <c r="E39" s="5"/>
      <c r="F39" s="180"/>
      <c r="G39" s="5"/>
      <c r="H39" s="5"/>
      <c r="I39">
        <v>39</v>
      </c>
      <c r="J39" s="3">
        <v>1.5</v>
      </c>
    </row>
    <row r="40" spans="1:10" ht="12.75">
      <c r="A40" s="74"/>
      <c r="B40" s="74" t="s">
        <v>817</v>
      </c>
      <c r="C40" s="77">
        <v>12000</v>
      </c>
      <c r="D40" s="5"/>
      <c r="E40" s="5"/>
      <c r="F40" s="180"/>
      <c r="G40" s="5"/>
      <c r="H40" s="5"/>
      <c r="I40">
        <v>40</v>
      </c>
      <c r="J40" s="3">
        <v>1.5</v>
      </c>
    </row>
    <row r="41" spans="1:10" ht="12.75">
      <c r="A41" s="75" t="s">
        <v>607</v>
      </c>
      <c r="B41" s="75"/>
      <c r="C41" s="78"/>
      <c r="D41" s="75"/>
      <c r="E41" s="75"/>
      <c r="F41" s="75"/>
      <c r="G41" s="75"/>
      <c r="H41" s="5"/>
      <c r="I41">
        <v>41</v>
      </c>
      <c r="J41" s="3">
        <v>1.5</v>
      </c>
    </row>
    <row r="42" spans="1:10" ht="12.75">
      <c r="A42" s="74" t="s">
        <v>4</v>
      </c>
      <c r="B42" s="2" t="s">
        <v>636</v>
      </c>
      <c r="C42" s="100">
        <v>8546.22</v>
      </c>
      <c r="D42" s="6"/>
      <c r="E42" s="165"/>
      <c r="F42" s="5"/>
      <c r="G42" s="5"/>
      <c r="H42" s="5"/>
      <c r="I42">
        <v>42</v>
      </c>
      <c r="J42" s="3">
        <v>1.5</v>
      </c>
    </row>
    <row r="43" spans="1:10" ht="12.75">
      <c r="A43" s="74" t="s">
        <v>4</v>
      </c>
      <c r="B43" s="2" t="s">
        <v>635</v>
      </c>
      <c r="C43" s="101">
        <v>9088.77</v>
      </c>
      <c r="D43" s="6"/>
      <c r="E43" s="165"/>
      <c r="F43" s="5"/>
      <c r="G43" s="5"/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634</v>
      </c>
      <c r="C44" s="101">
        <v>9631.44</v>
      </c>
      <c r="D44" s="6"/>
      <c r="E44" s="165"/>
      <c r="I44">
        <v>44</v>
      </c>
      <c r="J44" s="3">
        <v>1.5</v>
      </c>
    </row>
    <row r="45" spans="1:10" ht="12.75">
      <c r="A45" s="74"/>
      <c r="B45" s="2" t="s">
        <v>813</v>
      </c>
      <c r="C45" s="101">
        <v>10169.9</v>
      </c>
      <c r="D45" s="6"/>
      <c r="E45" s="165"/>
      <c r="I45">
        <v>45</v>
      </c>
      <c r="J45" s="3">
        <v>1.5</v>
      </c>
    </row>
    <row r="46" spans="1:10" ht="12.75">
      <c r="A46" s="74" t="s">
        <v>4</v>
      </c>
      <c r="B46" s="2" t="s">
        <v>812</v>
      </c>
      <c r="C46" s="101">
        <v>11801.55</v>
      </c>
      <c r="D46" s="6"/>
      <c r="E46" s="165"/>
      <c r="F46" s="8">
        <f>+C47</f>
        <v>14493.86</v>
      </c>
      <c r="G46" s="8"/>
      <c r="H46" s="5"/>
      <c r="I46">
        <v>46</v>
      </c>
      <c r="J46" s="3">
        <v>1.5</v>
      </c>
    </row>
    <row r="47" spans="1:10" ht="12.75">
      <c r="A47" s="74"/>
      <c r="B47" s="2" t="s">
        <v>814</v>
      </c>
      <c r="C47" s="101">
        <v>14493.86</v>
      </c>
      <c r="D47" s="6"/>
      <c r="E47" s="165"/>
      <c r="F47" s="8"/>
      <c r="G47" s="8"/>
      <c r="I47">
        <v>47</v>
      </c>
      <c r="J47" s="3">
        <v>1.5</v>
      </c>
    </row>
    <row r="48" spans="1:10" ht="12.75">
      <c r="A48" s="74"/>
      <c r="B48" s="2" t="s">
        <v>816</v>
      </c>
      <c r="C48" s="101">
        <v>12340.01</v>
      </c>
      <c r="D48" s="6"/>
      <c r="E48" s="165"/>
      <c r="F48" s="8"/>
      <c r="G48" s="8"/>
      <c r="I48">
        <v>48</v>
      </c>
      <c r="J48" s="3">
        <v>1.5</v>
      </c>
    </row>
    <row r="49" spans="1:10" ht="12.75">
      <c r="A49" s="74" t="s">
        <v>4</v>
      </c>
      <c r="B49" s="2" t="s">
        <v>23</v>
      </c>
      <c r="C49" s="101">
        <v>484.48</v>
      </c>
      <c r="D49" s="6"/>
      <c r="E49" s="165"/>
      <c r="I49">
        <v>49</v>
      </c>
      <c r="J49" s="3">
        <v>1.5</v>
      </c>
    </row>
    <row r="50" spans="1:12" ht="12.75">
      <c r="A50" s="74" t="s">
        <v>4</v>
      </c>
      <c r="B50" s="2" t="s">
        <v>24</v>
      </c>
      <c r="C50" s="101">
        <v>720.3</v>
      </c>
      <c r="D50" s="6"/>
      <c r="E50" s="165"/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654</v>
      </c>
      <c r="C51" s="101">
        <f>ROUND(C50/2,2)</f>
        <v>360.15</v>
      </c>
      <c r="D51" s="6"/>
      <c r="E51" s="165"/>
      <c r="I51">
        <v>51</v>
      </c>
      <c r="J51" s="3">
        <v>1.5</v>
      </c>
    </row>
    <row r="52" spans="1:10" ht="12" customHeight="1">
      <c r="A52" s="75" t="s">
        <v>607</v>
      </c>
      <c r="B52" s="75"/>
      <c r="C52" s="78"/>
      <c r="D52" s="75"/>
      <c r="E52" s="75"/>
      <c r="F52" s="75"/>
      <c r="G52" s="75"/>
      <c r="I52">
        <v>52</v>
      </c>
      <c r="J52" s="3">
        <v>1.5</v>
      </c>
    </row>
    <row r="53" spans="1:10" ht="12.75">
      <c r="A53" s="74"/>
      <c r="B53" s="74" t="s">
        <v>25</v>
      </c>
      <c r="C53" s="94">
        <f>INT((D53/15*100)+0.49)/100</f>
        <v>80.67</v>
      </c>
      <c r="D53" s="74">
        <f>D54</f>
        <v>1210</v>
      </c>
      <c r="E53" s="74"/>
      <c r="F53" s="74">
        <v>1210</v>
      </c>
      <c r="G53" s="74"/>
      <c r="I53">
        <v>53</v>
      </c>
      <c r="J53" s="3">
        <v>1.5</v>
      </c>
    </row>
    <row r="54" spans="1:7" ht="12.75">
      <c r="A54" s="74"/>
      <c r="B54" s="74" t="s">
        <v>26</v>
      </c>
      <c r="C54" s="94">
        <v>1210</v>
      </c>
      <c r="D54" s="74">
        <v>1210</v>
      </c>
      <c r="E54" s="74"/>
      <c r="F54" s="74"/>
      <c r="G54" s="74"/>
    </row>
    <row r="55" spans="1:3" ht="12.75">
      <c r="A55" s="74"/>
      <c r="B55" s="2" t="s">
        <v>27</v>
      </c>
      <c r="C55" s="100">
        <v>327.6</v>
      </c>
    </row>
    <row r="56" spans="1:3" ht="12.75">
      <c r="A56" s="74"/>
      <c r="B56" s="2" t="s">
        <v>28</v>
      </c>
      <c r="C56" s="100">
        <v>170.34</v>
      </c>
    </row>
    <row r="57" spans="1:3" ht="12.75">
      <c r="A57" s="74"/>
      <c r="B57" s="2" t="s">
        <v>29</v>
      </c>
      <c r="C57" s="101">
        <v>327.6</v>
      </c>
    </row>
    <row r="58" spans="1:9" ht="12.75">
      <c r="A58" s="74"/>
      <c r="B58" s="2" t="s">
        <v>30</v>
      </c>
      <c r="C58" s="101">
        <v>155.18</v>
      </c>
      <c r="I58" s="174">
        <f>+C63/15</f>
        <v>432.1986666666666</v>
      </c>
    </row>
    <row r="59" spans="1:9" ht="12.75">
      <c r="A59" s="74"/>
      <c r="B59" s="2" t="s">
        <v>31</v>
      </c>
      <c r="C59" s="101">
        <v>149.55200000000002</v>
      </c>
      <c r="I59" s="3"/>
    </row>
    <row r="60" spans="1:9" ht="12.75">
      <c r="A60" s="74"/>
      <c r="B60" s="2" t="s">
        <v>32</v>
      </c>
      <c r="C60" s="101">
        <v>252.668</v>
      </c>
      <c r="I60" s="3"/>
    </row>
    <row r="61" spans="1:9" ht="12.75">
      <c r="A61" s="74"/>
      <c r="B61" s="2" t="s">
        <v>33</v>
      </c>
      <c r="C61" s="101">
        <v>14.195</v>
      </c>
      <c r="E61" s="73">
        <f>F61/C61</f>
        <v>23.078548784783376</v>
      </c>
      <c r="F61" s="5">
        <f>C55</f>
        <v>327.6</v>
      </c>
      <c r="I61" s="3"/>
    </row>
    <row r="62" spans="1:6" ht="12.75">
      <c r="A62" s="74"/>
      <c r="B62" s="2" t="s">
        <v>34</v>
      </c>
      <c r="C62" s="99">
        <v>11.3559</v>
      </c>
      <c r="E62" s="73">
        <f>F62/C62</f>
        <v>28.848440017964233</v>
      </c>
      <c r="F62" s="5">
        <f>C55</f>
        <v>327.6</v>
      </c>
    </row>
    <row r="63" spans="1:6" ht="12.75">
      <c r="A63" s="74" t="s">
        <v>4</v>
      </c>
      <c r="B63" s="2" t="s">
        <v>623</v>
      </c>
      <c r="C63" s="100">
        <v>6482.98</v>
      </c>
      <c r="D63" s="3">
        <f>ROUND(C63/15,2)</f>
        <v>432.2</v>
      </c>
      <c r="E63" s="79">
        <v>38.47</v>
      </c>
      <c r="F63" s="3">
        <f>+C63*2</f>
        <v>12965.96</v>
      </c>
    </row>
    <row r="64" spans="1:6" ht="12.75">
      <c r="A64" s="74" t="s">
        <v>4</v>
      </c>
      <c r="B64" s="2" t="s">
        <v>35</v>
      </c>
      <c r="C64" s="100">
        <v>652.73</v>
      </c>
      <c r="D64" s="172"/>
      <c r="F64" s="3"/>
    </row>
    <row r="65" spans="1:6" ht="12.75">
      <c r="A65" s="74" t="s">
        <v>4</v>
      </c>
      <c r="B65" s="2" t="s">
        <v>655</v>
      </c>
      <c r="C65" s="100">
        <f>C64/2</f>
        <v>326.365</v>
      </c>
      <c r="D65" s="172"/>
      <c r="F65" s="3"/>
    </row>
    <row r="66" spans="1:7" ht="12.75">
      <c r="A66" s="75" t="s">
        <v>607</v>
      </c>
      <c r="B66" s="75"/>
      <c r="C66" s="76"/>
      <c r="D66" s="75"/>
      <c r="E66" s="75"/>
      <c r="F66" s="75"/>
      <c r="G66" s="75"/>
    </row>
    <row r="67" spans="1:7" ht="12.75">
      <c r="A67" s="104" t="s">
        <v>8</v>
      </c>
      <c r="B67" t="s">
        <v>610</v>
      </c>
      <c r="C67" s="103">
        <v>1210</v>
      </c>
      <c r="D67" s="102"/>
      <c r="E67" s="102"/>
      <c r="F67">
        <v>2420</v>
      </c>
      <c r="G67" s="212"/>
    </row>
    <row r="68" spans="1:7" ht="12.75">
      <c r="A68" s="75" t="s">
        <v>607</v>
      </c>
      <c r="B68" s="75"/>
      <c r="C68" s="76"/>
      <c r="D68" s="75"/>
      <c r="E68" s="75"/>
      <c r="F68" s="75"/>
      <c r="G68" s="75"/>
    </row>
    <row r="69" spans="1:7" ht="12.75">
      <c r="A69" s="74"/>
      <c r="B69" s="2" t="s">
        <v>36</v>
      </c>
      <c r="C69" s="9">
        <v>0</v>
      </c>
      <c r="D69" s="10"/>
      <c r="G69" s="212"/>
    </row>
    <row r="70" spans="1:7" ht="12.75">
      <c r="A70" s="75" t="s">
        <v>607</v>
      </c>
      <c r="B70" s="75"/>
      <c r="C70" s="76"/>
      <c r="D70" s="75"/>
      <c r="E70" s="75"/>
      <c r="F70" s="75"/>
      <c r="G70" s="75"/>
    </row>
    <row r="71" spans="1:3" ht="12.75">
      <c r="A71" s="74"/>
      <c r="B71" t="s">
        <v>37</v>
      </c>
      <c r="C71" s="11">
        <v>-0.11</v>
      </c>
    </row>
    <row r="72" spans="1:3" ht="12.75">
      <c r="A72" s="74"/>
      <c r="B72" t="s">
        <v>38</v>
      </c>
      <c r="C72" s="11">
        <v>0</v>
      </c>
    </row>
    <row r="73" spans="1:3" ht="12.75">
      <c r="A73" s="74"/>
      <c r="B73" t="s">
        <v>39</v>
      </c>
      <c r="C73" s="11">
        <v>-0.045</v>
      </c>
    </row>
    <row r="74" spans="1:3" ht="12.75">
      <c r="A74" s="74"/>
      <c r="B74" t="s">
        <v>40</v>
      </c>
      <c r="C74" s="11">
        <v>-0.027</v>
      </c>
    </row>
    <row r="75" spans="1:7" ht="12.75">
      <c r="A75" s="74"/>
      <c r="B75" t="s">
        <v>41</v>
      </c>
      <c r="C75" s="11">
        <v>-0.003</v>
      </c>
      <c r="G75" s="212"/>
    </row>
    <row r="76" spans="1:7" ht="12.75">
      <c r="A76" s="75" t="s">
        <v>607</v>
      </c>
      <c r="B76" s="75"/>
      <c r="C76" s="76"/>
      <c r="D76" s="75"/>
      <c r="E76" s="75"/>
      <c r="F76" s="75"/>
      <c r="G76" s="75"/>
    </row>
    <row r="77" spans="1:3" ht="12.75">
      <c r="A77" s="74"/>
      <c r="B77" t="s">
        <v>42</v>
      </c>
      <c r="C77" s="11">
        <v>0.16</v>
      </c>
    </row>
    <row r="78" spans="1:3" ht="12.75">
      <c r="A78" s="74"/>
      <c r="B78" t="s">
        <v>43</v>
      </c>
      <c r="C78" s="11">
        <v>0.07</v>
      </c>
    </row>
    <row r="79" spans="1:7" ht="12.75">
      <c r="A79" s="74"/>
      <c r="B79" t="s">
        <v>44</v>
      </c>
      <c r="C79" s="11">
        <v>0.01</v>
      </c>
      <c r="G79" s="212"/>
    </row>
    <row r="80" spans="1:7" ht="12.75">
      <c r="A80" s="75" t="s">
        <v>607</v>
      </c>
      <c r="B80" s="75"/>
      <c r="C80" s="76"/>
      <c r="D80" s="75"/>
      <c r="E80" s="75"/>
      <c r="F80" s="75"/>
      <c r="G80" s="75"/>
    </row>
    <row r="81" spans="1:3" ht="12.75">
      <c r="A81" s="74"/>
      <c r="B81" t="s">
        <v>45</v>
      </c>
      <c r="C81" s="11">
        <v>0.035</v>
      </c>
    </row>
    <row r="82" spans="1:3" ht="12.75">
      <c r="A82" s="74"/>
      <c r="B82" t="s">
        <v>46</v>
      </c>
      <c r="C82" s="11">
        <v>0.006</v>
      </c>
    </row>
    <row r="83" spans="1:7" ht="12.75">
      <c r="A83" s="74"/>
      <c r="B83" t="s">
        <v>47</v>
      </c>
      <c r="C83" s="11">
        <v>0.054</v>
      </c>
      <c r="G83" s="212"/>
    </row>
    <row r="84" spans="1:7" ht="12.75">
      <c r="A84" s="75" t="s">
        <v>607</v>
      </c>
      <c r="B84" s="75"/>
      <c r="C84" s="76"/>
      <c r="D84" s="75"/>
      <c r="E84" s="75"/>
      <c r="F84" s="75"/>
      <c r="G84" s="75"/>
    </row>
    <row r="85" spans="1:7" ht="12.75">
      <c r="A85" s="74"/>
      <c r="B85" t="s">
        <v>48</v>
      </c>
      <c r="C85" s="4">
        <v>0.5</v>
      </c>
      <c r="G85" s="212"/>
    </row>
    <row r="86" spans="1:7" ht="12.75">
      <c r="A86" s="75" t="s">
        <v>607</v>
      </c>
      <c r="B86" s="75"/>
      <c r="C86" s="76"/>
      <c r="D86" s="75"/>
      <c r="E86" s="75"/>
      <c r="F86" s="75"/>
      <c r="G86" s="75"/>
    </row>
    <row r="87" spans="1:5" ht="12.75">
      <c r="A87" s="74" t="s">
        <v>4</v>
      </c>
      <c r="B87" s="74" t="s">
        <v>624</v>
      </c>
      <c r="C87" s="8">
        <v>0</v>
      </c>
      <c r="E87" s="8"/>
    </row>
    <row r="88" spans="1:5" ht="12.75">
      <c r="A88" s="74" t="s">
        <v>4</v>
      </c>
      <c r="B88" s="74" t="s">
        <v>625</v>
      </c>
      <c r="C88" s="8">
        <v>0</v>
      </c>
      <c r="E88" s="8"/>
    </row>
    <row r="89" spans="1:6" ht="12.75">
      <c r="A89" s="74" t="s">
        <v>4</v>
      </c>
      <c r="B89" s="74" t="s">
        <v>626</v>
      </c>
      <c r="C89" s="100">
        <v>0</v>
      </c>
      <c r="E89" s="8"/>
      <c r="F89" s="8">
        <f>+C89</f>
        <v>0</v>
      </c>
    </row>
    <row r="90" spans="1:5" ht="12.75">
      <c r="A90" s="74" t="s">
        <v>4</v>
      </c>
      <c r="B90" s="74" t="s">
        <v>627</v>
      </c>
      <c r="C90" s="8">
        <v>0</v>
      </c>
      <c r="E90" s="8"/>
    </row>
    <row r="91" spans="1:5" ht="12.75">
      <c r="A91" s="74" t="s">
        <v>4</v>
      </c>
      <c r="B91" s="74" t="s">
        <v>656</v>
      </c>
      <c r="C91" s="8">
        <v>0</v>
      </c>
      <c r="E91" s="8"/>
    </row>
    <row r="92" spans="1:5" ht="12.75">
      <c r="A92" s="74" t="s">
        <v>4</v>
      </c>
      <c r="B92" s="74" t="s">
        <v>658</v>
      </c>
      <c r="C92" s="8">
        <f>C91/2</f>
        <v>0</v>
      </c>
      <c r="E92" s="8"/>
    </row>
    <row r="93" spans="1:5" ht="12.75">
      <c r="A93" s="74"/>
      <c r="B93" s="74"/>
      <c r="C93" s="8"/>
      <c r="E93" s="8"/>
    </row>
    <row r="94" spans="1:3" ht="12.75">
      <c r="A94" s="74" t="s">
        <v>4</v>
      </c>
      <c r="B94" s="74" t="s">
        <v>611</v>
      </c>
      <c r="C94" s="8">
        <v>6318.76</v>
      </c>
    </row>
    <row r="95" spans="1:7" ht="12.75">
      <c r="A95" s="74" t="s">
        <v>4</v>
      </c>
      <c r="B95" s="74" t="s">
        <v>612</v>
      </c>
      <c r="C95" s="8">
        <v>7582.51</v>
      </c>
      <c r="G95" s="3"/>
    </row>
    <row r="96" spans="1:6" ht="12.75">
      <c r="A96" s="74" t="s">
        <v>4</v>
      </c>
      <c r="B96" s="74" t="s">
        <v>613</v>
      </c>
      <c r="C96" s="8">
        <v>12637.52</v>
      </c>
      <c r="F96" s="3">
        <f>+C96</f>
        <v>12637.52</v>
      </c>
    </row>
    <row r="97" spans="1:3" ht="12.75">
      <c r="A97" s="74" t="s">
        <v>4</v>
      </c>
      <c r="B97" s="74" t="s">
        <v>614</v>
      </c>
      <c r="C97" s="8">
        <v>279.94</v>
      </c>
    </row>
    <row r="98" spans="1:3" ht="12.75">
      <c r="A98" s="74" t="s">
        <v>4</v>
      </c>
      <c r="B98" s="74" t="s">
        <v>657</v>
      </c>
      <c r="C98" s="8">
        <v>631.88</v>
      </c>
    </row>
    <row r="99" spans="1:3" ht="12.75">
      <c r="A99" s="74" t="s">
        <v>4</v>
      </c>
      <c r="B99" s="74" t="s">
        <v>659</v>
      </c>
      <c r="C99" s="8">
        <f>C98/2</f>
        <v>315.94</v>
      </c>
    </row>
    <row r="100" spans="2:3" ht="12.75">
      <c r="B100" s="74" t="s">
        <v>628</v>
      </c>
      <c r="C100" s="8">
        <v>-280.91</v>
      </c>
    </row>
    <row r="101" spans="2:3" ht="12.75">
      <c r="B101" t="s">
        <v>618</v>
      </c>
      <c r="C101" s="8">
        <v>-385</v>
      </c>
    </row>
  </sheetData>
  <autoFilter ref="A1:J95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32"/>
  <sheetViews>
    <sheetView showGridLines="0" tabSelected="1" zoomScale="140" zoomScaleNormal="140" zoomScaleSheetLayoutView="100" workbookViewId="0" topLeftCell="A1">
      <pane xSplit="4" ySplit="7" topLeftCell="F303" activePane="bottomRight" state="frozen"/>
      <selection pane="topRight" activeCell="U1" sqref="U1"/>
      <selection pane="bottomLeft" activeCell="A69" sqref="A69"/>
      <selection pane="bottomRight" activeCell="R312" sqref="R312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8.42187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hidden="1" customWidth="1"/>
    <col min="14" max="14" width="8.421875" style="107" hidden="1" customWidth="1"/>
    <col min="15" max="15" width="6.8515625" style="107" customWidth="1"/>
    <col min="16" max="16" width="7.00390625" style="107" customWidth="1"/>
    <col min="17" max="17" width="7.140625" style="107" customWidth="1"/>
    <col min="18" max="18" width="6.7109375" style="107" customWidth="1"/>
    <col min="19" max="19" width="8.710937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customWidth="1"/>
    <col min="24" max="24" width="7.140625" style="107" customWidth="1"/>
    <col min="25" max="25" width="7.421875" style="107" customWidth="1"/>
    <col min="26" max="26" width="8.140625" style="107" customWidth="1"/>
    <col min="27" max="28" width="6.140625" style="109" customWidth="1"/>
    <col min="29" max="29" width="7.140625" style="107" customWidth="1"/>
    <col min="30" max="30" width="6.28125" style="107" customWidth="1"/>
    <col min="31" max="31" width="4.421875" style="115" customWidth="1"/>
    <col min="32" max="32" width="6.140625" style="107" customWidth="1"/>
    <col min="33" max="33" width="6.7109375" style="107" customWidth="1"/>
    <col min="34" max="34" width="7.8515625" style="107" customWidth="1"/>
    <col min="35" max="35" width="9.421875" style="107" hidden="1" customWidth="1"/>
    <col min="36" max="36" width="9.421875" style="109" hidden="1" customWidth="1"/>
    <col min="37" max="37" width="7.7109375" style="109" customWidth="1"/>
    <col min="38" max="38" width="8.28125" style="109" customWidth="1"/>
    <col min="39" max="39" width="7.28125" style="107" customWidth="1"/>
    <col min="40" max="40" width="8.421875" style="107" customWidth="1"/>
    <col min="41" max="41" width="6.7109375" style="107" customWidth="1"/>
    <col min="42" max="42" width="7.421875" style="107" customWidth="1"/>
    <col min="43" max="43" width="9.00390625" style="107" customWidth="1"/>
    <col min="44" max="44" width="10.8515625" style="107" customWidth="1"/>
    <col min="45" max="46" width="9.7109375" style="108" customWidth="1"/>
    <col min="47" max="47" width="9.7109375" style="107" customWidth="1"/>
    <col min="48" max="49" width="9.7109375" style="108" customWidth="1"/>
    <col min="50" max="50" width="5.00390625" style="105" customWidth="1"/>
    <col min="51" max="51" width="3.7109375" style="105" customWidth="1"/>
    <col min="52" max="52" width="3.421875" style="110" customWidth="1"/>
    <col min="53" max="53" width="9.8515625" style="111" customWidth="1"/>
    <col min="54" max="1020" width="11.421875" style="111" customWidth="1"/>
    <col min="1021" max="16384" width="9.140625" style="112" customWidth="1"/>
  </cols>
  <sheetData>
    <row r="1" spans="1:40" ht="35.25" customHeight="1">
      <c r="A1" s="218" t="str">
        <f ca="1">CONCATENATE(Valores!M16,"  ",Valores!M15)</f>
        <v>ENERO  2023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106"/>
      <c r="AN1" s="106"/>
    </row>
    <row r="2" spans="1:52" ht="11.25" customHeight="1">
      <c r="A2" s="134" t="s">
        <v>49</v>
      </c>
      <c r="B2" s="134"/>
      <c r="C2" s="188"/>
      <c r="D2" s="134"/>
      <c r="E2" s="191"/>
      <c r="F2" s="132">
        <v>0</v>
      </c>
      <c r="G2" s="196"/>
      <c r="H2" s="138">
        <f>LOOKUP(F2,Valores!I:I,Valores!J:J)</f>
        <v>0</v>
      </c>
      <c r="I2" s="139"/>
      <c r="J2" s="130"/>
      <c r="K2" s="200"/>
      <c r="L2" s="178"/>
      <c r="M2" s="179">
        <v>0.15</v>
      </c>
      <c r="N2" s="178"/>
      <c r="AJ2" s="107"/>
      <c r="AK2" s="107"/>
      <c r="AL2" s="220"/>
      <c r="AZ2" s="116">
        <f>(((F139+S139)*1.15)+O139+P139+Q139+AA139+AD139)*0.05</f>
        <v>4648.9615</v>
      </c>
    </row>
    <row r="3" spans="1:49" ht="11.25" customHeight="1">
      <c r="A3" s="134" t="s">
        <v>51</v>
      </c>
      <c r="B3" s="134"/>
      <c r="C3" s="188"/>
      <c r="D3" s="134"/>
      <c r="E3" s="191"/>
      <c r="F3" s="133" t="s">
        <v>4</v>
      </c>
      <c r="G3" s="221" t="s">
        <v>50</v>
      </c>
      <c r="H3" s="221"/>
      <c r="I3" s="222">
        <f>Valores!C2</f>
        <v>27.1212</v>
      </c>
      <c r="J3" s="222"/>
      <c r="K3" s="199"/>
      <c r="L3" s="177" t="e">
        <f>VLOOKUP(K3,Valores!L17:M28,2,)</f>
        <v>#N/A</v>
      </c>
      <c r="M3" s="176"/>
      <c r="N3" s="177"/>
      <c r="O3" s="227" t="s">
        <v>651</v>
      </c>
      <c r="P3" s="227"/>
      <c r="Q3" s="227"/>
      <c r="R3" s="227"/>
      <c r="S3" s="227"/>
      <c r="T3" s="227"/>
      <c r="U3" s="227"/>
      <c r="V3" s="227"/>
      <c r="AJ3" s="117" t="s">
        <v>4</v>
      </c>
      <c r="AK3" s="118"/>
      <c r="AL3" s="220"/>
      <c r="AM3" s="117" t="s">
        <v>4</v>
      </c>
      <c r="AN3" s="118"/>
      <c r="AO3" s="119">
        <f>Valores!C2</f>
        <v>27.1212</v>
      </c>
      <c r="AP3" s="120"/>
      <c r="AQ3" s="120"/>
      <c r="AR3" s="120"/>
      <c r="AS3" s="121"/>
      <c r="AT3" s="121"/>
      <c r="AU3" s="120"/>
      <c r="AV3" s="121"/>
      <c r="AW3" s="121"/>
    </row>
    <row r="4" spans="1:49" ht="11.25" customHeight="1">
      <c r="A4" s="224" t="s">
        <v>621</v>
      </c>
      <c r="B4" s="225"/>
      <c r="C4" s="225"/>
      <c r="D4" s="226"/>
      <c r="E4" s="191"/>
      <c r="F4" s="133" t="s">
        <v>8</v>
      </c>
      <c r="AI4" s="74"/>
      <c r="AL4" s="122"/>
      <c r="AM4" s="117" t="s">
        <v>8</v>
      </c>
      <c r="AN4" s="118"/>
      <c r="AO4" s="120"/>
      <c r="AP4" s="120"/>
      <c r="AQ4" s="120"/>
      <c r="AR4" s="120"/>
      <c r="AS4" s="121"/>
      <c r="AT4" s="121"/>
      <c r="AU4" s="120"/>
      <c r="AV4" s="121"/>
      <c r="AW4" s="121"/>
    </row>
    <row r="5" spans="1:49" ht="11.25" customHeight="1">
      <c r="A5" s="224" t="s">
        <v>616</v>
      </c>
      <c r="B5" s="225"/>
      <c r="C5" s="225"/>
      <c r="D5" s="226"/>
      <c r="E5" s="191"/>
      <c r="F5" s="161">
        <v>0</v>
      </c>
      <c r="AL5" s="122"/>
      <c r="AM5" s="117"/>
      <c r="AN5" s="118"/>
      <c r="AO5" s="120"/>
      <c r="AP5" s="120"/>
      <c r="AQ5" s="120"/>
      <c r="AR5" s="120"/>
      <c r="AS5" s="121"/>
      <c r="AT5" s="121"/>
      <c r="AU5" s="120"/>
      <c r="AV5" s="121"/>
      <c r="AW5" s="121"/>
    </row>
    <row r="6" spans="1:1020" s="147" customFormat="1" ht="37.5" customHeight="1">
      <c r="A6" s="183"/>
      <c r="B6" s="184"/>
      <c r="C6" s="184"/>
      <c r="D6" s="183"/>
      <c r="E6" s="228" t="s">
        <v>52</v>
      </c>
      <c r="F6" s="229"/>
      <c r="G6" s="230" t="s">
        <v>53</v>
      </c>
      <c r="H6" s="230"/>
      <c r="I6" s="231" t="s">
        <v>54</v>
      </c>
      <c r="J6" s="231"/>
      <c r="K6" s="223" t="s">
        <v>55</v>
      </c>
      <c r="L6" s="223"/>
      <c r="M6" s="150" t="s">
        <v>56</v>
      </c>
      <c r="N6" s="151" t="s">
        <v>57</v>
      </c>
      <c r="O6" s="150" t="s">
        <v>58</v>
      </c>
      <c r="P6" s="169" t="str">
        <f>CONCATENATE("Est. Doc (tope ",TEXT(Valores!D5,"$0.000,00"),")")</f>
        <v>Est. Doc (tope $13.864,36)</v>
      </c>
      <c r="Q6" s="150" t="s">
        <v>59</v>
      </c>
      <c r="R6" s="150" t="s">
        <v>818</v>
      </c>
      <c r="S6" s="151" t="s">
        <v>60</v>
      </c>
      <c r="T6" s="150" t="s">
        <v>60</v>
      </c>
      <c r="U6" s="150" t="s">
        <v>61</v>
      </c>
      <c r="V6" s="150" t="s">
        <v>62</v>
      </c>
      <c r="W6" s="232" t="s">
        <v>63</v>
      </c>
      <c r="X6" s="232"/>
      <c r="Y6" s="150" t="s">
        <v>64</v>
      </c>
      <c r="Z6" s="159" t="str">
        <f>CONCATENATE("Bonif. Compensatoria Rem. (tope ",TEXT(Valores!F96,"$0.000,00"),")")</f>
        <v>Bonif. Compensatoria Rem. (tope $12.637,52)</v>
      </c>
      <c r="AA6" s="159" t="str">
        <f>CONCATENATE("Ad R Doc (tope ",TEXT(Valores!F25,"$0,00"),")")</f>
        <v>Ad R Doc (tope $850,59)</v>
      </c>
      <c r="AB6" s="159" t="s">
        <v>697</v>
      </c>
      <c r="AC6" s="150" t="s">
        <v>65</v>
      </c>
      <c r="AD6" s="158" t="str">
        <f>CONCATENATE("Nuevo  A.R.D. (tope ",TEXT(Valores!F26,"$0,00"),")")</f>
        <v>Nuevo  A.R.D. (tope $567,06)</v>
      </c>
      <c r="AE6" s="223" t="s">
        <v>66</v>
      </c>
      <c r="AF6" s="223"/>
      <c r="AG6" s="158" t="str">
        <f>CONCATENATE("Ap Mat Did Rem. (tope ",TEXT(Valores!F63,"$0.000,00"),")")</f>
        <v>Ap Mat Did Rem. (tope $12.965,96)</v>
      </c>
      <c r="AH6" s="150" t="s">
        <v>67</v>
      </c>
      <c r="AI6" s="158" t="str">
        <f>CONCATENATE("Corrección Pauta Salarial sobre FONID (tope ",TEXT(Valores!F32,"$0,00"),")")</f>
        <v>Corrección Pauta Salarial sobre FONID (tope $0,00)</v>
      </c>
      <c r="AJ6" s="158" t="str">
        <f>CONCATENATE("Bonif. Compensatoria No Rem. (tope ",TEXT(Valores!C89,"$0,00"),")")</f>
        <v>Bonif. Compensatoria No Rem. (tope $0,00)</v>
      </c>
      <c r="AK6" s="158" t="str">
        <f>CONCATENATE("Adic Extr. (tope ",TEXT(Valores!F38,"$0.000,00"),")")</f>
        <v>Adic Extr. (tope $30.000,00)</v>
      </c>
      <c r="AL6" s="159" t="str">
        <f>CONCATENATE("Adel Inc Docente (tope ",TEXT(Valores!C55,"$0,00"),")")</f>
        <v>Adel Inc Docente (tope $327,60)</v>
      </c>
      <c r="AM6" s="150" t="s">
        <v>68</v>
      </c>
      <c r="AN6" s="152" t="s">
        <v>69</v>
      </c>
      <c r="AO6" s="152" t="s">
        <v>70</v>
      </c>
      <c r="AP6" s="152" t="s">
        <v>71</v>
      </c>
      <c r="AQ6" s="152" t="s">
        <v>617</v>
      </c>
      <c r="AR6" s="152" t="s">
        <v>618</v>
      </c>
      <c r="AS6" s="152" t="s">
        <v>72</v>
      </c>
      <c r="AT6" s="152" t="str">
        <f>AN6</f>
        <v>Ap Pers Jub</v>
      </c>
      <c r="AU6" s="152" t="s">
        <v>40</v>
      </c>
      <c r="AV6" s="152" t="s">
        <v>41</v>
      </c>
      <c r="AW6" s="152" t="s">
        <v>629</v>
      </c>
      <c r="AX6" s="152" t="s">
        <v>73</v>
      </c>
      <c r="AY6" s="152" t="s">
        <v>74</v>
      </c>
      <c r="AZ6" s="152" t="s">
        <v>75</v>
      </c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</row>
    <row r="7" spans="1:52" s="145" customFormat="1" ht="12.75" customHeight="1">
      <c r="A7" s="185" t="s">
        <v>76</v>
      </c>
      <c r="B7" s="186"/>
      <c r="C7" s="189" t="s">
        <v>662</v>
      </c>
      <c r="D7" s="187" t="s">
        <v>77</v>
      </c>
      <c r="E7" s="148" t="s">
        <v>78</v>
      </c>
      <c r="F7" s="149" t="s">
        <v>79</v>
      </c>
      <c r="G7" s="190" t="s">
        <v>80</v>
      </c>
      <c r="H7" s="153" t="s">
        <v>81</v>
      </c>
      <c r="I7" s="154" t="s">
        <v>82</v>
      </c>
      <c r="J7" s="153" t="s">
        <v>83</v>
      </c>
      <c r="K7" s="155" t="s">
        <v>84</v>
      </c>
      <c r="L7" s="153" t="s">
        <v>85</v>
      </c>
      <c r="M7" s="153" t="s">
        <v>86</v>
      </c>
      <c r="N7" s="153" t="s">
        <v>87</v>
      </c>
      <c r="O7" s="153" t="s">
        <v>88</v>
      </c>
      <c r="P7" s="153" t="s">
        <v>89</v>
      </c>
      <c r="Q7" s="153" t="s">
        <v>90</v>
      </c>
      <c r="R7" s="153" t="s">
        <v>91</v>
      </c>
      <c r="S7" s="153" t="s">
        <v>92</v>
      </c>
      <c r="T7" s="153" t="s">
        <v>92</v>
      </c>
      <c r="U7" s="153" t="s">
        <v>93</v>
      </c>
      <c r="V7" s="153" t="s">
        <v>94</v>
      </c>
      <c r="W7" s="156" t="s">
        <v>95</v>
      </c>
      <c r="X7" s="153" t="s">
        <v>96</v>
      </c>
      <c r="Y7" s="153" t="s">
        <v>97</v>
      </c>
      <c r="Z7" s="153" t="s">
        <v>615</v>
      </c>
      <c r="AA7" s="157" t="s">
        <v>98</v>
      </c>
      <c r="AB7" s="157"/>
      <c r="AC7" s="157" t="s">
        <v>99</v>
      </c>
      <c r="AD7" s="153" t="s">
        <v>100</v>
      </c>
      <c r="AE7" s="156" t="s">
        <v>101</v>
      </c>
      <c r="AF7" s="153" t="s">
        <v>102</v>
      </c>
      <c r="AG7" s="153" t="s">
        <v>103</v>
      </c>
      <c r="AH7" s="151" t="s">
        <v>104</v>
      </c>
      <c r="AI7" s="153" t="s">
        <v>606</v>
      </c>
      <c r="AJ7" s="157" t="s">
        <v>606</v>
      </c>
      <c r="AK7" s="182" t="s">
        <v>689</v>
      </c>
      <c r="AL7" s="157" t="s">
        <v>105</v>
      </c>
      <c r="AM7" s="150" t="s">
        <v>106</v>
      </c>
      <c r="AN7" s="152" t="s">
        <v>107</v>
      </c>
      <c r="AO7" s="152" t="s">
        <v>108</v>
      </c>
      <c r="AP7" s="153" t="s">
        <v>109</v>
      </c>
      <c r="AQ7" s="160" t="s">
        <v>619</v>
      </c>
      <c r="AR7" s="160" t="s">
        <v>620</v>
      </c>
      <c r="AS7" s="151"/>
      <c r="AT7" s="152" t="str">
        <f aca="true" t="shared" si="0" ref="AT7:AT70">AN7</f>
        <v>C660060</v>
      </c>
      <c r="AU7" s="171"/>
      <c r="AV7" s="170"/>
      <c r="AW7" s="170"/>
      <c r="AX7" s="146"/>
      <c r="AY7" s="146"/>
      <c r="AZ7" s="146"/>
    </row>
    <row r="8" spans="1:52" s="110" customFormat="1" ht="11.25" customHeight="1">
      <c r="A8" s="123" t="s">
        <v>110</v>
      </c>
      <c r="B8" s="123">
        <v>1</v>
      </c>
      <c r="C8" s="126">
        <v>1</v>
      </c>
      <c r="D8" s="124" t="s">
        <v>111</v>
      </c>
      <c r="E8" s="192">
        <v>107</v>
      </c>
      <c r="F8" s="125">
        <f>ROUND(E8*Valores!$C$2,2)</f>
        <v>2901.97</v>
      </c>
      <c r="G8" s="192">
        <v>3779</v>
      </c>
      <c r="H8" s="125">
        <f>ROUND(G8*Valores!$C$2,2)</f>
        <v>102491.01</v>
      </c>
      <c r="I8" s="192">
        <v>219</v>
      </c>
      <c r="J8" s="125">
        <f>ROUND(I8*Valores!$C$2,2)</f>
        <v>5939.54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18470.11</v>
      </c>
      <c r="N8" s="125">
        <f aca="true" t="shared" si="1" ref="N8:N71">ROUND(SUM(F8,H8,J8,L8,X8,R8)*$H$2,2)</f>
        <v>0</v>
      </c>
      <c r="O8" s="125">
        <f>Valores!$C$11</f>
        <v>24183.22</v>
      </c>
      <c r="P8" s="125">
        <f>Valores!$D$5</f>
        <v>13864.36</v>
      </c>
      <c r="Q8" s="125">
        <v>0</v>
      </c>
      <c r="R8" s="125">
        <f>IF($F$4="NO",Valores!$C$46,Valores!$C$46/2)</f>
        <v>11801.55</v>
      </c>
      <c r="S8" s="125">
        <v>0</v>
      </c>
      <c r="T8" s="125">
        <f>ROUND(S8*(1+$H$2),2)</f>
        <v>0</v>
      </c>
      <c r="U8" s="125">
        <f>SUM(F8,H8,J8)</f>
        <v>111332.51999999999</v>
      </c>
      <c r="V8" s="125">
        <f>INT((SUM(F8,H8,J8)*0.4*100)+0.49)/100</f>
        <v>44533.01</v>
      </c>
      <c r="W8" s="192">
        <v>0</v>
      </c>
      <c r="X8" s="125">
        <f>ROUND(W8*Valores!$C$2,2)</f>
        <v>0</v>
      </c>
      <c r="Y8" s="125">
        <v>0</v>
      </c>
      <c r="Z8" s="125">
        <f>Valores!$C$94</f>
        <v>6318.76</v>
      </c>
      <c r="AA8" s="125">
        <f>Valores!$C$25</f>
        <v>567.06</v>
      </c>
      <c r="AB8" s="214">
        <v>0</v>
      </c>
      <c r="AC8" s="125">
        <f aca="true" t="shared" si="2" ref="AC8:AC71">ROUND(SUM(F8,H8,J8,X8,R8)*AB8,2)</f>
        <v>0</v>
      </c>
      <c r="AD8" s="125">
        <f>Valores!$C$26</f>
        <v>567.06</v>
      </c>
      <c r="AE8" s="192">
        <v>0</v>
      </c>
      <c r="AF8" s="125">
        <f>ROUND(AE8*Valores!$C$2,2)</f>
        <v>0</v>
      </c>
      <c r="AG8" s="125">
        <f>ROUND(IF($F$4="NO",Valores!$C$63,Valores!$C$63/2),2)</f>
        <v>6482.98</v>
      </c>
      <c r="AH8" s="125">
        <f>SUM(F8,H8,J8,L8,M8,N8,O8,P8,Q8,R8,T8,U8,V8,X8,Y8,Z8,AA8,AC8,AD8,AF8,AG8)</f>
        <v>349453.1499999999</v>
      </c>
      <c r="AI8" s="125">
        <f>Valores!$C$31</f>
        <v>0</v>
      </c>
      <c r="AJ8" s="125">
        <f>Valores!$C$87</f>
        <v>0</v>
      </c>
      <c r="AK8" s="125">
        <f>Valores!C$38*B8</f>
        <v>30000</v>
      </c>
      <c r="AL8" s="125">
        <f>IF($F$3="NO",0,Valores!$C$55)</f>
        <v>327.6</v>
      </c>
      <c r="AM8" s="125">
        <f aca="true" t="shared" si="3" ref="AM8:AM71">SUM(AI8:AL8)</f>
        <v>30327.6</v>
      </c>
      <c r="AN8" s="125">
        <f>AH8*Valores!$C$71</f>
        <v>-38439.84649999999</v>
      </c>
      <c r="AO8" s="125">
        <f>AH8*-Valores!$C$72</f>
        <v>0</v>
      </c>
      <c r="AP8" s="125">
        <f>AH8*Valores!$C$73</f>
        <v>-15725.391749999995</v>
      </c>
      <c r="AQ8" s="125">
        <f>Valores!$C$100</f>
        <v>-280.91</v>
      </c>
      <c r="AR8" s="125">
        <f>IF($F$5=0,Valores!$C$101,(Valores!$C$101+$F$5*(Valores!$C$101)))</f>
        <v>-385</v>
      </c>
      <c r="AS8" s="125">
        <f>AH8+AM8+SUM(AN8:AR8)</f>
        <v>324949.6017499999</v>
      </c>
      <c r="AT8" s="125">
        <f t="shared" si="0"/>
        <v>-38439.84649999999</v>
      </c>
      <c r="AU8" s="125">
        <f>AH8*Valores!$C$74</f>
        <v>-9435.235049999997</v>
      </c>
      <c r="AV8" s="125">
        <f>AH8*Valores!$C$75</f>
        <v>-1048.3594499999997</v>
      </c>
      <c r="AW8" s="125">
        <f aca="true" t="shared" si="4" ref="AW8:AW71">AH8+AM8+SUM(AT8:AV8)</f>
        <v>330857.3089999999</v>
      </c>
      <c r="AX8" s="126">
        <v>33</v>
      </c>
      <c r="AY8" s="126">
        <v>45</v>
      </c>
      <c r="AZ8" s="123" t="s">
        <v>8</v>
      </c>
    </row>
    <row r="9" spans="1:52" s="110" customFormat="1" ht="11.25" customHeight="1">
      <c r="A9" s="123" t="s">
        <v>112</v>
      </c>
      <c r="B9" s="123">
        <v>1</v>
      </c>
      <c r="C9" s="126">
        <v>2</v>
      </c>
      <c r="D9" s="124" t="s">
        <v>113</v>
      </c>
      <c r="E9" s="192">
        <v>107</v>
      </c>
      <c r="F9" s="125">
        <f>ROUND(E9*Valores!$C$2,2)</f>
        <v>2901.97</v>
      </c>
      <c r="G9" s="192">
        <v>3779</v>
      </c>
      <c r="H9" s="125">
        <f>ROUND(G9*Valores!$C$2,2)</f>
        <v>102491.01</v>
      </c>
      <c r="I9" s="192">
        <v>219</v>
      </c>
      <c r="J9" s="125">
        <f>ROUND(I9*Valores!$C$2,2)</f>
        <v>5939.54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18470.11</v>
      </c>
      <c r="N9" s="125">
        <f t="shared" si="1"/>
        <v>0</v>
      </c>
      <c r="O9" s="125">
        <f>Valores!$C$11</f>
        <v>24183.22</v>
      </c>
      <c r="P9" s="125">
        <f>Valores!$D$5</f>
        <v>13864.36</v>
      </c>
      <c r="Q9" s="125">
        <v>0</v>
      </c>
      <c r="R9" s="125">
        <f>IF($F$4="NO",Valores!$C$46,Valores!$C$46/2)</f>
        <v>11801.55</v>
      </c>
      <c r="S9" s="125">
        <v>0</v>
      </c>
      <c r="T9" s="125">
        <f>ROUND(S9*(1+$H$2),2)</f>
        <v>0</v>
      </c>
      <c r="U9" s="125">
        <f>SUM(F9,H9,J9)</f>
        <v>111332.51999999999</v>
      </c>
      <c r="V9" s="125">
        <f>INT((SUM(F9,H9,J9)*0.4*100)+0.49)/100</f>
        <v>44533.01</v>
      </c>
      <c r="W9" s="192">
        <v>0</v>
      </c>
      <c r="X9" s="125">
        <f>ROUND(W9*Valores!$C$2,2)</f>
        <v>0</v>
      </c>
      <c r="Y9" s="125">
        <v>0</v>
      </c>
      <c r="Z9" s="125">
        <f>Valores!$C$94</f>
        <v>6318.76</v>
      </c>
      <c r="AA9" s="125">
        <f>Valores!$C$25</f>
        <v>567.06</v>
      </c>
      <c r="AB9" s="214">
        <v>0</v>
      </c>
      <c r="AC9" s="125">
        <f t="shared" si="2"/>
        <v>0</v>
      </c>
      <c r="AD9" s="125">
        <f>Valores!$C$26</f>
        <v>567.06</v>
      </c>
      <c r="AE9" s="192">
        <v>0</v>
      </c>
      <c r="AF9" s="125">
        <f>ROUND(AE9*Valores!$C$2,2)</f>
        <v>0</v>
      </c>
      <c r="AG9" s="125">
        <f>ROUND(IF($F$4="NO",Valores!$C$63,Valores!$C$63/2),2)</f>
        <v>6482.98</v>
      </c>
      <c r="AH9" s="125">
        <f aca="true" t="shared" si="5" ref="AH9:AH72">SUM(F9,H9,J9,L9,M9,N9,O9,P9,Q9,R9,T9,U9,V9,X9,Y9,Z9,AA9,AC9,AD9,AF9,AG9)</f>
        <v>349453.1499999999</v>
      </c>
      <c r="AI9" s="125">
        <f>Valores!$C$31</f>
        <v>0</v>
      </c>
      <c r="AJ9" s="125">
        <f>Valores!$C$87</f>
        <v>0</v>
      </c>
      <c r="AK9" s="125">
        <f>Valores!C$38*B9</f>
        <v>30000</v>
      </c>
      <c r="AL9" s="125">
        <f>IF($F$3="NO",0,Valores!$C$55)</f>
        <v>327.6</v>
      </c>
      <c r="AM9" s="125">
        <f t="shared" si="3"/>
        <v>30327.6</v>
      </c>
      <c r="AN9" s="125">
        <f>AH9*Valores!$C$71</f>
        <v>-38439.84649999999</v>
      </c>
      <c r="AO9" s="125">
        <f>AH9*-Valores!$C$72</f>
        <v>0</v>
      </c>
      <c r="AP9" s="125">
        <f>AH9*Valores!$C$73</f>
        <v>-15725.391749999995</v>
      </c>
      <c r="AQ9" s="125">
        <f>Valores!$C$100</f>
        <v>-280.91</v>
      </c>
      <c r="AR9" s="125">
        <f>IF($F$5=0,Valores!$C$101,(Valores!$C$101+$F$5*(Valores!$C$101)))</f>
        <v>-385</v>
      </c>
      <c r="AS9" s="125">
        <f aca="true" t="shared" si="6" ref="AS9:AS72">AH9+SUM(AM9:AR9)</f>
        <v>324949.6017499999</v>
      </c>
      <c r="AT9" s="125">
        <f t="shared" si="0"/>
        <v>-38439.84649999999</v>
      </c>
      <c r="AU9" s="125">
        <f>AH9*Valores!$C$74</f>
        <v>-9435.235049999997</v>
      </c>
      <c r="AV9" s="125">
        <f>AH9*Valores!$C$75</f>
        <v>-1048.3594499999997</v>
      </c>
      <c r="AW9" s="125">
        <f t="shared" si="4"/>
        <v>330857.3089999999</v>
      </c>
      <c r="AX9" s="126">
        <v>33</v>
      </c>
      <c r="AY9" s="126">
        <v>45</v>
      </c>
      <c r="AZ9" s="123" t="s">
        <v>8</v>
      </c>
    </row>
    <row r="10" spans="1:52" s="110" customFormat="1" ht="11.25" customHeight="1">
      <c r="A10" s="123" t="s">
        <v>114</v>
      </c>
      <c r="B10" s="123">
        <v>1</v>
      </c>
      <c r="C10" s="126">
        <v>3</v>
      </c>
      <c r="D10" s="124" t="s">
        <v>115</v>
      </c>
      <c r="E10" s="192">
        <v>107</v>
      </c>
      <c r="F10" s="125">
        <f>ROUND(E10*Valores!$C$2,2)</f>
        <v>2901.97</v>
      </c>
      <c r="G10" s="192">
        <v>3720</v>
      </c>
      <c r="H10" s="125">
        <f>ROUND(G10*Valores!$C$2,2)</f>
        <v>100890.86</v>
      </c>
      <c r="I10" s="192">
        <v>1226</v>
      </c>
      <c r="J10" s="125">
        <f>ROUND(I10*Valores!$C$2,2)</f>
        <v>33250.59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24261.9</v>
      </c>
      <c r="N10" s="125">
        <f t="shared" si="1"/>
        <v>0</v>
      </c>
      <c r="O10" s="125">
        <f>Valores!$C$13</f>
        <v>24842.34</v>
      </c>
      <c r="P10" s="125">
        <f>Valores!$D$5</f>
        <v>13864.36</v>
      </c>
      <c r="Q10" s="125">
        <v>0</v>
      </c>
      <c r="R10" s="125">
        <f>IF($F$4="NO",Valores!$C$46,Valores!$C$46/2)</f>
        <v>11801.55</v>
      </c>
      <c r="S10" s="125">
        <f>Valores!$C$19</f>
        <v>12901.01</v>
      </c>
      <c r="T10" s="125">
        <f>ROUND(S10*(1+$H$2),2)</f>
        <v>12901.01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Valores!$C$94</f>
        <v>6318.76</v>
      </c>
      <c r="AA10" s="125">
        <f>Valores!$C$25</f>
        <v>567.06</v>
      </c>
      <c r="AB10" s="214">
        <v>0</v>
      </c>
      <c r="AC10" s="125">
        <f t="shared" si="2"/>
        <v>0</v>
      </c>
      <c r="AD10" s="125">
        <f>Valores!$C$26</f>
        <v>567.06</v>
      </c>
      <c r="AE10" s="192">
        <v>0</v>
      </c>
      <c r="AF10" s="125">
        <f>ROUND(AE10*Valores!$C$2,2)</f>
        <v>0</v>
      </c>
      <c r="AG10" s="125">
        <f>ROUND(IF($F$4="NO",Valores!$C$63,Valores!$C$63/2),2)</f>
        <v>6482.98</v>
      </c>
      <c r="AH10" s="125">
        <f t="shared" si="5"/>
        <v>238650.43999999997</v>
      </c>
      <c r="AI10" s="125">
        <f>Valores!$C$31</f>
        <v>0</v>
      </c>
      <c r="AJ10" s="125">
        <f>Valores!$C$87</f>
        <v>0</v>
      </c>
      <c r="AK10" s="125">
        <f>Valores!C$38*B10</f>
        <v>30000</v>
      </c>
      <c r="AL10" s="125">
        <f>IF($F$3="NO",0,Valores!$C$55)</f>
        <v>327.6</v>
      </c>
      <c r="AM10" s="125">
        <f t="shared" si="3"/>
        <v>30327.6</v>
      </c>
      <c r="AN10" s="125">
        <f>AH10*Valores!$C$71</f>
        <v>-26251.548399999996</v>
      </c>
      <c r="AO10" s="125">
        <f>AH10*-Valores!$C$72</f>
        <v>0</v>
      </c>
      <c r="AP10" s="125">
        <f>AH10*Valores!$C$73</f>
        <v>-10739.269799999998</v>
      </c>
      <c r="AQ10" s="125">
        <f>Valores!$C$100</f>
        <v>-280.91</v>
      </c>
      <c r="AR10" s="125">
        <f>IF($F$5=0,Valores!$C$101,(Valores!$C$101+$F$5*(Valores!$C$101)))</f>
        <v>-385</v>
      </c>
      <c r="AS10" s="125">
        <f t="shared" si="6"/>
        <v>231321.31179999997</v>
      </c>
      <c r="AT10" s="125">
        <f t="shared" si="0"/>
        <v>-26251.548399999996</v>
      </c>
      <c r="AU10" s="125">
        <f>AH10*Valores!$C$74</f>
        <v>-6443.561879999999</v>
      </c>
      <c r="AV10" s="125">
        <f>AH10*Valores!$C$75</f>
        <v>-715.9513199999999</v>
      </c>
      <c r="AW10" s="125">
        <f t="shared" si="4"/>
        <v>235566.9784</v>
      </c>
      <c r="AX10" s="126">
        <v>35</v>
      </c>
      <c r="AY10" s="126">
        <v>45</v>
      </c>
      <c r="AZ10" s="123" t="s">
        <v>4</v>
      </c>
    </row>
    <row r="11" spans="1:52" s="110" customFormat="1" ht="11.25" customHeight="1">
      <c r="A11" s="123" t="s">
        <v>116</v>
      </c>
      <c r="B11" s="123">
        <v>1</v>
      </c>
      <c r="C11" s="126">
        <v>4</v>
      </c>
      <c r="D11" s="124" t="s">
        <v>117</v>
      </c>
      <c r="E11" s="192">
        <v>107</v>
      </c>
      <c r="F11" s="125">
        <f>ROUND(E11*Valores!$C$2,2)</f>
        <v>2901.97</v>
      </c>
      <c r="G11" s="192">
        <v>3779</v>
      </c>
      <c r="H11" s="125">
        <f>ROUND(G11*Valores!$C$2,2)</f>
        <v>102491.01</v>
      </c>
      <c r="I11" s="192">
        <v>219</v>
      </c>
      <c r="J11" s="125">
        <f>ROUND(I11*Valores!$C$2,2)</f>
        <v>5939.54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18470.11</v>
      </c>
      <c r="N11" s="125">
        <f t="shared" si="1"/>
        <v>0</v>
      </c>
      <c r="O11" s="125">
        <f>Valores!$C$11</f>
        <v>24183.22</v>
      </c>
      <c r="P11" s="125">
        <f>Valores!$D$5</f>
        <v>13864.36</v>
      </c>
      <c r="Q11" s="125">
        <v>0</v>
      </c>
      <c r="R11" s="125">
        <f>IF($F$4="NO",Valores!$C$46,Valores!$C$46/2)</f>
        <v>11801.55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111332.51999999999</v>
      </c>
      <c r="V11" s="125">
        <f aca="true" t="shared" si="9" ref="V11:V20">INT((SUM(F11,H11,J11)*0.4*100)+0.49)/100</f>
        <v>44533.01</v>
      </c>
      <c r="W11" s="192">
        <v>0</v>
      </c>
      <c r="X11" s="125">
        <f>ROUND(W11*Valores!$C$2,2)</f>
        <v>0</v>
      </c>
      <c r="Y11" s="125">
        <v>0</v>
      </c>
      <c r="Z11" s="125">
        <f>Valores!$C$94</f>
        <v>6318.76</v>
      </c>
      <c r="AA11" s="125">
        <f>Valores!$C$25</f>
        <v>567.06</v>
      </c>
      <c r="AB11" s="214">
        <v>0</v>
      </c>
      <c r="AC11" s="125">
        <f t="shared" si="2"/>
        <v>0</v>
      </c>
      <c r="AD11" s="125">
        <f>Valores!$C$26</f>
        <v>567.06</v>
      </c>
      <c r="AE11" s="192">
        <v>0</v>
      </c>
      <c r="AF11" s="125">
        <f>ROUND(AE11*Valores!$C$2,2)</f>
        <v>0</v>
      </c>
      <c r="AG11" s="125">
        <f>ROUND(IF($F$4="NO",Valores!$C$63,Valores!$C$63/2),2)</f>
        <v>6482.98</v>
      </c>
      <c r="AH11" s="125">
        <f t="shared" si="5"/>
        <v>349453.1499999999</v>
      </c>
      <c r="AI11" s="125">
        <f>Valores!$C$31</f>
        <v>0</v>
      </c>
      <c r="AJ11" s="125">
        <f>Valores!$C$87</f>
        <v>0</v>
      </c>
      <c r="AK11" s="125">
        <f>Valores!C$38*B11</f>
        <v>30000</v>
      </c>
      <c r="AL11" s="125">
        <f>IF($F$3="NO",0,Valores!$C$55)</f>
        <v>327.6</v>
      </c>
      <c r="AM11" s="125">
        <f t="shared" si="3"/>
        <v>30327.6</v>
      </c>
      <c r="AN11" s="125">
        <f>AH11*Valores!$C$71</f>
        <v>-38439.84649999999</v>
      </c>
      <c r="AO11" s="125">
        <f>AH11*-Valores!$C$72</f>
        <v>0</v>
      </c>
      <c r="AP11" s="125">
        <f>AH11*Valores!$C$73</f>
        <v>-15725.391749999995</v>
      </c>
      <c r="AQ11" s="125">
        <f>Valores!$C$100</f>
        <v>-280.91</v>
      </c>
      <c r="AR11" s="125">
        <f>IF($F$5=0,Valores!$C$101,(Valores!$C$101+$F$5*(Valores!$C$101)))</f>
        <v>-385</v>
      </c>
      <c r="AS11" s="125">
        <f t="shared" si="6"/>
        <v>324949.6017499999</v>
      </c>
      <c r="AT11" s="125">
        <f t="shared" si="0"/>
        <v>-38439.84649999999</v>
      </c>
      <c r="AU11" s="125">
        <f>AH11*Valores!$C$74</f>
        <v>-9435.235049999997</v>
      </c>
      <c r="AV11" s="125">
        <f>AH11*Valores!$C$75</f>
        <v>-1048.3594499999997</v>
      </c>
      <c r="AW11" s="125">
        <f t="shared" si="4"/>
        <v>330857.3089999999</v>
      </c>
      <c r="AX11" s="126">
        <v>33</v>
      </c>
      <c r="AY11" s="126">
        <v>45</v>
      </c>
      <c r="AZ11" s="123" t="s">
        <v>8</v>
      </c>
    </row>
    <row r="12" spans="1:52" s="110" customFormat="1" ht="11.25" customHeight="1">
      <c r="A12" s="123" t="s">
        <v>118</v>
      </c>
      <c r="B12" s="123">
        <v>1</v>
      </c>
      <c r="C12" s="126">
        <v>5</v>
      </c>
      <c r="D12" s="124" t="s">
        <v>119</v>
      </c>
      <c r="E12" s="192">
        <v>107</v>
      </c>
      <c r="F12" s="125">
        <f>ROUND(E12*Valores!$C$2,2)</f>
        <v>2901.97</v>
      </c>
      <c r="G12" s="192">
        <v>3779</v>
      </c>
      <c r="H12" s="125">
        <f>ROUND(G12*Valores!$C$2,2)</f>
        <v>102491.01</v>
      </c>
      <c r="I12" s="192">
        <v>219</v>
      </c>
      <c r="J12" s="125">
        <f>ROUND(I12*Valores!$C$2,2)</f>
        <v>5939.54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18470.11</v>
      </c>
      <c r="N12" s="125">
        <f t="shared" si="1"/>
        <v>0</v>
      </c>
      <c r="O12" s="125">
        <f>Valores!$C$11</f>
        <v>24183.22</v>
      </c>
      <c r="P12" s="125">
        <f>Valores!$D$5</f>
        <v>13864.36</v>
      </c>
      <c r="Q12" s="125">
        <v>0</v>
      </c>
      <c r="R12" s="125">
        <f>IF($F$4="NO",Valores!$C$46,Valores!$C$46/2)</f>
        <v>11801.55</v>
      </c>
      <c r="S12" s="125">
        <v>0</v>
      </c>
      <c r="T12" s="125">
        <f t="shared" si="7"/>
        <v>0</v>
      </c>
      <c r="U12" s="125">
        <f t="shared" si="8"/>
        <v>111332.51999999999</v>
      </c>
      <c r="V12" s="125">
        <f t="shared" si="9"/>
        <v>44533.01</v>
      </c>
      <c r="W12" s="192">
        <v>0</v>
      </c>
      <c r="X12" s="125">
        <f>ROUND(W12*Valores!$C$2,2)</f>
        <v>0</v>
      </c>
      <c r="Y12" s="125">
        <v>0</v>
      </c>
      <c r="Z12" s="125">
        <f>Valores!$C$94</f>
        <v>6318.76</v>
      </c>
      <c r="AA12" s="125">
        <f>Valores!$C$25</f>
        <v>567.06</v>
      </c>
      <c r="AB12" s="214">
        <v>0</v>
      </c>
      <c r="AC12" s="125">
        <f t="shared" si="2"/>
        <v>0</v>
      </c>
      <c r="AD12" s="125">
        <f>Valores!$C$26</f>
        <v>567.06</v>
      </c>
      <c r="AE12" s="192">
        <v>0</v>
      </c>
      <c r="AF12" s="125">
        <f>ROUND(AE12*Valores!$C$2,2)</f>
        <v>0</v>
      </c>
      <c r="AG12" s="125">
        <f>ROUND(IF($F$4="NO",Valores!$C$63,Valores!$C$63/2),2)</f>
        <v>6482.98</v>
      </c>
      <c r="AH12" s="125">
        <f t="shared" si="5"/>
        <v>349453.1499999999</v>
      </c>
      <c r="AI12" s="125">
        <f>Valores!$C$31</f>
        <v>0</v>
      </c>
      <c r="AJ12" s="125">
        <f>Valores!$C$87</f>
        <v>0</v>
      </c>
      <c r="AK12" s="125">
        <f>Valores!C$38*B12</f>
        <v>30000</v>
      </c>
      <c r="AL12" s="125">
        <f>IF($F$3="NO",0,Valores!$C$55)</f>
        <v>327.6</v>
      </c>
      <c r="AM12" s="125">
        <f t="shared" si="3"/>
        <v>30327.6</v>
      </c>
      <c r="AN12" s="125">
        <f>AH12*Valores!$C$71</f>
        <v>-38439.84649999999</v>
      </c>
      <c r="AO12" s="125">
        <f>AH12*-Valores!$C$72</f>
        <v>0</v>
      </c>
      <c r="AP12" s="125">
        <f>AH12*Valores!$C$73</f>
        <v>-15725.391749999995</v>
      </c>
      <c r="AQ12" s="125">
        <f>Valores!$C$100</f>
        <v>-280.91</v>
      </c>
      <c r="AR12" s="125">
        <f>IF($F$5=0,Valores!$C$101,(Valores!$C$101+$F$5*(Valores!$C$101)))</f>
        <v>-385</v>
      </c>
      <c r="AS12" s="125">
        <f t="shared" si="6"/>
        <v>324949.6017499999</v>
      </c>
      <c r="AT12" s="125">
        <f t="shared" si="0"/>
        <v>-38439.84649999999</v>
      </c>
      <c r="AU12" s="125">
        <f>AH12*Valores!$C$74</f>
        <v>-9435.235049999997</v>
      </c>
      <c r="AV12" s="125">
        <f>AH12*Valores!$C$75</f>
        <v>-1048.3594499999997</v>
      </c>
      <c r="AW12" s="125">
        <f t="shared" si="4"/>
        <v>330857.3089999999</v>
      </c>
      <c r="AX12" s="126">
        <v>33</v>
      </c>
      <c r="AY12" s="126">
        <v>45</v>
      </c>
      <c r="AZ12" s="123" t="s">
        <v>8</v>
      </c>
    </row>
    <row r="13" spans="1:52" s="110" customFormat="1" ht="11.25" customHeight="1">
      <c r="A13" s="123" t="s">
        <v>120</v>
      </c>
      <c r="B13" s="123">
        <v>1</v>
      </c>
      <c r="C13" s="126">
        <v>6</v>
      </c>
      <c r="D13" s="124" t="s">
        <v>121</v>
      </c>
      <c r="E13" s="192">
        <v>107</v>
      </c>
      <c r="F13" s="125">
        <f>ROUND(E13*Valores!$C$2,2)</f>
        <v>2901.97</v>
      </c>
      <c r="G13" s="192">
        <v>3779</v>
      </c>
      <c r="H13" s="125">
        <f>ROUND(G13*Valores!$C$2,2)</f>
        <v>102491.01</v>
      </c>
      <c r="I13" s="192">
        <v>219</v>
      </c>
      <c r="J13" s="125">
        <f>ROUND(I13*Valores!$C$2,2)</f>
        <v>5939.54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18470.11</v>
      </c>
      <c r="N13" s="125">
        <f t="shared" si="1"/>
        <v>0</v>
      </c>
      <c r="O13" s="125">
        <f>Valores!$C$11</f>
        <v>24183.22</v>
      </c>
      <c r="P13" s="125">
        <f>Valores!$D$5</f>
        <v>13864.36</v>
      </c>
      <c r="Q13" s="125">
        <v>0</v>
      </c>
      <c r="R13" s="125">
        <f>IF($F$4="NO",Valores!$C$46,Valores!$C$46/2)</f>
        <v>11801.55</v>
      </c>
      <c r="S13" s="125">
        <v>0</v>
      </c>
      <c r="T13" s="125">
        <f t="shared" si="7"/>
        <v>0</v>
      </c>
      <c r="U13" s="125">
        <f t="shared" si="8"/>
        <v>111332.51999999999</v>
      </c>
      <c r="V13" s="125">
        <f t="shared" si="9"/>
        <v>44533.01</v>
      </c>
      <c r="W13" s="192">
        <v>0</v>
      </c>
      <c r="X13" s="125">
        <f>ROUND(W13*Valores!$C$2,2)</f>
        <v>0</v>
      </c>
      <c r="Y13" s="125">
        <v>0</v>
      </c>
      <c r="Z13" s="125">
        <f>Valores!$C$94</f>
        <v>6318.76</v>
      </c>
      <c r="AA13" s="125">
        <f>Valores!$C$25</f>
        <v>567.06</v>
      </c>
      <c r="AB13" s="214">
        <v>0</v>
      </c>
      <c r="AC13" s="125">
        <f t="shared" si="2"/>
        <v>0</v>
      </c>
      <c r="AD13" s="125">
        <f>Valores!$C$26</f>
        <v>567.06</v>
      </c>
      <c r="AE13" s="192">
        <v>0</v>
      </c>
      <c r="AF13" s="125">
        <f>ROUND(AE13*Valores!$C$2,2)</f>
        <v>0</v>
      </c>
      <c r="AG13" s="125">
        <f>ROUND(IF($F$4="NO",Valores!$C$63,Valores!$C$63/2),2)</f>
        <v>6482.98</v>
      </c>
      <c r="AH13" s="125">
        <f t="shared" si="5"/>
        <v>349453.1499999999</v>
      </c>
      <c r="AI13" s="125">
        <f>Valores!$C$31</f>
        <v>0</v>
      </c>
      <c r="AJ13" s="125">
        <f>Valores!$C$87</f>
        <v>0</v>
      </c>
      <c r="AK13" s="125">
        <f>Valores!C$38*B13</f>
        <v>30000</v>
      </c>
      <c r="AL13" s="125">
        <f>IF($F$3="NO",0,Valores!$C$55)</f>
        <v>327.6</v>
      </c>
      <c r="AM13" s="125">
        <f t="shared" si="3"/>
        <v>30327.6</v>
      </c>
      <c r="AN13" s="125">
        <f>AH13*Valores!$C$71</f>
        <v>-38439.84649999999</v>
      </c>
      <c r="AO13" s="125">
        <f>AH13*-Valores!$C$72</f>
        <v>0</v>
      </c>
      <c r="AP13" s="125">
        <f>AH13*Valores!$C$73</f>
        <v>-15725.391749999995</v>
      </c>
      <c r="AQ13" s="125">
        <f>Valores!$C$100</f>
        <v>-280.91</v>
      </c>
      <c r="AR13" s="125">
        <f>IF($F$5=0,Valores!$C$101,(Valores!$C$101+$F$5*(Valores!$C$101)))</f>
        <v>-385</v>
      </c>
      <c r="AS13" s="125">
        <f t="shared" si="6"/>
        <v>324949.6017499999</v>
      </c>
      <c r="AT13" s="125">
        <f t="shared" si="0"/>
        <v>-38439.84649999999</v>
      </c>
      <c r="AU13" s="125">
        <f>AH13*Valores!$C$74</f>
        <v>-9435.235049999997</v>
      </c>
      <c r="AV13" s="125">
        <f>AH13*Valores!$C$75</f>
        <v>-1048.3594499999997</v>
      </c>
      <c r="AW13" s="125">
        <f t="shared" si="4"/>
        <v>330857.3089999999</v>
      </c>
      <c r="AX13" s="126">
        <v>33</v>
      </c>
      <c r="AY13" s="126">
        <v>45</v>
      </c>
      <c r="AZ13" s="123" t="s">
        <v>8</v>
      </c>
    </row>
    <row r="14" spans="1:52" s="110" customFormat="1" ht="11.25" customHeight="1">
      <c r="A14" s="123" t="s">
        <v>122</v>
      </c>
      <c r="B14" s="123">
        <v>1</v>
      </c>
      <c r="C14" s="126">
        <v>7</v>
      </c>
      <c r="D14" s="124" t="s">
        <v>123</v>
      </c>
      <c r="E14" s="192">
        <v>107</v>
      </c>
      <c r="F14" s="125">
        <f>ROUND(E14*Valores!$C$2,2)</f>
        <v>2901.97</v>
      </c>
      <c r="G14" s="192">
        <v>3779</v>
      </c>
      <c r="H14" s="125">
        <f>ROUND(G14*Valores!$C$2,2)</f>
        <v>102491.01</v>
      </c>
      <c r="I14" s="192">
        <v>219</v>
      </c>
      <c r="J14" s="125">
        <f>ROUND(I14*Valores!$C$2,2)</f>
        <v>5939.54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18470.11</v>
      </c>
      <c r="N14" s="125">
        <f t="shared" si="1"/>
        <v>0</v>
      </c>
      <c r="O14" s="125">
        <f>Valores!$C$11</f>
        <v>24183.22</v>
      </c>
      <c r="P14" s="125">
        <f>Valores!$D$5</f>
        <v>13864.36</v>
      </c>
      <c r="Q14" s="125">
        <v>0</v>
      </c>
      <c r="R14" s="125">
        <f>IF($F$4="NO",Valores!$C$46,Valores!$C$46/2)</f>
        <v>11801.55</v>
      </c>
      <c r="S14" s="125">
        <v>0</v>
      </c>
      <c r="T14" s="125">
        <f t="shared" si="7"/>
        <v>0</v>
      </c>
      <c r="U14" s="125">
        <f t="shared" si="8"/>
        <v>111332.51999999999</v>
      </c>
      <c r="V14" s="125">
        <f t="shared" si="9"/>
        <v>44533.01</v>
      </c>
      <c r="W14" s="192">
        <v>0</v>
      </c>
      <c r="X14" s="125">
        <f>ROUND(W14*Valores!$C$2,2)</f>
        <v>0</v>
      </c>
      <c r="Y14" s="125">
        <v>0</v>
      </c>
      <c r="Z14" s="125">
        <f>Valores!$C$94</f>
        <v>6318.76</v>
      </c>
      <c r="AA14" s="125">
        <f>Valores!$C$25</f>
        <v>567.06</v>
      </c>
      <c r="AB14" s="214">
        <v>0</v>
      </c>
      <c r="AC14" s="125">
        <f t="shared" si="2"/>
        <v>0</v>
      </c>
      <c r="AD14" s="125">
        <f>Valores!$C$26</f>
        <v>567.06</v>
      </c>
      <c r="AE14" s="192">
        <v>0</v>
      </c>
      <c r="AF14" s="125">
        <f>ROUND(AE14*Valores!$C$2,2)</f>
        <v>0</v>
      </c>
      <c r="AG14" s="125">
        <f>ROUND(IF($F$4="NO",Valores!$C$63,Valores!$C$63/2),2)</f>
        <v>6482.98</v>
      </c>
      <c r="AH14" s="125">
        <f t="shared" si="5"/>
        <v>349453.1499999999</v>
      </c>
      <c r="AI14" s="125">
        <f>Valores!$C$31</f>
        <v>0</v>
      </c>
      <c r="AJ14" s="125">
        <f>Valores!$C$87</f>
        <v>0</v>
      </c>
      <c r="AK14" s="125">
        <f>Valores!C$38*B14</f>
        <v>30000</v>
      </c>
      <c r="AL14" s="125">
        <f>IF($F$3="NO",0,Valores!$C$55)</f>
        <v>327.6</v>
      </c>
      <c r="AM14" s="125">
        <f t="shared" si="3"/>
        <v>30327.6</v>
      </c>
      <c r="AN14" s="125">
        <f>AH14*Valores!$C$71</f>
        <v>-38439.84649999999</v>
      </c>
      <c r="AO14" s="125">
        <f>AH14*-Valores!$C$72</f>
        <v>0</v>
      </c>
      <c r="AP14" s="125">
        <f>AH14*Valores!$C$73</f>
        <v>-15725.391749999995</v>
      </c>
      <c r="AQ14" s="125">
        <f>Valores!$C$100</f>
        <v>-280.91</v>
      </c>
      <c r="AR14" s="125">
        <f>IF($F$5=0,Valores!$C$101,(Valores!$C$101+$F$5*(Valores!$C$101)))</f>
        <v>-385</v>
      </c>
      <c r="AS14" s="125">
        <f t="shared" si="6"/>
        <v>324949.6017499999</v>
      </c>
      <c r="AT14" s="125">
        <f t="shared" si="0"/>
        <v>-38439.84649999999</v>
      </c>
      <c r="AU14" s="125">
        <f>AH14*Valores!$C$74</f>
        <v>-9435.235049999997</v>
      </c>
      <c r="AV14" s="125">
        <f>AH14*Valores!$C$75</f>
        <v>-1048.3594499999997</v>
      </c>
      <c r="AW14" s="125">
        <f t="shared" si="4"/>
        <v>330857.3089999999</v>
      </c>
      <c r="AX14" s="126">
        <v>33</v>
      </c>
      <c r="AY14" s="126">
        <v>45</v>
      </c>
      <c r="AZ14" s="123" t="s">
        <v>8</v>
      </c>
    </row>
    <row r="15" spans="1:52" s="110" customFormat="1" ht="11.25" customHeight="1">
      <c r="A15" s="123" t="s">
        <v>124</v>
      </c>
      <c r="B15" s="123">
        <v>1</v>
      </c>
      <c r="C15" s="126">
        <v>8</v>
      </c>
      <c r="D15" s="124" t="s">
        <v>125</v>
      </c>
      <c r="E15" s="192">
        <v>107</v>
      </c>
      <c r="F15" s="125">
        <f>ROUND(E15*Valores!$C$2,2)</f>
        <v>2901.97</v>
      </c>
      <c r="G15" s="192">
        <v>3779</v>
      </c>
      <c r="H15" s="125">
        <f>ROUND(G15*Valores!$C$2,2)</f>
        <v>102491.01</v>
      </c>
      <c r="I15" s="192">
        <v>219</v>
      </c>
      <c r="J15" s="125">
        <f>ROUND(I15*Valores!$C$2,2)</f>
        <v>5939.54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18470.11</v>
      </c>
      <c r="N15" s="125">
        <f t="shared" si="1"/>
        <v>0</v>
      </c>
      <c r="O15" s="125">
        <f>Valores!$C$11</f>
        <v>24183.22</v>
      </c>
      <c r="P15" s="125">
        <f>Valores!$D$5</f>
        <v>13864.36</v>
      </c>
      <c r="Q15" s="125">
        <v>0</v>
      </c>
      <c r="R15" s="125">
        <f>IF($F$4="NO",Valores!$C$46,Valores!$C$46/2)</f>
        <v>11801.55</v>
      </c>
      <c r="S15" s="125">
        <v>0</v>
      </c>
      <c r="T15" s="125">
        <f t="shared" si="7"/>
        <v>0</v>
      </c>
      <c r="U15" s="125">
        <f t="shared" si="8"/>
        <v>111332.51999999999</v>
      </c>
      <c r="V15" s="125">
        <f t="shared" si="9"/>
        <v>44533.01</v>
      </c>
      <c r="W15" s="192">
        <v>0</v>
      </c>
      <c r="X15" s="125">
        <f>ROUND(W15*Valores!$C$2,2)</f>
        <v>0</v>
      </c>
      <c r="Y15" s="125">
        <v>0</v>
      </c>
      <c r="Z15" s="125">
        <f>Valores!$C$94</f>
        <v>6318.76</v>
      </c>
      <c r="AA15" s="125">
        <f>Valores!$C$25</f>
        <v>567.06</v>
      </c>
      <c r="AB15" s="214">
        <v>0</v>
      </c>
      <c r="AC15" s="125">
        <f t="shared" si="2"/>
        <v>0</v>
      </c>
      <c r="AD15" s="125">
        <f>Valores!$C$26</f>
        <v>567.06</v>
      </c>
      <c r="AE15" s="192">
        <v>0</v>
      </c>
      <c r="AF15" s="125">
        <f>ROUND(AE15*Valores!$C$2,2)</f>
        <v>0</v>
      </c>
      <c r="AG15" s="125">
        <f>ROUND(IF($F$4="NO",Valores!$C$63,Valores!$C$63/2),2)</f>
        <v>6482.98</v>
      </c>
      <c r="AH15" s="125">
        <f t="shared" si="5"/>
        <v>349453.1499999999</v>
      </c>
      <c r="AI15" s="125">
        <f>Valores!$C$31</f>
        <v>0</v>
      </c>
      <c r="AJ15" s="125">
        <f>Valores!$C$87</f>
        <v>0</v>
      </c>
      <c r="AK15" s="125">
        <f>Valores!C$38*B15</f>
        <v>30000</v>
      </c>
      <c r="AL15" s="125">
        <f>IF($F$3="NO",0,Valores!$C$55)</f>
        <v>327.6</v>
      </c>
      <c r="AM15" s="125">
        <f t="shared" si="3"/>
        <v>30327.6</v>
      </c>
      <c r="AN15" s="125">
        <f>AH15*Valores!$C$71</f>
        <v>-38439.84649999999</v>
      </c>
      <c r="AO15" s="125">
        <f>AH15*-Valores!$C$72</f>
        <v>0</v>
      </c>
      <c r="AP15" s="125">
        <f>AH15*Valores!$C$73</f>
        <v>-15725.391749999995</v>
      </c>
      <c r="AQ15" s="125">
        <f>Valores!$C$100</f>
        <v>-280.91</v>
      </c>
      <c r="AR15" s="125">
        <f>IF($F$5=0,Valores!$C$101,(Valores!$C$101+$F$5*(Valores!$C$101)))</f>
        <v>-385</v>
      </c>
      <c r="AS15" s="125">
        <f t="shared" si="6"/>
        <v>324949.6017499999</v>
      </c>
      <c r="AT15" s="125">
        <f t="shared" si="0"/>
        <v>-38439.84649999999</v>
      </c>
      <c r="AU15" s="125">
        <f>AH15*Valores!$C$74</f>
        <v>-9435.235049999997</v>
      </c>
      <c r="AV15" s="125">
        <f>AH15*Valores!$C$75</f>
        <v>-1048.3594499999997</v>
      </c>
      <c r="AW15" s="125">
        <f t="shared" si="4"/>
        <v>330857.3089999999</v>
      </c>
      <c r="AX15" s="126">
        <v>33</v>
      </c>
      <c r="AY15" s="126">
        <v>45</v>
      </c>
      <c r="AZ15" s="123" t="s">
        <v>8</v>
      </c>
    </row>
    <row r="16" spans="1:52" s="110" customFormat="1" ht="11.25" customHeight="1">
      <c r="A16" s="123" t="s">
        <v>126</v>
      </c>
      <c r="B16" s="123">
        <v>1</v>
      </c>
      <c r="C16" s="126">
        <v>9</v>
      </c>
      <c r="D16" s="124" t="s">
        <v>127</v>
      </c>
      <c r="E16" s="192">
        <v>100</v>
      </c>
      <c r="F16" s="125">
        <f>ROUND(E16*Valores!$C$2,2)</f>
        <v>2712.12</v>
      </c>
      <c r="G16" s="192">
        <v>3727</v>
      </c>
      <c r="H16" s="125">
        <f>ROUND(G16*Valores!$C$2,2)</f>
        <v>101080.71</v>
      </c>
      <c r="I16" s="192">
        <v>219</v>
      </c>
      <c r="J16" s="125">
        <f>ROUND(I16*Valores!$C$2,2)</f>
        <v>5939.54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18230.09</v>
      </c>
      <c r="N16" s="125">
        <f t="shared" si="1"/>
        <v>0</v>
      </c>
      <c r="O16" s="125">
        <f>Valores!$C$11</f>
        <v>24183.22</v>
      </c>
      <c r="P16" s="125">
        <f>Valores!$D$5</f>
        <v>13864.36</v>
      </c>
      <c r="Q16" s="125">
        <v>0</v>
      </c>
      <c r="R16" s="125">
        <f>IF($F$4="NO",Valores!$C$46,Valores!$C$46/2)</f>
        <v>11801.55</v>
      </c>
      <c r="S16" s="125">
        <v>0</v>
      </c>
      <c r="T16" s="125">
        <f t="shared" si="7"/>
        <v>0</v>
      </c>
      <c r="U16" s="125">
        <f t="shared" si="8"/>
        <v>109732.37</v>
      </c>
      <c r="V16" s="125">
        <f t="shared" si="9"/>
        <v>43892.95</v>
      </c>
      <c r="W16" s="192">
        <v>0</v>
      </c>
      <c r="X16" s="125">
        <f>ROUND(W16*Valores!$C$2,2)</f>
        <v>0</v>
      </c>
      <c r="Y16" s="125">
        <v>0</v>
      </c>
      <c r="Z16" s="125">
        <f>Valores!$C$94</f>
        <v>6318.76</v>
      </c>
      <c r="AA16" s="125">
        <f>Valores!$C$25</f>
        <v>567.06</v>
      </c>
      <c r="AB16" s="214">
        <v>0</v>
      </c>
      <c r="AC16" s="125">
        <f t="shared" si="2"/>
        <v>0</v>
      </c>
      <c r="AD16" s="125">
        <f>Valores!$C$26</f>
        <v>567.06</v>
      </c>
      <c r="AE16" s="192">
        <v>0</v>
      </c>
      <c r="AF16" s="125">
        <f>ROUND(AE16*Valores!$C$2,2)</f>
        <v>0</v>
      </c>
      <c r="AG16" s="125">
        <f>ROUND(IF($F$4="NO",Valores!$C$63,Valores!$C$63/2),2)</f>
        <v>6482.98</v>
      </c>
      <c r="AH16" s="125">
        <f t="shared" si="5"/>
        <v>345372.76999999996</v>
      </c>
      <c r="AI16" s="125">
        <f>Valores!$C$31</f>
        <v>0</v>
      </c>
      <c r="AJ16" s="125">
        <f>Valores!$C$87</f>
        <v>0</v>
      </c>
      <c r="AK16" s="125">
        <f>Valores!C$38*B16</f>
        <v>30000</v>
      </c>
      <c r="AL16" s="125">
        <f>IF($F$3="NO",0,Valores!$C$55)</f>
        <v>327.6</v>
      </c>
      <c r="AM16" s="125">
        <f t="shared" si="3"/>
        <v>30327.6</v>
      </c>
      <c r="AN16" s="125">
        <f>AH16*Valores!$C$71</f>
        <v>-37991.0047</v>
      </c>
      <c r="AO16" s="125">
        <f>AH16*-Valores!$C$72</f>
        <v>0</v>
      </c>
      <c r="AP16" s="125">
        <f>AH16*Valores!$C$73</f>
        <v>-15541.774649999998</v>
      </c>
      <c r="AQ16" s="125">
        <f>Valores!$C$100</f>
        <v>-280.91</v>
      </c>
      <c r="AR16" s="125">
        <f>IF($F$5=0,Valores!$C$101,(Valores!$C$101+$F$5*(Valores!$C$101)))</f>
        <v>-385</v>
      </c>
      <c r="AS16" s="125">
        <f t="shared" si="6"/>
        <v>321501.68064999994</v>
      </c>
      <c r="AT16" s="125">
        <f t="shared" si="0"/>
        <v>-37991.0047</v>
      </c>
      <c r="AU16" s="125">
        <f>AH16*Valores!$C$74</f>
        <v>-9325.064789999999</v>
      </c>
      <c r="AV16" s="125">
        <f>AH16*Valores!$C$75</f>
        <v>-1036.1183099999998</v>
      </c>
      <c r="AW16" s="125">
        <f t="shared" si="4"/>
        <v>327348.1821999999</v>
      </c>
      <c r="AX16" s="126">
        <v>33</v>
      </c>
      <c r="AY16" s="126">
        <v>45</v>
      </c>
      <c r="AZ16" s="123" t="s">
        <v>8</v>
      </c>
    </row>
    <row r="17" spans="1:52" s="110" customFormat="1" ht="11.25" customHeight="1">
      <c r="A17" s="123" t="s">
        <v>128</v>
      </c>
      <c r="B17" s="123">
        <v>1</v>
      </c>
      <c r="C17" s="126">
        <v>10</v>
      </c>
      <c r="D17" s="124" t="s">
        <v>129</v>
      </c>
      <c r="E17" s="192">
        <v>100</v>
      </c>
      <c r="F17" s="125">
        <f>ROUND(E17*Valores!$C$2,2)</f>
        <v>2712.12</v>
      </c>
      <c r="G17" s="192">
        <v>3727</v>
      </c>
      <c r="H17" s="125">
        <f>ROUND(G17*Valores!$C$2,2)</f>
        <v>101080.71</v>
      </c>
      <c r="I17" s="192">
        <v>219</v>
      </c>
      <c r="J17" s="125">
        <f>ROUND(I17*Valores!$C$2,2)</f>
        <v>5939.54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18230.09</v>
      </c>
      <c r="N17" s="125">
        <f t="shared" si="1"/>
        <v>0</v>
      </c>
      <c r="O17" s="125">
        <f>Valores!$C$11</f>
        <v>24183.22</v>
      </c>
      <c r="P17" s="125">
        <f>Valores!$D$5</f>
        <v>13864.36</v>
      </c>
      <c r="Q17" s="125">
        <v>0</v>
      </c>
      <c r="R17" s="125">
        <f>IF($F$4="NO",Valores!$C$46,Valores!$C$46/2)</f>
        <v>11801.55</v>
      </c>
      <c r="S17" s="125">
        <v>0</v>
      </c>
      <c r="T17" s="125">
        <f t="shared" si="7"/>
        <v>0</v>
      </c>
      <c r="U17" s="125">
        <f t="shared" si="8"/>
        <v>109732.37</v>
      </c>
      <c r="V17" s="125">
        <f t="shared" si="9"/>
        <v>43892.95</v>
      </c>
      <c r="W17" s="192">
        <v>0</v>
      </c>
      <c r="X17" s="125">
        <f>ROUND(W17*Valores!$C$2,2)</f>
        <v>0</v>
      </c>
      <c r="Y17" s="125">
        <v>0</v>
      </c>
      <c r="Z17" s="125">
        <f>Valores!$C$94</f>
        <v>6318.76</v>
      </c>
      <c r="AA17" s="125">
        <f>Valores!$C$25</f>
        <v>567.06</v>
      </c>
      <c r="AB17" s="214">
        <v>0</v>
      </c>
      <c r="AC17" s="125">
        <f t="shared" si="2"/>
        <v>0</v>
      </c>
      <c r="AD17" s="125">
        <f>Valores!$C$26</f>
        <v>567.06</v>
      </c>
      <c r="AE17" s="192">
        <v>0</v>
      </c>
      <c r="AF17" s="125">
        <f>ROUND(AE17*Valores!$C$2,2)</f>
        <v>0</v>
      </c>
      <c r="AG17" s="125">
        <f>ROUND(IF($F$4="NO",Valores!$C$63,Valores!$C$63/2),2)</f>
        <v>6482.98</v>
      </c>
      <c r="AH17" s="125">
        <f t="shared" si="5"/>
        <v>345372.76999999996</v>
      </c>
      <c r="AI17" s="125">
        <f>Valores!$C$31</f>
        <v>0</v>
      </c>
      <c r="AJ17" s="125">
        <f>Valores!$C$87</f>
        <v>0</v>
      </c>
      <c r="AK17" s="125">
        <f>Valores!C$38*B17</f>
        <v>30000</v>
      </c>
      <c r="AL17" s="125">
        <f>IF($F$3="NO",0,Valores!$C$55)</f>
        <v>327.6</v>
      </c>
      <c r="AM17" s="125">
        <f t="shared" si="3"/>
        <v>30327.6</v>
      </c>
      <c r="AN17" s="125">
        <f>AH17*Valores!$C$71</f>
        <v>-37991.0047</v>
      </c>
      <c r="AO17" s="125">
        <f>AH17*-Valores!$C$72</f>
        <v>0</v>
      </c>
      <c r="AP17" s="125">
        <f>AH17*Valores!$C$73</f>
        <v>-15541.774649999998</v>
      </c>
      <c r="AQ17" s="125">
        <f>Valores!$C$100</f>
        <v>-280.91</v>
      </c>
      <c r="AR17" s="125">
        <f>IF($F$5=0,Valores!$C$101,(Valores!$C$101+$F$5*(Valores!$C$101)))</f>
        <v>-385</v>
      </c>
      <c r="AS17" s="125">
        <f t="shared" si="6"/>
        <v>321501.68064999994</v>
      </c>
      <c r="AT17" s="125">
        <f t="shared" si="0"/>
        <v>-37991.0047</v>
      </c>
      <c r="AU17" s="125">
        <f>AH17*Valores!$C$74</f>
        <v>-9325.064789999999</v>
      </c>
      <c r="AV17" s="125">
        <f>AH17*Valores!$C$75</f>
        <v>-1036.1183099999998</v>
      </c>
      <c r="AW17" s="125">
        <f t="shared" si="4"/>
        <v>327348.1821999999</v>
      </c>
      <c r="AX17" s="126">
        <v>33</v>
      </c>
      <c r="AY17" s="126">
        <v>45</v>
      </c>
      <c r="AZ17" s="123" t="s">
        <v>8</v>
      </c>
    </row>
    <row r="18" spans="1:52" s="110" customFormat="1" ht="11.25" customHeight="1">
      <c r="A18" s="123" t="s">
        <v>130</v>
      </c>
      <c r="B18" s="123">
        <v>1</v>
      </c>
      <c r="C18" s="126">
        <v>11</v>
      </c>
      <c r="D18" s="124" t="s">
        <v>131</v>
      </c>
      <c r="E18" s="192">
        <v>100</v>
      </c>
      <c r="F18" s="125">
        <f>ROUND(E18*Valores!$C$2,2)</f>
        <v>2712.12</v>
      </c>
      <c r="G18" s="192">
        <v>3727</v>
      </c>
      <c r="H18" s="125">
        <f>ROUND(G18*Valores!$C$2,2)</f>
        <v>101080.71</v>
      </c>
      <c r="I18" s="192">
        <v>219</v>
      </c>
      <c r="J18" s="125">
        <f>ROUND(I18*Valores!$C$2,2)</f>
        <v>5939.54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18230.09</v>
      </c>
      <c r="N18" s="125">
        <f t="shared" si="1"/>
        <v>0</v>
      </c>
      <c r="O18" s="125">
        <f>Valores!$C$11</f>
        <v>24183.22</v>
      </c>
      <c r="P18" s="125">
        <f>Valores!$D$5</f>
        <v>13864.36</v>
      </c>
      <c r="Q18" s="125">
        <v>0</v>
      </c>
      <c r="R18" s="125">
        <f>IF($F$4="NO",Valores!$C$46,Valores!$C$46/2)</f>
        <v>11801.55</v>
      </c>
      <c r="S18" s="125">
        <v>0</v>
      </c>
      <c r="T18" s="125">
        <f t="shared" si="7"/>
        <v>0</v>
      </c>
      <c r="U18" s="125">
        <f t="shared" si="8"/>
        <v>109732.37</v>
      </c>
      <c r="V18" s="125">
        <f t="shared" si="9"/>
        <v>43892.95</v>
      </c>
      <c r="W18" s="192">
        <v>0</v>
      </c>
      <c r="X18" s="125">
        <f>ROUND(W18*Valores!$C$2,2)</f>
        <v>0</v>
      </c>
      <c r="Y18" s="125">
        <v>0</v>
      </c>
      <c r="Z18" s="125">
        <f>Valores!$C$94</f>
        <v>6318.76</v>
      </c>
      <c r="AA18" s="125">
        <f>Valores!$C$25</f>
        <v>567.06</v>
      </c>
      <c r="AB18" s="214">
        <v>0</v>
      </c>
      <c r="AC18" s="125">
        <f t="shared" si="2"/>
        <v>0</v>
      </c>
      <c r="AD18" s="125">
        <f>Valores!$C$26</f>
        <v>567.06</v>
      </c>
      <c r="AE18" s="192">
        <v>0</v>
      </c>
      <c r="AF18" s="125">
        <f>ROUND(AE18*Valores!$C$2,2)</f>
        <v>0</v>
      </c>
      <c r="AG18" s="125">
        <f>ROUND(IF($F$4="NO",Valores!$C$63,Valores!$C$63/2),2)</f>
        <v>6482.98</v>
      </c>
      <c r="AH18" s="125">
        <f t="shared" si="5"/>
        <v>345372.76999999996</v>
      </c>
      <c r="AI18" s="125">
        <f>Valores!$C$31</f>
        <v>0</v>
      </c>
      <c r="AJ18" s="125">
        <f>Valores!$C$87</f>
        <v>0</v>
      </c>
      <c r="AK18" s="125">
        <f>Valores!C$38*B18</f>
        <v>30000</v>
      </c>
      <c r="AL18" s="125">
        <f>IF($F$3="NO",0,Valores!$C$55)</f>
        <v>327.6</v>
      </c>
      <c r="AM18" s="125">
        <f t="shared" si="3"/>
        <v>30327.6</v>
      </c>
      <c r="AN18" s="125">
        <f>AH18*Valores!$C$71</f>
        <v>-37991.0047</v>
      </c>
      <c r="AO18" s="125">
        <f>AH18*-Valores!$C$72</f>
        <v>0</v>
      </c>
      <c r="AP18" s="125">
        <f>AH18*Valores!$C$73</f>
        <v>-15541.774649999998</v>
      </c>
      <c r="AQ18" s="125">
        <f>Valores!$C$100</f>
        <v>-280.91</v>
      </c>
      <c r="AR18" s="125">
        <f>IF($F$5=0,Valores!$C$101,(Valores!$C$101+$F$5*(Valores!$C$101)))</f>
        <v>-385</v>
      </c>
      <c r="AS18" s="125">
        <f t="shared" si="6"/>
        <v>321501.68064999994</v>
      </c>
      <c r="AT18" s="125">
        <f t="shared" si="0"/>
        <v>-37991.0047</v>
      </c>
      <c r="AU18" s="125">
        <f>AH18*Valores!$C$74</f>
        <v>-9325.064789999999</v>
      </c>
      <c r="AV18" s="125">
        <f>AH18*Valores!$C$75</f>
        <v>-1036.1183099999998</v>
      </c>
      <c r="AW18" s="125">
        <f t="shared" si="4"/>
        <v>327348.1821999999</v>
      </c>
      <c r="AX18" s="126"/>
      <c r="AY18" s="126">
        <v>45</v>
      </c>
      <c r="AZ18" s="123" t="s">
        <v>8</v>
      </c>
    </row>
    <row r="19" spans="1:52" s="110" customFormat="1" ht="11.25" customHeight="1">
      <c r="A19" s="123" t="s">
        <v>132</v>
      </c>
      <c r="B19" s="123">
        <v>1</v>
      </c>
      <c r="C19" s="126">
        <v>12</v>
      </c>
      <c r="D19" s="124" t="s">
        <v>133</v>
      </c>
      <c r="E19" s="192">
        <v>100</v>
      </c>
      <c r="F19" s="125">
        <f>ROUND(E19*Valores!$C$2,2)</f>
        <v>2712.12</v>
      </c>
      <c r="G19" s="192">
        <v>3727</v>
      </c>
      <c r="H19" s="125">
        <f>ROUND(G19*Valores!$C$2,2)</f>
        <v>101080.71</v>
      </c>
      <c r="I19" s="192">
        <v>219</v>
      </c>
      <c r="J19" s="125">
        <f>ROUND(I19*Valores!$C$2,2)</f>
        <v>5939.54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18230.09</v>
      </c>
      <c r="N19" s="125">
        <f t="shared" si="1"/>
        <v>0</v>
      </c>
      <c r="O19" s="125">
        <f>Valores!$C$11</f>
        <v>24183.22</v>
      </c>
      <c r="P19" s="125">
        <f>Valores!$D$5</f>
        <v>13864.36</v>
      </c>
      <c r="Q19" s="125">
        <v>0</v>
      </c>
      <c r="R19" s="125">
        <f>IF($F$4="NO",Valores!$C$46,Valores!$C$46/2)</f>
        <v>11801.55</v>
      </c>
      <c r="S19" s="125">
        <v>0</v>
      </c>
      <c r="T19" s="125">
        <f t="shared" si="7"/>
        <v>0</v>
      </c>
      <c r="U19" s="125">
        <f t="shared" si="8"/>
        <v>109732.37</v>
      </c>
      <c r="V19" s="125">
        <f t="shared" si="9"/>
        <v>43892.95</v>
      </c>
      <c r="W19" s="192">
        <v>0</v>
      </c>
      <c r="X19" s="125">
        <f>ROUND(W19*Valores!$C$2,2)</f>
        <v>0</v>
      </c>
      <c r="Y19" s="125">
        <v>0</v>
      </c>
      <c r="Z19" s="125">
        <f>Valores!$C$94</f>
        <v>6318.76</v>
      </c>
      <c r="AA19" s="125">
        <f>Valores!$C$25</f>
        <v>567.06</v>
      </c>
      <c r="AB19" s="214">
        <v>0</v>
      </c>
      <c r="AC19" s="125">
        <f t="shared" si="2"/>
        <v>0</v>
      </c>
      <c r="AD19" s="125">
        <f>Valores!$C$26</f>
        <v>567.06</v>
      </c>
      <c r="AE19" s="192">
        <v>0</v>
      </c>
      <c r="AF19" s="125">
        <f>ROUND(AE19*Valores!$C$2,2)</f>
        <v>0</v>
      </c>
      <c r="AG19" s="125">
        <f>ROUND(IF($F$4="NO",Valores!$C$63,Valores!$C$63/2),2)</f>
        <v>6482.98</v>
      </c>
      <c r="AH19" s="125">
        <f t="shared" si="5"/>
        <v>345372.76999999996</v>
      </c>
      <c r="AI19" s="125">
        <f>Valores!$C$31</f>
        <v>0</v>
      </c>
      <c r="AJ19" s="125">
        <f>Valores!$C$87</f>
        <v>0</v>
      </c>
      <c r="AK19" s="125">
        <f>Valores!C$38*B19</f>
        <v>30000</v>
      </c>
      <c r="AL19" s="125">
        <f>IF($F$3="NO",0,Valores!$C$55)</f>
        <v>327.6</v>
      </c>
      <c r="AM19" s="125">
        <f t="shared" si="3"/>
        <v>30327.6</v>
      </c>
      <c r="AN19" s="125">
        <f>AH19*Valores!$C$71</f>
        <v>-37991.0047</v>
      </c>
      <c r="AO19" s="125">
        <f>AH19*-Valores!$C$72</f>
        <v>0</v>
      </c>
      <c r="AP19" s="125">
        <f>AH19*Valores!$C$73</f>
        <v>-15541.774649999998</v>
      </c>
      <c r="AQ19" s="125">
        <f>Valores!$C$100</f>
        <v>-280.91</v>
      </c>
      <c r="AR19" s="125">
        <f>IF($F$5=0,Valores!$C$101,(Valores!$C$101+$F$5*(Valores!$C$101)))</f>
        <v>-385</v>
      </c>
      <c r="AS19" s="125">
        <f t="shared" si="6"/>
        <v>321501.68064999994</v>
      </c>
      <c r="AT19" s="125">
        <f t="shared" si="0"/>
        <v>-37991.0047</v>
      </c>
      <c r="AU19" s="125">
        <f>AH19*Valores!$C$74</f>
        <v>-9325.064789999999</v>
      </c>
      <c r="AV19" s="125">
        <f>AH19*Valores!$C$75</f>
        <v>-1036.1183099999998</v>
      </c>
      <c r="AW19" s="125">
        <f t="shared" si="4"/>
        <v>327348.1821999999</v>
      </c>
      <c r="AX19" s="126"/>
      <c r="AY19" s="126">
        <v>45</v>
      </c>
      <c r="AZ19" s="123" t="s">
        <v>8</v>
      </c>
    </row>
    <row r="20" spans="1:52" s="110" customFormat="1" ht="11.25" customHeight="1">
      <c r="A20" s="123" t="s">
        <v>134</v>
      </c>
      <c r="B20" s="123">
        <v>1</v>
      </c>
      <c r="C20" s="126">
        <v>13</v>
      </c>
      <c r="D20" s="124" t="s">
        <v>135</v>
      </c>
      <c r="E20" s="192">
        <v>100</v>
      </c>
      <c r="F20" s="125">
        <f>ROUND(E20*Valores!$C$2,2)</f>
        <v>2712.12</v>
      </c>
      <c r="G20" s="192">
        <v>3727</v>
      </c>
      <c r="H20" s="125">
        <f>ROUND(G20*Valores!$C$2,2)</f>
        <v>101080.71</v>
      </c>
      <c r="I20" s="192">
        <v>219</v>
      </c>
      <c r="J20" s="125">
        <f>ROUND(I20*Valores!$C$2,2)</f>
        <v>5939.54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18230.09</v>
      </c>
      <c r="N20" s="125">
        <f t="shared" si="1"/>
        <v>0</v>
      </c>
      <c r="O20" s="125">
        <f>Valores!$C$11</f>
        <v>24183.22</v>
      </c>
      <c r="P20" s="125">
        <f>Valores!$D$5</f>
        <v>13864.36</v>
      </c>
      <c r="Q20" s="125">
        <v>0</v>
      </c>
      <c r="R20" s="125">
        <f>IF($F$4="NO",Valores!$C$46,Valores!$C$46/2)</f>
        <v>11801.55</v>
      </c>
      <c r="S20" s="125">
        <v>0</v>
      </c>
      <c r="T20" s="125">
        <f t="shared" si="7"/>
        <v>0</v>
      </c>
      <c r="U20" s="125">
        <f t="shared" si="8"/>
        <v>109732.37</v>
      </c>
      <c r="V20" s="125">
        <f t="shared" si="9"/>
        <v>43892.95</v>
      </c>
      <c r="W20" s="192">
        <v>0</v>
      </c>
      <c r="X20" s="125">
        <f>ROUND(W20*Valores!$C$2,2)</f>
        <v>0</v>
      </c>
      <c r="Y20" s="125">
        <v>0</v>
      </c>
      <c r="Z20" s="125">
        <f>Valores!$C$94</f>
        <v>6318.76</v>
      </c>
      <c r="AA20" s="125">
        <f>Valores!$C$25</f>
        <v>567.06</v>
      </c>
      <c r="AB20" s="214">
        <v>0</v>
      </c>
      <c r="AC20" s="125">
        <f t="shared" si="2"/>
        <v>0</v>
      </c>
      <c r="AD20" s="125">
        <f>Valores!$C$26</f>
        <v>567.06</v>
      </c>
      <c r="AE20" s="192">
        <v>0</v>
      </c>
      <c r="AF20" s="125">
        <f>ROUND(AE20*Valores!$C$2,2)</f>
        <v>0</v>
      </c>
      <c r="AG20" s="125">
        <f>ROUND(IF($F$4="NO",Valores!$C$63,Valores!$C$63/2),2)</f>
        <v>6482.98</v>
      </c>
      <c r="AH20" s="125">
        <f t="shared" si="5"/>
        <v>345372.76999999996</v>
      </c>
      <c r="AI20" s="125">
        <f>Valores!$C$31</f>
        <v>0</v>
      </c>
      <c r="AJ20" s="125">
        <f>Valores!$C$87</f>
        <v>0</v>
      </c>
      <c r="AK20" s="125">
        <f>Valores!C$38*B20</f>
        <v>30000</v>
      </c>
      <c r="AL20" s="125">
        <f>IF($F$3="NO",0,Valores!$C$55)</f>
        <v>327.6</v>
      </c>
      <c r="AM20" s="125">
        <f t="shared" si="3"/>
        <v>30327.6</v>
      </c>
      <c r="AN20" s="125">
        <f>AH20*Valores!$C$71</f>
        <v>-37991.0047</v>
      </c>
      <c r="AO20" s="125">
        <f>AH20*-Valores!$C$72</f>
        <v>0</v>
      </c>
      <c r="AP20" s="125">
        <f>AH20*Valores!$C$73</f>
        <v>-15541.774649999998</v>
      </c>
      <c r="AQ20" s="125">
        <f>Valores!$C$100</f>
        <v>-280.91</v>
      </c>
      <c r="AR20" s="125">
        <f>IF($F$5=0,Valores!$C$101,(Valores!$C$101+$F$5*(Valores!$C$101)))</f>
        <v>-385</v>
      </c>
      <c r="AS20" s="125">
        <f t="shared" si="6"/>
        <v>321501.68064999994</v>
      </c>
      <c r="AT20" s="125">
        <f t="shared" si="0"/>
        <v>-37991.0047</v>
      </c>
      <c r="AU20" s="125">
        <f>AH20*Valores!$C$74</f>
        <v>-9325.064789999999</v>
      </c>
      <c r="AV20" s="125">
        <f>AH20*Valores!$C$75</f>
        <v>-1036.1183099999998</v>
      </c>
      <c r="AW20" s="125">
        <f t="shared" si="4"/>
        <v>327348.1821999999</v>
      </c>
      <c r="AX20" s="126"/>
      <c r="AY20" s="126">
        <v>45</v>
      </c>
      <c r="AZ20" s="123" t="s">
        <v>8</v>
      </c>
    </row>
    <row r="21" spans="1:52" s="110" customFormat="1" ht="11.25" customHeight="1">
      <c r="A21" s="123" t="s">
        <v>136</v>
      </c>
      <c r="B21" s="123">
        <v>1</v>
      </c>
      <c r="C21" s="126">
        <v>14</v>
      </c>
      <c r="D21" s="124" t="s">
        <v>137</v>
      </c>
      <c r="E21" s="192">
        <v>107</v>
      </c>
      <c r="F21" s="125">
        <f>ROUND(E21*Valores!$C$2,2)</f>
        <v>2901.97</v>
      </c>
      <c r="G21" s="192">
        <v>3720</v>
      </c>
      <c r="H21" s="125">
        <f>ROUND(G21*Valores!$C$2,2)</f>
        <v>100890.86</v>
      </c>
      <c r="I21" s="192">
        <v>1226</v>
      </c>
      <c r="J21" s="125">
        <f>ROUND(I21*Valores!$C$2,2)</f>
        <v>33250.59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24665.74</v>
      </c>
      <c r="N21" s="125">
        <f t="shared" si="1"/>
        <v>0</v>
      </c>
      <c r="O21" s="125">
        <f>Valores!$C$12</f>
        <v>55613.13</v>
      </c>
      <c r="P21" s="125">
        <f>Valores!$D$5</f>
        <v>13864.36</v>
      </c>
      <c r="Q21" s="125">
        <v>0</v>
      </c>
      <c r="R21" s="125">
        <f>IF($F$4="NO",Valores!$C$47,Valores!$C$47/2)</f>
        <v>14493.86</v>
      </c>
      <c r="S21" s="125">
        <f>Valores!$C$19</f>
        <v>12901.01</v>
      </c>
      <c r="T21" s="125">
        <f t="shared" si="7"/>
        <v>12901.01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Valores!$C$96</f>
        <v>12637.52</v>
      </c>
      <c r="AA21" s="125">
        <f>Valores!$C$25</f>
        <v>567.06</v>
      </c>
      <c r="AB21" s="214">
        <v>0</v>
      </c>
      <c r="AC21" s="125">
        <f t="shared" si="2"/>
        <v>0</v>
      </c>
      <c r="AD21" s="125">
        <f>Valores!$C$26</f>
        <v>567.06</v>
      </c>
      <c r="AE21" s="192">
        <v>0</v>
      </c>
      <c r="AF21" s="125">
        <f>ROUND(AE21*Valores!$C$2,2)</f>
        <v>0</v>
      </c>
      <c r="AG21" s="125">
        <f>ROUND(IF($F$4="NO",Valores!$C$63,Valores!$C$63/2),2)</f>
        <v>6482.98</v>
      </c>
      <c r="AH21" s="125">
        <f t="shared" si="5"/>
        <v>278836.13999999996</v>
      </c>
      <c r="AI21" s="125">
        <f>Valores!$C$31</f>
        <v>0</v>
      </c>
      <c r="AJ21" s="125">
        <f>Valores!$C$89</f>
        <v>0</v>
      </c>
      <c r="AK21" s="125">
        <f>Valores!C$38*B21</f>
        <v>30000</v>
      </c>
      <c r="AL21" s="125">
        <f>IF($F$3="NO",0,Valores!$C$55)</f>
        <v>327.6</v>
      </c>
      <c r="AM21" s="125">
        <f t="shared" si="3"/>
        <v>30327.6</v>
      </c>
      <c r="AN21" s="125">
        <f>AH21*Valores!$C$71</f>
        <v>-30671.975399999996</v>
      </c>
      <c r="AO21" s="125">
        <f>AH21*-Valores!$C$72</f>
        <v>0</v>
      </c>
      <c r="AP21" s="125">
        <f>AH21*Valores!$C$73</f>
        <v>-12547.626299999998</v>
      </c>
      <c r="AQ21" s="125">
        <f>Valores!$C$100</f>
        <v>-280.91</v>
      </c>
      <c r="AR21" s="125">
        <f>IF($F$5=0,Valores!$C$101,(Valores!$C$101+$F$5*(Valores!$C$101)))</f>
        <v>-385</v>
      </c>
      <c r="AS21" s="125">
        <f t="shared" si="6"/>
        <v>265278.22829999996</v>
      </c>
      <c r="AT21" s="125">
        <f t="shared" si="0"/>
        <v>-30671.975399999996</v>
      </c>
      <c r="AU21" s="125">
        <f>AH21*Valores!$C$74</f>
        <v>-7528.575779999998</v>
      </c>
      <c r="AV21" s="125">
        <f>AH21*Valores!$C$75</f>
        <v>-836.5084199999999</v>
      </c>
      <c r="AW21" s="125">
        <f t="shared" si="4"/>
        <v>270126.68039999995</v>
      </c>
      <c r="AX21" s="126"/>
      <c r="AY21" s="126">
        <v>45</v>
      </c>
      <c r="AZ21" s="123" t="s">
        <v>4</v>
      </c>
    </row>
    <row r="22" spans="1:52" s="110" customFormat="1" ht="11.25" customHeight="1">
      <c r="A22" s="123" t="s">
        <v>138</v>
      </c>
      <c r="B22" s="123">
        <v>1</v>
      </c>
      <c r="C22" s="126">
        <v>15</v>
      </c>
      <c r="D22" s="124" t="s">
        <v>139</v>
      </c>
      <c r="E22" s="192">
        <v>100</v>
      </c>
      <c r="F22" s="125">
        <f>ROUND(E22*Valores!$C$2,2)</f>
        <v>2712.12</v>
      </c>
      <c r="G22" s="192">
        <v>3727</v>
      </c>
      <c r="H22" s="125">
        <f>ROUND(G22*Valores!$C$2,2)</f>
        <v>101080.71</v>
      </c>
      <c r="I22" s="192">
        <v>219</v>
      </c>
      <c r="J22" s="125">
        <f>ROUND(I22*Valores!$C$2,2)</f>
        <v>5939.54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18230.09</v>
      </c>
      <c r="N22" s="125">
        <f t="shared" si="1"/>
        <v>0</v>
      </c>
      <c r="O22" s="125">
        <f>Valores!$C$11</f>
        <v>24183.22</v>
      </c>
      <c r="P22" s="125">
        <f>Valores!$D$5</f>
        <v>13864.36</v>
      </c>
      <c r="Q22" s="125">
        <v>0</v>
      </c>
      <c r="R22" s="125">
        <f>IF($F$4="NO",Valores!$C$46,Valores!$C$46/2)</f>
        <v>11801.55</v>
      </c>
      <c r="S22" s="125">
        <v>0</v>
      </c>
      <c r="T22" s="125">
        <f t="shared" si="7"/>
        <v>0</v>
      </c>
      <c r="U22" s="125">
        <f>SUM(F22,H22,J22)</f>
        <v>109732.37</v>
      </c>
      <c r="V22" s="125">
        <f>INT((SUM(F22,H22,J22)*0.4*100)+0.49)/100</f>
        <v>43892.95</v>
      </c>
      <c r="W22" s="192">
        <v>0</v>
      </c>
      <c r="X22" s="125">
        <f>ROUND(W22*Valores!$C$2,2)</f>
        <v>0</v>
      </c>
      <c r="Y22" s="125">
        <v>0</v>
      </c>
      <c r="Z22" s="125">
        <f>Valores!$C$94</f>
        <v>6318.76</v>
      </c>
      <c r="AA22" s="125">
        <f>Valores!$C$25</f>
        <v>567.06</v>
      </c>
      <c r="AB22" s="214">
        <v>0</v>
      </c>
      <c r="AC22" s="125">
        <f t="shared" si="2"/>
        <v>0</v>
      </c>
      <c r="AD22" s="125">
        <f>Valores!$C$26</f>
        <v>567.06</v>
      </c>
      <c r="AE22" s="192">
        <v>0</v>
      </c>
      <c r="AF22" s="125">
        <f>ROUND(AE22*Valores!$C$2,2)</f>
        <v>0</v>
      </c>
      <c r="AG22" s="125">
        <f>ROUND(IF($F$4="NO",Valores!$C$63,Valores!$C$63/2),2)</f>
        <v>6482.98</v>
      </c>
      <c r="AH22" s="125">
        <f t="shared" si="5"/>
        <v>345372.76999999996</v>
      </c>
      <c r="AI22" s="125">
        <f>Valores!$C$31</f>
        <v>0</v>
      </c>
      <c r="AJ22" s="125">
        <f>Valores!$C$87</f>
        <v>0</v>
      </c>
      <c r="AK22" s="125">
        <f>Valores!C$38*B22</f>
        <v>30000</v>
      </c>
      <c r="AL22" s="125">
        <f>IF($F$3="NO",0,Valores!$C$55)</f>
        <v>327.6</v>
      </c>
      <c r="AM22" s="125">
        <f t="shared" si="3"/>
        <v>30327.6</v>
      </c>
      <c r="AN22" s="125">
        <f>AH22*Valores!$C$71</f>
        <v>-37991.0047</v>
      </c>
      <c r="AO22" s="125">
        <f>AH22*-Valores!$C$72</f>
        <v>0</v>
      </c>
      <c r="AP22" s="125">
        <f>AH22*Valores!$C$73</f>
        <v>-15541.774649999998</v>
      </c>
      <c r="AQ22" s="125">
        <f>Valores!$C$100</f>
        <v>-280.91</v>
      </c>
      <c r="AR22" s="125">
        <f>IF($F$5=0,Valores!$C$101,(Valores!$C$101+$F$5*(Valores!$C$101)))</f>
        <v>-385</v>
      </c>
      <c r="AS22" s="125">
        <f t="shared" si="6"/>
        <v>321501.68064999994</v>
      </c>
      <c r="AT22" s="125">
        <f t="shared" si="0"/>
        <v>-37991.0047</v>
      </c>
      <c r="AU22" s="125">
        <f>AH22*Valores!$C$74</f>
        <v>-9325.064789999999</v>
      </c>
      <c r="AV22" s="125">
        <f>AH22*Valores!$C$75</f>
        <v>-1036.1183099999998</v>
      </c>
      <c r="AW22" s="125">
        <f t="shared" si="4"/>
        <v>327348.1821999999</v>
      </c>
      <c r="AX22" s="126"/>
      <c r="AY22" s="126">
        <v>45</v>
      </c>
      <c r="AZ22" s="123" t="s">
        <v>8</v>
      </c>
    </row>
    <row r="23" spans="1:52" s="110" customFormat="1" ht="11.25" customHeight="1">
      <c r="A23" s="123" t="s">
        <v>140</v>
      </c>
      <c r="B23" s="123">
        <v>1</v>
      </c>
      <c r="C23" s="126">
        <v>16</v>
      </c>
      <c r="D23" s="124" t="s">
        <v>141</v>
      </c>
      <c r="E23" s="192">
        <v>100</v>
      </c>
      <c r="F23" s="125">
        <f>ROUND(E23*Valores!$C$2,2)</f>
        <v>2712.12</v>
      </c>
      <c r="G23" s="192">
        <v>3727</v>
      </c>
      <c r="H23" s="125">
        <f>ROUND(G23*Valores!$C$2,2)</f>
        <v>101080.71</v>
      </c>
      <c r="I23" s="192">
        <v>219</v>
      </c>
      <c r="J23" s="125">
        <f>ROUND(I23*Valores!$C$2,2)</f>
        <v>5939.54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18230.09</v>
      </c>
      <c r="N23" s="125">
        <f t="shared" si="1"/>
        <v>0</v>
      </c>
      <c r="O23" s="125">
        <f>Valores!$C$11</f>
        <v>24183.22</v>
      </c>
      <c r="P23" s="125">
        <f>Valores!$D$5</f>
        <v>13864.36</v>
      </c>
      <c r="Q23" s="125">
        <v>0</v>
      </c>
      <c r="R23" s="125">
        <f>IF($F$4="NO",Valores!$C$46,Valores!$C$46/2)</f>
        <v>11801.55</v>
      </c>
      <c r="S23" s="125">
        <v>0</v>
      </c>
      <c r="T23" s="125">
        <f t="shared" si="7"/>
        <v>0</v>
      </c>
      <c r="U23" s="125">
        <f>SUM(F23,H23,J23)</f>
        <v>109732.37</v>
      </c>
      <c r="V23" s="125">
        <f>INT((SUM(F23,H23,J23)*0.4*100)+0.49)/100</f>
        <v>43892.95</v>
      </c>
      <c r="W23" s="192">
        <v>0</v>
      </c>
      <c r="X23" s="125">
        <f>ROUND(W23*Valores!$C$2,2)</f>
        <v>0</v>
      </c>
      <c r="Y23" s="125">
        <v>0</v>
      </c>
      <c r="Z23" s="125">
        <f>Valores!$C$94</f>
        <v>6318.76</v>
      </c>
      <c r="AA23" s="125">
        <f>Valores!$C$25</f>
        <v>567.06</v>
      </c>
      <c r="AB23" s="214">
        <v>0</v>
      </c>
      <c r="AC23" s="125">
        <f t="shared" si="2"/>
        <v>0</v>
      </c>
      <c r="AD23" s="125">
        <f>Valores!$C$26</f>
        <v>567.06</v>
      </c>
      <c r="AE23" s="192">
        <v>0</v>
      </c>
      <c r="AF23" s="125">
        <f>ROUND(AE23*Valores!$C$2,2)</f>
        <v>0</v>
      </c>
      <c r="AG23" s="125">
        <f>ROUND(IF($F$4="NO",Valores!$C$63,Valores!$C$63/2),2)</f>
        <v>6482.98</v>
      </c>
      <c r="AH23" s="125">
        <f t="shared" si="5"/>
        <v>345372.76999999996</v>
      </c>
      <c r="AI23" s="125">
        <f>Valores!$C$31</f>
        <v>0</v>
      </c>
      <c r="AJ23" s="125">
        <f>Valores!$C$87</f>
        <v>0</v>
      </c>
      <c r="AK23" s="125">
        <f>Valores!C$38*B23</f>
        <v>30000</v>
      </c>
      <c r="AL23" s="125">
        <f>IF($F$3="NO",0,Valores!$C$55)</f>
        <v>327.6</v>
      </c>
      <c r="AM23" s="125">
        <f t="shared" si="3"/>
        <v>30327.6</v>
      </c>
      <c r="AN23" s="125">
        <f>AH23*Valores!$C$71</f>
        <v>-37991.0047</v>
      </c>
      <c r="AO23" s="125">
        <f>AH23*-Valores!$C$72</f>
        <v>0</v>
      </c>
      <c r="AP23" s="125">
        <f>AH23*Valores!$C$73</f>
        <v>-15541.774649999998</v>
      </c>
      <c r="AQ23" s="125">
        <f>Valores!$C$100</f>
        <v>-280.91</v>
      </c>
      <c r="AR23" s="125">
        <f>IF($F$5=0,Valores!$C$101,(Valores!$C$101+$F$5*(Valores!$C$101)))</f>
        <v>-385</v>
      </c>
      <c r="AS23" s="125">
        <f t="shared" si="6"/>
        <v>321501.68064999994</v>
      </c>
      <c r="AT23" s="125">
        <f t="shared" si="0"/>
        <v>-37991.0047</v>
      </c>
      <c r="AU23" s="125">
        <f>AH23*Valores!$C$74</f>
        <v>-9325.064789999999</v>
      </c>
      <c r="AV23" s="125">
        <f>AH23*Valores!$C$75</f>
        <v>-1036.1183099999998</v>
      </c>
      <c r="AW23" s="125">
        <f t="shared" si="4"/>
        <v>327348.1821999999</v>
      </c>
      <c r="AX23" s="126"/>
      <c r="AY23" s="126">
        <v>45</v>
      </c>
      <c r="AZ23" s="123" t="s">
        <v>8</v>
      </c>
    </row>
    <row r="24" spans="1:52" s="110" customFormat="1" ht="11.25" customHeight="1">
      <c r="A24" s="123" t="s">
        <v>142</v>
      </c>
      <c r="B24" s="123">
        <v>1</v>
      </c>
      <c r="C24" s="126">
        <v>17</v>
      </c>
      <c r="D24" s="124" t="s">
        <v>143</v>
      </c>
      <c r="E24" s="192">
        <v>100</v>
      </c>
      <c r="F24" s="125">
        <f>ROUND(E24*Valores!$C$2,2)</f>
        <v>2712.12</v>
      </c>
      <c r="G24" s="192">
        <v>3727</v>
      </c>
      <c r="H24" s="125">
        <f>ROUND(G24*Valores!$C$2,2)</f>
        <v>101080.71</v>
      </c>
      <c r="I24" s="192">
        <v>219</v>
      </c>
      <c r="J24" s="125">
        <f>ROUND(I24*Valores!$C$2,2)</f>
        <v>5939.54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18230.09</v>
      </c>
      <c r="N24" s="125">
        <f t="shared" si="1"/>
        <v>0</v>
      </c>
      <c r="O24" s="125">
        <f>Valores!$C$11</f>
        <v>24183.22</v>
      </c>
      <c r="P24" s="125">
        <f>Valores!$D$5</f>
        <v>13864.36</v>
      </c>
      <c r="Q24" s="125">
        <v>0</v>
      </c>
      <c r="R24" s="125">
        <f>IF($F$4="NO",Valores!$C$46,Valores!$C$46/2)</f>
        <v>11801.55</v>
      </c>
      <c r="S24" s="125">
        <v>0</v>
      </c>
      <c r="T24" s="125">
        <f t="shared" si="7"/>
        <v>0</v>
      </c>
      <c r="U24" s="125">
        <f>SUM(F24,H24,J24)</f>
        <v>109732.37</v>
      </c>
      <c r="V24" s="125">
        <f>INT((SUM(F24,H24,J24)*0.4*100)+0.49)/100</f>
        <v>43892.95</v>
      </c>
      <c r="W24" s="192">
        <v>0</v>
      </c>
      <c r="X24" s="125">
        <f>ROUND(W24*Valores!$C$2,2)</f>
        <v>0</v>
      </c>
      <c r="Y24" s="125">
        <v>0</v>
      </c>
      <c r="Z24" s="125">
        <f>Valores!$C$94</f>
        <v>6318.76</v>
      </c>
      <c r="AA24" s="125">
        <f>Valores!$C$25</f>
        <v>567.06</v>
      </c>
      <c r="AB24" s="214">
        <v>0</v>
      </c>
      <c r="AC24" s="125">
        <f t="shared" si="2"/>
        <v>0</v>
      </c>
      <c r="AD24" s="125">
        <f>Valores!$C$26</f>
        <v>567.06</v>
      </c>
      <c r="AE24" s="192">
        <v>0</v>
      </c>
      <c r="AF24" s="125">
        <f>ROUND(AE24*Valores!$C$2,2)</f>
        <v>0</v>
      </c>
      <c r="AG24" s="125">
        <f>ROUND(IF($F$4="NO",Valores!$C$63,Valores!$C$63/2),2)</f>
        <v>6482.98</v>
      </c>
      <c r="AH24" s="125">
        <f t="shared" si="5"/>
        <v>345372.76999999996</v>
      </c>
      <c r="AI24" s="125">
        <f>Valores!$C$31</f>
        <v>0</v>
      </c>
      <c r="AJ24" s="125">
        <f>Valores!$C$87</f>
        <v>0</v>
      </c>
      <c r="AK24" s="125">
        <f>Valores!C$38*B24</f>
        <v>30000</v>
      </c>
      <c r="AL24" s="125">
        <f>IF($F$3="NO",0,Valores!$C$55)</f>
        <v>327.6</v>
      </c>
      <c r="AM24" s="125">
        <f t="shared" si="3"/>
        <v>30327.6</v>
      </c>
      <c r="AN24" s="125">
        <f>AH24*Valores!$C$71</f>
        <v>-37991.0047</v>
      </c>
      <c r="AO24" s="125">
        <f>AH24*-Valores!$C$72</f>
        <v>0</v>
      </c>
      <c r="AP24" s="125">
        <f>AH24*Valores!$C$73</f>
        <v>-15541.774649999998</v>
      </c>
      <c r="AQ24" s="125">
        <f>Valores!$C$100</f>
        <v>-280.91</v>
      </c>
      <c r="AR24" s="125">
        <f>IF($F$5=0,Valores!$C$101,(Valores!$C$101+$F$5*(Valores!$C$101)))</f>
        <v>-385</v>
      </c>
      <c r="AS24" s="125">
        <f t="shared" si="6"/>
        <v>321501.68064999994</v>
      </c>
      <c r="AT24" s="125">
        <f t="shared" si="0"/>
        <v>-37991.0047</v>
      </c>
      <c r="AU24" s="125">
        <f>AH24*Valores!$C$74</f>
        <v>-9325.064789999999</v>
      </c>
      <c r="AV24" s="125">
        <f>AH24*Valores!$C$75</f>
        <v>-1036.1183099999998</v>
      </c>
      <c r="AW24" s="125">
        <f t="shared" si="4"/>
        <v>327348.1821999999</v>
      </c>
      <c r="AX24" s="126"/>
      <c r="AY24" s="126">
        <v>45</v>
      </c>
      <c r="AZ24" s="123" t="s">
        <v>8</v>
      </c>
    </row>
    <row r="25" spans="1:52" s="110" customFormat="1" ht="11.25" customHeight="1">
      <c r="A25" s="123" t="s">
        <v>144</v>
      </c>
      <c r="B25" s="123">
        <v>1</v>
      </c>
      <c r="C25" s="126">
        <v>18</v>
      </c>
      <c r="D25" s="124" t="s">
        <v>145</v>
      </c>
      <c r="E25" s="192">
        <v>96</v>
      </c>
      <c r="F25" s="125">
        <f>ROUND(E25*Valores!$C$2,2)</f>
        <v>2603.64</v>
      </c>
      <c r="G25" s="192">
        <v>3737</v>
      </c>
      <c r="H25" s="125">
        <f>ROUND(G25*Valores!$C$2,2)</f>
        <v>101351.92</v>
      </c>
      <c r="I25" s="192">
        <v>1220</v>
      </c>
      <c r="J25" s="125">
        <f>ROUND(I25*Valores!$C$2,2)</f>
        <v>33087.86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24665.74</v>
      </c>
      <c r="N25" s="125">
        <f t="shared" si="1"/>
        <v>0</v>
      </c>
      <c r="O25" s="125">
        <f>Valores!$C$12</f>
        <v>55613.13</v>
      </c>
      <c r="P25" s="125">
        <f>Valores!$D$5</f>
        <v>13864.36</v>
      </c>
      <c r="Q25" s="125">
        <v>0</v>
      </c>
      <c r="R25" s="125">
        <f>IF($F$4="NO",Valores!$C$47,Valores!$C$47/2)</f>
        <v>14493.86</v>
      </c>
      <c r="S25" s="125">
        <f>Valores!$C$19</f>
        <v>12901.01</v>
      </c>
      <c r="T25" s="125">
        <f t="shared" si="7"/>
        <v>12901.01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Valores!$C$96</f>
        <v>12637.52</v>
      </c>
      <c r="AA25" s="125">
        <f>Valores!$C$25</f>
        <v>567.06</v>
      </c>
      <c r="AB25" s="214">
        <v>0</v>
      </c>
      <c r="AC25" s="125">
        <f t="shared" si="2"/>
        <v>0</v>
      </c>
      <c r="AD25" s="125">
        <f>Valores!$C$26</f>
        <v>567.06</v>
      </c>
      <c r="AE25" s="192">
        <v>0</v>
      </c>
      <c r="AF25" s="125">
        <f>ROUND(AE25*Valores!$C$2,2)</f>
        <v>0</v>
      </c>
      <c r="AG25" s="125">
        <f>ROUND(IF($F$4="NO",Valores!$C$63,Valores!$C$63/2),2)</f>
        <v>6482.98</v>
      </c>
      <c r="AH25" s="125">
        <f t="shared" si="5"/>
        <v>278836.13999999996</v>
      </c>
      <c r="AI25" s="125">
        <f>Valores!$C$31</f>
        <v>0</v>
      </c>
      <c r="AJ25" s="125">
        <f>Valores!$C$89</f>
        <v>0</v>
      </c>
      <c r="AK25" s="125">
        <f>Valores!C$38*B25</f>
        <v>30000</v>
      </c>
      <c r="AL25" s="125">
        <f>IF($F$3="NO",0,Valores!$C$55)</f>
        <v>327.6</v>
      </c>
      <c r="AM25" s="125">
        <f t="shared" si="3"/>
        <v>30327.6</v>
      </c>
      <c r="AN25" s="125">
        <f>AH25*Valores!$C$71</f>
        <v>-30671.975399999996</v>
      </c>
      <c r="AO25" s="125">
        <f>AH25*-Valores!$C$72</f>
        <v>0</v>
      </c>
      <c r="AP25" s="125">
        <f>AH25*Valores!$C$73</f>
        <v>-12547.626299999998</v>
      </c>
      <c r="AQ25" s="125">
        <f>Valores!$C$100</f>
        <v>-280.91</v>
      </c>
      <c r="AR25" s="125">
        <f>IF($F$5=0,Valores!$C$101,(Valores!$C$101+$F$5*(Valores!$C$101)))</f>
        <v>-385</v>
      </c>
      <c r="AS25" s="125">
        <f t="shared" si="6"/>
        <v>265278.22829999996</v>
      </c>
      <c r="AT25" s="125">
        <f t="shared" si="0"/>
        <v>-30671.975399999996</v>
      </c>
      <c r="AU25" s="125">
        <f>AH25*Valores!$C$74</f>
        <v>-7528.575779999998</v>
      </c>
      <c r="AV25" s="125">
        <f>AH25*Valores!$C$75</f>
        <v>-836.5084199999999</v>
      </c>
      <c r="AW25" s="125">
        <f t="shared" si="4"/>
        <v>270126.68039999995</v>
      </c>
      <c r="AX25" s="126"/>
      <c r="AY25" s="126">
        <v>45</v>
      </c>
      <c r="AZ25" s="123" t="s">
        <v>4</v>
      </c>
    </row>
    <row r="26" spans="1:52" s="110" customFormat="1" ht="11.25" customHeight="1">
      <c r="A26" s="123" t="s">
        <v>146</v>
      </c>
      <c r="B26" s="123">
        <v>1</v>
      </c>
      <c r="C26" s="126">
        <v>19</v>
      </c>
      <c r="D26" s="124" t="s">
        <v>147</v>
      </c>
      <c r="E26" s="192">
        <v>96</v>
      </c>
      <c r="F26" s="125">
        <f>ROUND(E26*Valores!$C$2,2)</f>
        <v>2603.64</v>
      </c>
      <c r="G26" s="192">
        <v>3737</v>
      </c>
      <c r="H26" s="125">
        <f>ROUND(G26*Valores!$C$2,2)</f>
        <v>101351.92</v>
      </c>
      <c r="I26" s="192">
        <v>1220</v>
      </c>
      <c r="J26" s="125">
        <f>ROUND(I26*Valores!$C$2,2)</f>
        <v>33087.86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24665.74</v>
      </c>
      <c r="N26" s="125">
        <f t="shared" si="1"/>
        <v>0</v>
      </c>
      <c r="O26" s="125">
        <f>Valores!$C$12</f>
        <v>55613.13</v>
      </c>
      <c r="P26" s="125">
        <f>Valores!$D$5</f>
        <v>13864.36</v>
      </c>
      <c r="Q26" s="125">
        <v>0</v>
      </c>
      <c r="R26" s="125">
        <f>IF($F$4="NO",Valores!$C$47,Valores!$C$47/2)</f>
        <v>14493.86</v>
      </c>
      <c r="S26" s="125">
        <f>Valores!$C$19</f>
        <v>12901.01</v>
      </c>
      <c r="T26" s="125">
        <f t="shared" si="7"/>
        <v>12901.01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Valores!$C$96</f>
        <v>12637.52</v>
      </c>
      <c r="AA26" s="125">
        <f>Valores!$C$25</f>
        <v>567.06</v>
      </c>
      <c r="AB26" s="214">
        <v>0</v>
      </c>
      <c r="AC26" s="125">
        <f t="shared" si="2"/>
        <v>0</v>
      </c>
      <c r="AD26" s="125">
        <f>Valores!$C$26</f>
        <v>567.06</v>
      </c>
      <c r="AE26" s="192">
        <v>0</v>
      </c>
      <c r="AF26" s="125">
        <f>ROUND(AE26*Valores!$C$2,2)</f>
        <v>0</v>
      </c>
      <c r="AG26" s="125">
        <f>ROUND(IF($F$4="NO",Valores!$C$63,Valores!$C$63/2),2)</f>
        <v>6482.98</v>
      </c>
      <c r="AH26" s="125">
        <f t="shared" si="5"/>
        <v>278836.13999999996</v>
      </c>
      <c r="AI26" s="125">
        <f>Valores!$C$31</f>
        <v>0</v>
      </c>
      <c r="AJ26" s="125">
        <f>Valores!$C$89</f>
        <v>0</v>
      </c>
      <c r="AK26" s="125">
        <f>Valores!C$38*B26</f>
        <v>30000</v>
      </c>
      <c r="AL26" s="125">
        <f>IF($F$3="NO",0,Valores!$C$55)</f>
        <v>327.6</v>
      </c>
      <c r="AM26" s="125">
        <f t="shared" si="3"/>
        <v>30327.6</v>
      </c>
      <c r="AN26" s="125">
        <f>AH26*Valores!$C$71</f>
        <v>-30671.975399999996</v>
      </c>
      <c r="AO26" s="125">
        <f>AH26*-Valores!$C$72</f>
        <v>0</v>
      </c>
      <c r="AP26" s="125">
        <f>AH26*Valores!$C$73</f>
        <v>-12547.626299999998</v>
      </c>
      <c r="AQ26" s="125">
        <f>Valores!$C$100</f>
        <v>-280.91</v>
      </c>
      <c r="AR26" s="125">
        <f>IF($F$5=0,Valores!$C$101,(Valores!$C$101+$F$5*(Valores!$C$101)))</f>
        <v>-385</v>
      </c>
      <c r="AS26" s="125">
        <f t="shared" si="6"/>
        <v>265278.22829999996</v>
      </c>
      <c r="AT26" s="125">
        <f t="shared" si="0"/>
        <v>-30671.975399999996</v>
      </c>
      <c r="AU26" s="125">
        <f>AH26*Valores!$C$74</f>
        <v>-7528.575779999998</v>
      </c>
      <c r="AV26" s="125">
        <f>AH26*Valores!$C$75</f>
        <v>-836.5084199999999</v>
      </c>
      <c r="AW26" s="125">
        <f t="shared" si="4"/>
        <v>270126.68039999995</v>
      </c>
      <c r="AX26" s="126"/>
      <c r="AY26" s="126">
        <v>45</v>
      </c>
      <c r="AZ26" s="123" t="s">
        <v>4</v>
      </c>
    </row>
    <row r="27" spans="1:52" s="110" customFormat="1" ht="11.25" customHeight="1">
      <c r="A27" s="123" t="s">
        <v>148</v>
      </c>
      <c r="B27" s="123">
        <v>1</v>
      </c>
      <c r="C27" s="126">
        <v>20</v>
      </c>
      <c r="D27" s="124" t="s">
        <v>149</v>
      </c>
      <c r="E27" s="192">
        <v>96</v>
      </c>
      <c r="F27" s="125">
        <f>ROUND(E27*Valores!$C$2,2)</f>
        <v>2603.64</v>
      </c>
      <c r="G27" s="192">
        <v>3737</v>
      </c>
      <c r="H27" s="125">
        <f>ROUND(G27*Valores!$C$2,2)</f>
        <v>101351.92</v>
      </c>
      <c r="I27" s="192">
        <v>1220</v>
      </c>
      <c r="J27" s="125">
        <f>ROUND(I27*Valores!$C$2,2)</f>
        <v>33087.86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24665.74</v>
      </c>
      <c r="N27" s="125">
        <f t="shared" si="1"/>
        <v>0</v>
      </c>
      <c r="O27" s="125">
        <f>Valores!$C$12</f>
        <v>55613.13</v>
      </c>
      <c r="P27" s="125">
        <f>Valores!$D$5</f>
        <v>13864.36</v>
      </c>
      <c r="Q27" s="125">
        <v>0</v>
      </c>
      <c r="R27" s="125">
        <f>IF($F$4="NO",Valores!$C$47,Valores!$C$47/2)</f>
        <v>14493.86</v>
      </c>
      <c r="S27" s="125">
        <f>Valores!$C$19</f>
        <v>12901.01</v>
      </c>
      <c r="T27" s="125">
        <f t="shared" si="7"/>
        <v>12901.01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Valores!$C$96</f>
        <v>12637.52</v>
      </c>
      <c r="AA27" s="125">
        <f>Valores!$C$25</f>
        <v>567.06</v>
      </c>
      <c r="AB27" s="214">
        <v>0</v>
      </c>
      <c r="AC27" s="125">
        <f t="shared" si="2"/>
        <v>0</v>
      </c>
      <c r="AD27" s="125">
        <f>Valores!$C$26</f>
        <v>567.06</v>
      </c>
      <c r="AE27" s="192">
        <v>0</v>
      </c>
      <c r="AF27" s="125">
        <f>ROUND(AE27*Valores!$C$2,2)</f>
        <v>0</v>
      </c>
      <c r="AG27" s="125">
        <f>ROUND(IF($F$4="NO",Valores!$C$63,Valores!$C$63/2),2)</f>
        <v>6482.98</v>
      </c>
      <c r="AH27" s="125">
        <f t="shared" si="5"/>
        <v>278836.13999999996</v>
      </c>
      <c r="AI27" s="125">
        <f>Valores!$C$31</f>
        <v>0</v>
      </c>
      <c r="AJ27" s="125">
        <f>Valores!$C$89</f>
        <v>0</v>
      </c>
      <c r="AK27" s="125">
        <f>Valores!C$38*B27</f>
        <v>30000</v>
      </c>
      <c r="AL27" s="125">
        <f>IF($F$3="NO",0,Valores!$C$55)</f>
        <v>327.6</v>
      </c>
      <c r="AM27" s="125">
        <f t="shared" si="3"/>
        <v>30327.6</v>
      </c>
      <c r="AN27" s="125">
        <f>AH27*Valores!$C$71</f>
        <v>-30671.975399999996</v>
      </c>
      <c r="AO27" s="125">
        <f>AH27*-Valores!$C$72</f>
        <v>0</v>
      </c>
      <c r="AP27" s="125">
        <f>AH27*Valores!$C$73</f>
        <v>-12547.626299999998</v>
      </c>
      <c r="AQ27" s="125">
        <f>Valores!$C$100</f>
        <v>-280.91</v>
      </c>
      <c r="AR27" s="125">
        <f>IF($F$5=0,Valores!$C$101,(Valores!$C$101+$F$5*(Valores!$C$101)))</f>
        <v>-385</v>
      </c>
      <c r="AS27" s="125">
        <f t="shared" si="6"/>
        <v>265278.22829999996</v>
      </c>
      <c r="AT27" s="125">
        <f t="shared" si="0"/>
        <v>-30671.975399999996</v>
      </c>
      <c r="AU27" s="125">
        <f>AH27*Valores!$C$74</f>
        <v>-7528.575779999998</v>
      </c>
      <c r="AV27" s="125">
        <f>AH27*Valores!$C$75</f>
        <v>-836.5084199999999</v>
      </c>
      <c r="AW27" s="125">
        <f t="shared" si="4"/>
        <v>270126.68039999995</v>
      </c>
      <c r="AX27" s="126"/>
      <c r="AY27" s="126">
        <v>45</v>
      </c>
      <c r="AZ27" s="123" t="s">
        <v>4</v>
      </c>
    </row>
    <row r="28" spans="1:52" s="110" customFormat="1" ht="11.25" customHeight="1">
      <c r="A28" s="123" t="s">
        <v>150</v>
      </c>
      <c r="B28" s="123">
        <v>1</v>
      </c>
      <c r="C28" s="126">
        <v>21</v>
      </c>
      <c r="D28" s="124" t="s">
        <v>151</v>
      </c>
      <c r="E28" s="192">
        <v>107</v>
      </c>
      <c r="F28" s="125">
        <f>ROUND(E28*Valores!$C$2,2)</f>
        <v>2901.97</v>
      </c>
      <c r="G28" s="192">
        <v>3728</v>
      </c>
      <c r="H28" s="125">
        <f>ROUND(G28*Valores!$C$2,2)</f>
        <v>101107.83</v>
      </c>
      <c r="I28" s="192">
        <v>1218</v>
      </c>
      <c r="J28" s="125">
        <f>ROUND(I28*Valores!$C$2,2)</f>
        <v>33033.62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24665.74</v>
      </c>
      <c r="N28" s="125">
        <f t="shared" si="1"/>
        <v>0</v>
      </c>
      <c r="O28" s="125">
        <f>Valores!$C$12</f>
        <v>55613.13</v>
      </c>
      <c r="P28" s="125">
        <f>Valores!$D$5</f>
        <v>13864.36</v>
      </c>
      <c r="Q28" s="125">
        <v>0</v>
      </c>
      <c r="R28" s="125">
        <f>IF($F$4="NO",Valores!$C$47,Valores!$C$47/2)</f>
        <v>14493.86</v>
      </c>
      <c r="S28" s="125">
        <f>Valores!$C$19</f>
        <v>12901.01</v>
      </c>
      <c r="T28" s="125">
        <f t="shared" si="7"/>
        <v>12901.01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Valores!$C$96</f>
        <v>12637.52</v>
      </c>
      <c r="AA28" s="125">
        <f>Valores!$C$25</f>
        <v>567.06</v>
      </c>
      <c r="AB28" s="214">
        <v>0</v>
      </c>
      <c r="AC28" s="125">
        <f t="shared" si="2"/>
        <v>0</v>
      </c>
      <c r="AD28" s="125">
        <f>Valores!$C$26</f>
        <v>567.06</v>
      </c>
      <c r="AE28" s="192">
        <v>0</v>
      </c>
      <c r="AF28" s="125">
        <f>ROUND(AE28*Valores!$C$2,2)</f>
        <v>0</v>
      </c>
      <c r="AG28" s="125">
        <f>ROUND(IF($F$4="NO",Valores!$C$63,Valores!$C$63/2),2)</f>
        <v>6482.98</v>
      </c>
      <c r="AH28" s="125">
        <f t="shared" si="5"/>
        <v>278836.14</v>
      </c>
      <c r="AI28" s="125">
        <f>Valores!$C$31</f>
        <v>0</v>
      </c>
      <c r="AJ28" s="125">
        <f>Valores!$C$89</f>
        <v>0</v>
      </c>
      <c r="AK28" s="125">
        <f>Valores!C$38*B28</f>
        <v>30000</v>
      </c>
      <c r="AL28" s="125">
        <f>IF($F$3="NO",0,Valores!$C$55)</f>
        <v>327.6</v>
      </c>
      <c r="AM28" s="125">
        <f t="shared" si="3"/>
        <v>30327.6</v>
      </c>
      <c r="AN28" s="125">
        <f>AH28*Valores!$C$71</f>
        <v>-30671.975400000003</v>
      </c>
      <c r="AO28" s="125">
        <f>AH28*-Valores!$C$72</f>
        <v>0</v>
      </c>
      <c r="AP28" s="125">
        <f>AH28*Valores!$C$73</f>
        <v>-12547.6263</v>
      </c>
      <c r="AQ28" s="125">
        <f>Valores!$C$100</f>
        <v>-280.91</v>
      </c>
      <c r="AR28" s="125">
        <f>IF($F$5=0,Valores!$C$101,(Valores!$C$101+$F$5*(Valores!$C$101)))</f>
        <v>-385</v>
      </c>
      <c r="AS28" s="125">
        <f t="shared" si="6"/>
        <v>265278.2283</v>
      </c>
      <c r="AT28" s="125">
        <f t="shared" si="0"/>
        <v>-30671.975400000003</v>
      </c>
      <c r="AU28" s="125">
        <f>AH28*Valores!$C$74</f>
        <v>-7528.57578</v>
      </c>
      <c r="AV28" s="125">
        <f>AH28*Valores!$C$75</f>
        <v>-836.5084200000001</v>
      </c>
      <c r="AW28" s="125">
        <f t="shared" si="4"/>
        <v>270126.6804</v>
      </c>
      <c r="AX28" s="126"/>
      <c r="AY28" s="126">
        <v>45</v>
      </c>
      <c r="AZ28" s="123" t="s">
        <v>8</v>
      </c>
    </row>
    <row r="29" spans="1:52" s="110" customFormat="1" ht="11.25" customHeight="1">
      <c r="A29" s="123" t="s">
        <v>152</v>
      </c>
      <c r="B29" s="123">
        <v>1</v>
      </c>
      <c r="C29" s="126">
        <v>22</v>
      </c>
      <c r="D29" s="124" t="s">
        <v>153</v>
      </c>
      <c r="E29" s="192">
        <v>94</v>
      </c>
      <c r="F29" s="125">
        <f>ROUND(E29*Valores!$C$2,2)</f>
        <v>2549.39</v>
      </c>
      <c r="G29" s="192">
        <v>3624</v>
      </c>
      <c r="H29" s="125">
        <f>ROUND(G29*Valores!$C$2,2)</f>
        <v>98287.23</v>
      </c>
      <c r="I29" s="192">
        <v>1219</v>
      </c>
      <c r="J29" s="125">
        <f>ROUND(I29*Valores!$C$2,2)</f>
        <v>33060.74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24193.83</v>
      </c>
      <c r="N29" s="125">
        <f t="shared" si="1"/>
        <v>0</v>
      </c>
      <c r="O29" s="125">
        <f>Valores!$C$12</f>
        <v>55613.13</v>
      </c>
      <c r="P29" s="125">
        <f>Valores!$D$5</f>
        <v>13864.36</v>
      </c>
      <c r="Q29" s="125">
        <v>0</v>
      </c>
      <c r="R29" s="125">
        <f>IF($F$4="NO",Valores!$C$47,Valores!$C$47/2)</f>
        <v>14493.86</v>
      </c>
      <c r="S29" s="125">
        <f>Valores!$C$19</f>
        <v>12901.01</v>
      </c>
      <c r="T29" s="125">
        <f t="shared" si="7"/>
        <v>12901.01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Valores!$C$96</f>
        <v>12637.52</v>
      </c>
      <c r="AA29" s="125">
        <f>Valores!$C$25</f>
        <v>567.06</v>
      </c>
      <c r="AB29" s="214">
        <v>0</v>
      </c>
      <c r="AC29" s="125">
        <f t="shared" si="2"/>
        <v>0</v>
      </c>
      <c r="AD29" s="125">
        <f>Valores!$C$26</f>
        <v>567.06</v>
      </c>
      <c r="AE29" s="192">
        <v>0</v>
      </c>
      <c r="AF29" s="125">
        <f>ROUND(AE29*Valores!$C$2,2)</f>
        <v>0</v>
      </c>
      <c r="AG29" s="125">
        <f>ROUND(IF($F$4="NO",Valores!$C$63,Valores!$C$63/2),2)</f>
        <v>6482.98</v>
      </c>
      <c r="AH29" s="125">
        <f t="shared" si="5"/>
        <v>275218.17</v>
      </c>
      <c r="AI29" s="125">
        <f>Valores!$C$31</f>
        <v>0</v>
      </c>
      <c r="AJ29" s="125">
        <f>Valores!$C$89</f>
        <v>0</v>
      </c>
      <c r="AK29" s="125">
        <f>Valores!C$38*B29</f>
        <v>30000</v>
      </c>
      <c r="AL29" s="125">
        <f>IF($F$3="NO",0,Valores!$C$55)</f>
        <v>327.6</v>
      </c>
      <c r="AM29" s="125">
        <f t="shared" si="3"/>
        <v>30327.6</v>
      </c>
      <c r="AN29" s="125">
        <f>AH29*Valores!$C$71</f>
        <v>-30273.9987</v>
      </c>
      <c r="AO29" s="125">
        <f>AH29*-Valores!$C$72</f>
        <v>0</v>
      </c>
      <c r="AP29" s="125">
        <f>AH29*Valores!$C$73</f>
        <v>-12384.817649999999</v>
      </c>
      <c r="AQ29" s="125">
        <f>Valores!$C$100</f>
        <v>-280.91</v>
      </c>
      <c r="AR29" s="125">
        <f>IF($F$5=0,Valores!$C$101,(Valores!$C$101+$F$5*(Valores!$C$101)))</f>
        <v>-385</v>
      </c>
      <c r="AS29" s="125">
        <f t="shared" si="6"/>
        <v>262221.04365</v>
      </c>
      <c r="AT29" s="125">
        <f t="shared" si="0"/>
        <v>-30273.9987</v>
      </c>
      <c r="AU29" s="125">
        <f>AH29*Valores!$C$74</f>
        <v>-7430.890589999999</v>
      </c>
      <c r="AV29" s="125">
        <f>AH29*Valores!$C$75</f>
        <v>-825.65451</v>
      </c>
      <c r="AW29" s="125">
        <f t="shared" si="4"/>
        <v>267015.2262</v>
      </c>
      <c r="AX29" s="126"/>
      <c r="AY29" s="126">
        <v>45</v>
      </c>
      <c r="AZ29" s="123" t="s">
        <v>4</v>
      </c>
    </row>
    <row r="30" spans="1:52" s="110" customFormat="1" ht="11.25" customHeight="1">
      <c r="A30" s="123" t="s">
        <v>154</v>
      </c>
      <c r="B30" s="123">
        <v>1</v>
      </c>
      <c r="C30" s="126">
        <v>23</v>
      </c>
      <c r="D30" s="124" t="s">
        <v>155</v>
      </c>
      <c r="E30" s="192">
        <v>93</v>
      </c>
      <c r="F30" s="125">
        <f>ROUND(E30*Valores!$C$2,2)</f>
        <v>2522.27</v>
      </c>
      <c r="G30" s="192">
        <v>3627</v>
      </c>
      <c r="H30" s="125">
        <f>ROUND(G30*Valores!$C$2,2)</f>
        <v>98368.59</v>
      </c>
      <c r="I30" s="192">
        <v>210</v>
      </c>
      <c r="J30" s="125">
        <f>ROUND(I30*Valores!$C$2,2)</f>
        <v>5695.45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20097.18</v>
      </c>
      <c r="N30" s="125">
        <f t="shared" si="1"/>
        <v>0</v>
      </c>
      <c r="O30" s="125">
        <f>Valores!$C$12</f>
        <v>55613.13</v>
      </c>
      <c r="P30" s="125">
        <f>Valores!$D$5</f>
        <v>13864.36</v>
      </c>
      <c r="Q30" s="125">
        <v>0</v>
      </c>
      <c r="R30" s="125">
        <f>IF($F$4="NO",Valores!$C$47,Valores!$C$47/2)</f>
        <v>14493.86</v>
      </c>
      <c r="S30" s="125">
        <f>Valores!$C$19</f>
        <v>12901.01</v>
      </c>
      <c r="T30" s="125">
        <f t="shared" si="7"/>
        <v>12901.01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Valores!$C$96</f>
        <v>12637.52</v>
      </c>
      <c r="AA30" s="125">
        <f>Valores!$C$25</f>
        <v>567.06</v>
      </c>
      <c r="AB30" s="214">
        <v>0</v>
      </c>
      <c r="AC30" s="125">
        <f t="shared" si="2"/>
        <v>0</v>
      </c>
      <c r="AD30" s="125">
        <f>Valores!$C$26</f>
        <v>567.06</v>
      </c>
      <c r="AE30" s="192">
        <v>0</v>
      </c>
      <c r="AF30" s="125">
        <f>ROUND(AE30*Valores!$C$2,2)</f>
        <v>0</v>
      </c>
      <c r="AG30" s="125">
        <f>ROUND(IF($F$4="NO",Valores!$C$63,Valores!$C$63/2),2)</f>
        <v>6482.98</v>
      </c>
      <c r="AH30" s="125">
        <f t="shared" si="5"/>
        <v>243810.46999999997</v>
      </c>
      <c r="AI30" s="125">
        <f>Valores!$C$31</f>
        <v>0</v>
      </c>
      <c r="AJ30" s="125">
        <f>Valores!$C$89</f>
        <v>0</v>
      </c>
      <c r="AK30" s="125">
        <f>Valores!C$38*B30</f>
        <v>30000</v>
      </c>
      <c r="AL30" s="125">
        <f>IF($F$3="NO",0,Valores!$C$55)</f>
        <v>327.6</v>
      </c>
      <c r="AM30" s="125">
        <f t="shared" si="3"/>
        <v>30327.6</v>
      </c>
      <c r="AN30" s="125">
        <f>AH30*Valores!$C$71</f>
        <v>-26819.1517</v>
      </c>
      <c r="AO30" s="125">
        <f>AH30*-Valores!$C$72</f>
        <v>0</v>
      </c>
      <c r="AP30" s="125">
        <f>AH30*Valores!$C$73</f>
        <v>-10971.471149999998</v>
      </c>
      <c r="AQ30" s="125">
        <f>Valores!$C$100</f>
        <v>-280.91</v>
      </c>
      <c r="AR30" s="125">
        <f>IF($F$5=0,Valores!$C$101,(Valores!$C$101+$F$5*(Valores!$C$101)))</f>
        <v>-385</v>
      </c>
      <c r="AS30" s="125">
        <f t="shared" si="6"/>
        <v>235681.53715</v>
      </c>
      <c r="AT30" s="125">
        <f t="shared" si="0"/>
        <v>-26819.1517</v>
      </c>
      <c r="AU30" s="125">
        <f>AH30*Valores!$C$74</f>
        <v>-6582.8826899999995</v>
      </c>
      <c r="AV30" s="125">
        <f>AH30*Valores!$C$75</f>
        <v>-731.4314099999999</v>
      </c>
      <c r="AW30" s="125">
        <f t="shared" si="4"/>
        <v>240004.60419999994</v>
      </c>
      <c r="AX30" s="126"/>
      <c r="AY30" s="126">
        <v>45</v>
      </c>
      <c r="AZ30" s="123" t="s">
        <v>8</v>
      </c>
    </row>
    <row r="31" spans="1:52" s="110" customFormat="1" ht="11.25" customHeight="1">
      <c r="A31" s="123" t="s">
        <v>156</v>
      </c>
      <c r="B31" s="123">
        <v>1</v>
      </c>
      <c r="C31" s="126">
        <v>24</v>
      </c>
      <c r="D31" s="124" t="s">
        <v>157</v>
      </c>
      <c r="E31" s="192">
        <v>93</v>
      </c>
      <c r="F31" s="125">
        <f>ROUND(E31*Valores!$C$2,2)</f>
        <v>2522.27</v>
      </c>
      <c r="G31" s="192">
        <v>3630</v>
      </c>
      <c r="H31" s="125">
        <f>ROUND(G31*Valores!$C$2,2)</f>
        <v>98449.96</v>
      </c>
      <c r="I31" s="192">
        <v>1214</v>
      </c>
      <c r="J31" s="125">
        <f>ROUND(I31*Valores!$C$2,2)</f>
        <v>32925.14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24193.84</v>
      </c>
      <c r="N31" s="125">
        <f t="shared" si="1"/>
        <v>0</v>
      </c>
      <c r="O31" s="125">
        <f>Valores!$C$12</f>
        <v>55613.13</v>
      </c>
      <c r="P31" s="125">
        <f>Valores!$D$5</f>
        <v>13864.36</v>
      </c>
      <c r="Q31" s="125">
        <v>0</v>
      </c>
      <c r="R31" s="125">
        <f>IF($F$4="NO",Valores!$C$47,Valores!$C$47/2)</f>
        <v>14493.86</v>
      </c>
      <c r="S31" s="125">
        <f>Valores!$C$19</f>
        <v>12901.01</v>
      </c>
      <c r="T31" s="125">
        <f t="shared" si="7"/>
        <v>12901.01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Valores!$C$96</f>
        <v>12637.52</v>
      </c>
      <c r="AA31" s="125">
        <f>Valores!$C$25</f>
        <v>567.06</v>
      </c>
      <c r="AB31" s="214">
        <v>0</v>
      </c>
      <c r="AC31" s="125">
        <f t="shared" si="2"/>
        <v>0</v>
      </c>
      <c r="AD31" s="125">
        <f>Valores!$C$26</f>
        <v>567.06</v>
      </c>
      <c r="AE31" s="192">
        <v>0</v>
      </c>
      <c r="AF31" s="125">
        <f>ROUND(AE31*Valores!$C$2,2)</f>
        <v>0</v>
      </c>
      <c r="AG31" s="125">
        <f>ROUND(IF($F$4="NO",Valores!$C$63,Valores!$C$63/2),2)</f>
        <v>6482.98</v>
      </c>
      <c r="AH31" s="125">
        <f t="shared" si="5"/>
        <v>275218.19</v>
      </c>
      <c r="AI31" s="125">
        <f>Valores!$C$31</f>
        <v>0</v>
      </c>
      <c r="AJ31" s="125">
        <f>Valores!$C$89</f>
        <v>0</v>
      </c>
      <c r="AK31" s="125">
        <f>Valores!C$38*B31</f>
        <v>30000</v>
      </c>
      <c r="AL31" s="125">
        <f>IF($F$3="NO",0,Valores!$C$55)</f>
        <v>327.6</v>
      </c>
      <c r="AM31" s="125">
        <f t="shared" si="3"/>
        <v>30327.6</v>
      </c>
      <c r="AN31" s="125">
        <f>AH31*Valores!$C$71</f>
        <v>-30274.0009</v>
      </c>
      <c r="AO31" s="125">
        <f>AH31*-Valores!$C$72</f>
        <v>0</v>
      </c>
      <c r="AP31" s="125">
        <f>AH31*Valores!$C$73</f>
        <v>-12384.81855</v>
      </c>
      <c r="AQ31" s="125">
        <f>Valores!$C$100</f>
        <v>-280.91</v>
      </c>
      <c r="AR31" s="125">
        <f>IF($F$5=0,Valores!$C$101,(Valores!$C$101+$F$5*(Valores!$C$101)))</f>
        <v>-385</v>
      </c>
      <c r="AS31" s="125">
        <f t="shared" si="6"/>
        <v>262221.06055</v>
      </c>
      <c r="AT31" s="125">
        <f t="shared" si="0"/>
        <v>-30274.0009</v>
      </c>
      <c r="AU31" s="125">
        <f>AH31*Valores!$C$74</f>
        <v>-7430.89113</v>
      </c>
      <c r="AV31" s="125">
        <f>AH31*Valores!$C$75</f>
        <v>-825.65457</v>
      </c>
      <c r="AW31" s="125">
        <f t="shared" si="4"/>
        <v>267015.2434</v>
      </c>
      <c r="AX31" s="126"/>
      <c r="AY31" s="126">
        <v>45</v>
      </c>
      <c r="AZ31" s="123" t="s">
        <v>4</v>
      </c>
    </row>
    <row r="32" spans="1:52" s="110" customFormat="1" ht="11.25" customHeight="1">
      <c r="A32" s="123" t="s">
        <v>158</v>
      </c>
      <c r="B32" s="123">
        <v>1</v>
      </c>
      <c r="C32" s="126">
        <v>25</v>
      </c>
      <c r="D32" s="124" t="s">
        <v>159</v>
      </c>
      <c r="E32" s="192">
        <v>96</v>
      </c>
      <c r="F32" s="125">
        <f>ROUND(E32*Valores!$C$2,2)</f>
        <v>2603.64</v>
      </c>
      <c r="G32" s="192">
        <v>3737</v>
      </c>
      <c r="H32" s="125">
        <f>ROUND(G32*Valores!$C$2,2)</f>
        <v>101351.92</v>
      </c>
      <c r="I32" s="192">
        <v>1220</v>
      </c>
      <c r="J32" s="125">
        <f>ROUND(I32*Valores!$C$2,2)</f>
        <v>33087.86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24665.74</v>
      </c>
      <c r="N32" s="125">
        <f t="shared" si="1"/>
        <v>0</v>
      </c>
      <c r="O32" s="125">
        <f>Valores!$C$12</f>
        <v>55613.13</v>
      </c>
      <c r="P32" s="125">
        <f>Valores!$D$5</f>
        <v>13864.36</v>
      </c>
      <c r="Q32" s="125">
        <v>0</v>
      </c>
      <c r="R32" s="125">
        <f>IF($F$4="NO",Valores!$C$47,Valores!$C$47/2)</f>
        <v>14493.86</v>
      </c>
      <c r="S32" s="125">
        <f>Valores!$C$19</f>
        <v>12901.01</v>
      </c>
      <c r="T32" s="125">
        <f t="shared" si="7"/>
        <v>12901.01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22730.59</v>
      </c>
      <c r="Z32" s="125">
        <f>Valores!$C$96</f>
        <v>12637.52</v>
      </c>
      <c r="AA32" s="125">
        <f>Valores!$C$25</f>
        <v>567.06</v>
      </c>
      <c r="AB32" s="214">
        <v>0</v>
      </c>
      <c r="AC32" s="125">
        <f t="shared" si="2"/>
        <v>0</v>
      </c>
      <c r="AD32" s="125">
        <f>Valores!$C$26</f>
        <v>567.06</v>
      </c>
      <c r="AE32" s="192">
        <v>0</v>
      </c>
      <c r="AF32" s="125">
        <f>ROUND(AE32*Valores!$C$2,2)</f>
        <v>0</v>
      </c>
      <c r="AG32" s="125">
        <f>ROUND(IF($F$4="NO",Valores!$C$63,Valores!$C$63/2),2)</f>
        <v>6482.98</v>
      </c>
      <c r="AH32" s="125">
        <f t="shared" si="5"/>
        <v>301566.73</v>
      </c>
      <c r="AI32" s="125">
        <f>Valores!$C$31</f>
        <v>0</v>
      </c>
      <c r="AJ32" s="125">
        <f>Valores!$C$89</f>
        <v>0</v>
      </c>
      <c r="AK32" s="125">
        <f>Valores!C$38*B32</f>
        <v>30000</v>
      </c>
      <c r="AL32" s="125">
        <f>IF($F$3="NO",0,Valores!$C$55)</f>
        <v>327.6</v>
      </c>
      <c r="AM32" s="125">
        <f t="shared" si="3"/>
        <v>30327.6</v>
      </c>
      <c r="AN32" s="125">
        <f>AH32*Valores!$C$71</f>
        <v>-33172.340299999996</v>
      </c>
      <c r="AO32" s="125">
        <f>AH32*-Valores!$C$72</f>
        <v>0</v>
      </c>
      <c r="AP32" s="125">
        <f>AH32*Valores!$C$73</f>
        <v>-13570.502849999999</v>
      </c>
      <c r="AQ32" s="125">
        <f>Valores!$C$100</f>
        <v>-280.91</v>
      </c>
      <c r="AR32" s="125">
        <f>IF($F$5=0,Valores!$C$101,(Valores!$C$101+$F$5*(Valores!$C$101)))</f>
        <v>-385</v>
      </c>
      <c r="AS32" s="125">
        <f t="shared" si="6"/>
        <v>284485.57685</v>
      </c>
      <c r="AT32" s="125">
        <f t="shared" si="0"/>
        <v>-33172.340299999996</v>
      </c>
      <c r="AU32" s="125">
        <f>AH32*Valores!$C$74</f>
        <v>-8142.30171</v>
      </c>
      <c r="AV32" s="125">
        <f>AH32*Valores!$C$75</f>
        <v>-904.7001899999999</v>
      </c>
      <c r="AW32" s="125">
        <f t="shared" si="4"/>
        <v>289674.98779999994</v>
      </c>
      <c r="AX32" s="126"/>
      <c r="AY32" s="126">
        <v>45</v>
      </c>
      <c r="AZ32" s="123" t="s">
        <v>8</v>
      </c>
    </row>
    <row r="33" spans="1:52" s="110" customFormat="1" ht="11.25" customHeight="1">
      <c r="A33" s="123" t="s">
        <v>160</v>
      </c>
      <c r="B33" s="123">
        <v>1</v>
      </c>
      <c r="C33" s="126">
        <v>26</v>
      </c>
      <c r="D33" s="124" t="s">
        <v>161</v>
      </c>
      <c r="E33" s="192">
        <v>92</v>
      </c>
      <c r="F33" s="125">
        <f>ROUND(E33*Valores!$C$2,2)</f>
        <v>2495.15</v>
      </c>
      <c r="G33" s="192">
        <v>3483</v>
      </c>
      <c r="H33" s="125">
        <f>ROUND(G33*Valores!$C$2,2)</f>
        <v>94463.14</v>
      </c>
      <c r="I33" s="192">
        <v>1217</v>
      </c>
      <c r="J33" s="125">
        <f>ROUND(I33*Valores!$C$2,2)</f>
        <v>33006.5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23603.95</v>
      </c>
      <c r="N33" s="125">
        <f t="shared" si="1"/>
        <v>0</v>
      </c>
      <c r="O33" s="125">
        <f>Valores!$C$12</f>
        <v>55613.13</v>
      </c>
      <c r="P33" s="125">
        <f>Valores!$D$5</f>
        <v>13864.36</v>
      </c>
      <c r="Q33" s="125">
        <v>0</v>
      </c>
      <c r="R33" s="125">
        <f>IF($F$4="NO",Valores!$C$47,Valores!$C$47/2)</f>
        <v>14493.86</v>
      </c>
      <c r="S33" s="125">
        <f>Valores!$C$19</f>
        <v>12901.01</v>
      </c>
      <c r="T33" s="125">
        <f t="shared" si="7"/>
        <v>12901.01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Valores!$C$96</f>
        <v>12637.52</v>
      </c>
      <c r="AA33" s="125">
        <f>Valores!$C$25</f>
        <v>567.06</v>
      </c>
      <c r="AB33" s="214">
        <v>0</v>
      </c>
      <c r="AC33" s="125">
        <f t="shared" si="2"/>
        <v>0</v>
      </c>
      <c r="AD33" s="125">
        <f>Valores!$C$26</f>
        <v>567.06</v>
      </c>
      <c r="AE33" s="192">
        <v>0</v>
      </c>
      <c r="AF33" s="125">
        <f>ROUND(AE33*Valores!$C$2,2)</f>
        <v>0</v>
      </c>
      <c r="AG33" s="125">
        <f>ROUND(IF($F$4="NO",Valores!$C$63,Valores!$C$63/2),2)</f>
        <v>6482.98</v>
      </c>
      <c r="AH33" s="125">
        <f t="shared" si="5"/>
        <v>270695.72</v>
      </c>
      <c r="AI33" s="125">
        <f>Valores!$C$31</f>
        <v>0</v>
      </c>
      <c r="AJ33" s="125">
        <f>Valores!$C$89</f>
        <v>0</v>
      </c>
      <c r="AK33" s="125">
        <f>Valores!C$38*B33</f>
        <v>30000</v>
      </c>
      <c r="AL33" s="125">
        <f>IF($F$3="NO",0,Valores!$C$55)</f>
        <v>327.6</v>
      </c>
      <c r="AM33" s="125">
        <f t="shared" si="3"/>
        <v>30327.6</v>
      </c>
      <c r="AN33" s="125">
        <f>AH33*Valores!$C$71</f>
        <v>-29776.529199999997</v>
      </c>
      <c r="AO33" s="125">
        <f>AH33*-Valores!$C$72</f>
        <v>0</v>
      </c>
      <c r="AP33" s="125">
        <f>AH33*Valores!$C$73</f>
        <v>-12181.307399999998</v>
      </c>
      <c r="AQ33" s="125">
        <f>Valores!$C$100</f>
        <v>-280.91</v>
      </c>
      <c r="AR33" s="125">
        <f>IF($F$5=0,Valores!$C$101,(Valores!$C$101+$F$5*(Valores!$C$101)))</f>
        <v>-385</v>
      </c>
      <c r="AS33" s="125">
        <f t="shared" si="6"/>
        <v>258399.57339999996</v>
      </c>
      <c r="AT33" s="125">
        <f t="shared" si="0"/>
        <v>-29776.529199999997</v>
      </c>
      <c r="AU33" s="125">
        <f>AH33*Valores!$C$74</f>
        <v>-7308.784439999999</v>
      </c>
      <c r="AV33" s="125">
        <f>AH33*Valores!$C$75</f>
        <v>-812.0871599999999</v>
      </c>
      <c r="AW33" s="125">
        <f t="shared" si="4"/>
        <v>263125.91919999995</v>
      </c>
      <c r="AX33" s="126"/>
      <c r="AY33" s="126">
        <v>45</v>
      </c>
      <c r="AZ33" s="123" t="s">
        <v>4</v>
      </c>
    </row>
    <row r="34" spans="1:52" s="110" customFormat="1" ht="11.25" customHeight="1">
      <c r="A34" s="123" t="s">
        <v>162</v>
      </c>
      <c r="B34" s="123">
        <v>1</v>
      </c>
      <c r="C34" s="126">
        <v>27</v>
      </c>
      <c r="D34" s="124" t="s">
        <v>163</v>
      </c>
      <c r="E34" s="192">
        <v>85</v>
      </c>
      <c r="F34" s="125">
        <f>ROUND(E34*Valores!$C$2,2)</f>
        <v>2305.3</v>
      </c>
      <c r="G34" s="192">
        <v>3498</v>
      </c>
      <c r="H34" s="125">
        <f>ROUND(G34*Valores!$C$2,2)</f>
        <v>94869.96</v>
      </c>
      <c r="I34" s="192">
        <v>1209</v>
      </c>
      <c r="J34" s="125">
        <f>ROUND(I34*Valores!$C$2,2)</f>
        <v>32789.53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23603.95</v>
      </c>
      <c r="N34" s="125">
        <f t="shared" si="1"/>
        <v>0</v>
      </c>
      <c r="O34" s="125">
        <f>Valores!$C$12</f>
        <v>55613.13</v>
      </c>
      <c r="P34" s="125">
        <f>Valores!$D$5</f>
        <v>13864.36</v>
      </c>
      <c r="Q34" s="125">
        <v>0</v>
      </c>
      <c r="R34" s="125">
        <f>IF($F$4="NO",Valores!$C$47,Valores!$C$47/2)</f>
        <v>14493.86</v>
      </c>
      <c r="S34" s="125">
        <f>Valores!$C$19</f>
        <v>12901.01</v>
      </c>
      <c r="T34" s="125">
        <f t="shared" si="7"/>
        <v>12901.01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Valores!$C$96</f>
        <v>12637.52</v>
      </c>
      <c r="AA34" s="125">
        <f>Valores!$C$25</f>
        <v>567.06</v>
      </c>
      <c r="AB34" s="214">
        <v>0</v>
      </c>
      <c r="AC34" s="125">
        <f t="shared" si="2"/>
        <v>0</v>
      </c>
      <c r="AD34" s="125">
        <f>Valores!$C$26</f>
        <v>567.06</v>
      </c>
      <c r="AE34" s="192">
        <v>0</v>
      </c>
      <c r="AF34" s="125">
        <f>ROUND(AE34*Valores!$C$2,2)</f>
        <v>0</v>
      </c>
      <c r="AG34" s="125">
        <f>ROUND(IF($F$4="NO",Valores!$C$63,Valores!$C$63/2),2)</f>
        <v>6482.98</v>
      </c>
      <c r="AH34" s="125">
        <f t="shared" si="5"/>
        <v>270695.72000000003</v>
      </c>
      <c r="AI34" s="125">
        <f>Valores!$C$31</f>
        <v>0</v>
      </c>
      <c r="AJ34" s="125">
        <f>Valores!$C$89</f>
        <v>0</v>
      </c>
      <c r="AK34" s="125">
        <f>Valores!C$38*B34</f>
        <v>30000</v>
      </c>
      <c r="AL34" s="125">
        <f>IF($F$3="NO",0,Valores!$C$55)</f>
        <v>327.6</v>
      </c>
      <c r="AM34" s="125">
        <f t="shared" si="3"/>
        <v>30327.6</v>
      </c>
      <c r="AN34" s="125">
        <f>AH34*Valores!$C$71</f>
        <v>-29776.529200000004</v>
      </c>
      <c r="AO34" s="125">
        <f>AH34*-Valores!$C$72</f>
        <v>0</v>
      </c>
      <c r="AP34" s="125">
        <f>AH34*Valores!$C$73</f>
        <v>-12181.307400000002</v>
      </c>
      <c r="AQ34" s="125">
        <f>Valores!$C$100</f>
        <v>-280.91</v>
      </c>
      <c r="AR34" s="125">
        <f>IF($F$5=0,Valores!$C$101,(Valores!$C$101+$F$5*(Valores!$C$101)))</f>
        <v>-385</v>
      </c>
      <c r="AS34" s="125">
        <f t="shared" si="6"/>
        <v>258399.57340000002</v>
      </c>
      <c r="AT34" s="125">
        <f t="shared" si="0"/>
        <v>-29776.529200000004</v>
      </c>
      <c r="AU34" s="125">
        <f>AH34*Valores!$C$74</f>
        <v>-7308.78444</v>
      </c>
      <c r="AV34" s="125">
        <f>AH34*Valores!$C$75</f>
        <v>-812.0871600000002</v>
      </c>
      <c r="AW34" s="125">
        <f t="shared" si="4"/>
        <v>263125.9192</v>
      </c>
      <c r="AX34" s="126"/>
      <c r="AY34" s="126">
        <v>45</v>
      </c>
      <c r="AZ34" s="123" t="s">
        <v>4</v>
      </c>
    </row>
    <row r="35" spans="1:52" s="110" customFormat="1" ht="11.25" customHeight="1">
      <c r="A35" s="123" t="s">
        <v>164</v>
      </c>
      <c r="B35" s="123">
        <v>1</v>
      </c>
      <c r="C35" s="126">
        <v>28</v>
      </c>
      <c r="D35" s="124" t="s">
        <v>165</v>
      </c>
      <c r="E35" s="192">
        <v>92</v>
      </c>
      <c r="F35" s="125">
        <f>ROUND(E35*Valores!$C$2,2)</f>
        <v>2495.15</v>
      </c>
      <c r="G35" s="192">
        <v>3483</v>
      </c>
      <c r="H35" s="125">
        <f>ROUND(G35*Valores!$C$2,2)</f>
        <v>94463.14</v>
      </c>
      <c r="I35" s="192">
        <v>1217</v>
      </c>
      <c r="J35" s="125">
        <f>ROUND(I35*Valores!$C$2,2)</f>
        <v>33006.5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23603.95</v>
      </c>
      <c r="N35" s="125">
        <f t="shared" si="1"/>
        <v>0</v>
      </c>
      <c r="O35" s="125">
        <f>Valores!$C$12</f>
        <v>55613.13</v>
      </c>
      <c r="P35" s="125">
        <f>Valores!$D$5</f>
        <v>13864.36</v>
      </c>
      <c r="Q35" s="125">
        <v>0</v>
      </c>
      <c r="R35" s="125">
        <f>IF($F$4="NO",Valores!$C$47,Valores!$C$47/2)</f>
        <v>14493.86</v>
      </c>
      <c r="S35" s="125">
        <f>Valores!$C$19</f>
        <v>12901.01</v>
      </c>
      <c r="T35" s="125">
        <f t="shared" si="7"/>
        <v>12901.01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Valores!$C$96</f>
        <v>12637.52</v>
      </c>
      <c r="AA35" s="125">
        <f>Valores!$C$25</f>
        <v>567.06</v>
      </c>
      <c r="AB35" s="214">
        <v>0</v>
      </c>
      <c r="AC35" s="125">
        <f t="shared" si="2"/>
        <v>0</v>
      </c>
      <c r="AD35" s="125">
        <f>Valores!$C$26</f>
        <v>567.06</v>
      </c>
      <c r="AE35" s="192">
        <v>0</v>
      </c>
      <c r="AF35" s="125">
        <f>ROUND(AE35*Valores!$C$2,2)</f>
        <v>0</v>
      </c>
      <c r="AG35" s="125">
        <f>ROUND(IF($F$4="NO",Valores!$C$63,Valores!$C$63/2),2)</f>
        <v>6482.98</v>
      </c>
      <c r="AH35" s="125">
        <f t="shared" si="5"/>
        <v>270695.72</v>
      </c>
      <c r="AI35" s="125">
        <f>Valores!$C$31</f>
        <v>0</v>
      </c>
      <c r="AJ35" s="125">
        <f>Valores!$C$89</f>
        <v>0</v>
      </c>
      <c r="AK35" s="125">
        <f>Valores!C$38*B35</f>
        <v>30000</v>
      </c>
      <c r="AL35" s="125">
        <f>IF($F$3="NO",0,Valores!$C$55)</f>
        <v>327.6</v>
      </c>
      <c r="AM35" s="125">
        <f t="shared" si="3"/>
        <v>30327.6</v>
      </c>
      <c r="AN35" s="125">
        <f>AH35*Valores!$C$71</f>
        <v>-29776.529199999997</v>
      </c>
      <c r="AO35" s="125">
        <f>AH35*-Valores!$C$72</f>
        <v>0</v>
      </c>
      <c r="AP35" s="125">
        <f>AH35*Valores!$C$73</f>
        <v>-12181.307399999998</v>
      </c>
      <c r="AQ35" s="125">
        <f>Valores!$C$100</f>
        <v>-280.91</v>
      </c>
      <c r="AR35" s="125">
        <f>IF($F$5=0,Valores!$C$101,(Valores!$C$101+$F$5*(Valores!$C$101)))</f>
        <v>-385</v>
      </c>
      <c r="AS35" s="125">
        <f t="shared" si="6"/>
        <v>258399.57339999996</v>
      </c>
      <c r="AT35" s="125">
        <f t="shared" si="0"/>
        <v>-29776.529199999997</v>
      </c>
      <c r="AU35" s="125">
        <f>AH35*Valores!$C$74</f>
        <v>-7308.784439999999</v>
      </c>
      <c r="AV35" s="125">
        <f>AH35*Valores!$C$75</f>
        <v>-812.0871599999999</v>
      </c>
      <c r="AW35" s="125">
        <f t="shared" si="4"/>
        <v>263125.91919999995</v>
      </c>
      <c r="AX35" s="126"/>
      <c r="AY35" s="126">
        <v>45</v>
      </c>
      <c r="AZ35" s="123" t="s">
        <v>4</v>
      </c>
    </row>
    <row r="36" spans="1:52" s="110" customFormat="1" ht="11.25" customHeight="1">
      <c r="A36" s="123" t="s">
        <v>166</v>
      </c>
      <c r="B36" s="123">
        <v>1</v>
      </c>
      <c r="C36" s="126">
        <v>29</v>
      </c>
      <c r="D36" s="124" t="s">
        <v>167</v>
      </c>
      <c r="E36" s="192">
        <v>85</v>
      </c>
      <c r="F36" s="125">
        <f>ROUND(E36*Valores!$C$2,2)</f>
        <v>2305.3</v>
      </c>
      <c r="G36" s="192">
        <v>3498</v>
      </c>
      <c r="H36" s="125">
        <f>ROUND(G36*Valores!$C$2,2)</f>
        <v>94869.96</v>
      </c>
      <c r="I36" s="192">
        <v>1209</v>
      </c>
      <c r="J36" s="125">
        <f>ROUND(I36*Valores!$C$2,2)</f>
        <v>32789.53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23603.95</v>
      </c>
      <c r="N36" s="125">
        <f t="shared" si="1"/>
        <v>0</v>
      </c>
      <c r="O36" s="125">
        <f>Valores!$C$12</f>
        <v>55613.13</v>
      </c>
      <c r="P36" s="125">
        <f>Valores!$D$5</f>
        <v>13864.36</v>
      </c>
      <c r="Q36" s="125">
        <v>0</v>
      </c>
      <c r="R36" s="125">
        <f>IF($F$4="NO",Valores!$C$47,Valores!$C$47/2)</f>
        <v>14493.86</v>
      </c>
      <c r="S36" s="125">
        <f>Valores!$C$19</f>
        <v>12901.01</v>
      </c>
      <c r="T36" s="125">
        <f t="shared" si="7"/>
        <v>12901.01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Valores!$C$96</f>
        <v>12637.52</v>
      </c>
      <c r="AA36" s="125">
        <f>Valores!$C$25</f>
        <v>567.06</v>
      </c>
      <c r="AB36" s="214">
        <v>0</v>
      </c>
      <c r="AC36" s="125">
        <f t="shared" si="2"/>
        <v>0</v>
      </c>
      <c r="AD36" s="125">
        <f>Valores!$C$26</f>
        <v>567.06</v>
      </c>
      <c r="AE36" s="192">
        <v>0</v>
      </c>
      <c r="AF36" s="125">
        <f>ROUND(AE36*Valores!$C$2,2)</f>
        <v>0</v>
      </c>
      <c r="AG36" s="125">
        <f>ROUND(IF($F$4="NO",Valores!$C$63,Valores!$C$63/2),2)</f>
        <v>6482.98</v>
      </c>
      <c r="AH36" s="125">
        <f t="shared" si="5"/>
        <v>270695.72000000003</v>
      </c>
      <c r="AI36" s="125">
        <f>Valores!$C$31</f>
        <v>0</v>
      </c>
      <c r="AJ36" s="125">
        <f>Valores!$C$89</f>
        <v>0</v>
      </c>
      <c r="AK36" s="125">
        <f>Valores!C$38*B36</f>
        <v>30000</v>
      </c>
      <c r="AL36" s="125">
        <f>IF($F$3="NO",0,Valores!$C$55)</f>
        <v>327.6</v>
      </c>
      <c r="AM36" s="125">
        <f t="shared" si="3"/>
        <v>30327.6</v>
      </c>
      <c r="AN36" s="125">
        <f>AH36*Valores!$C$71</f>
        <v>-29776.529200000004</v>
      </c>
      <c r="AO36" s="125">
        <f>AH36*-Valores!$C$72</f>
        <v>0</v>
      </c>
      <c r="AP36" s="125">
        <f>AH36*Valores!$C$73</f>
        <v>-12181.307400000002</v>
      </c>
      <c r="AQ36" s="125">
        <f>Valores!$C$100</f>
        <v>-280.91</v>
      </c>
      <c r="AR36" s="125">
        <f>IF($F$5=0,Valores!$C$101,(Valores!$C$101+$F$5*(Valores!$C$101)))</f>
        <v>-385</v>
      </c>
      <c r="AS36" s="125">
        <f t="shared" si="6"/>
        <v>258399.57340000002</v>
      </c>
      <c r="AT36" s="125">
        <f t="shared" si="0"/>
        <v>-29776.529200000004</v>
      </c>
      <c r="AU36" s="125">
        <f>AH36*Valores!$C$74</f>
        <v>-7308.78444</v>
      </c>
      <c r="AV36" s="125">
        <f>AH36*Valores!$C$75</f>
        <v>-812.0871600000002</v>
      </c>
      <c r="AW36" s="125">
        <f t="shared" si="4"/>
        <v>263125.9192</v>
      </c>
      <c r="AX36" s="126"/>
      <c r="AY36" s="126">
        <v>45</v>
      </c>
      <c r="AZ36" s="123" t="s">
        <v>8</v>
      </c>
    </row>
    <row r="37" spans="1:52" s="110" customFormat="1" ht="11.25" customHeight="1">
      <c r="A37" s="123" t="s">
        <v>168</v>
      </c>
      <c r="B37" s="123">
        <v>1</v>
      </c>
      <c r="C37" s="126">
        <v>30</v>
      </c>
      <c r="D37" s="124" t="s">
        <v>169</v>
      </c>
      <c r="E37" s="192">
        <v>92</v>
      </c>
      <c r="F37" s="125">
        <f>ROUND(E37*Valores!$C$2,2)</f>
        <v>2495.15</v>
      </c>
      <c r="G37" s="192">
        <v>3483</v>
      </c>
      <c r="H37" s="125">
        <f>ROUND(G37*Valores!$C$2,2)</f>
        <v>94463.14</v>
      </c>
      <c r="I37" s="192">
        <v>1217</v>
      </c>
      <c r="J37" s="125">
        <f>ROUND(I37*Valores!$C$2,2)</f>
        <v>33006.5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23603.95</v>
      </c>
      <c r="N37" s="125">
        <f t="shared" si="1"/>
        <v>0</v>
      </c>
      <c r="O37" s="125">
        <f>Valores!$C$12</f>
        <v>55613.13</v>
      </c>
      <c r="P37" s="125">
        <f>Valores!$D$5</f>
        <v>13864.36</v>
      </c>
      <c r="Q37" s="125">
        <v>0</v>
      </c>
      <c r="R37" s="125">
        <f>IF($F$4="NO",Valores!$C$47,Valores!$C$47/2)</f>
        <v>14493.86</v>
      </c>
      <c r="S37" s="125">
        <f>Valores!$C$19</f>
        <v>12901.01</v>
      </c>
      <c r="T37" s="125">
        <f t="shared" si="7"/>
        <v>12901.01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21668.8</v>
      </c>
      <c r="Z37" s="125">
        <f>Valores!$C$96</f>
        <v>12637.52</v>
      </c>
      <c r="AA37" s="125">
        <f>Valores!$C$25</f>
        <v>567.06</v>
      </c>
      <c r="AB37" s="214">
        <v>0</v>
      </c>
      <c r="AC37" s="125">
        <f t="shared" si="2"/>
        <v>0</v>
      </c>
      <c r="AD37" s="125">
        <f>Valores!$C$26</f>
        <v>567.06</v>
      </c>
      <c r="AE37" s="192">
        <v>0</v>
      </c>
      <c r="AF37" s="125">
        <f>ROUND(AE37*Valores!$C$2,2)</f>
        <v>0</v>
      </c>
      <c r="AG37" s="125">
        <f>ROUND(IF($F$4="NO",Valores!$C$63,Valores!$C$63/2),2)</f>
        <v>6482.98</v>
      </c>
      <c r="AH37" s="125">
        <f t="shared" si="5"/>
        <v>292364.51999999996</v>
      </c>
      <c r="AI37" s="125">
        <f>Valores!$C$31</f>
        <v>0</v>
      </c>
      <c r="AJ37" s="125">
        <f>Valores!$C$89</f>
        <v>0</v>
      </c>
      <c r="AK37" s="125">
        <f>Valores!C$38*B37</f>
        <v>30000</v>
      </c>
      <c r="AL37" s="125">
        <f>IF($F$3="NO",0,Valores!$C$55)</f>
        <v>327.6</v>
      </c>
      <c r="AM37" s="125">
        <f t="shared" si="3"/>
        <v>30327.6</v>
      </c>
      <c r="AN37" s="125">
        <f>AH37*Valores!$C$71</f>
        <v>-32160.097199999997</v>
      </c>
      <c r="AO37" s="125">
        <f>AH37*-Valores!$C$72</f>
        <v>0</v>
      </c>
      <c r="AP37" s="125">
        <f>AH37*Valores!$C$73</f>
        <v>-13156.403399999997</v>
      </c>
      <c r="AQ37" s="125">
        <f>Valores!$C$100</f>
        <v>-280.91</v>
      </c>
      <c r="AR37" s="125">
        <f>IF($F$5=0,Valores!$C$101,(Valores!$C$101+$F$5*(Valores!$C$101)))</f>
        <v>-385</v>
      </c>
      <c r="AS37" s="125">
        <f t="shared" si="6"/>
        <v>276709.7094</v>
      </c>
      <c r="AT37" s="125">
        <f t="shared" si="0"/>
        <v>-32160.097199999997</v>
      </c>
      <c r="AU37" s="125">
        <f>AH37*Valores!$C$74</f>
        <v>-7893.842039999999</v>
      </c>
      <c r="AV37" s="125">
        <f>AH37*Valores!$C$75</f>
        <v>-877.0935599999999</v>
      </c>
      <c r="AW37" s="125">
        <f t="shared" si="4"/>
        <v>281761.08719999995</v>
      </c>
      <c r="AX37" s="126"/>
      <c r="AY37" s="126">
        <v>45</v>
      </c>
      <c r="AZ37" s="123" t="s">
        <v>8</v>
      </c>
    </row>
    <row r="38" spans="1:52" s="110" customFormat="1" ht="11.25" customHeight="1">
      <c r="A38" s="123" t="s">
        <v>170</v>
      </c>
      <c r="B38" s="123">
        <v>1</v>
      </c>
      <c r="C38" s="126">
        <v>31</v>
      </c>
      <c r="D38" s="124" t="s">
        <v>171</v>
      </c>
      <c r="E38" s="192">
        <v>85</v>
      </c>
      <c r="F38" s="125">
        <f>ROUND(E38*Valores!$C$2,2)</f>
        <v>2305.3</v>
      </c>
      <c r="G38" s="192">
        <v>3498</v>
      </c>
      <c r="H38" s="125">
        <f>ROUND(G38*Valores!$C$2,2)</f>
        <v>94869.96</v>
      </c>
      <c r="I38" s="192">
        <v>202</v>
      </c>
      <c r="J38" s="125">
        <f>ROUND(I38*Valores!$C$2,2)</f>
        <v>5478.48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19507.29</v>
      </c>
      <c r="N38" s="125">
        <f t="shared" si="1"/>
        <v>0</v>
      </c>
      <c r="O38" s="125">
        <f>Valores!$C$12</f>
        <v>55613.13</v>
      </c>
      <c r="P38" s="125">
        <f>Valores!$D$5</f>
        <v>13864.36</v>
      </c>
      <c r="Q38" s="125">
        <v>0</v>
      </c>
      <c r="R38" s="125">
        <f>IF($F$4="NO",Valores!$C$47,Valores!$C$47/2)</f>
        <v>14493.86</v>
      </c>
      <c r="S38" s="125">
        <f>Valores!$C$19</f>
        <v>12901.01</v>
      </c>
      <c r="T38" s="125">
        <f t="shared" si="7"/>
        <v>12901.01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Valores!$C$96</f>
        <v>12637.52</v>
      </c>
      <c r="AA38" s="125">
        <f>Valores!$C$25</f>
        <v>567.06</v>
      </c>
      <c r="AB38" s="214">
        <v>0</v>
      </c>
      <c r="AC38" s="125">
        <f t="shared" si="2"/>
        <v>0</v>
      </c>
      <c r="AD38" s="125">
        <f>Valores!$C$26</f>
        <v>567.06</v>
      </c>
      <c r="AE38" s="192">
        <v>0</v>
      </c>
      <c r="AF38" s="125">
        <f>ROUND(AE38*Valores!$C$2,2)</f>
        <v>0</v>
      </c>
      <c r="AG38" s="125">
        <f>ROUND(IF($F$4="NO",Valores!$C$63,Valores!$C$63/2),2)</f>
        <v>6482.98</v>
      </c>
      <c r="AH38" s="125">
        <f t="shared" si="5"/>
        <v>239288.01</v>
      </c>
      <c r="AI38" s="125">
        <f>Valores!$C$31</f>
        <v>0</v>
      </c>
      <c r="AJ38" s="125">
        <f>Valores!$C$89</f>
        <v>0</v>
      </c>
      <c r="AK38" s="125">
        <f>Valores!C$38*B38</f>
        <v>30000</v>
      </c>
      <c r="AL38" s="125">
        <f>IF($F$3="NO",0,Valores!$C$55)</f>
        <v>327.6</v>
      </c>
      <c r="AM38" s="125">
        <f t="shared" si="3"/>
        <v>30327.6</v>
      </c>
      <c r="AN38" s="125">
        <f>AH38*Valores!$C$71</f>
        <v>-26321.6811</v>
      </c>
      <c r="AO38" s="125">
        <f>AH38*-Valores!$C$72</f>
        <v>0</v>
      </c>
      <c r="AP38" s="125">
        <f>AH38*Valores!$C$73</f>
        <v>-10767.96045</v>
      </c>
      <c r="AQ38" s="125">
        <f>Valores!$C$100</f>
        <v>-280.91</v>
      </c>
      <c r="AR38" s="125">
        <f>IF($F$5=0,Valores!$C$101,(Valores!$C$101+$F$5*(Valores!$C$101)))</f>
        <v>-385</v>
      </c>
      <c r="AS38" s="125">
        <f t="shared" si="6"/>
        <v>231860.05845</v>
      </c>
      <c r="AT38" s="125">
        <f t="shared" si="0"/>
        <v>-26321.6811</v>
      </c>
      <c r="AU38" s="125">
        <f>AH38*Valores!$C$74</f>
        <v>-6460.77627</v>
      </c>
      <c r="AV38" s="125">
        <f>AH38*Valores!$C$75</f>
        <v>-717.8640300000001</v>
      </c>
      <c r="AW38" s="125">
        <f t="shared" si="4"/>
        <v>236115.28859999997</v>
      </c>
      <c r="AX38" s="126"/>
      <c r="AY38" s="126">
        <v>45</v>
      </c>
      <c r="AZ38" s="123" t="s">
        <v>8</v>
      </c>
    </row>
    <row r="39" spans="1:52" s="110" customFormat="1" ht="11.25" customHeight="1">
      <c r="A39" s="123" t="s">
        <v>172</v>
      </c>
      <c r="B39" s="123">
        <v>1</v>
      </c>
      <c r="C39" s="126">
        <v>32</v>
      </c>
      <c r="D39" s="124" t="s">
        <v>173</v>
      </c>
      <c r="E39" s="192">
        <v>85</v>
      </c>
      <c r="F39" s="125">
        <f>ROUND(E39*Valores!$C$2,2)</f>
        <v>2305.3</v>
      </c>
      <c r="G39" s="192">
        <v>3498</v>
      </c>
      <c r="H39" s="125">
        <f>ROUND(G39*Valores!$C$2,2)</f>
        <v>94869.96</v>
      </c>
      <c r="I39" s="192">
        <v>1209</v>
      </c>
      <c r="J39" s="125">
        <f>ROUND(I39*Valores!$C$2,2)</f>
        <v>32789.53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23603.95</v>
      </c>
      <c r="N39" s="125">
        <f t="shared" si="1"/>
        <v>0</v>
      </c>
      <c r="O39" s="125">
        <f>Valores!$C$12</f>
        <v>55613.13</v>
      </c>
      <c r="P39" s="125">
        <f>Valores!$D$5</f>
        <v>13864.36</v>
      </c>
      <c r="Q39" s="125">
        <v>0</v>
      </c>
      <c r="R39" s="125">
        <f>IF($F$4="NO",Valores!$C$47,Valores!$C$47/2)</f>
        <v>14493.86</v>
      </c>
      <c r="S39" s="125">
        <f>Valores!$C$19</f>
        <v>12901.01</v>
      </c>
      <c r="T39" s="125">
        <f t="shared" si="7"/>
        <v>12901.01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Valores!$C$96</f>
        <v>12637.52</v>
      </c>
      <c r="AA39" s="125">
        <f>Valores!$C$25</f>
        <v>567.06</v>
      </c>
      <c r="AB39" s="214">
        <v>0</v>
      </c>
      <c r="AC39" s="125">
        <f t="shared" si="2"/>
        <v>0</v>
      </c>
      <c r="AD39" s="125">
        <f>Valores!$C$26</f>
        <v>567.06</v>
      </c>
      <c r="AE39" s="192">
        <v>0</v>
      </c>
      <c r="AF39" s="125">
        <f>ROUND(AE39*Valores!$C$2,2)</f>
        <v>0</v>
      </c>
      <c r="AG39" s="125">
        <f>ROUND(IF($F$4="NO",Valores!$C$63,Valores!$C$63/2),2)</f>
        <v>6482.98</v>
      </c>
      <c r="AH39" s="125">
        <f t="shared" si="5"/>
        <v>270695.72000000003</v>
      </c>
      <c r="AI39" s="125">
        <f>Valores!$C$31</f>
        <v>0</v>
      </c>
      <c r="AJ39" s="125">
        <f>Valores!$C$89</f>
        <v>0</v>
      </c>
      <c r="AK39" s="125">
        <f>Valores!C$38*B39</f>
        <v>30000</v>
      </c>
      <c r="AL39" s="125">
        <f>IF($F$3="NO",0,Valores!$C$55)</f>
        <v>327.6</v>
      </c>
      <c r="AM39" s="125">
        <f t="shared" si="3"/>
        <v>30327.6</v>
      </c>
      <c r="AN39" s="125">
        <f>AH39*Valores!$C$71</f>
        <v>-29776.529200000004</v>
      </c>
      <c r="AO39" s="125">
        <f>AH39*-Valores!$C$72</f>
        <v>0</v>
      </c>
      <c r="AP39" s="125">
        <f>AH39*Valores!$C$73</f>
        <v>-12181.307400000002</v>
      </c>
      <c r="AQ39" s="125">
        <f>Valores!$C$100</f>
        <v>-280.91</v>
      </c>
      <c r="AR39" s="125">
        <f>IF($F$5=0,Valores!$C$101,(Valores!$C$101+$F$5*(Valores!$C$101)))</f>
        <v>-385</v>
      </c>
      <c r="AS39" s="125">
        <f t="shared" si="6"/>
        <v>258399.57340000002</v>
      </c>
      <c r="AT39" s="125">
        <f t="shared" si="0"/>
        <v>-29776.529200000004</v>
      </c>
      <c r="AU39" s="125">
        <f>AH39*Valores!$C$74</f>
        <v>-7308.78444</v>
      </c>
      <c r="AV39" s="125">
        <f>AH39*Valores!$C$75</f>
        <v>-812.0871600000002</v>
      </c>
      <c r="AW39" s="125">
        <f t="shared" si="4"/>
        <v>263125.9192</v>
      </c>
      <c r="AX39" s="126"/>
      <c r="AY39" s="126">
        <v>45</v>
      </c>
      <c r="AZ39" s="123" t="s">
        <v>4</v>
      </c>
    </row>
    <row r="40" spans="1:52" s="110" customFormat="1" ht="11.25" customHeight="1">
      <c r="A40" s="123" t="s">
        <v>174</v>
      </c>
      <c r="B40" s="123">
        <v>1</v>
      </c>
      <c r="C40" s="126">
        <v>33</v>
      </c>
      <c r="D40" s="124" t="s">
        <v>175</v>
      </c>
      <c r="E40" s="192">
        <v>85</v>
      </c>
      <c r="F40" s="125">
        <f>ROUND(E40*Valores!$C$2,2)</f>
        <v>2305.3</v>
      </c>
      <c r="G40" s="192">
        <v>3498</v>
      </c>
      <c r="H40" s="125">
        <f>ROUND(G40*Valores!$C$2,2)</f>
        <v>94869.96</v>
      </c>
      <c r="I40" s="192">
        <v>1209</v>
      </c>
      <c r="J40" s="125">
        <f>ROUND(I40*Valores!$C$2,2)</f>
        <v>32789.53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23603.95</v>
      </c>
      <c r="N40" s="125">
        <f t="shared" si="1"/>
        <v>0</v>
      </c>
      <c r="O40" s="125">
        <f>Valores!$C$12</f>
        <v>55613.13</v>
      </c>
      <c r="P40" s="125">
        <f>Valores!$D$5</f>
        <v>13864.36</v>
      </c>
      <c r="Q40" s="125">
        <v>0</v>
      </c>
      <c r="R40" s="125">
        <f>IF($F$4="NO",Valores!$C$47,Valores!$C$47/2)</f>
        <v>14493.86</v>
      </c>
      <c r="S40" s="125">
        <f>Valores!$C$19</f>
        <v>12901.01</v>
      </c>
      <c r="T40" s="125">
        <f t="shared" si="7"/>
        <v>12901.01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Valores!$C$96</f>
        <v>12637.52</v>
      </c>
      <c r="AA40" s="125">
        <f>Valores!$C$25</f>
        <v>567.06</v>
      </c>
      <c r="AB40" s="214">
        <v>0</v>
      </c>
      <c r="AC40" s="125">
        <f t="shared" si="2"/>
        <v>0</v>
      </c>
      <c r="AD40" s="125">
        <f>Valores!$C$26</f>
        <v>567.06</v>
      </c>
      <c r="AE40" s="192">
        <v>0</v>
      </c>
      <c r="AF40" s="125">
        <f>ROUND(AE40*Valores!$C$2,2)</f>
        <v>0</v>
      </c>
      <c r="AG40" s="125">
        <f>ROUND(IF($F$4="NO",Valores!$C$63,Valores!$C$63/2),2)</f>
        <v>6482.98</v>
      </c>
      <c r="AH40" s="125">
        <f t="shared" si="5"/>
        <v>270695.72000000003</v>
      </c>
      <c r="AI40" s="125">
        <f>Valores!$C$31</f>
        <v>0</v>
      </c>
      <c r="AJ40" s="125">
        <f>Valores!$C$89</f>
        <v>0</v>
      </c>
      <c r="AK40" s="125">
        <f>Valores!C$38*B40</f>
        <v>30000</v>
      </c>
      <c r="AL40" s="125">
        <f>IF($F$3="NO",0,Valores!$C$55)</f>
        <v>327.6</v>
      </c>
      <c r="AM40" s="125">
        <f t="shared" si="3"/>
        <v>30327.6</v>
      </c>
      <c r="AN40" s="125">
        <f>AH40*Valores!$C$71</f>
        <v>-29776.529200000004</v>
      </c>
      <c r="AO40" s="125">
        <f>AH40*-Valores!$C$72</f>
        <v>0</v>
      </c>
      <c r="AP40" s="125">
        <f>AH40*Valores!$C$73</f>
        <v>-12181.307400000002</v>
      </c>
      <c r="AQ40" s="125">
        <f>Valores!$C$100</f>
        <v>-280.91</v>
      </c>
      <c r="AR40" s="125">
        <f>IF($F$5=0,Valores!$C$101,(Valores!$C$101+$F$5*(Valores!$C$101)))</f>
        <v>-385</v>
      </c>
      <c r="AS40" s="125">
        <f t="shared" si="6"/>
        <v>258399.57340000002</v>
      </c>
      <c r="AT40" s="125">
        <f t="shared" si="0"/>
        <v>-29776.529200000004</v>
      </c>
      <c r="AU40" s="125">
        <f>AH40*Valores!$C$74</f>
        <v>-7308.78444</v>
      </c>
      <c r="AV40" s="125">
        <f>AH40*Valores!$C$75</f>
        <v>-812.0871600000002</v>
      </c>
      <c r="AW40" s="125">
        <f t="shared" si="4"/>
        <v>263125.9192</v>
      </c>
      <c r="AX40" s="126"/>
      <c r="AY40" s="126">
        <v>45</v>
      </c>
      <c r="AZ40" s="123" t="s">
        <v>8</v>
      </c>
    </row>
    <row r="41" spans="1:52" s="110" customFormat="1" ht="11.25" customHeight="1">
      <c r="A41" s="123" t="s">
        <v>176</v>
      </c>
      <c r="B41" s="123">
        <v>1</v>
      </c>
      <c r="C41" s="126">
        <v>34</v>
      </c>
      <c r="D41" s="124" t="s">
        <v>177</v>
      </c>
      <c r="E41" s="192">
        <v>101</v>
      </c>
      <c r="F41" s="125">
        <f>ROUND(E41*Valores!$C$2,2)</f>
        <v>2739.24</v>
      </c>
      <c r="G41" s="192">
        <v>2548</v>
      </c>
      <c r="H41" s="125">
        <f>ROUND(G41*Valores!$C$2,2)</f>
        <v>69104.82</v>
      </c>
      <c r="I41" s="192">
        <v>216</v>
      </c>
      <c r="J41" s="125">
        <f>ROUND(I41*Valores!$C$2,2)</f>
        <v>5858.18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15360.72</v>
      </c>
      <c r="N41" s="125">
        <f t="shared" si="1"/>
        <v>0</v>
      </c>
      <c r="O41" s="125">
        <f>Valores!$C$9</f>
        <v>29939.09</v>
      </c>
      <c r="P41" s="125">
        <f>Valores!$D$5</f>
        <v>13864.36</v>
      </c>
      <c r="Q41" s="125">
        <v>0</v>
      </c>
      <c r="R41" s="125">
        <f>IF($F$4="NO",Valores!$C$46,Valores!$C$46/2)</f>
        <v>11801.55</v>
      </c>
      <c r="S41" s="125">
        <f>Valores!$C$19</f>
        <v>12901.01</v>
      </c>
      <c r="T41" s="125">
        <f t="shared" si="7"/>
        <v>12901.01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Valores!$C$94</f>
        <v>6318.76</v>
      </c>
      <c r="AA41" s="125">
        <f>Valores!$C$25</f>
        <v>567.06</v>
      </c>
      <c r="AB41" s="214">
        <v>0</v>
      </c>
      <c r="AC41" s="125">
        <f t="shared" si="2"/>
        <v>0</v>
      </c>
      <c r="AD41" s="125">
        <f>Valores!$C$26</f>
        <v>567.06</v>
      </c>
      <c r="AE41" s="192">
        <v>0</v>
      </c>
      <c r="AF41" s="125">
        <f>ROUND(AE41*Valores!$C$2,2)</f>
        <v>0</v>
      </c>
      <c r="AG41" s="125">
        <f>ROUND(IF($F$4="NO",Valores!$C$63,Valores!$C$63/2),2)</f>
        <v>6482.98</v>
      </c>
      <c r="AH41" s="125">
        <f t="shared" si="5"/>
        <v>175504.83000000005</v>
      </c>
      <c r="AI41" s="125">
        <f>Valores!$C$31</f>
        <v>0</v>
      </c>
      <c r="AJ41" s="125">
        <f>Valores!$C$87</f>
        <v>0</v>
      </c>
      <c r="AK41" s="125">
        <f>Valores!C$38*B41</f>
        <v>30000</v>
      </c>
      <c r="AL41" s="125">
        <f>IF($F$3="NO",0,Valores!$C$55)</f>
        <v>327.6</v>
      </c>
      <c r="AM41" s="125">
        <f t="shared" si="3"/>
        <v>30327.6</v>
      </c>
      <c r="AN41" s="125">
        <f>AH41*Valores!$C$71</f>
        <v>-19305.531300000006</v>
      </c>
      <c r="AO41" s="125">
        <f>AH41*-Valores!$C$72</f>
        <v>0</v>
      </c>
      <c r="AP41" s="125">
        <f>AH41*Valores!$C$73</f>
        <v>-7897.717350000002</v>
      </c>
      <c r="AQ41" s="125">
        <f>Valores!$C$100</f>
        <v>-280.91</v>
      </c>
      <c r="AR41" s="125">
        <f>IF($F$5=0,Valores!$C$101,(Valores!$C$101+$F$5*(Valores!$C$101)))</f>
        <v>-385</v>
      </c>
      <c r="AS41" s="125">
        <f t="shared" si="6"/>
        <v>177963.27135000002</v>
      </c>
      <c r="AT41" s="125">
        <f t="shared" si="0"/>
        <v>-19305.531300000006</v>
      </c>
      <c r="AU41" s="125">
        <f>AH41*Valores!$C$74</f>
        <v>-4738.630410000002</v>
      </c>
      <c r="AV41" s="125">
        <f>AH41*Valores!$C$75</f>
        <v>-526.5144900000001</v>
      </c>
      <c r="AW41" s="125">
        <f t="shared" si="4"/>
        <v>181261.75380000003</v>
      </c>
      <c r="AX41" s="126"/>
      <c r="AY41" s="126">
        <v>45</v>
      </c>
      <c r="AZ41" s="123" t="s">
        <v>8</v>
      </c>
    </row>
    <row r="42" spans="1:52" s="110" customFormat="1" ht="11.25" customHeight="1">
      <c r="A42" s="123" t="s">
        <v>178</v>
      </c>
      <c r="B42" s="123">
        <v>1</v>
      </c>
      <c r="C42" s="126">
        <v>35</v>
      </c>
      <c r="D42" s="124" t="s">
        <v>177</v>
      </c>
      <c r="E42" s="192">
        <v>101</v>
      </c>
      <c r="F42" s="125">
        <f>ROUND(E42*Valores!$C$2,2)</f>
        <v>2739.24</v>
      </c>
      <c r="G42" s="192">
        <v>2548</v>
      </c>
      <c r="H42" s="125">
        <f>ROUND(G42*Valores!$C$2,2)</f>
        <v>69104.82</v>
      </c>
      <c r="I42" s="192">
        <v>216</v>
      </c>
      <c r="J42" s="125">
        <f>ROUND(I42*Valores!$C$2,2)</f>
        <v>5858.18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15360.72</v>
      </c>
      <c r="N42" s="125">
        <f t="shared" si="1"/>
        <v>0</v>
      </c>
      <c r="O42" s="125">
        <f>Valores!$C$9</f>
        <v>29939.09</v>
      </c>
      <c r="P42" s="125">
        <f>Valores!$D$5</f>
        <v>13864.36</v>
      </c>
      <c r="Q42" s="125">
        <v>0</v>
      </c>
      <c r="R42" s="125">
        <f>IF($F$4="NO",Valores!$C$46,Valores!$C$46/2)</f>
        <v>11801.55</v>
      </c>
      <c r="S42" s="125">
        <f>Valores!$C$19</f>
        <v>12901.01</v>
      </c>
      <c r="T42" s="125">
        <f t="shared" si="7"/>
        <v>12901.01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Valores!$C$94</f>
        <v>6318.76</v>
      </c>
      <c r="AA42" s="125">
        <f>Valores!$C$25</f>
        <v>567.06</v>
      </c>
      <c r="AB42" s="214">
        <v>0</v>
      </c>
      <c r="AC42" s="125">
        <f t="shared" si="2"/>
        <v>0</v>
      </c>
      <c r="AD42" s="125">
        <f>Valores!$C$26</f>
        <v>567.06</v>
      </c>
      <c r="AE42" s="192">
        <v>0</v>
      </c>
      <c r="AF42" s="125">
        <f>ROUND(AE42*Valores!$C$2,2)</f>
        <v>0</v>
      </c>
      <c r="AG42" s="125">
        <f>ROUND(IF($F$4="NO",Valores!$C$63,Valores!$C$63/2),2)</f>
        <v>6482.98</v>
      </c>
      <c r="AH42" s="125">
        <f t="shared" si="5"/>
        <v>175504.83000000005</v>
      </c>
      <c r="AI42" s="125">
        <f>Valores!$C$31</f>
        <v>0</v>
      </c>
      <c r="AJ42" s="125">
        <f>Valores!$C$87</f>
        <v>0</v>
      </c>
      <c r="AK42" s="125">
        <f>Valores!C$38*B42</f>
        <v>30000</v>
      </c>
      <c r="AL42" s="125">
        <f>IF($F$3="NO",0,Valores!$C$55)</f>
        <v>327.6</v>
      </c>
      <c r="AM42" s="125">
        <f t="shared" si="3"/>
        <v>30327.6</v>
      </c>
      <c r="AN42" s="125">
        <f>AH42*Valores!$C$71</f>
        <v>-19305.531300000006</v>
      </c>
      <c r="AO42" s="125">
        <f>AH42*-Valores!$C$72</f>
        <v>0</v>
      </c>
      <c r="AP42" s="125">
        <f>AH42*Valores!$C$73</f>
        <v>-7897.717350000002</v>
      </c>
      <c r="AQ42" s="125">
        <f>Valores!$C$100</f>
        <v>-280.91</v>
      </c>
      <c r="AR42" s="125">
        <f>IF($F$5=0,Valores!$C$101,(Valores!$C$101+$F$5*(Valores!$C$101)))</f>
        <v>-385</v>
      </c>
      <c r="AS42" s="125">
        <f t="shared" si="6"/>
        <v>177963.27135000002</v>
      </c>
      <c r="AT42" s="125">
        <f t="shared" si="0"/>
        <v>-19305.531300000006</v>
      </c>
      <c r="AU42" s="125">
        <f>AH42*Valores!$C$74</f>
        <v>-4738.630410000002</v>
      </c>
      <c r="AV42" s="125">
        <f>AH42*Valores!$C$75</f>
        <v>-526.5144900000001</v>
      </c>
      <c r="AW42" s="125">
        <f t="shared" si="4"/>
        <v>181261.75380000003</v>
      </c>
      <c r="AX42" s="126"/>
      <c r="AY42" s="126">
        <v>45</v>
      </c>
      <c r="AZ42" s="123" t="s">
        <v>8</v>
      </c>
    </row>
    <row r="43" spans="1:52" s="110" customFormat="1" ht="11.25" customHeight="1">
      <c r="A43" s="123" t="s">
        <v>179</v>
      </c>
      <c r="B43" s="123">
        <v>1</v>
      </c>
      <c r="C43" s="126">
        <v>36</v>
      </c>
      <c r="D43" s="124" t="s">
        <v>180</v>
      </c>
      <c r="E43" s="192">
        <v>96</v>
      </c>
      <c r="F43" s="125">
        <f>ROUND(E43*Valores!$C$2,2)</f>
        <v>2603.64</v>
      </c>
      <c r="G43" s="192">
        <v>2475</v>
      </c>
      <c r="H43" s="125">
        <f>ROUND(G43*Valores!$C$2,2)</f>
        <v>67124.97</v>
      </c>
      <c r="I43" s="192">
        <v>213</v>
      </c>
      <c r="J43" s="125">
        <f>ROUND(I43*Valores!$C$2,2)</f>
        <v>5776.82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14705.68</v>
      </c>
      <c r="N43" s="125">
        <f t="shared" si="1"/>
        <v>0</v>
      </c>
      <c r="O43" s="125">
        <f>Valores!$C$9</f>
        <v>29939.09</v>
      </c>
      <c r="P43" s="125">
        <f>Valores!$D$5</f>
        <v>13864.36</v>
      </c>
      <c r="Q43" s="125">
        <v>0</v>
      </c>
      <c r="R43" s="125">
        <f>IF($F$4="NO",Valores!$C$44,Valores!$C$44/2)</f>
        <v>9631.44</v>
      </c>
      <c r="S43" s="125">
        <f>Valores!$C$19</f>
        <v>12901.01</v>
      </c>
      <c r="T43" s="125">
        <f t="shared" si="7"/>
        <v>12901.01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Valores!$C$94</f>
        <v>6318.76</v>
      </c>
      <c r="AA43" s="125">
        <f>Valores!$C$25</f>
        <v>567.06</v>
      </c>
      <c r="AB43" s="214">
        <v>0</v>
      </c>
      <c r="AC43" s="125">
        <f t="shared" si="2"/>
        <v>0</v>
      </c>
      <c r="AD43" s="125">
        <f>Valores!$C$26</f>
        <v>567.06</v>
      </c>
      <c r="AE43" s="192">
        <v>0</v>
      </c>
      <c r="AF43" s="125">
        <f>ROUND(AE43*Valores!$C$2,2)</f>
        <v>0</v>
      </c>
      <c r="AG43" s="125">
        <f>ROUND(IF($F$4="NO",Valores!$C$63,Valores!$C$63/2),2)</f>
        <v>6482.98</v>
      </c>
      <c r="AH43" s="125">
        <f t="shared" si="5"/>
        <v>170482.87000000002</v>
      </c>
      <c r="AI43" s="125">
        <f>Valores!$C$31</f>
        <v>0</v>
      </c>
      <c r="AJ43" s="125">
        <f>Valores!$C$87</f>
        <v>0</v>
      </c>
      <c r="AK43" s="125">
        <f>Valores!C$38*B43</f>
        <v>30000</v>
      </c>
      <c r="AL43" s="125">
        <f>IF($F$3="NO",0,Valores!$C$56)</f>
        <v>170.34</v>
      </c>
      <c r="AM43" s="125">
        <f t="shared" si="3"/>
        <v>30170.34</v>
      </c>
      <c r="AN43" s="125">
        <f>AH43*Valores!$C$71</f>
        <v>-18753.115700000002</v>
      </c>
      <c r="AO43" s="125">
        <f>AH43*-Valores!$C$72</f>
        <v>0</v>
      </c>
      <c r="AP43" s="125">
        <f>AH43*Valores!$C$73</f>
        <v>-7671.729150000001</v>
      </c>
      <c r="AQ43" s="125">
        <f>Valores!$C$100</f>
        <v>-280.91</v>
      </c>
      <c r="AR43" s="125">
        <f>IF($F$5=0,Valores!$C$101,(Valores!$C$101+$F$5*(Valores!$C$101)))</f>
        <v>-385</v>
      </c>
      <c r="AS43" s="125">
        <f t="shared" si="6"/>
        <v>173562.45515000002</v>
      </c>
      <c r="AT43" s="125">
        <f t="shared" si="0"/>
        <v>-18753.115700000002</v>
      </c>
      <c r="AU43" s="125">
        <f>AH43*Valores!$C$74</f>
        <v>-4603.037490000001</v>
      </c>
      <c r="AV43" s="125">
        <f>AH43*Valores!$C$75</f>
        <v>-511.4486100000001</v>
      </c>
      <c r="AW43" s="125">
        <f t="shared" si="4"/>
        <v>176785.60820000002</v>
      </c>
      <c r="AX43" s="126"/>
      <c r="AY43" s="126">
        <v>45</v>
      </c>
      <c r="AZ43" s="123" t="s">
        <v>4</v>
      </c>
    </row>
    <row r="44" spans="1:52" s="110" customFormat="1" ht="11.25" customHeight="1">
      <c r="A44" s="123" t="s">
        <v>181</v>
      </c>
      <c r="B44" s="123">
        <v>1</v>
      </c>
      <c r="C44" s="126">
        <v>37</v>
      </c>
      <c r="D44" s="124" t="s">
        <v>182</v>
      </c>
      <c r="E44" s="192">
        <v>72</v>
      </c>
      <c r="F44" s="125">
        <f>ROUND(E44*Valores!$C$2,2)</f>
        <v>1952.73</v>
      </c>
      <c r="G44" s="192">
        <v>2471</v>
      </c>
      <c r="H44" s="125">
        <f>ROUND(G44*Valores!$C$2,2)</f>
        <v>67016.49</v>
      </c>
      <c r="I44" s="192">
        <v>199</v>
      </c>
      <c r="J44" s="125">
        <f>ROUND(I44*Valores!$C$2,2)</f>
        <v>5397.12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14534.82</v>
      </c>
      <c r="N44" s="125">
        <f t="shared" si="1"/>
        <v>0</v>
      </c>
      <c r="O44" s="125">
        <f>Valores!$C$9</f>
        <v>29939.09</v>
      </c>
      <c r="P44" s="125">
        <f>Valores!$D$5</f>
        <v>13864.36</v>
      </c>
      <c r="Q44" s="125">
        <v>0</v>
      </c>
      <c r="R44" s="125">
        <f>IF($F$4="NO",Valores!$C$44,Valores!$C$44/2)</f>
        <v>9631.44</v>
      </c>
      <c r="S44" s="125">
        <f>Valores!$C$19</f>
        <v>12901.01</v>
      </c>
      <c r="T44" s="125">
        <f t="shared" si="7"/>
        <v>12901.01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Valores!$C$94</f>
        <v>6318.76</v>
      </c>
      <c r="AA44" s="125">
        <f>Valores!$C$25</f>
        <v>567.06</v>
      </c>
      <c r="AB44" s="214">
        <v>0</v>
      </c>
      <c r="AC44" s="125">
        <f t="shared" si="2"/>
        <v>0</v>
      </c>
      <c r="AD44" s="125">
        <f>Valores!$C$26</f>
        <v>567.06</v>
      </c>
      <c r="AE44" s="192">
        <v>0</v>
      </c>
      <c r="AF44" s="125">
        <f>ROUND(AE44*Valores!$C$2,2)</f>
        <v>0</v>
      </c>
      <c r="AG44" s="125">
        <f>ROUND(IF($F$4="NO",Valores!$C$63,Valores!$C$63/2),2)</f>
        <v>6482.98</v>
      </c>
      <c r="AH44" s="125">
        <f t="shared" si="5"/>
        <v>169172.92</v>
      </c>
      <c r="AI44" s="125">
        <f>Valores!$C$31</f>
        <v>0</v>
      </c>
      <c r="AJ44" s="125">
        <f>Valores!$C$87</f>
        <v>0</v>
      </c>
      <c r="AK44" s="125">
        <f>Valores!C$38*B44</f>
        <v>30000</v>
      </c>
      <c r="AL44" s="125">
        <f>IF($F$3="NO",0,Valores!$C$56)</f>
        <v>170.34</v>
      </c>
      <c r="AM44" s="125">
        <f t="shared" si="3"/>
        <v>30170.34</v>
      </c>
      <c r="AN44" s="125">
        <f>AH44*Valores!$C$71</f>
        <v>-18609.021200000003</v>
      </c>
      <c r="AO44" s="125">
        <f>AH44*-Valores!$C$72</f>
        <v>0</v>
      </c>
      <c r="AP44" s="125">
        <f>AH44*Valores!$C$73</f>
        <v>-7612.7814</v>
      </c>
      <c r="AQ44" s="125">
        <f>Valores!$C$100</f>
        <v>-280.91</v>
      </c>
      <c r="AR44" s="125">
        <f>IF($F$5=0,Valores!$C$101,(Valores!$C$101+$F$5*(Valores!$C$101)))</f>
        <v>-385</v>
      </c>
      <c r="AS44" s="125">
        <f t="shared" si="6"/>
        <v>172455.5474</v>
      </c>
      <c r="AT44" s="125">
        <f t="shared" si="0"/>
        <v>-18609.021200000003</v>
      </c>
      <c r="AU44" s="125">
        <f>AH44*Valores!$C$74</f>
        <v>-4567.66884</v>
      </c>
      <c r="AV44" s="125">
        <f>AH44*Valores!$C$75</f>
        <v>-507.51876000000004</v>
      </c>
      <c r="AW44" s="125">
        <f t="shared" si="4"/>
        <v>175659.05120000002</v>
      </c>
      <c r="AX44" s="126"/>
      <c r="AY44" s="126">
        <v>45</v>
      </c>
      <c r="AZ44" s="123" t="s">
        <v>4</v>
      </c>
    </row>
    <row r="45" spans="1:52" s="110" customFormat="1" ht="11.25" customHeight="1">
      <c r="A45" s="123" t="s">
        <v>183</v>
      </c>
      <c r="B45" s="123">
        <v>1</v>
      </c>
      <c r="C45" s="126">
        <v>38</v>
      </c>
      <c r="D45" s="124" t="s">
        <v>184</v>
      </c>
      <c r="E45" s="192">
        <f>E39</f>
        <v>85</v>
      </c>
      <c r="F45" s="125">
        <f>ROUND(E45*Valores!$C$2,2)</f>
        <v>2305.3</v>
      </c>
      <c r="G45" s="192">
        <f>G39</f>
        <v>3498</v>
      </c>
      <c r="H45" s="125">
        <f>ROUND(G45*Valores!$C$2,2)</f>
        <v>94869.96</v>
      </c>
      <c r="I45" s="192">
        <f>I39</f>
        <v>1209</v>
      </c>
      <c r="J45" s="125">
        <f>ROUND(I45*Valores!$C$2,2)</f>
        <v>32789.53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23200.1</v>
      </c>
      <c r="N45" s="125">
        <f t="shared" si="1"/>
        <v>0</v>
      </c>
      <c r="O45" s="125">
        <f>O39</f>
        <v>55613.13</v>
      </c>
      <c r="P45" s="125">
        <f>Valores!$D$5</f>
        <v>13864.36</v>
      </c>
      <c r="Q45" s="125">
        <v>0</v>
      </c>
      <c r="R45" s="125">
        <f>IF($F$4="NO",Valores!$C$46,Valores!$C$46/2)</f>
        <v>11801.55</v>
      </c>
      <c r="S45" s="125">
        <f>S39</f>
        <v>12901.01</v>
      </c>
      <c r="T45" s="125">
        <f t="shared" si="7"/>
        <v>12901.01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12637.52</v>
      </c>
      <c r="AA45" s="125">
        <f>Valores!$C$25</f>
        <v>567.06</v>
      </c>
      <c r="AB45" s="214">
        <v>0</v>
      </c>
      <c r="AC45" s="125">
        <f t="shared" si="2"/>
        <v>0</v>
      </c>
      <c r="AD45" s="125">
        <f>Valores!$C$26</f>
        <v>567.06</v>
      </c>
      <c r="AE45" s="192">
        <v>0</v>
      </c>
      <c r="AF45" s="125">
        <f>ROUND(AE45*Valores!$C$2,2)</f>
        <v>0</v>
      </c>
      <c r="AG45" s="125">
        <f>ROUND(IF($F$4="NO",Valores!$C$63,Valores!$C$63/2),2)</f>
        <v>6482.98</v>
      </c>
      <c r="AH45" s="125">
        <f t="shared" si="5"/>
        <v>267599.56</v>
      </c>
      <c r="AI45" s="125">
        <f>Valores!$C$31</f>
        <v>0</v>
      </c>
      <c r="AJ45" s="125">
        <f>AJ39</f>
        <v>0</v>
      </c>
      <c r="AK45" s="125">
        <f>Valores!C$38*B45</f>
        <v>30000</v>
      </c>
      <c r="AL45" s="125">
        <f>IF($F$3="NO",0,Valores!$C$55)</f>
        <v>327.6</v>
      </c>
      <c r="AM45" s="125">
        <f t="shared" si="3"/>
        <v>30327.6</v>
      </c>
      <c r="AN45" s="125">
        <f>AH45*Valores!$C$71</f>
        <v>-29435.9516</v>
      </c>
      <c r="AO45" s="125">
        <f>AH45*-Valores!$C$72</f>
        <v>0</v>
      </c>
      <c r="AP45" s="125">
        <f>AH45*Valores!$C$73</f>
        <v>-12041.9802</v>
      </c>
      <c r="AQ45" s="125">
        <f>Valores!$C$100</f>
        <v>-280.91</v>
      </c>
      <c r="AR45" s="125">
        <f>IF($F$5=0,Valores!$C$101,(Valores!$C$101+$F$5*(Valores!$C$101)))</f>
        <v>-385</v>
      </c>
      <c r="AS45" s="125">
        <f t="shared" si="6"/>
        <v>255783.3182</v>
      </c>
      <c r="AT45" s="125">
        <f t="shared" si="0"/>
        <v>-29435.9516</v>
      </c>
      <c r="AU45" s="125">
        <f>AH45*Valores!$C$74</f>
        <v>-7225.18812</v>
      </c>
      <c r="AV45" s="125">
        <f>AH45*Valores!$C$75</f>
        <v>-802.79868</v>
      </c>
      <c r="AW45" s="125">
        <f t="shared" si="4"/>
        <v>260463.2216</v>
      </c>
      <c r="AX45" s="126"/>
      <c r="AY45" s="126">
        <v>45</v>
      </c>
      <c r="AZ45" s="123" t="s">
        <v>8</v>
      </c>
    </row>
    <row r="46" spans="1:52" s="110" customFormat="1" ht="11.25" customHeight="1">
      <c r="A46" s="123" t="s">
        <v>185</v>
      </c>
      <c r="B46" s="123">
        <v>1</v>
      </c>
      <c r="C46" s="126">
        <v>39</v>
      </c>
      <c r="D46" s="124" t="s">
        <v>186</v>
      </c>
      <c r="E46" s="192">
        <f>E88+E304</f>
        <v>518</v>
      </c>
      <c r="F46" s="125">
        <f>ROUND(E46*Valores!$C$2,2)</f>
        <v>14048.78</v>
      </c>
      <c r="G46" s="192">
        <f>G88+G304</f>
        <v>1997</v>
      </c>
      <c r="H46" s="125">
        <f>ROUND(G46*Valores!$C$2,2)</f>
        <v>54161.04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13974.7</v>
      </c>
      <c r="N46" s="125">
        <f t="shared" si="1"/>
        <v>0</v>
      </c>
      <c r="O46" s="125">
        <f>O88+O304</f>
        <v>35046.14</v>
      </c>
      <c r="P46" s="125">
        <f>Valores!$D$5</f>
        <v>13864.36</v>
      </c>
      <c r="Q46" s="125">
        <f>Q88+Q304</f>
        <v>12369.22</v>
      </c>
      <c r="R46" s="125">
        <f>R88+R304</f>
        <v>12053.84</v>
      </c>
      <c r="S46" s="125">
        <f>S88+S304</f>
        <v>12901.01</v>
      </c>
      <c r="T46" s="125">
        <f t="shared" si="7"/>
        <v>12901.01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6318.76</v>
      </c>
      <c r="AA46" s="125">
        <f>Valores!$C$25</f>
        <v>567.06</v>
      </c>
      <c r="AB46" s="214">
        <v>0</v>
      </c>
      <c r="AC46" s="125">
        <f t="shared" si="2"/>
        <v>0</v>
      </c>
      <c r="AD46" s="125">
        <f>Valores!$C$26</f>
        <v>567.06</v>
      </c>
      <c r="AE46" s="192">
        <v>0</v>
      </c>
      <c r="AF46" s="125">
        <f>ROUND(AE46*Valores!$C$2,2)</f>
        <v>0</v>
      </c>
      <c r="AG46" s="125">
        <f>ROUND(IF($F$4="NO",Valores!$C$63,Valores!$C$63/2),2)</f>
        <v>6482.98</v>
      </c>
      <c r="AH46" s="125">
        <f t="shared" si="5"/>
        <v>182354.95000000004</v>
      </c>
      <c r="AI46" s="125">
        <f>Valores!$C$31</f>
        <v>0</v>
      </c>
      <c r="AJ46" s="125">
        <f>AJ88+AJ304</f>
        <v>0</v>
      </c>
      <c r="AK46" s="125">
        <f>Valores!C$38*B46</f>
        <v>30000</v>
      </c>
      <c r="AL46" s="125">
        <f>IF($F$3="NO",0,Valores!$C$56)</f>
        <v>170.34</v>
      </c>
      <c r="AM46" s="125">
        <f t="shared" si="3"/>
        <v>30170.34</v>
      </c>
      <c r="AN46" s="125">
        <f>AH46*Valores!$C$71</f>
        <v>-20059.044500000004</v>
      </c>
      <c r="AO46" s="125">
        <f>AH46*-Valores!$C$72</f>
        <v>0</v>
      </c>
      <c r="AP46" s="125">
        <f>AH46*Valores!$C$73</f>
        <v>-8205.97275</v>
      </c>
      <c r="AQ46" s="125">
        <f>Valores!$C$100</f>
        <v>-280.91</v>
      </c>
      <c r="AR46" s="125">
        <f>IF($F$5=0,Valores!$C$101,(Valores!$C$101+$F$5*(Valores!$C$101)))</f>
        <v>-385</v>
      </c>
      <c r="AS46" s="125">
        <f t="shared" si="6"/>
        <v>183594.36275000003</v>
      </c>
      <c r="AT46" s="125">
        <f t="shared" si="0"/>
        <v>-20059.044500000004</v>
      </c>
      <c r="AU46" s="125">
        <f>AH46*Valores!$C$74</f>
        <v>-4923.583650000001</v>
      </c>
      <c r="AV46" s="125">
        <f>AH46*Valores!$C$75</f>
        <v>-547.0648500000001</v>
      </c>
      <c r="AW46" s="125">
        <f t="shared" si="4"/>
        <v>186995.59700000004</v>
      </c>
      <c r="AX46" s="126"/>
      <c r="AY46" s="126"/>
      <c r="AZ46" s="123" t="s">
        <v>8</v>
      </c>
    </row>
    <row r="47" spans="1:52" s="110" customFormat="1" ht="11.25" customHeight="1">
      <c r="A47" s="123" t="s">
        <v>187</v>
      </c>
      <c r="B47" s="123">
        <v>1</v>
      </c>
      <c r="C47" s="126">
        <v>40</v>
      </c>
      <c r="D47" s="124" t="s">
        <v>188</v>
      </c>
      <c r="E47" s="192">
        <f>E55+E237</f>
        <v>572</v>
      </c>
      <c r="F47" s="125">
        <f>ROUND(E47*Valores!$C$2,2)</f>
        <v>15513.33</v>
      </c>
      <c r="G47" s="192">
        <f>G55+G237</f>
        <v>2686</v>
      </c>
      <c r="H47" s="125">
        <f>ROUND(G47*Valores!$C$2,2)</f>
        <v>72847.54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17411.15</v>
      </c>
      <c r="N47" s="125">
        <f t="shared" si="1"/>
        <v>0</v>
      </c>
      <c r="O47" s="125">
        <f>O55+O237</f>
        <v>35457.65</v>
      </c>
      <c r="P47" s="125">
        <f>Valores!$D$5</f>
        <v>13864.36</v>
      </c>
      <c r="Q47" s="125">
        <f>Q55+Q237</f>
        <v>12369.22</v>
      </c>
      <c r="R47" s="125">
        <f>R55+R237</f>
        <v>13076.779999999999</v>
      </c>
      <c r="S47" s="125">
        <f>S55+S237</f>
        <v>14636.69</v>
      </c>
      <c r="T47" s="125">
        <f t="shared" si="7"/>
        <v>14636.69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9262.15</v>
      </c>
      <c r="AA47" s="125">
        <f>AA55+AA237</f>
        <v>703.3799999999999</v>
      </c>
      <c r="AB47" s="214">
        <v>0</v>
      </c>
      <c r="AC47" s="125">
        <f t="shared" si="2"/>
        <v>0</v>
      </c>
      <c r="AD47" s="125">
        <f>Valores!$C$26</f>
        <v>567.06</v>
      </c>
      <c r="AE47" s="192">
        <v>0</v>
      </c>
      <c r="AF47" s="125">
        <f>ROUND(AE47*Valores!$C$2,2)</f>
        <v>0</v>
      </c>
      <c r="AG47" s="125">
        <f>AG55+AG237</f>
        <v>9076.18</v>
      </c>
      <c r="AH47" s="125">
        <f t="shared" si="5"/>
        <v>214785.48999999996</v>
      </c>
      <c r="AI47" s="125">
        <f>AI55+AI237</f>
        <v>0</v>
      </c>
      <c r="AJ47" s="125">
        <f>AJ55+AJ237</f>
        <v>0</v>
      </c>
      <c r="AK47" s="125">
        <f>Valores!C$38*B47</f>
        <v>30000</v>
      </c>
      <c r="AL47" s="125">
        <f>IF($F$3="NO",0,Valores!$C$56)</f>
        <v>170.34</v>
      </c>
      <c r="AM47" s="125">
        <f t="shared" si="3"/>
        <v>30170.34</v>
      </c>
      <c r="AN47" s="125">
        <f>AH47*Valores!$C$71</f>
        <v>-23626.403899999998</v>
      </c>
      <c r="AO47" s="125">
        <f>AH47*-Valores!$C$72</f>
        <v>0</v>
      </c>
      <c r="AP47" s="125">
        <f>AH47*Valores!$C$73</f>
        <v>-9665.347049999998</v>
      </c>
      <c r="AQ47" s="125">
        <f>Valores!$C$100</f>
        <v>-280.91</v>
      </c>
      <c r="AR47" s="125">
        <f>IF($F$5=0,Valores!$C$101,(Valores!$C$101+$F$5*(Valores!$C$101)))</f>
        <v>-385</v>
      </c>
      <c r="AS47" s="125">
        <f t="shared" si="6"/>
        <v>210998.16904999997</v>
      </c>
      <c r="AT47" s="125">
        <f t="shared" si="0"/>
        <v>-23626.403899999998</v>
      </c>
      <c r="AU47" s="125">
        <f>AH47*Valores!$C$74</f>
        <v>-5799.208229999999</v>
      </c>
      <c r="AV47" s="125">
        <f>AH47*Valores!$C$75</f>
        <v>-644.35647</v>
      </c>
      <c r="AW47" s="125">
        <f t="shared" si="4"/>
        <v>214885.86139999997</v>
      </c>
      <c r="AX47" s="126"/>
      <c r="AY47" s="126"/>
      <c r="AZ47" s="123" t="s">
        <v>8</v>
      </c>
    </row>
    <row r="48" spans="1:52" s="110" customFormat="1" ht="11.25" customHeight="1">
      <c r="A48" s="123" t="s">
        <v>189</v>
      </c>
      <c r="B48" s="123">
        <v>1</v>
      </c>
      <c r="C48" s="126">
        <v>41</v>
      </c>
      <c r="D48" s="124" t="s">
        <v>190</v>
      </c>
      <c r="E48" s="192">
        <v>108</v>
      </c>
      <c r="F48" s="125">
        <f>ROUND(E48*Valores!$C$2,2)</f>
        <v>2929.09</v>
      </c>
      <c r="G48" s="192">
        <v>2907</v>
      </c>
      <c r="H48" s="125">
        <f>ROUND(G48*Valores!$C$2,2)</f>
        <v>78841.33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15726.2</v>
      </c>
      <c r="N48" s="125">
        <f t="shared" si="1"/>
        <v>0</v>
      </c>
      <c r="O48" s="125">
        <f>Valores!$C$9</f>
        <v>29939.09</v>
      </c>
      <c r="P48" s="125">
        <f>Valores!$D$5</f>
        <v>13864.36</v>
      </c>
      <c r="Q48" s="125">
        <f>Valores!$C$22</f>
        <v>12369.22</v>
      </c>
      <c r="R48" s="125">
        <f>IF($F$4="NO",Valores!$C$45,Valores!$C$45/2)</f>
        <v>10169.9</v>
      </c>
      <c r="S48" s="125">
        <f>Valores!$C$19</f>
        <v>12901.01</v>
      </c>
      <c r="T48" s="125">
        <f t="shared" si="7"/>
        <v>12901.01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Valores!$C$95</f>
        <v>7582.51</v>
      </c>
      <c r="AA48" s="125">
        <f>Valores!$C$25</f>
        <v>567.06</v>
      </c>
      <c r="AB48" s="214">
        <v>0</v>
      </c>
      <c r="AC48" s="125">
        <f t="shared" si="2"/>
        <v>0</v>
      </c>
      <c r="AD48" s="125">
        <f>Valores!$C$26</f>
        <v>567.06</v>
      </c>
      <c r="AE48" s="192">
        <v>0</v>
      </c>
      <c r="AF48" s="125">
        <f>ROUND(AE48*Valores!$C$2,2)</f>
        <v>0</v>
      </c>
      <c r="AG48" s="125">
        <f>ROUND(IF($F$4="NO",Valores!$C$63,Valores!$C$63/2),2)</f>
        <v>6482.98</v>
      </c>
      <c r="AH48" s="125">
        <f t="shared" si="5"/>
        <v>191939.81000000003</v>
      </c>
      <c r="AI48" s="125">
        <f>Valores!$C$31</f>
        <v>0</v>
      </c>
      <c r="AJ48" s="125">
        <f>Valores!$C$88</f>
        <v>0</v>
      </c>
      <c r="AK48" s="125">
        <f>Valores!C$38*B48</f>
        <v>30000</v>
      </c>
      <c r="AL48" s="125">
        <f>IF($F$3="NO",0,Valores!$C$56)</f>
        <v>170.34</v>
      </c>
      <c r="AM48" s="125">
        <f t="shared" si="3"/>
        <v>30170.34</v>
      </c>
      <c r="AN48" s="125">
        <f>AH48*Valores!$C$71</f>
        <v>-21113.379100000002</v>
      </c>
      <c r="AO48" s="125">
        <f>AH48*-Valores!$C$72</f>
        <v>0</v>
      </c>
      <c r="AP48" s="125">
        <f>AH48*Valores!$C$73</f>
        <v>-8637.29145</v>
      </c>
      <c r="AQ48" s="125">
        <f>Valores!$C$100</f>
        <v>-280.91</v>
      </c>
      <c r="AR48" s="125">
        <f>IF($F$5=0,Valores!$C$101,(Valores!$C$101+$F$5*(Valores!$C$101)))</f>
        <v>-385</v>
      </c>
      <c r="AS48" s="125">
        <f t="shared" si="6"/>
        <v>191693.56945</v>
      </c>
      <c r="AT48" s="125">
        <f t="shared" si="0"/>
        <v>-21113.379100000002</v>
      </c>
      <c r="AU48" s="125">
        <f>AH48*Valores!$C$74</f>
        <v>-5182.374870000001</v>
      </c>
      <c r="AV48" s="125">
        <f>AH48*Valores!$C$75</f>
        <v>-575.8194300000001</v>
      </c>
      <c r="AW48" s="125">
        <f t="shared" si="4"/>
        <v>195238.57660000003</v>
      </c>
      <c r="AX48" s="126"/>
      <c r="AY48" s="126">
        <v>30</v>
      </c>
      <c r="AZ48" s="123" t="s">
        <v>4</v>
      </c>
    </row>
    <row r="49" spans="1:52" s="110" customFormat="1" ht="11.25" customHeight="1">
      <c r="A49" s="123" t="s">
        <v>191</v>
      </c>
      <c r="B49" s="123">
        <v>1</v>
      </c>
      <c r="C49" s="126">
        <v>42</v>
      </c>
      <c r="D49" s="124" t="s">
        <v>192</v>
      </c>
      <c r="E49" s="192">
        <v>88</v>
      </c>
      <c r="F49" s="125">
        <f>ROUND(E49*Valores!$C$2,2)</f>
        <v>2386.67</v>
      </c>
      <c r="G49" s="192">
        <v>2622</v>
      </c>
      <c r="H49" s="125">
        <f>ROUND(G49*Valores!$C$2,2)</f>
        <v>71111.79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14485.41</v>
      </c>
      <c r="N49" s="125">
        <f t="shared" si="1"/>
        <v>0</v>
      </c>
      <c r="O49" s="125">
        <f>Valores!$C$9</f>
        <v>29939.09</v>
      </c>
      <c r="P49" s="125">
        <f>Valores!$D$5</f>
        <v>13864.36</v>
      </c>
      <c r="Q49" s="125">
        <f>Valores!$C$22</f>
        <v>12369.22</v>
      </c>
      <c r="R49" s="125">
        <f>IF($F$4="NO",Valores!$C$45,Valores!$C$45/2)</f>
        <v>10169.9</v>
      </c>
      <c r="S49" s="125">
        <f>Valores!$C$19</f>
        <v>12901.01</v>
      </c>
      <c r="T49" s="125">
        <f t="shared" si="7"/>
        <v>12901.01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Valores!$C$95</f>
        <v>7582.51</v>
      </c>
      <c r="AA49" s="125">
        <f>Valores!$C$25</f>
        <v>567.06</v>
      </c>
      <c r="AB49" s="214">
        <v>0</v>
      </c>
      <c r="AC49" s="125">
        <f t="shared" si="2"/>
        <v>0</v>
      </c>
      <c r="AD49" s="125">
        <f>Valores!$C$26</f>
        <v>567.06</v>
      </c>
      <c r="AE49" s="192">
        <v>0</v>
      </c>
      <c r="AF49" s="125">
        <f>ROUND(AE49*Valores!$C$2,2)</f>
        <v>0</v>
      </c>
      <c r="AG49" s="125">
        <f>ROUND(IF($F$4="NO",Valores!$C$63,Valores!$C$63/2),2)</f>
        <v>6482.98</v>
      </c>
      <c r="AH49" s="125">
        <f t="shared" si="5"/>
        <v>182427.06000000003</v>
      </c>
      <c r="AI49" s="125">
        <f>Valores!$C$31</f>
        <v>0</v>
      </c>
      <c r="AJ49" s="125">
        <f>Valores!$C$88</f>
        <v>0</v>
      </c>
      <c r="AK49" s="125">
        <f>Valores!C$38*B49</f>
        <v>30000</v>
      </c>
      <c r="AL49" s="125">
        <f>IF($F$3="NO",0,Valores!$C$56)</f>
        <v>170.34</v>
      </c>
      <c r="AM49" s="125">
        <f t="shared" si="3"/>
        <v>30170.34</v>
      </c>
      <c r="AN49" s="125">
        <f>AH49*Valores!$C$71</f>
        <v>-20066.9766</v>
      </c>
      <c r="AO49" s="125">
        <f>AH49*-Valores!$C$72</f>
        <v>0</v>
      </c>
      <c r="AP49" s="125">
        <f>AH49*Valores!$C$73</f>
        <v>-8209.217700000001</v>
      </c>
      <c r="AQ49" s="125">
        <f>Valores!$C$100</f>
        <v>-280.91</v>
      </c>
      <c r="AR49" s="125">
        <f>IF($F$5=0,Valores!$C$101,(Valores!$C$101+$F$5*(Valores!$C$101)))</f>
        <v>-385</v>
      </c>
      <c r="AS49" s="125">
        <f t="shared" si="6"/>
        <v>183655.29570000002</v>
      </c>
      <c r="AT49" s="125">
        <f t="shared" si="0"/>
        <v>-20066.9766</v>
      </c>
      <c r="AU49" s="125">
        <f>AH49*Valores!$C$74</f>
        <v>-4925.53062</v>
      </c>
      <c r="AV49" s="125">
        <f>AH49*Valores!$C$75</f>
        <v>-547.2811800000001</v>
      </c>
      <c r="AW49" s="125">
        <f t="shared" si="4"/>
        <v>187057.6116</v>
      </c>
      <c r="AX49" s="126"/>
      <c r="AY49" s="126">
        <v>30</v>
      </c>
      <c r="AZ49" s="123" t="s">
        <v>4</v>
      </c>
    </row>
    <row r="50" spans="1:52" s="110" customFormat="1" ht="11.25" customHeight="1">
      <c r="A50" s="123" t="s">
        <v>193</v>
      </c>
      <c r="B50" s="123">
        <v>1</v>
      </c>
      <c r="C50" s="126">
        <v>43</v>
      </c>
      <c r="D50" s="124" t="s">
        <v>194</v>
      </c>
      <c r="E50" s="192">
        <v>88</v>
      </c>
      <c r="F50" s="125">
        <f>ROUND(E50*Valores!$C$2,2)</f>
        <v>2386.67</v>
      </c>
      <c r="G50" s="192">
        <v>2622</v>
      </c>
      <c r="H50" s="125">
        <f>ROUND(G50*Valores!$C$2,2)</f>
        <v>71111.79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14485.41</v>
      </c>
      <c r="N50" s="125">
        <f t="shared" si="1"/>
        <v>0</v>
      </c>
      <c r="O50" s="125">
        <f>Valores!$C$9</f>
        <v>29939.09</v>
      </c>
      <c r="P50" s="125">
        <f>Valores!$D$5</f>
        <v>13864.36</v>
      </c>
      <c r="Q50" s="125">
        <f>Valores!$C$22</f>
        <v>12369.22</v>
      </c>
      <c r="R50" s="125">
        <f>IF($F$4="NO",Valores!$C$45,Valores!$C$45/2)</f>
        <v>10169.9</v>
      </c>
      <c r="S50" s="125">
        <f>Valores!$C$19</f>
        <v>12901.01</v>
      </c>
      <c r="T50" s="125">
        <f t="shared" si="7"/>
        <v>12901.01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Valores!$C$95</f>
        <v>7582.51</v>
      </c>
      <c r="AA50" s="125">
        <f>Valores!$C$25</f>
        <v>567.06</v>
      </c>
      <c r="AB50" s="214">
        <v>0</v>
      </c>
      <c r="AC50" s="125">
        <f t="shared" si="2"/>
        <v>0</v>
      </c>
      <c r="AD50" s="125">
        <f>Valores!$C$26</f>
        <v>567.06</v>
      </c>
      <c r="AE50" s="192">
        <v>0</v>
      </c>
      <c r="AF50" s="125">
        <f>ROUND(AE50*Valores!$C$2,2)</f>
        <v>0</v>
      </c>
      <c r="AG50" s="125">
        <f>ROUND(IF($F$4="NO",Valores!$C$63,Valores!$C$63/2),2)</f>
        <v>6482.98</v>
      </c>
      <c r="AH50" s="125">
        <f t="shared" si="5"/>
        <v>182427.06000000003</v>
      </c>
      <c r="AI50" s="125">
        <f>Valores!$C$31</f>
        <v>0</v>
      </c>
      <c r="AJ50" s="125">
        <f>Valores!$C$88</f>
        <v>0</v>
      </c>
      <c r="AK50" s="125">
        <f>Valores!C$38*B50</f>
        <v>30000</v>
      </c>
      <c r="AL50" s="125">
        <f>IF($F$3="NO",0,Valores!$C$56)</f>
        <v>170.34</v>
      </c>
      <c r="AM50" s="125">
        <f t="shared" si="3"/>
        <v>30170.34</v>
      </c>
      <c r="AN50" s="125">
        <f>AH50*Valores!$C$71</f>
        <v>-20066.9766</v>
      </c>
      <c r="AO50" s="125">
        <f>AH50*-Valores!$C$72</f>
        <v>0</v>
      </c>
      <c r="AP50" s="125">
        <f>AH50*Valores!$C$73</f>
        <v>-8209.217700000001</v>
      </c>
      <c r="AQ50" s="125">
        <f>Valores!$C$100</f>
        <v>-280.91</v>
      </c>
      <c r="AR50" s="125">
        <f>IF($F$5=0,Valores!$C$101,(Valores!$C$101+$F$5*(Valores!$C$101)))</f>
        <v>-385</v>
      </c>
      <c r="AS50" s="125">
        <f t="shared" si="6"/>
        <v>183655.29570000002</v>
      </c>
      <c r="AT50" s="125">
        <f t="shared" si="0"/>
        <v>-20066.9766</v>
      </c>
      <c r="AU50" s="125">
        <f>AH50*Valores!$C$74</f>
        <v>-4925.53062</v>
      </c>
      <c r="AV50" s="125">
        <f>AH50*Valores!$C$75</f>
        <v>-547.2811800000001</v>
      </c>
      <c r="AW50" s="125">
        <f t="shared" si="4"/>
        <v>187057.6116</v>
      </c>
      <c r="AX50" s="126"/>
      <c r="AY50" s="126">
        <v>30</v>
      </c>
      <c r="AZ50" s="123" t="s">
        <v>4</v>
      </c>
    </row>
    <row r="51" spans="1:52" s="110" customFormat="1" ht="11.25" customHeight="1">
      <c r="A51" s="123" t="s">
        <v>195</v>
      </c>
      <c r="B51" s="123">
        <v>1</v>
      </c>
      <c r="C51" s="126">
        <v>44</v>
      </c>
      <c r="D51" s="124" t="s">
        <v>196</v>
      </c>
      <c r="E51" s="192">
        <v>80</v>
      </c>
      <c r="F51" s="125">
        <f>ROUND(E51*Valores!$C$2,2)</f>
        <v>2169.7</v>
      </c>
      <c r="G51" s="192">
        <v>2278</v>
      </c>
      <c r="H51" s="125">
        <f>ROUND(G51*Valores!$C$2,2)</f>
        <v>61782.09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13053.41</v>
      </c>
      <c r="N51" s="125">
        <f t="shared" si="1"/>
        <v>0</v>
      </c>
      <c r="O51" s="125">
        <f>Valores!$C$9</f>
        <v>29939.09</v>
      </c>
      <c r="P51" s="125">
        <f>Valores!$D$5</f>
        <v>13864.36</v>
      </c>
      <c r="Q51" s="125">
        <f>Valores!$C$22</f>
        <v>12369.22</v>
      </c>
      <c r="R51" s="125">
        <f>IF($F$4="NO",Valores!$C$45,Valores!$C$45/2)</f>
        <v>10169.9</v>
      </c>
      <c r="S51" s="125">
        <f>Valores!$C$19</f>
        <v>12901.01</v>
      </c>
      <c r="T51" s="125">
        <f t="shared" si="7"/>
        <v>12901.01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Valores!$C$95</f>
        <v>7582.51</v>
      </c>
      <c r="AA51" s="125">
        <f>Valores!$C$25</f>
        <v>567.06</v>
      </c>
      <c r="AB51" s="214">
        <v>0</v>
      </c>
      <c r="AC51" s="125">
        <f t="shared" si="2"/>
        <v>0</v>
      </c>
      <c r="AD51" s="125">
        <f>Valores!$C$26</f>
        <v>567.06</v>
      </c>
      <c r="AE51" s="192">
        <v>0</v>
      </c>
      <c r="AF51" s="125">
        <f>ROUND(AE51*Valores!$C$2,2)</f>
        <v>0</v>
      </c>
      <c r="AG51" s="125">
        <f>ROUND(IF($F$4="NO",Valores!$C$63,Valores!$C$63/2),2)</f>
        <v>6482.98</v>
      </c>
      <c r="AH51" s="125">
        <f t="shared" si="5"/>
        <v>171448.39</v>
      </c>
      <c r="AI51" s="125">
        <f>Valores!$C$31</f>
        <v>0</v>
      </c>
      <c r="AJ51" s="125">
        <f>Valores!$C$88</f>
        <v>0</v>
      </c>
      <c r="AK51" s="125">
        <f>Valores!C$38*B51</f>
        <v>30000</v>
      </c>
      <c r="AL51" s="125">
        <f>IF($F$3="NO",0,Valores!$C$56)</f>
        <v>170.34</v>
      </c>
      <c r="AM51" s="125">
        <f t="shared" si="3"/>
        <v>30170.34</v>
      </c>
      <c r="AN51" s="125">
        <f>AH51*Valores!$C$71</f>
        <v>-18859.322900000003</v>
      </c>
      <c r="AO51" s="125">
        <f>AH51*-Valores!$C$72</f>
        <v>0</v>
      </c>
      <c r="AP51" s="125">
        <f>AH51*Valores!$C$73</f>
        <v>-7715.17755</v>
      </c>
      <c r="AQ51" s="125">
        <f>Valores!$C$100</f>
        <v>-280.91</v>
      </c>
      <c r="AR51" s="125">
        <f>IF($F$5=0,Valores!$C$101,(Valores!$C$101+$F$5*(Valores!$C$101)))</f>
        <v>-385</v>
      </c>
      <c r="AS51" s="125">
        <f t="shared" si="6"/>
        <v>174378.31955000001</v>
      </c>
      <c r="AT51" s="125">
        <f t="shared" si="0"/>
        <v>-18859.322900000003</v>
      </c>
      <c r="AU51" s="125">
        <f>AH51*Valores!$C$74</f>
        <v>-4629.10653</v>
      </c>
      <c r="AV51" s="125">
        <f>AH51*Valores!$C$75</f>
        <v>-514.34517</v>
      </c>
      <c r="AW51" s="125">
        <f t="shared" si="4"/>
        <v>177615.9554</v>
      </c>
      <c r="AX51" s="126"/>
      <c r="AY51" s="126">
        <v>30</v>
      </c>
      <c r="AZ51" s="123" t="s">
        <v>4</v>
      </c>
    </row>
    <row r="52" spans="1:52" s="110" customFormat="1" ht="11.25" customHeight="1">
      <c r="A52" s="123" t="s">
        <v>197</v>
      </c>
      <c r="B52" s="123">
        <v>1</v>
      </c>
      <c r="C52" s="126">
        <v>45</v>
      </c>
      <c r="D52" s="124" t="s">
        <v>198</v>
      </c>
      <c r="E52" s="192">
        <v>100</v>
      </c>
      <c r="F52" s="125">
        <f>ROUND(E52*Valores!$C$2,2)</f>
        <v>2712.12</v>
      </c>
      <c r="G52" s="192">
        <v>3620</v>
      </c>
      <c r="H52" s="125">
        <f>ROUND(G52*Valores!$C$2,2)</f>
        <v>98178.74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19242.86</v>
      </c>
      <c r="N52" s="125">
        <f t="shared" si="1"/>
        <v>0</v>
      </c>
      <c r="O52" s="125">
        <f>Valores!$C$9</f>
        <v>29939.09</v>
      </c>
      <c r="P52" s="125">
        <f>Valores!$D$5</f>
        <v>13864.36</v>
      </c>
      <c r="Q52" s="125">
        <f>Valores!$C$22</f>
        <v>12369.22</v>
      </c>
      <c r="R52" s="125">
        <f>IF($F$4="NO",Valores!$C$47,Valores!$C$47/2)</f>
        <v>14493.86</v>
      </c>
      <c r="S52" s="125">
        <f>Valores!$C$19</f>
        <v>12901.01</v>
      </c>
      <c r="T52" s="125">
        <f t="shared" si="7"/>
        <v>12901.01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Valores!$C$96</f>
        <v>12637.52</v>
      </c>
      <c r="AA52" s="125">
        <f>Valores!$C$25</f>
        <v>567.06</v>
      </c>
      <c r="AB52" s="214">
        <v>0</v>
      </c>
      <c r="AC52" s="125">
        <f t="shared" si="2"/>
        <v>0</v>
      </c>
      <c r="AD52" s="125">
        <f>Valores!$C$26</f>
        <v>567.06</v>
      </c>
      <c r="AE52" s="192">
        <v>0</v>
      </c>
      <c r="AF52" s="125">
        <f>ROUND(AE52*Valores!$C$2,2)</f>
        <v>0</v>
      </c>
      <c r="AG52" s="125">
        <f>ROUND(IF($F$4="NO",Valores!$C$63,Valores!$C$63/2),2)</f>
        <v>6482.98</v>
      </c>
      <c r="AH52" s="125">
        <f t="shared" si="5"/>
        <v>223955.88</v>
      </c>
      <c r="AI52" s="125">
        <f>Valores!$C$31</f>
        <v>0</v>
      </c>
      <c r="AJ52" s="125">
        <f>Valores!$C$89</f>
        <v>0</v>
      </c>
      <c r="AK52" s="125">
        <f>Valores!C$38*B52</f>
        <v>30000</v>
      </c>
      <c r="AL52" s="125">
        <f>IF($F$3="NO",0,Valores!$C$56)</f>
        <v>170.34</v>
      </c>
      <c r="AM52" s="125">
        <f t="shared" si="3"/>
        <v>30170.34</v>
      </c>
      <c r="AN52" s="125">
        <f>AH52*Valores!$C$71</f>
        <v>-24635.146800000002</v>
      </c>
      <c r="AO52" s="125">
        <f>AH52*-Valores!$C$72</f>
        <v>0</v>
      </c>
      <c r="AP52" s="125">
        <f>AH52*Valores!$C$73</f>
        <v>-10078.0146</v>
      </c>
      <c r="AQ52" s="125">
        <f>Valores!$C$100</f>
        <v>-280.91</v>
      </c>
      <c r="AR52" s="125">
        <f>IF($F$5=0,Valores!$C$101,(Valores!$C$101+$F$5*(Valores!$C$101)))</f>
        <v>-385</v>
      </c>
      <c r="AS52" s="125">
        <f t="shared" si="6"/>
        <v>218747.14860000001</v>
      </c>
      <c r="AT52" s="125">
        <f t="shared" si="0"/>
        <v>-24635.146800000002</v>
      </c>
      <c r="AU52" s="125">
        <f>AH52*Valores!$C$74</f>
        <v>-6046.80876</v>
      </c>
      <c r="AV52" s="125">
        <f>AH52*Valores!$C$75</f>
        <v>-671.86764</v>
      </c>
      <c r="AW52" s="125">
        <f t="shared" si="4"/>
        <v>222772.3968</v>
      </c>
      <c r="AX52" s="126"/>
      <c r="AY52" s="126"/>
      <c r="AZ52" s="123" t="s">
        <v>4</v>
      </c>
    </row>
    <row r="53" spans="1:52" s="110" customFormat="1" ht="11.25" customHeight="1">
      <c r="A53" s="123" t="s">
        <v>199</v>
      </c>
      <c r="B53" s="123">
        <v>1</v>
      </c>
      <c r="C53" s="126">
        <v>46</v>
      </c>
      <c r="D53" s="124" t="s">
        <v>200</v>
      </c>
      <c r="E53" s="192">
        <v>100</v>
      </c>
      <c r="F53" s="125">
        <f>ROUND(E53*Valores!$C$2,2)</f>
        <v>2712.12</v>
      </c>
      <c r="G53" s="192">
        <v>3560</v>
      </c>
      <c r="H53" s="125">
        <f>ROUND(G53*Valores!$C$2,2)</f>
        <v>96551.47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18998.77</v>
      </c>
      <c r="N53" s="125">
        <f t="shared" si="1"/>
        <v>0</v>
      </c>
      <c r="O53" s="125">
        <f>Valores!$C$9</f>
        <v>29939.09</v>
      </c>
      <c r="P53" s="125">
        <f>Valores!$D$5</f>
        <v>13864.36</v>
      </c>
      <c r="Q53" s="125">
        <v>0</v>
      </c>
      <c r="R53" s="125">
        <f>IF($F$4="NO",Valores!$C$47,Valores!$C$47/2)</f>
        <v>14493.86</v>
      </c>
      <c r="S53" s="125">
        <f>Valores!$C$19</f>
        <v>12901.01</v>
      </c>
      <c r="T53" s="125">
        <f t="shared" si="7"/>
        <v>12901.01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Valores!$C$96</f>
        <v>12637.52</v>
      </c>
      <c r="AA53" s="125">
        <f>Valores!$C$25</f>
        <v>567.06</v>
      </c>
      <c r="AB53" s="214">
        <v>0</v>
      </c>
      <c r="AC53" s="125">
        <f t="shared" si="2"/>
        <v>0</v>
      </c>
      <c r="AD53" s="125">
        <f>Valores!$C$26</f>
        <v>567.06</v>
      </c>
      <c r="AE53" s="192">
        <v>0</v>
      </c>
      <c r="AF53" s="125">
        <f>ROUND(AE53*Valores!$C$2,2)</f>
        <v>0</v>
      </c>
      <c r="AG53" s="125">
        <f>ROUND(IF($F$4="NO",Valores!$C$63,Valores!$C$63/2),2)</f>
        <v>6482.98</v>
      </c>
      <c r="AH53" s="125">
        <f t="shared" si="5"/>
        <v>209715.3</v>
      </c>
      <c r="AI53" s="125">
        <f>Valores!$C$31</f>
        <v>0</v>
      </c>
      <c r="AJ53" s="125">
        <f>Valores!$C$89</f>
        <v>0</v>
      </c>
      <c r="AK53" s="125">
        <f>Valores!C$38*B53</f>
        <v>30000</v>
      </c>
      <c r="AL53" s="125">
        <f>IF($F$3="NO",0,Valores!$C$56)</f>
        <v>170.34</v>
      </c>
      <c r="AM53" s="125">
        <f t="shared" si="3"/>
        <v>30170.34</v>
      </c>
      <c r="AN53" s="125">
        <f>AH53*Valores!$C$71</f>
        <v>-23068.682999999997</v>
      </c>
      <c r="AO53" s="125">
        <f>AH53*-Valores!$C$72</f>
        <v>0</v>
      </c>
      <c r="AP53" s="125">
        <f>AH53*Valores!$C$73</f>
        <v>-9437.188499999998</v>
      </c>
      <c r="AQ53" s="125">
        <f>Valores!$C$100</f>
        <v>-280.91</v>
      </c>
      <c r="AR53" s="125">
        <f>IF($F$5=0,Valores!$C$101,(Valores!$C$101+$F$5*(Valores!$C$101)))</f>
        <v>-385</v>
      </c>
      <c r="AS53" s="125">
        <f t="shared" si="6"/>
        <v>206713.8585</v>
      </c>
      <c r="AT53" s="125">
        <f t="shared" si="0"/>
        <v>-23068.682999999997</v>
      </c>
      <c r="AU53" s="125">
        <f>AH53*Valores!$C$74</f>
        <v>-5662.313099999999</v>
      </c>
      <c r="AV53" s="125">
        <f>AH53*Valores!$C$75</f>
        <v>-629.1459</v>
      </c>
      <c r="AW53" s="125">
        <f t="shared" si="4"/>
        <v>210525.498</v>
      </c>
      <c r="AX53" s="126"/>
      <c r="AY53" s="126"/>
      <c r="AZ53" s="123" t="s">
        <v>8</v>
      </c>
    </row>
    <row r="54" spans="1:52" s="110" customFormat="1" ht="11.25" customHeight="1">
      <c r="A54" s="123" t="s">
        <v>201</v>
      </c>
      <c r="B54" s="123">
        <v>1</v>
      </c>
      <c r="C54" s="126">
        <v>47</v>
      </c>
      <c r="D54" s="124" t="s">
        <v>202</v>
      </c>
      <c r="E54" s="192">
        <v>100</v>
      </c>
      <c r="F54" s="125">
        <f>ROUND(E54*Valores!$C$2,2)</f>
        <v>2712.12</v>
      </c>
      <c r="G54" s="192">
        <v>3360</v>
      </c>
      <c r="H54" s="125">
        <f>ROUND(G54*Valores!$C$2,2)</f>
        <v>91127.23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18185.13</v>
      </c>
      <c r="N54" s="125">
        <f t="shared" si="1"/>
        <v>0</v>
      </c>
      <c r="O54" s="125">
        <f>Valores!$C$9</f>
        <v>29939.09</v>
      </c>
      <c r="P54" s="125">
        <f>Valores!$D$5</f>
        <v>13864.36</v>
      </c>
      <c r="Q54" s="125">
        <f>Valores!$C$22</f>
        <v>12369.22</v>
      </c>
      <c r="R54" s="125">
        <f>IF($F$4="NO",Valores!$C$47,Valores!$C$47/2)</f>
        <v>14493.86</v>
      </c>
      <c r="S54" s="125">
        <f>Valores!$C$19</f>
        <v>12901.01</v>
      </c>
      <c r="T54" s="125">
        <f t="shared" si="7"/>
        <v>12901.01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Valores!$C$96</f>
        <v>12637.52</v>
      </c>
      <c r="AA54" s="125">
        <f>Valores!$C$25</f>
        <v>567.06</v>
      </c>
      <c r="AB54" s="214">
        <v>0</v>
      </c>
      <c r="AC54" s="125">
        <f t="shared" si="2"/>
        <v>0</v>
      </c>
      <c r="AD54" s="125">
        <f>Valores!$C$26</f>
        <v>567.06</v>
      </c>
      <c r="AE54" s="192">
        <v>0</v>
      </c>
      <c r="AF54" s="125">
        <f>ROUND(AE54*Valores!$C$2,2)</f>
        <v>0</v>
      </c>
      <c r="AG54" s="125">
        <f>ROUND(IF($F$4="NO",Valores!$C$63,Valores!$C$63/2),2)</f>
        <v>6482.98</v>
      </c>
      <c r="AH54" s="125">
        <f t="shared" si="5"/>
        <v>215846.64</v>
      </c>
      <c r="AI54" s="125">
        <f>Valores!$C$31</f>
        <v>0</v>
      </c>
      <c r="AJ54" s="125">
        <f>Valores!$C$89</f>
        <v>0</v>
      </c>
      <c r="AK54" s="125">
        <f>Valores!C$38*B54</f>
        <v>30000</v>
      </c>
      <c r="AL54" s="125">
        <f>IF($F$3="NO",0,Valores!$C$56)</f>
        <v>170.34</v>
      </c>
      <c r="AM54" s="125">
        <f t="shared" si="3"/>
        <v>30170.34</v>
      </c>
      <c r="AN54" s="125">
        <f>AH54*Valores!$C$71</f>
        <v>-23743.130400000002</v>
      </c>
      <c r="AO54" s="125">
        <f>AH54*-Valores!$C$72</f>
        <v>0</v>
      </c>
      <c r="AP54" s="125">
        <f>AH54*Valores!$C$73</f>
        <v>-9713.0988</v>
      </c>
      <c r="AQ54" s="125">
        <f>Valores!$C$100</f>
        <v>-280.91</v>
      </c>
      <c r="AR54" s="125">
        <f>IF($F$5=0,Valores!$C$101,(Valores!$C$101+$F$5*(Valores!$C$101)))</f>
        <v>-385</v>
      </c>
      <c r="AS54" s="125">
        <f t="shared" si="6"/>
        <v>211894.8408</v>
      </c>
      <c r="AT54" s="125">
        <f t="shared" si="0"/>
        <v>-23743.130400000002</v>
      </c>
      <c r="AU54" s="125">
        <f>AH54*Valores!$C$74</f>
        <v>-5827.859280000001</v>
      </c>
      <c r="AV54" s="125">
        <f>AH54*Valores!$C$75</f>
        <v>-647.53992</v>
      </c>
      <c r="AW54" s="125">
        <f t="shared" si="4"/>
        <v>215798.4504</v>
      </c>
      <c r="AX54" s="126"/>
      <c r="AY54" s="126"/>
      <c r="AZ54" s="123" t="s">
        <v>4</v>
      </c>
    </row>
    <row r="55" spans="1:52" s="110" customFormat="1" ht="11.25" customHeight="1">
      <c r="A55" s="123" t="s">
        <v>203</v>
      </c>
      <c r="B55" s="123">
        <v>1</v>
      </c>
      <c r="C55" s="126">
        <v>48</v>
      </c>
      <c r="D55" s="124" t="s">
        <v>204</v>
      </c>
      <c r="E55" s="192">
        <v>98</v>
      </c>
      <c r="F55" s="125">
        <f>ROUND(E55*Valores!$C$2,2)</f>
        <v>2657.88</v>
      </c>
      <c r="G55" s="192">
        <v>2686</v>
      </c>
      <c r="H55" s="125">
        <f>ROUND(G55*Valores!$C$2,2)</f>
        <v>72847.54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14786.45</v>
      </c>
      <c r="N55" s="125">
        <f t="shared" si="1"/>
        <v>0</v>
      </c>
      <c r="O55" s="125">
        <f>Valores!$C$9</f>
        <v>29939.09</v>
      </c>
      <c r="P55" s="125">
        <f>Valores!$D$5</f>
        <v>13864.36</v>
      </c>
      <c r="Q55" s="125">
        <f>Valores!$C$22</f>
        <v>12369.22</v>
      </c>
      <c r="R55" s="125">
        <f>IF($F$4="NO",Valores!$C$45,Valores!$C$45/2)</f>
        <v>10169.9</v>
      </c>
      <c r="S55" s="125">
        <f>Valores!$C$19</f>
        <v>12901.01</v>
      </c>
      <c r="T55" s="125">
        <f t="shared" si="7"/>
        <v>12901.01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Valores!$C$95</f>
        <v>7582.51</v>
      </c>
      <c r="AA55" s="125">
        <f>Valores!$C$25</f>
        <v>567.06</v>
      </c>
      <c r="AB55" s="214">
        <v>0</v>
      </c>
      <c r="AC55" s="125">
        <f t="shared" si="2"/>
        <v>0</v>
      </c>
      <c r="AD55" s="125">
        <f>Valores!$C$26</f>
        <v>567.06</v>
      </c>
      <c r="AE55" s="192">
        <v>0</v>
      </c>
      <c r="AF55" s="125">
        <f>ROUND(AE55*Valores!$C$2,2)</f>
        <v>0</v>
      </c>
      <c r="AG55" s="125">
        <f>ROUND(IF($F$4="NO",Valores!$C$63,Valores!$C$63/2),2)</f>
        <v>6482.98</v>
      </c>
      <c r="AH55" s="125">
        <f t="shared" si="5"/>
        <v>184735.06000000003</v>
      </c>
      <c r="AI55" s="125">
        <f>Valores!$C$31</f>
        <v>0</v>
      </c>
      <c r="AJ55" s="125">
        <f>Valores!$C$88</f>
        <v>0</v>
      </c>
      <c r="AK55" s="125">
        <f>Valores!C$38*B55</f>
        <v>30000</v>
      </c>
      <c r="AL55" s="125">
        <f>IF($F$3="NO",0,Valores!$C$56)</f>
        <v>170.34</v>
      </c>
      <c r="AM55" s="125">
        <f t="shared" si="3"/>
        <v>30170.34</v>
      </c>
      <c r="AN55" s="125">
        <f>AH55*Valores!$C$71</f>
        <v>-20320.856600000003</v>
      </c>
      <c r="AO55" s="125">
        <f>AH55*-Valores!$C$72</f>
        <v>0</v>
      </c>
      <c r="AP55" s="125">
        <f>AH55*Valores!$C$73</f>
        <v>-8313.077700000002</v>
      </c>
      <c r="AQ55" s="125">
        <f>Valores!$C$100</f>
        <v>-280.91</v>
      </c>
      <c r="AR55" s="125">
        <f>IF($F$5=0,Valores!$C$101,(Valores!$C$101+$F$5*(Valores!$C$101)))</f>
        <v>-385</v>
      </c>
      <c r="AS55" s="125">
        <f t="shared" si="6"/>
        <v>185605.55570000003</v>
      </c>
      <c r="AT55" s="125">
        <f t="shared" si="0"/>
        <v>-20320.856600000003</v>
      </c>
      <c r="AU55" s="125">
        <f>AH55*Valores!$C$74</f>
        <v>-4987.84662</v>
      </c>
      <c r="AV55" s="125">
        <f>AH55*Valores!$C$75</f>
        <v>-554.20518</v>
      </c>
      <c r="AW55" s="125">
        <f t="shared" si="4"/>
        <v>189042.4916</v>
      </c>
      <c r="AX55" s="126"/>
      <c r="AY55" s="126">
        <v>30</v>
      </c>
      <c r="AZ55" s="123" t="s">
        <v>4</v>
      </c>
    </row>
    <row r="56" spans="1:52" s="110" customFormat="1" ht="11.25" customHeight="1">
      <c r="A56" s="123" t="s">
        <v>205</v>
      </c>
      <c r="B56" s="123">
        <v>1</v>
      </c>
      <c r="C56" s="126">
        <v>49</v>
      </c>
      <c r="D56" s="124" t="s">
        <v>206</v>
      </c>
      <c r="E56" s="192">
        <v>94</v>
      </c>
      <c r="F56" s="125">
        <f>ROUND(E56*Valores!$C$2,2)</f>
        <v>2549.39</v>
      </c>
      <c r="G56" s="192">
        <v>2690</v>
      </c>
      <c r="H56" s="125">
        <f>ROUND(G56*Valores!$C$2,2)</f>
        <v>72956.03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14786.45</v>
      </c>
      <c r="N56" s="125">
        <f t="shared" si="1"/>
        <v>0</v>
      </c>
      <c r="O56" s="125">
        <f>Valores!$C$9</f>
        <v>29939.09</v>
      </c>
      <c r="P56" s="125">
        <f>Valores!$D$5</f>
        <v>13864.36</v>
      </c>
      <c r="Q56" s="125">
        <f>Valores!$C$22</f>
        <v>12369.22</v>
      </c>
      <c r="R56" s="125">
        <f>IF($F$4="NO",Valores!$C$45,Valores!$C$45/2)</f>
        <v>10169.9</v>
      </c>
      <c r="S56" s="125">
        <f>Valores!$C$19</f>
        <v>12901.01</v>
      </c>
      <c r="T56" s="125">
        <f t="shared" si="7"/>
        <v>12901.01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Valores!$C$95</f>
        <v>7582.51</v>
      </c>
      <c r="AA56" s="125">
        <f>Valores!$C$25</f>
        <v>567.06</v>
      </c>
      <c r="AB56" s="214">
        <v>0</v>
      </c>
      <c r="AC56" s="125">
        <f t="shared" si="2"/>
        <v>0</v>
      </c>
      <c r="AD56" s="125">
        <f>Valores!$C$26</f>
        <v>567.06</v>
      </c>
      <c r="AE56" s="192">
        <v>94</v>
      </c>
      <c r="AF56" s="125">
        <f>ROUND(AE56*Valores!$C$2,2)</f>
        <v>2549.39</v>
      </c>
      <c r="AG56" s="125">
        <f>ROUND(IF($F$4="NO",Valores!$C$63,Valores!$C$63/2),2)</f>
        <v>6482.98</v>
      </c>
      <c r="AH56" s="125">
        <f t="shared" si="5"/>
        <v>187284.45000000004</v>
      </c>
      <c r="AI56" s="125">
        <f>Valores!$C$31</f>
        <v>0</v>
      </c>
      <c r="AJ56" s="125">
        <f>Valores!$C$88</f>
        <v>0</v>
      </c>
      <c r="AK56" s="125">
        <f>Valores!C$38*B56</f>
        <v>30000</v>
      </c>
      <c r="AL56" s="125">
        <f>IF($F$3="NO",0,Valores!$C$56)</f>
        <v>170.34</v>
      </c>
      <c r="AM56" s="125">
        <f t="shared" si="3"/>
        <v>30170.34</v>
      </c>
      <c r="AN56" s="125">
        <f>AH56*Valores!$C$71</f>
        <v>-20601.289500000006</v>
      </c>
      <c r="AO56" s="125">
        <f>AH56*-Valores!$C$72</f>
        <v>0</v>
      </c>
      <c r="AP56" s="125">
        <f>AH56*Valores!$C$73</f>
        <v>-8427.800250000002</v>
      </c>
      <c r="AQ56" s="125">
        <f>Valores!$C$100</f>
        <v>-280.91</v>
      </c>
      <c r="AR56" s="125">
        <f>IF($F$5=0,Valores!$C$101,(Valores!$C$101+$F$5*(Valores!$C$101)))</f>
        <v>-385</v>
      </c>
      <c r="AS56" s="125">
        <f t="shared" si="6"/>
        <v>187759.79025000002</v>
      </c>
      <c r="AT56" s="125">
        <f t="shared" si="0"/>
        <v>-20601.289500000006</v>
      </c>
      <c r="AU56" s="125">
        <f>AH56*Valores!$C$74</f>
        <v>-5056.680150000001</v>
      </c>
      <c r="AV56" s="125">
        <f>AH56*Valores!$C$75</f>
        <v>-561.8533500000001</v>
      </c>
      <c r="AW56" s="125">
        <f t="shared" si="4"/>
        <v>191234.96700000003</v>
      </c>
      <c r="AX56" s="126"/>
      <c r="AY56" s="126">
        <v>25</v>
      </c>
      <c r="AZ56" s="123" t="s">
        <v>4</v>
      </c>
    </row>
    <row r="57" spans="1:52" s="110" customFormat="1" ht="11.25" customHeight="1">
      <c r="A57" s="123" t="s">
        <v>207</v>
      </c>
      <c r="B57" s="123">
        <v>1</v>
      </c>
      <c r="C57" s="126">
        <v>50</v>
      </c>
      <c r="D57" s="124" t="s">
        <v>208</v>
      </c>
      <c r="E57" s="192">
        <v>93</v>
      </c>
      <c r="F57" s="125">
        <f>ROUND(E57*Valores!$C$2,2)</f>
        <v>2522.27</v>
      </c>
      <c r="G57" s="192">
        <v>2547</v>
      </c>
      <c r="H57" s="125">
        <f>ROUND(G57*Valores!$C$2,2)</f>
        <v>69077.7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14200.63</v>
      </c>
      <c r="N57" s="125">
        <f t="shared" si="1"/>
        <v>0</v>
      </c>
      <c r="O57" s="125">
        <f>Valores!$C$9</f>
        <v>29939.09</v>
      </c>
      <c r="P57" s="125">
        <f>Valores!$D$5</f>
        <v>13864.36</v>
      </c>
      <c r="Q57" s="125">
        <f>Valores!$C$22</f>
        <v>12369.22</v>
      </c>
      <c r="R57" s="125">
        <f>IF($F$4="NO",Valores!$C$45,Valores!$C$45/2)</f>
        <v>10169.9</v>
      </c>
      <c r="S57" s="125">
        <f>Valores!$C$19</f>
        <v>12901.01</v>
      </c>
      <c r="T57" s="125">
        <f t="shared" si="7"/>
        <v>12901.01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Valores!$C$95</f>
        <v>7582.51</v>
      </c>
      <c r="AA57" s="125">
        <f>Valores!$C$25</f>
        <v>567.06</v>
      </c>
      <c r="AB57" s="214">
        <v>0</v>
      </c>
      <c r="AC57" s="125">
        <f t="shared" si="2"/>
        <v>0</v>
      </c>
      <c r="AD57" s="125">
        <f>Valores!$C$26</f>
        <v>567.06</v>
      </c>
      <c r="AE57" s="192">
        <v>0</v>
      </c>
      <c r="AF57" s="125">
        <f>ROUND(AE57*Valores!$C$2,2)</f>
        <v>0</v>
      </c>
      <c r="AG57" s="125">
        <f>ROUND(IF($F$4="NO",Valores!$C$63,Valores!$C$63/2),2)</f>
        <v>6482.98</v>
      </c>
      <c r="AH57" s="125">
        <f t="shared" si="5"/>
        <v>180243.79</v>
      </c>
      <c r="AI57" s="125">
        <f>Valores!$C$31</f>
        <v>0</v>
      </c>
      <c r="AJ57" s="125">
        <f>Valores!$C$88</f>
        <v>0</v>
      </c>
      <c r="AK57" s="125">
        <f>Valores!C$38*B57</f>
        <v>30000</v>
      </c>
      <c r="AL57" s="125">
        <f>IF($F$3="NO",0,Valores!$C$56)</f>
        <v>170.34</v>
      </c>
      <c r="AM57" s="125">
        <f t="shared" si="3"/>
        <v>30170.34</v>
      </c>
      <c r="AN57" s="125">
        <f>AH57*Valores!$C$71</f>
        <v>-19826.8169</v>
      </c>
      <c r="AO57" s="125">
        <f>AH57*-Valores!$C$72</f>
        <v>0</v>
      </c>
      <c r="AP57" s="125">
        <f>AH57*Valores!$C$73</f>
        <v>-8110.97055</v>
      </c>
      <c r="AQ57" s="125">
        <f>Valores!$C$100</f>
        <v>-280.91</v>
      </c>
      <c r="AR57" s="125">
        <f>IF($F$5=0,Valores!$C$101,(Valores!$C$101+$F$5*(Valores!$C$101)))</f>
        <v>-385</v>
      </c>
      <c r="AS57" s="125">
        <f t="shared" si="6"/>
        <v>181810.43255</v>
      </c>
      <c r="AT57" s="125">
        <f t="shared" si="0"/>
        <v>-19826.8169</v>
      </c>
      <c r="AU57" s="125">
        <f>AH57*Valores!$C$74</f>
        <v>-4866.58233</v>
      </c>
      <c r="AV57" s="125">
        <f>AH57*Valores!$C$75</f>
        <v>-540.7313700000001</v>
      </c>
      <c r="AW57" s="125">
        <f t="shared" si="4"/>
        <v>185179.9994</v>
      </c>
      <c r="AX57" s="126"/>
      <c r="AY57" s="126">
        <v>30</v>
      </c>
      <c r="AZ57" s="123" t="s">
        <v>4</v>
      </c>
    </row>
    <row r="58" spans="1:52" s="110" customFormat="1" ht="11.25" customHeight="1">
      <c r="A58" s="123" t="s">
        <v>209</v>
      </c>
      <c r="B58" s="123">
        <v>1</v>
      </c>
      <c r="C58" s="126">
        <v>51</v>
      </c>
      <c r="D58" s="124" t="s">
        <v>210</v>
      </c>
      <c r="E58" s="192">
        <v>89</v>
      </c>
      <c r="F58" s="125">
        <f>ROUND(E58*Valores!$C$2,2)</f>
        <v>2413.79</v>
      </c>
      <c r="G58" s="192">
        <v>2551</v>
      </c>
      <c r="H58" s="125">
        <f>ROUND(G58*Valores!$C$2,2)</f>
        <v>69186.18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14200.63</v>
      </c>
      <c r="N58" s="125">
        <f t="shared" si="1"/>
        <v>0</v>
      </c>
      <c r="O58" s="125">
        <f>Valores!$C$9</f>
        <v>29939.09</v>
      </c>
      <c r="P58" s="125">
        <f>Valores!$D$5</f>
        <v>13864.36</v>
      </c>
      <c r="Q58" s="125">
        <f>Valores!$C$22</f>
        <v>12369.22</v>
      </c>
      <c r="R58" s="125">
        <f>IF($F$4="NO",Valores!$C$45,Valores!$C$45/2)</f>
        <v>10169.9</v>
      </c>
      <c r="S58" s="125">
        <f>Valores!$C$19</f>
        <v>12901.01</v>
      </c>
      <c r="T58" s="125">
        <f t="shared" si="7"/>
        <v>12901.01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Valores!$C$95</f>
        <v>7582.51</v>
      </c>
      <c r="AA58" s="125">
        <f>Valores!$C$25</f>
        <v>567.06</v>
      </c>
      <c r="AB58" s="214">
        <v>0</v>
      </c>
      <c r="AC58" s="125">
        <f t="shared" si="2"/>
        <v>0</v>
      </c>
      <c r="AD58" s="125">
        <f>Valores!$C$26</f>
        <v>567.06</v>
      </c>
      <c r="AE58" s="192">
        <v>94</v>
      </c>
      <c r="AF58" s="125">
        <f>ROUND(AE58*Valores!$C$2,2)</f>
        <v>2549.39</v>
      </c>
      <c r="AG58" s="125">
        <f>ROUND(IF($F$4="NO",Valores!$C$63,Valores!$C$63/2),2)</f>
        <v>6482.98</v>
      </c>
      <c r="AH58" s="125">
        <f t="shared" si="5"/>
        <v>182793.18000000002</v>
      </c>
      <c r="AI58" s="125">
        <f>Valores!$C$31</f>
        <v>0</v>
      </c>
      <c r="AJ58" s="125">
        <f>Valores!$C$88</f>
        <v>0</v>
      </c>
      <c r="AK58" s="125">
        <f>Valores!C$38*B58</f>
        <v>30000</v>
      </c>
      <c r="AL58" s="125">
        <f>IF($F$3="NO",0,Valores!$C$56)</f>
        <v>170.34</v>
      </c>
      <c r="AM58" s="125">
        <f t="shared" si="3"/>
        <v>30170.34</v>
      </c>
      <c r="AN58" s="125">
        <f>AH58*Valores!$C$71</f>
        <v>-20107.2498</v>
      </c>
      <c r="AO58" s="125">
        <f>AH58*-Valores!$C$72</f>
        <v>0</v>
      </c>
      <c r="AP58" s="125">
        <f>AH58*Valores!$C$73</f>
        <v>-8225.6931</v>
      </c>
      <c r="AQ58" s="125">
        <f>Valores!$C$100</f>
        <v>-280.91</v>
      </c>
      <c r="AR58" s="125">
        <f>IF($F$5=0,Valores!$C$101,(Valores!$C$101+$F$5*(Valores!$C$101)))</f>
        <v>-385</v>
      </c>
      <c r="AS58" s="125">
        <f t="shared" si="6"/>
        <v>183964.66710000002</v>
      </c>
      <c r="AT58" s="125">
        <f t="shared" si="0"/>
        <v>-20107.2498</v>
      </c>
      <c r="AU58" s="125">
        <f>AH58*Valores!$C$74</f>
        <v>-4935.415860000001</v>
      </c>
      <c r="AV58" s="125">
        <f>AH58*Valores!$C$75</f>
        <v>-548.3795400000001</v>
      </c>
      <c r="AW58" s="125">
        <f t="shared" si="4"/>
        <v>187372.47480000003</v>
      </c>
      <c r="AX58" s="126"/>
      <c r="AY58" s="126">
        <v>25</v>
      </c>
      <c r="AZ58" s="123" t="s">
        <v>4</v>
      </c>
    </row>
    <row r="59" spans="1:52" s="110" customFormat="1" ht="11.25" customHeight="1">
      <c r="A59" s="123" t="s">
        <v>211</v>
      </c>
      <c r="B59" s="123">
        <v>1</v>
      </c>
      <c r="C59" s="126">
        <v>52</v>
      </c>
      <c r="D59" s="124" t="s">
        <v>212</v>
      </c>
      <c r="E59" s="192">
        <v>89</v>
      </c>
      <c r="F59" s="125">
        <f>ROUND(E59*Valores!$C$2,2)</f>
        <v>2413.79</v>
      </c>
      <c r="G59" s="192">
        <v>2251</v>
      </c>
      <c r="H59" s="125">
        <f>ROUND(G59*Valores!$C$2,2)</f>
        <v>61049.82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12980.18</v>
      </c>
      <c r="N59" s="125">
        <f t="shared" si="1"/>
        <v>0</v>
      </c>
      <c r="O59" s="125">
        <f>Valores!$C$9</f>
        <v>29939.09</v>
      </c>
      <c r="P59" s="125">
        <f>Valores!$D$5</f>
        <v>13864.36</v>
      </c>
      <c r="Q59" s="125">
        <f>Valores!$C$22</f>
        <v>12369.22</v>
      </c>
      <c r="R59" s="125">
        <f>IF($F$4="NO",Valores!$C$45,Valores!$C$45/2)</f>
        <v>10169.9</v>
      </c>
      <c r="S59" s="125">
        <f>Valores!$C$19</f>
        <v>12901.01</v>
      </c>
      <c r="T59" s="125">
        <f t="shared" si="7"/>
        <v>12901.01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Valores!$C$95</f>
        <v>7582.51</v>
      </c>
      <c r="AA59" s="125">
        <f>Valores!$C$25</f>
        <v>567.06</v>
      </c>
      <c r="AB59" s="214">
        <v>0</v>
      </c>
      <c r="AC59" s="125">
        <f t="shared" si="2"/>
        <v>0</v>
      </c>
      <c r="AD59" s="125">
        <f>Valores!$C$26</f>
        <v>567.06</v>
      </c>
      <c r="AE59" s="192">
        <v>0</v>
      </c>
      <c r="AF59" s="125">
        <f>ROUND(AE59*Valores!$C$2,2)</f>
        <v>0</v>
      </c>
      <c r="AG59" s="125">
        <f>ROUND(IF($F$4="NO",Valores!$C$63,Valores!$C$63/2),2)</f>
        <v>6482.98</v>
      </c>
      <c r="AH59" s="125">
        <f t="shared" si="5"/>
        <v>170886.98</v>
      </c>
      <c r="AI59" s="125">
        <f>Valores!$C$31</f>
        <v>0</v>
      </c>
      <c r="AJ59" s="125">
        <f>Valores!$C$88</f>
        <v>0</v>
      </c>
      <c r="AK59" s="125">
        <f>Valores!C$38*B59</f>
        <v>30000</v>
      </c>
      <c r="AL59" s="125">
        <f>IF($F$3="NO",0,Valores!$C$56)</f>
        <v>170.34</v>
      </c>
      <c r="AM59" s="125">
        <f t="shared" si="3"/>
        <v>30170.34</v>
      </c>
      <c r="AN59" s="125">
        <f>AH59*Valores!$C$71</f>
        <v>-18797.5678</v>
      </c>
      <c r="AO59" s="125">
        <f>AH59*-Valores!$C$72</f>
        <v>0</v>
      </c>
      <c r="AP59" s="125">
        <f>AH59*Valores!$C$73</f>
        <v>-7689.9141</v>
      </c>
      <c r="AQ59" s="125">
        <f>Valores!$C$100</f>
        <v>-280.91</v>
      </c>
      <c r="AR59" s="125">
        <f>IF($F$5=0,Valores!$C$101,(Valores!$C$101+$F$5*(Valores!$C$101)))</f>
        <v>-385</v>
      </c>
      <c r="AS59" s="125">
        <f t="shared" si="6"/>
        <v>173903.92810000002</v>
      </c>
      <c r="AT59" s="125">
        <f t="shared" si="0"/>
        <v>-18797.5678</v>
      </c>
      <c r="AU59" s="125">
        <f>AH59*Valores!$C$74</f>
        <v>-4613.9484600000005</v>
      </c>
      <c r="AV59" s="125">
        <f>AH59*Valores!$C$75</f>
        <v>-512.6609400000001</v>
      </c>
      <c r="AW59" s="125">
        <f t="shared" si="4"/>
        <v>177133.1428</v>
      </c>
      <c r="AX59" s="126"/>
      <c r="AY59" s="126">
        <v>30</v>
      </c>
      <c r="AZ59" s="123" t="s">
        <v>4</v>
      </c>
    </row>
    <row r="60" spans="1:52" s="110" customFormat="1" ht="11.25" customHeight="1">
      <c r="A60" s="123" t="s">
        <v>213</v>
      </c>
      <c r="B60" s="123">
        <v>1</v>
      </c>
      <c r="C60" s="126">
        <v>53</v>
      </c>
      <c r="D60" s="124" t="s">
        <v>214</v>
      </c>
      <c r="E60" s="192">
        <v>85</v>
      </c>
      <c r="F60" s="125">
        <f>ROUND(E60*Valores!$C$2,2)</f>
        <v>2305.3</v>
      </c>
      <c r="G60" s="192">
        <v>2255</v>
      </c>
      <c r="H60" s="125">
        <f>ROUND(G60*Valores!$C$2,2)</f>
        <v>61158.31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12980.18</v>
      </c>
      <c r="N60" s="125">
        <f t="shared" si="1"/>
        <v>0</v>
      </c>
      <c r="O60" s="125">
        <f>Valores!$C$9</f>
        <v>29939.09</v>
      </c>
      <c r="P60" s="125">
        <f>Valores!$D$5</f>
        <v>13864.36</v>
      </c>
      <c r="Q60" s="125">
        <f>Valores!$C$22</f>
        <v>12369.22</v>
      </c>
      <c r="R60" s="125">
        <f>IF($F$4="NO",Valores!$C$45,Valores!$C$45/2)</f>
        <v>10169.9</v>
      </c>
      <c r="S60" s="125">
        <f>Valores!$C$19</f>
        <v>12901.01</v>
      </c>
      <c r="T60" s="125">
        <f t="shared" si="7"/>
        <v>12901.01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Valores!$C$95</f>
        <v>7582.51</v>
      </c>
      <c r="AA60" s="125">
        <f>Valores!$C$25</f>
        <v>567.06</v>
      </c>
      <c r="AB60" s="214">
        <v>0</v>
      </c>
      <c r="AC60" s="125">
        <f t="shared" si="2"/>
        <v>0</v>
      </c>
      <c r="AD60" s="125">
        <f>Valores!$C$26</f>
        <v>567.06</v>
      </c>
      <c r="AE60" s="192">
        <v>94</v>
      </c>
      <c r="AF60" s="125">
        <f>ROUND(AE60*Valores!$C$2,2)</f>
        <v>2549.39</v>
      </c>
      <c r="AG60" s="125">
        <f>ROUND(IF($F$4="NO",Valores!$C$63,Valores!$C$63/2),2)</f>
        <v>6482.98</v>
      </c>
      <c r="AH60" s="125">
        <f t="shared" si="5"/>
        <v>173436.37000000002</v>
      </c>
      <c r="AI60" s="125">
        <f>Valores!$C$31</f>
        <v>0</v>
      </c>
      <c r="AJ60" s="125">
        <f>Valores!$C$88</f>
        <v>0</v>
      </c>
      <c r="AK60" s="125">
        <f>Valores!C$38*B60</f>
        <v>30000</v>
      </c>
      <c r="AL60" s="125">
        <f>IF($F$3="NO",0,Valores!$C$56)</f>
        <v>170.34</v>
      </c>
      <c r="AM60" s="125">
        <f t="shared" si="3"/>
        <v>30170.34</v>
      </c>
      <c r="AN60" s="125">
        <f>AH60*Valores!$C$71</f>
        <v>-19078.000700000004</v>
      </c>
      <c r="AO60" s="125">
        <f>AH60*-Valores!$C$72</f>
        <v>0</v>
      </c>
      <c r="AP60" s="125">
        <f>AH60*Valores!$C$73</f>
        <v>-7804.63665</v>
      </c>
      <c r="AQ60" s="125">
        <f>Valores!$C$100</f>
        <v>-280.91</v>
      </c>
      <c r="AR60" s="125">
        <f>IF($F$5=0,Valores!$C$101,(Valores!$C$101+$F$5*(Valores!$C$101)))</f>
        <v>-385</v>
      </c>
      <c r="AS60" s="125">
        <f t="shared" si="6"/>
        <v>176058.16265</v>
      </c>
      <c r="AT60" s="125">
        <f t="shared" si="0"/>
        <v>-19078.000700000004</v>
      </c>
      <c r="AU60" s="125">
        <f>AH60*Valores!$C$74</f>
        <v>-4682.78199</v>
      </c>
      <c r="AV60" s="125">
        <f>AH60*Valores!$C$75</f>
        <v>-520.30911</v>
      </c>
      <c r="AW60" s="125">
        <f t="shared" si="4"/>
        <v>179325.61820000003</v>
      </c>
      <c r="AX60" s="126"/>
      <c r="AY60" s="126">
        <v>25</v>
      </c>
      <c r="AZ60" s="123" t="s">
        <v>4</v>
      </c>
    </row>
    <row r="61" spans="1:52" s="110" customFormat="1" ht="11.25" customHeight="1">
      <c r="A61" s="123" t="s">
        <v>215</v>
      </c>
      <c r="B61" s="123">
        <v>1</v>
      </c>
      <c r="C61" s="126">
        <v>54</v>
      </c>
      <c r="D61" s="124" t="s">
        <v>216</v>
      </c>
      <c r="E61" s="192">
        <v>100</v>
      </c>
      <c r="F61" s="125">
        <f>ROUND(E61*Valores!$C$2,2)</f>
        <v>2712.12</v>
      </c>
      <c r="G61" s="192">
        <v>3180</v>
      </c>
      <c r="H61" s="125">
        <f>ROUND(G61*Valores!$C$2,2)</f>
        <v>86245.42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17129.78</v>
      </c>
      <c r="N61" s="125">
        <f t="shared" si="1"/>
        <v>0</v>
      </c>
      <c r="O61" s="125">
        <f>Valores!$C$9</f>
        <v>29939.09</v>
      </c>
      <c r="P61" s="125">
        <f>Valores!$D$5</f>
        <v>13864.36</v>
      </c>
      <c r="Q61" s="125">
        <f>Valores!$C$22</f>
        <v>12369.22</v>
      </c>
      <c r="R61" s="125">
        <f>IF($F$4="NO",Valores!$C$48,Valores!$C$48/2)</f>
        <v>12340.01</v>
      </c>
      <c r="S61" s="125">
        <f>Valores!$C$19</f>
        <v>12901.01</v>
      </c>
      <c r="T61" s="125">
        <f t="shared" si="7"/>
        <v>12901.01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Valores!$C$95</f>
        <v>7582.51</v>
      </c>
      <c r="AA61" s="125">
        <f>Valores!$C$25</f>
        <v>567.06</v>
      </c>
      <c r="AB61" s="214">
        <v>0</v>
      </c>
      <c r="AC61" s="125">
        <f t="shared" si="2"/>
        <v>0</v>
      </c>
      <c r="AD61" s="125">
        <f>Valores!$C$26</f>
        <v>567.06</v>
      </c>
      <c r="AE61" s="192">
        <v>0</v>
      </c>
      <c r="AF61" s="125">
        <f>ROUND(AE61*Valores!$C$2,2)</f>
        <v>0</v>
      </c>
      <c r="AG61" s="125">
        <f>ROUND(IF($F$4="NO",Valores!$C$63,Valores!$C$63/2),2)</f>
        <v>6482.98</v>
      </c>
      <c r="AH61" s="125">
        <f t="shared" si="5"/>
        <v>202700.62000000005</v>
      </c>
      <c r="AI61" s="125">
        <f>Valores!$C$31</f>
        <v>0</v>
      </c>
      <c r="AJ61" s="125">
        <f>Valores!$C$88</f>
        <v>0</v>
      </c>
      <c r="AK61" s="125">
        <f>Valores!C$38*B61</f>
        <v>30000</v>
      </c>
      <c r="AL61" s="125">
        <f>IF($F$3="NO",0,Valores!$C$56)</f>
        <v>170.34</v>
      </c>
      <c r="AM61" s="125">
        <f t="shared" si="3"/>
        <v>30170.34</v>
      </c>
      <c r="AN61" s="125">
        <f>AH61*Valores!$C$71</f>
        <v>-22297.068200000005</v>
      </c>
      <c r="AO61" s="125">
        <f>AH61*-Valores!$C$72</f>
        <v>0</v>
      </c>
      <c r="AP61" s="125">
        <f>AH61*Valores!$C$73</f>
        <v>-9121.527900000003</v>
      </c>
      <c r="AQ61" s="125">
        <f>Valores!$C$100</f>
        <v>-280.91</v>
      </c>
      <c r="AR61" s="125">
        <f>IF($F$5=0,Valores!$C$101,(Valores!$C$101+$F$5*(Valores!$C$101)))</f>
        <v>-385</v>
      </c>
      <c r="AS61" s="125">
        <f t="shared" si="6"/>
        <v>200786.45390000005</v>
      </c>
      <c r="AT61" s="125">
        <f t="shared" si="0"/>
        <v>-22297.068200000005</v>
      </c>
      <c r="AU61" s="125">
        <f>AH61*Valores!$C$74</f>
        <v>-5472.9167400000015</v>
      </c>
      <c r="AV61" s="125">
        <f>AH61*Valores!$C$75</f>
        <v>-608.1018600000002</v>
      </c>
      <c r="AW61" s="125">
        <f t="shared" si="4"/>
        <v>204492.87320000003</v>
      </c>
      <c r="AX61" s="126"/>
      <c r="AY61" s="126"/>
      <c r="AZ61" s="123" t="s">
        <v>4</v>
      </c>
    </row>
    <row r="62" spans="1:52" s="110" customFormat="1" ht="11.25" customHeight="1">
      <c r="A62" s="123" t="s">
        <v>217</v>
      </c>
      <c r="B62" s="123">
        <v>1</v>
      </c>
      <c r="C62" s="126">
        <v>55</v>
      </c>
      <c r="D62" s="124" t="s">
        <v>218</v>
      </c>
      <c r="E62" s="192">
        <v>83</v>
      </c>
      <c r="F62" s="125">
        <f>ROUND(E62*Valores!$C$2,2)</f>
        <v>2251.06</v>
      </c>
      <c r="G62" s="192">
        <v>2352</v>
      </c>
      <c r="H62" s="125">
        <f>ROUND(G62*Valores!$C$2,2)</f>
        <v>63789.06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13366.65</v>
      </c>
      <c r="N62" s="125">
        <f t="shared" si="1"/>
        <v>0</v>
      </c>
      <c r="O62" s="125">
        <f>Valores!$C$9</f>
        <v>29939.09</v>
      </c>
      <c r="P62" s="125">
        <f>Valores!$D$5</f>
        <v>13864.36</v>
      </c>
      <c r="Q62" s="125">
        <f>Valores!$C$22</f>
        <v>12369.22</v>
      </c>
      <c r="R62" s="125">
        <f>IF($F$4="NO",Valores!$C$45,Valores!$C$45/2)</f>
        <v>10169.9</v>
      </c>
      <c r="S62" s="125">
        <f>Valores!$C$19</f>
        <v>12901.01</v>
      </c>
      <c r="T62" s="125">
        <f t="shared" si="7"/>
        <v>12901.01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Valores!$C$95</f>
        <v>7582.51</v>
      </c>
      <c r="AA62" s="125">
        <f>Valores!$C$25</f>
        <v>567.06</v>
      </c>
      <c r="AB62" s="214">
        <v>0</v>
      </c>
      <c r="AC62" s="125">
        <f t="shared" si="2"/>
        <v>0</v>
      </c>
      <c r="AD62" s="125">
        <f>Valores!$C$26</f>
        <v>567.06</v>
      </c>
      <c r="AE62" s="192">
        <v>0</v>
      </c>
      <c r="AF62" s="125">
        <f>ROUND(AE62*Valores!$C$2,2)</f>
        <v>0</v>
      </c>
      <c r="AG62" s="125">
        <f>ROUND(IF($F$4="NO",Valores!$C$63,Valores!$C$63/2),2)</f>
        <v>6482.98</v>
      </c>
      <c r="AH62" s="125">
        <f t="shared" si="5"/>
        <v>173849.96</v>
      </c>
      <c r="AI62" s="125">
        <f>Valores!$C$31</f>
        <v>0</v>
      </c>
      <c r="AJ62" s="125">
        <f>Valores!$C$88</f>
        <v>0</v>
      </c>
      <c r="AK62" s="125">
        <f>Valores!C$38*B62</f>
        <v>30000</v>
      </c>
      <c r="AL62" s="125">
        <f>IF($F$3="NO",0,Valores!$C$56)</f>
        <v>170.34</v>
      </c>
      <c r="AM62" s="125">
        <f t="shared" si="3"/>
        <v>30170.34</v>
      </c>
      <c r="AN62" s="125">
        <f>AH62*Valores!$C$71</f>
        <v>-19123.4956</v>
      </c>
      <c r="AO62" s="125">
        <f>AH62*-Valores!$C$72</f>
        <v>0</v>
      </c>
      <c r="AP62" s="125">
        <f>AH62*Valores!$C$73</f>
        <v>-7823.248199999999</v>
      </c>
      <c r="AQ62" s="125">
        <f>Valores!$C$100</f>
        <v>-280.91</v>
      </c>
      <c r="AR62" s="125">
        <f>IF($F$5=0,Valores!$C$101,(Valores!$C$101+$F$5*(Valores!$C$101)))</f>
        <v>-385</v>
      </c>
      <c r="AS62" s="125">
        <f t="shared" si="6"/>
        <v>176407.6462</v>
      </c>
      <c r="AT62" s="125">
        <f t="shared" si="0"/>
        <v>-19123.4956</v>
      </c>
      <c r="AU62" s="125">
        <f>AH62*Valores!$C$74</f>
        <v>-4693.94892</v>
      </c>
      <c r="AV62" s="125">
        <f>AH62*Valores!$C$75</f>
        <v>-521.54988</v>
      </c>
      <c r="AW62" s="125">
        <f t="shared" si="4"/>
        <v>179681.3056</v>
      </c>
      <c r="AX62" s="126"/>
      <c r="AY62" s="126">
        <v>30</v>
      </c>
      <c r="AZ62" s="123" t="s">
        <v>4</v>
      </c>
    </row>
    <row r="63" spans="1:52" s="110" customFormat="1" ht="11.25" customHeight="1">
      <c r="A63" s="123" t="s">
        <v>219</v>
      </c>
      <c r="B63" s="123">
        <v>1</v>
      </c>
      <c r="C63" s="126">
        <v>56</v>
      </c>
      <c r="D63" s="124" t="s">
        <v>220</v>
      </c>
      <c r="E63" s="192">
        <v>81</v>
      </c>
      <c r="F63" s="125">
        <f>ROUND(E63*Valores!$C$2,2)</f>
        <v>2196.82</v>
      </c>
      <c r="G63" s="192">
        <v>2354</v>
      </c>
      <c r="H63" s="125">
        <f>ROUND(G63*Valores!$C$2,2)</f>
        <v>63843.3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13366.65</v>
      </c>
      <c r="N63" s="125">
        <f t="shared" si="1"/>
        <v>0</v>
      </c>
      <c r="O63" s="125">
        <f>Valores!$C$9</f>
        <v>29939.09</v>
      </c>
      <c r="P63" s="125">
        <f>Valores!$D$5</f>
        <v>13864.36</v>
      </c>
      <c r="Q63" s="125">
        <f>Valores!$C$22</f>
        <v>12369.22</v>
      </c>
      <c r="R63" s="125">
        <f>IF($F$4="NO",Valores!$C$45,Valores!$C$45/2)</f>
        <v>10169.9</v>
      </c>
      <c r="S63" s="125">
        <f>Valores!$C$19</f>
        <v>12901.01</v>
      </c>
      <c r="T63" s="125">
        <f t="shared" si="7"/>
        <v>12901.01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Valores!$C$95</f>
        <v>7582.51</v>
      </c>
      <c r="AA63" s="125">
        <f>Valores!$C$25</f>
        <v>567.06</v>
      </c>
      <c r="AB63" s="214">
        <v>0</v>
      </c>
      <c r="AC63" s="125">
        <f t="shared" si="2"/>
        <v>0</v>
      </c>
      <c r="AD63" s="125">
        <f>Valores!$C$26</f>
        <v>567.06</v>
      </c>
      <c r="AE63" s="192">
        <v>94</v>
      </c>
      <c r="AF63" s="125">
        <f>ROUND(AE63*Valores!$C$2,2)</f>
        <v>2549.39</v>
      </c>
      <c r="AG63" s="125">
        <f>ROUND(IF($F$4="NO",Valores!$C$63,Valores!$C$63/2),2)</f>
        <v>6482.98</v>
      </c>
      <c r="AH63" s="125">
        <f t="shared" si="5"/>
        <v>176399.35000000003</v>
      </c>
      <c r="AI63" s="125">
        <f>Valores!$C$31</f>
        <v>0</v>
      </c>
      <c r="AJ63" s="125">
        <f>Valores!$C$88</f>
        <v>0</v>
      </c>
      <c r="AK63" s="125">
        <f>Valores!C$38*B63</f>
        <v>30000</v>
      </c>
      <c r="AL63" s="125">
        <f>IF($F$3="NO",0,Valores!$C$56)</f>
        <v>170.34</v>
      </c>
      <c r="AM63" s="125">
        <f t="shared" si="3"/>
        <v>30170.34</v>
      </c>
      <c r="AN63" s="125">
        <f>AH63*Valores!$C$71</f>
        <v>-19403.928500000005</v>
      </c>
      <c r="AO63" s="125">
        <f>AH63*-Valores!$C$72</f>
        <v>0</v>
      </c>
      <c r="AP63" s="125">
        <f>AH63*Valores!$C$73</f>
        <v>-7937.970750000001</v>
      </c>
      <c r="AQ63" s="125">
        <f>Valores!$C$100</f>
        <v>-280.91</v>
      </c>
      <c r="AR63" s="125">
        <f>IF($F$5=0,Valores!$C$101,(Valores!$C$101+$F$5*(Valores!$C$101)))</f>
        <v>-385</v>
      </c>
      <c r="AS63" s="125">
        <f t="shared" si="6"/>
        <v>178561.88075000004</v>
      </c>
      <c r="AT63" s="125">
        <f t="shared" si="0"/>
        <v>-19403.928500000005</v>
      </c>
      <c r="AU63" s="125">
        <f>AH63*Valores!$C$74</f>
        <v>-4762.782450000001</v>
      </c>
      <c r="AV63" s="125">
        <f>AH63*Valores!$C$75</f>
        <v>-529.1980500000001</v>
      </c>
      <c r="AW63" s="125">
        <f t="shared" si="4"/>
        <v>181873.78100000002</v>
      </c>
      <c r="AX63" s="126"/>
      <c r="AY63" s="126">
        <v>25</v>
      </c>
      <c r="AZ63" s="123" t="s">
        <v>4</v>
      </c>
    </row>
    <row r="64" spans="1:52" s="110" customFormat="1" ht="11.25" customHeight="1">
      <c r="A64" s="123" t="s">
        <v>221</v>
      </c>
      <c r="B64" s="123">
        <v>1</v>
      </c>
      <c r="C64" s="126">
        <v>57</v>
      </c>
      <c r="D64" s="124" t="s">
        <v>222</v>
      </c>
      <c r="E64" s="192">
        <v>81</v>
      </c>
      <c r="F64" s="125">
        <f>ROUND(E64*Valores!$C$2,2)</f>
        <v>2196.82</v>
      </c>
      <c r="G64" s="192">
        <v>2094</v>
      </c>
      <c r="H64" s="125">
        <f>ROUND(G64*Valores!$C$2,2)</f>
        <v>56791.79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12308.93</v>
      </c>
      <c r="N64" s="125">
        <f t="shared" si="1"/>
        <v>0</v>
      </c>
      <c r="O64" s="125">
        <f>Valores!$C$9</f>
        <v>29939.09</v>
      </c>
      <c r="P64" s="125">
        <f>Valores!$D$5</f>
        <v>13864.36</v>
      </c>
      <c r="Q64" s="125">
        <f>Valores!$C$22</f>
        <v>12369.22</v>
      </c>
      <c r="R64" s="125">
        <f>IF($F$4="NO",Valores!$C$45,Valores!$C$45/2)</f>
        <v>10169.9</v>
      </c>
      <c r="S64" s="125">
        <f>Valores!$C$19</f>
        <v>12901.01</v>
      </c>
      <c r="T64" s="125">
        <f t="shared" si="7"/>
        <v>12901.01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Valores!$C$95</f>
        <v>7582.51</v>
      </c>
      <c r="AA64" s="125">
        <f>Valores!$C$25</f>
        <v>567.06</v>
      </c>
      <c r="AB64" s="214">
        <v>0</v>
      </c>
      <c r="AC64" s="125">
        <f t="shared" si="2"/>
        <v>0</v>
      </c>
      <c r="AD64" s="125">
        <f>Valores!$C$26</f>
        <v>567.06</v>
      </c>
      <c r="AE64" s="192">
        <v>0</v>
      </c>
      <c r="AF64" s="125">
        <f>ROUND(AE64*Valores!$C$2,2)</f>
        <v>0</v>
      </c>
      <c r="AG64" s="125">
        <f>ROUND(IF($F$4="NO",Valores!$C$63,Valores!$C$63/2),2)</f>
        <v>6482.98</v>
      </c>
      <c r="AH64" s="125">
        <f t="shared" si="5"/>
        <v>165740.73000000004</v>
      </c>
      <c r="AI64" s="125">
        <f>Valores!$C$31</f>
        <v>0</v>
      </c>
      <c r="AJ64" s="125">
        <f>Valores!$C$88</f>
        <v>0</v>
      </c>
      <c r="AK64" s="125">
        <f>Valores!C$38*B64</f>
        <v>30000</v>
      </c>
      <c r="AL64" s="125">
        <f>IF($F$3="NO",0,Valores!$C$56)</f>
        <v>170.34</v>
      </c>
      <c r="AM64" s="125">
        <f t="shared" si="3"/>
        <v>30170.34</v>
      </c>
      <c r="AN64" s="125">
        <f>AH64*Valores!$C$71</f>
        <v>-18231.480300000003</v>
      </c>
      <c r="AO64" s="125">
        <f>AH64*-Valores!$C$72</f>
        <v>0</v>
      </c>
      <c r="AP64" s="125">
        <f>AH64*Valores!$C$73</f>
        <v>-7458.332850000002</v>
      </c>
      <c r="AQ64" s="125">
        <f>Valores!$C$100</f>
        <v>-280.91</v>
      </c>
      <c r="AR64" s="125">
        <f>IF($F$5=0,Valores!$C$101,(Valores!$C$101+$F$5*(Valores!$C$101)))</f>
        <v>-385</v>
      </c>
      <c r="AS64" s="125">
        <f t="shared" si="6"/>
        <v>169555.34685000003</v>
      </c>
      <c r="AT64" s="125">
        <f t="shared" si="0"/>
        <v>-18231.480300000003</v>
      </c>
      <c r="AU64" s="125">
        <f>AH64*Valores!$C$74</f>
        <v>-4474.999710000001</v>
      </c>
      <c r="AV64" s="125">
        <f>AH64*Valores!$C$75</f>
        <v>-497.2221900000001</v>
      </c>
      <c r="AW64" s="125">
        <f t="shared" si="4"/>
        <v>172707.36780000004</v>
      </c>
      <c r="AX64" s="126"/>
      <c r="AY64" s="126">
        <v>30</v>
      </c>
      <c r="AZ64" s="123" t="s">
        <v>4</v>
      </c>
    </row>
    <row r="65" spans="1:52" s="110" customFormat="1" ht="11.25" customHeight="1">
      <c r="A65" s="123" t="s">
        <v>223</v>
      </c>
      <c r="B65" s="123">
        <v>1</v>
      </c>
      <c r="C65" s="126">
        <v>58</v>
      </c>
      <c r="D65" s="124" t="s">
        <v>224</v>
      </c>
      <c r="E65" s="192">
        <v>80</v>
      </c>
      <c r="F65" s="125">
        <f>ROUND(E65*Valores!$C$2,2)</f>
        <v>2169.7</v>
      </c>
      <c r="G65" s="192">
        <v>2095</v>
      </c>
      <c r="H65" s="125">
        <f>ROUND(G65*Valores!$C$2,2)</f>
        <v>56818.91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12308.93</v>
      </c>
      <c r="N65" s="125">
        <f t="shared" si="1"/>
        <v>0</v>
      </c>
      <c r="O65" s="125">
        <f>Valores!$C$9</f>
        <v>29939.09</v>
      </c>
      <c r="P65" s="125">
        <f>Valores!$D$5</f>
        <v>13864.36</v>
      </c>
      <c r="Q65" s="125">
        <f>Valores!$C$22</f>
        <v>12369.22</v>
      </c>
      <c r="R65" s="125">
        <f>IF($F$4="NO",Valores!$C$45,Valores!$C$45/2)</f>
        <v>10169.9</v>
      </c>
      <c r="S65" s="125">
        <f>Valores!$C$19</f>
        <v>12901.01</v>
      </c>
      <c r="T65" s="125">
        <f t="shared" si="7"/>
        <v>12901.01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Valores!$C$95</f>
        <v>7582.51</v>
      </c>
      <c r="AA65" s="125">
        <f>Valores!$C$25</f>
        <v>567.06</v>
      </c>
      <c r="AB65" s="214">
        <v>0</v>
      </c>
      <c r="AC65" s="125">
        <f t="shared" si="2"/>
        <v>0</v>
      </c>
      <c r="AD65" s="125">
        <f>Valores!$C$26</f>
        <v>567.06</v>
      </c>
      <c r="AE65" s="192">
        <v>94</v>
      </c>
      <c r="AF65" s="125">
        <f>ROUND(AE65*Valores!$C$2,2)</f>
        <v>2549.39</v>
      </c>
      <c r="AG65" s="125">
        <f>ROUND(IF($F$4="NO",Valores!$C$63,Valores!$C$63/2),2)</f>
        <v>6482.98</v>
      </c>
      <c r="AH65" s="125">
        <f t="shared" si="5"/>
        <v>168290.12000000005</v>
      </c>
      <c r="AI65" s="125">
        <f>Valores!$C$31</f>
        <v>0</v>
      </c>
      <c r="AJ65" s="125">
        <f>Valores!$C$88</f>
        <v>0</v>
      </c>
      <c r="AK65" s="125">
        <f>Valores!C$38*B65</f>
        <v>30000</v>
      </c>
      <c r="AL65" s="125">
        <f>IF($F$3="NO",0,Valores!$C$56)</f>
        <v>170.34</v>
      </c>
      <c r="AM65" s="125">
        <f t="shared" si="3"/>
        <v>30170.34</v>
      </c>
      <c r="AN65" s="125">
        <f>AH65*Valores!$C$71</f>
        <v>-18511.913200000006</v>
      </c>
      <c r="AO65" s="125">
        <f>AH65*-Valores!$C$72</f>
        <v>0</v>
      </c>
      <c r="AP65" s="125">
        <f>AH65*Valores!$C$73</f>
        <v>-7573.055400000002</v>
      </c>
      <c r="AQ65" s="125">
        <f>Valores!$C$100</f>
        <v>-280.91</v>
      </c>
      <c r="AR65" s="125">
        <f>IF($F$5=0,Valores!$C$101,(Valores!$C$101+$F$5*(Valores!$C$101)))</f>
        <v>-385</v>
      </c>
      <c r="AS65" s="125">
        <f t="shared" si="6"/>
        <v>171709.58140000005</v>
      </c>
      <c r="AT65" s="125">
        <f t="shared" si="0"/>
        <v>-18511.913200000006</v>
      </c>
      <c r="AU65" s="125">
        <f>AH65*Valores!$C$74</f>
        <v>-4543.833240000002</v>
      </c>
      <c r="AV65" s="125">
        <f>AH65*Valores!$C$75</f>
        <v>-504.8703600000002</v>
      </c>
      <c r="AW65" s="125">
        <f t="shared" si="4"/>
        <v>174899.84320000003</v>
      </c>
      <c r="AX65" s="126"/>
      <c r="AY65" s="126">
        <v>25</v>
      </c>
      <c r="AZ65" s="123" t="s">
        <v>4</v>
      </c>
    </row>
    <row r="66" spans="1:52" s="110" customFormat="1" ht="11.25" customHeight="1">
      <c r="A66" s="123" t="s">
        <v>225</v>
      </c>
      <c r="B66" s="123">
        <v>1</v>
      </c>
      <c r="C66" s="126">
        <v>59</v>
      </c>
      <c r="D66" s="124" t="s">
        <v>226</v>
      </c>
      <c r="E66" s="192">
        <v>79</v>
      </c>
      <c r="F66" s="125">
        <f>ROUND(E66*Valores!$C$2,2)</f>
        <v>2142.57</v>
      </c>
      <c r="G66" s="192">
        <v>1944</v>
      </c>
      <c r="H66" s="125">
        <f>ROUND(G66*Valores!$C$2,2)</f>
        <v>52723.61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11690.56</v>
      </c>
      <c r="N66" s="125">
        <f t="shared" si="1"/>
        <v>0</v>
      </c>
      <c r="O66" s="125">
        <f>Valores!$C$9</f>
        <v>29939.09</v>
      </c>
      <c r="P66" s="125">
        <f>Valores!$D$5</f>
        <v>13864.36</v>
      </c>
      <c r="Q66" s="125">
        <f>Valores!$C$22</f>
        <v>12369.22</v>
      </c>
      <c r="R66" s="125">
        <f>IF($F$4="NO",Valores!$C$45,Valores!$C$45/2)</f>
        <v>10169.9</v>
      </c>
      <c r="S66" s="125">
        <f>Valores!$C$19</f>
        <v>12901.01</v>
      </c>
      <c r="T66" s="125">
        <f t="shared" si="7"/>
        <v>12901.01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Valores!$C$95</f>
        <v>7582.51</v>
      </c>
      <c r="AA66" s="125">
        <f>Valores!$C$25</f>
        <v>567.06</v>
      </c>
      <c r="AB66" s="214">
        <v>0</v>
      </c>
      <c r="AC66" s="125">
        <f t="shared" si="2"/>
        <v>0</v>
      </c>
      <c r="AD66" s="125">
        <f>Valores!$C$26</f>
        <v>567.06</v>
      </c>
      <c r="AE66" s="192">
        <v>0</v>
      </c>
      <c r="AF66" s="125">
        <f>ROUND(AE66*Valores!$C$2,2)</f>
        <v>0</v>
      </c>
      <c r="AG66" s="125">
        <f>ROUND(IF($F$4="NO",Valores!$C$63,Valores!$C$63/2),2)</f>
        <v>6482.98</v>
      </c>
      <c r="AH66" s="125">
        <f t="shared" si="5"/>
        <v>160999.93000000002</v>
      </c>
      <c r="AI66" s="125">
        <f>Valores!$C$31</f>
        <v>0</v>
      </c>
      <c r="AJ66" s="125">
        <f>Valores!$C$88</f>
        <v>0</v>
      </c>
      <c r="AK66" s="125">
        <f>Valores!C$38*B66</f>
        <v>30000</v>
      </c>
      <c r="AL66" s="125">
        <f>IF($F$3="NO",0,Valores!$C$56)</f>
        <v>170.34</v>
      </c>
      <c r="AM66" s="125">
        <f t="shared" si="3"/>
        <v>30170.34</v>
      </c>
      <c r="AN66" s="125">
        <f>AH66*Valores!$C$71</f>
        <v>-17709.9923</v>
      </c>
      <c r="AO66" s="125">
        <f>AH66*-Valores!$C$72</f>
        <v>0</v>
      </c>
      <c r="AP66" s="125">
        <f>AH66*Valores!$C$73</f>
        <v>-7244.99685</v>
      </c>
      <c r="AQ66" s="125">
        <f>Valores!$C$100</f>
        <v>-280.91</v>
      </c>
      <c r="AR66" s="125">
        <f>IF($F$5=0,Valores!$C$101,(Valores!$C$101+$F$5*(Valores!$C$101)))</f>
        <v>-385</v>
      </c>
      <c r="AS66" s="125">
        <f t="shared" si="6"/>
        <v>165549.37085</v>
      </c>
      <c r="AT66" s="125">
        <f t="shared" si="0"/>
        <v>-17709.9923</v>
      </c>
      <c r="AU66" s="125">
        <f>AH66*Valores!$C$74</f>
        <v>-4346.99811</v>
      </c>
      <c r="AV66" s="125">
        <f>AH66*Valores!$C$75</f>
        <v>-482.9997900000001</v>
      </c>
      <c r="AW66" s="125">
        <f t="shared" si="4"/>
        <v>168630.27980000002</v>
      </c>
      <c r="AX66" s="126"/>
      <c r="AY66" s="126">
        <v>30</v>
      </c>
      <c r="AZ66" s="123" t="s">
        <v>4</v>
      </c>
    </row>
    <row r="67" spans="1:52" s="110" customFormat="1" ht="11.25" customHeight="1">
      <c r="A67" s="123" t="s">
        <v>227</v>
      </c>
      <c r="B67" s="123">
        <v>1</v>
      </c>
      <c r="C67" s="126">
        <v>60</v>
      </c>
      <c r="D67" s="124" t="s">
        <v>228</v>
      </c>
      <c r="E67" s="192">
        <v>79</v>
      </c>
      <c r="F67" s="125">
        <f>ROUND(E67*Valores!$C$2,2)</f>
        <v>2142.57</v>
      </c>
      <c r="G67" s="192">
        <v>1944</v>
      </c>
      <c r="H67" s="125">
        <f>ROUND(G67*Valores!$C$2,2)</f>
        <v>52723.61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11690.56</v>
      </c>
      <c r="N67" s="125">
        <f t="shared" si="1"/>
        <v>0</v>
      </c>
      <c r="O67" s="125">
        <f>Valores!$C$9</f>
        <v>29939.09</v>
      </c>
      <c r="P67" s="125">
        <f>Valores!$D$5</f>
        <v>13864.36</v>
      </c>
      <c r="Q67" s="125">
        <f>Valores!$C$22</f>
        <v>12369.22</v>
      </c>
      <c r="R67" s="125">
        <f>IF($F$4="NO",Valores!$C$45,Valores!$C$45/2)</f>
        <v>10169.9</v>
      </c>
      <c r="S67" s="125">
        <f>Valores!$C$19</f>
        <v>12901.01</v>
      </c>
      <c r="T67" s="125">
        <f t="shared" si="7"/>
        <v>12901.01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Valores!$C$95</f>
        <v>7582.51</v>
      </c>
      <c r="AA67" s="125">
        <f>Valores!$C$25</f>
        <v>567.06</v>
      </c>
      <c r="AB67" s="214">
        <v>0</v>
      </c>
      <c r="AC67" s="125">
        <f t="shared" si="2"/>
        <v>0</v>
      </c>
      <c r="AD67" s="125">
        <f>Valores!$C$26</f>
        <v>567.06</v>
      </c>
      <c r="AE67" s="192">
        <v>94</v>
      </c>
      <c r="AF67" s="125">
        <f>ROUND(AE67*Valores!$C$2,2)</f>
        <v>2549.39</v>
      </c>
      <c r="AG67" s="125">
        <f>ROUND(IF($F$4="NO",Valores!$C$63,Valores!$C$63/2),2)</f>
        <v>6482.98</v>
      </c>
      <c r="AH67" s="125">
        <f t="shared" si="5"/>
        <v>163549.32000000004</v>
      </c>
      <c r="AI67" s="125">
        <f>Valores!$C$31</f>
        <v>0</v>
      </c>
      <c r="AJ67" s="125">
        <f>Valores!$C$88</f>
        <v>0</v>
      </c>
      <c r="AK67" s="125">
        <f>Valores!C$38*B67</f>
        <v>30000</v>
      </c>
      <c r="AL67" s="125">
        <f>IF($F$3="NO",0,Valores!$C$56)</f>
        <v>170.34</v>
      </c>
      <c r="AM67" s="125">
        <f t="shared" si="3"/>
        <v>30170.34</v>
      </c>
      <c r="AN67" s="125">
        <f>AH67*Valores!$C$71</f>
        <v>-17990.425200000005</v>
      </c>
      <c r="AO67" s="125">
        <f>AH67*-Valores!$C$72</f>
        <v>0</v>
      </c>
      <c r="AP67" s="125">
        <f>AH67*Valores!$C$73</f>
        <v>-7359.719400000002</v>
      </c>
      <c r="AQ67" s="125">
        <f>Valores!$C$100</f>
        <v>-280.91</v>
      </c>
      <c r="AR67" s="125">
        <f>IF($F$5=0,Valores!$C$101,(Valores!$C$101+$F$5*(Valores!$C$101)))</f>
        <v>-385</v>
      </c>
      <c r="AS67" s="125">
        <f t="shared" si="6"/>
        <v>167703.60540000003</v>
      </c>
      <c r="AT67" s="125">
        <f t="shared" si="0"/>
        <v>-17990.425200000005</v>
      </c>
      <c r="AU67" s="125">
        <f>AH67*Valores!$C$74</f>
        <v>-4415.831640000001</v>
      </c>
      <c r="AV67" s="125">
        <f>AH67*Valores!$C$75</f>
        <v>-490.6479600000001</v>
      </c>
      <c r="AW67" s="125">
        <f t="shared" si="4"/>
        <v>170822.7552</v>
      </c>
      <c r="AX67" s="126"/>
      <c r="AY67" s="126">
        <v>25</v>
      </c>
      <c r="AZ67" s="123" t="s">
        <v>8</v>
      </c>
    </row>
    <row r="68" spans="1:52" s="110" customFormat="1" ht="11.25" customHeight="1">
      <c r="A68" s="123" t="s">
        <v>229</v>
      </c>
      <c r="B68" s="123">
        <v>1</v>
      </c>
      <c r="C68" s="126">
        <v>61</v>
      </c>
      <c r="D68" s="124" t="s">
        <v>230</v>
      </c>
      <c r="E68" s="192">
        <v>100</v>
      </c>
      <c r="F68" s="125">
        <f>ROUND(E68*Valores!$C$2,2)</f>
        <v>2712.12</v>
      </c>
      <c r="G68" s="192">
        <v>2864</v>
      </c>
      <c r="H68" s="125">
        <f>ROUND(G68*Valores!$C$2,2)</f>
        <v>77675.12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15437.95</v>
      </c>
      <c r="N68" s="125">
        <f t="shared" si="1"/>
        <v>0</v>
      </c>
      <c r="O68" s="125">
        <f>Valores!$C$9</f>
        <v>29939.09</v>
      </c>
      <c r="P68" s="125">
        <f>Valores!$D$5</f>
        <v>13864.36</v>
      </c>
      <c r="Q68" s="125">
        <v>0</v>
      </c>
      <c r="R68" s="125">
        <f>IF($F$4="NO",Valores!$C$44,Valores!$C$44/2)</f>
        <v>9631.44</v>
      </c>
      <c r="S68" s="125">
        <f>Valores!$C$19</f>
        <v>12901.01</v>
      </c>
      <c r="T68" s="125">
        <f t="shared" si="7"/>
        <v>12901.01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Valores!$C$94</f>
        <v>6318.76</v>
      </c>
      <c r="AA68" s="125">
        <f>Valores!$C$25</f>
        <v>567.06</v>
      </c>
      <c r="AB68" s="214">
        <v>0</v>
      </c>
      <c r="AC68" s="125">
        <f t="shared" si="2"/>
        <v>0</v>
      </c>
      <c r="AD68" s="125">
        <f>Valores!$C$26</f>
        <v>567.06</v>
      </c>
      <c r="AE68" s="192">
        <v>0</v>
      </c>
      <c r="AF68" s="125">
        <f>ROUND(AE68*Valores!$C$2,2)</f>
        <v>0</v>
      </c>
      <c r="AG68" s="125">
        <f>ROUND(IF($F$4="NO",Valores!$C$63,Valores!$C$63/2),2)</f>
        <v>6482.98</v>
      </c>
      <c r="AH68" s="125">
        <f t="shared" si="5"/>
        <v>176096.95</v>
      </c>
      <c r="AI68" s="125">
        <f>Valores!$C$31</f>
        <v>0</v>
      </c>
      <c r="AJ68" s="125">
        <f>Valores!$C$87</f>
        <v>0</v>
      </c>
      <c r="AK68" s="125">
        <f>Valores!C$38*B68</f>
        <v>30000</v>
      </c>
      <c r="AL68" s="125">
        <f>IF($F$3="NO",0,Valores!$C$55)</f>
        <v>327.6</v>
      </c>
      <c r="AM68" s="125">
        <f t="shared" si="3"/>
        <v>30327.6</v>
      </c>
      <c r="AN68" s="125">
        <f>AH68*Valores!$C$71</f>
        <v>-19370.664500000003</v>
      </c>
      <c r="AO68" s="125">
        <f>AH68*-Valores!$C$72</f>
        <v>0</v>
      </c>
      <c r="AP68" s="125">
        <f>AH68*Valores!$C$73</f>
        <v>-7924.36275</v>
      </c>
      <c r="AQ68" s="125">
        <f>Valores!$C$100</f>
        <v>-280.91</v>
      </c>
      <c r="AR68" s="125">
        <f>IF($F$5=0,Valores!$C$101,(Valores!$C$101+$F$5*(Valores!$C$101)))</f>
        <v>-385</v>
      </c>
      <c r="AS68" s="125">
        <f t="shared" si="6"/>
        <v>178463.61275</v>
      </c>
      <c r="AT68" s="125">
        <f t="shared" si="0"/>
        <v>-19370.664500000003</v>
      </c>
      <c r="AU68" s="125">
        <f>AH68*Valores!$C$74</f>
        <v>-4754.61765</v>
      </c>
      <c r="AV68" s="125">
        <f>AH68*Valores!$C$75</f>
        <v>-528.2908500000001</v>
      </c>
      <c r="AW68" s="125">
        <f t="shared" si="4"/>
        <v>181770.977</v>
      </c>
      <c r="AX68" s="126"/>
      <c r="AY68" s="126"/>
      <c r="AZ68" s="123" t="s">
        <v>4</v>
      </c>
    </row>
    <row r="69" spans="1:52" s="110" customFormat="1" ht="11.25" customHeight="1">
      <c r="A69" s="123" t="s">
        <v>231</v>
      </c>
      <c r="B69" s="123">
        <v>1</v>
      </c>
      <c r="C69" s="126">
        <v>62</v>
      </c>
      <c r="D69" s="124" t="s">
        <v>232</v>
      </c>
      <c r="E69" s="192">
        <v>79</v>
      </c>
      <c r="F69" s="125">
        <f>ROUND(E69*Valores!$C$2,2)</f>
        <v>2142.57</v>
      </c>
      <c r="G69" s="192">
        <v>2161</v>
      </c>
      <c r="H69" s="125">
        <f>ROUND(G69*Valores!$C$2,2)</f>
        <v>58608.91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12573.36</v>
      </c>
      <c r="N69" s="125">
        <f t="shared" si="1"/>
        <v>0</v>
      </c>
      <c r="O69" s="125">
        <f>Valores!$C$9</f>
        <v>29939.09</v>
      </c>
      <c r="P69" s="125">
        <f>Valores!$D$5</f>
        <v>13864.36</v>
      </c>
      <c r="Q69" s="125">
        <f>Valores!$C$22</f>
        <v>12369.22</v>
      </c>
      <c r="R69" s="125">
        <f>IF($F$4="NO",Valores!$C$45,Valores!$C$45/2)</f>
        <v>10169.9</v>
      </c>
      <c r="S69" s="125">
        <f>Valores!$C$19</f>
        <v>12901.01</v>
      </c>
      <c r="T69" s="125">
        <f t="shared" si="7"/>
        <v>12901.01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Valores!$C$95</f>
        <v>7582.51</v>
      </c>
      <c r="AA69" s="125">
        <f>Valores!$C$25</f>
        <v>567.06</v>
      </c>
      <c r="AB69" s="214">
        <v>0</v>
      </c>
      <c r="AC69" s="125">
        <f t="shared" si="2"/>
        <v>0</v>
      </c>
      <c r="AD69" s="125">
        <f>Valores!$C$26</f>
        <v>567.06</v>
      </c>
      <c r="AE69" s="192">
        <v>0</v>
      </c>
      <c r="AF69" s="125">
        <f>ROUND(AE69*Valores!$C$2,2)</f>
        <v>0</v>
      </c>
      <c r="AG69" s="125">
        <f>ROUND(IF($F$4="NO",Valores!$C$63,Valores!$C$63/2),2)</f>
        <v>6482.98</v>
      </c>
      <c r="AH69" s="125">
        <f t="shared" si="5"/>
        <v>167768.03000000003</v>
      </c>
      <c r="AI69" s="125">
        <f>Valores!$C$31</f>
        <v>0</v>
      </c>
      <c r="AJ69" s="125">
        <f>Valores!$C$88</f>
        <v>0</v>
      </c>
      <c r="AK69" s="125">
        <f>Valores!C$38*B69</f>
        <v>30000</v>
      </c>
      <c r="AL69" s="125">
        <f>IF($F$3="NO",0,Valores!$C$56)</f>
        <v>170.34</v>
      </c>
      <c r="AM69" s="125">
        <f t="shared" si="3"/>
        <v>30170.34</v>
      </c>
      <c r="AN69" s="125">
        <f>AH69*Valores!$C$71</f>
        <v>-18454.483300000004</v>
      </c>
      <c r="AO69" s="125">
        <f>AH69*-Valores!$C$72</f>
        <v>0</v>
      </c>
      <c r="AP69" s="125">
        <f>AH69*Valores!$C$73</f>
        <v>-7549.561350000001</v>
      </c>
      <c r="AQ69" s="125">
        <f>Valores!$C$100</f>
        <v>-280.91</v>
      </c>
      <c r="AR69" s="125">
        <f>IF($F$5=0,Valores!$C$101,(Valores!$C$101+$F$5*(Valores!$C$101)))</f>
        <v>-385</v>
      </c>
      <c r="AS69" s="125">
        <f t="shared" si="6"/>
        <v>171268.41535000002</v>
      </c>
      <c r="AT69" s="125">
        <f t="shared" si="0"/>
        <v>-18454.483300000004</v>
      </c>
      <c r="AU69" s="125">
        <f>AH69*Valores!$C$74</f>
        <v>-4529.73681</v>
      </c>
      <c r="AV69" s="125">
        <f>AH69*Valores!$C$75</f>
        <v>-503.3040900000001</v>
      </c>
      <c r="AW69" s="125">
        <f t="shared" si="4"/>
        <v>174450.8458</v>
      </c>
      <c r="AX69" s="126"/>
      <c r="AY69" s="126">
        <v>30</v>
      </c>
      <c r="AZ69" s="123" t="s">
        <v>4</v>
      </c>
    </row>
    <row r="70" spans="1:52" s="110" customFormat="1" ht="11.25" customHeight="1">
      <c r="A70" s="123" t="s">
        <v>233</v>
      </c>
      <c r="B70" s="123">
        <v>1</v>
      </c>
      <c r="C70" s="126">
        <v>63</v>
      </c>
      <c r="D70" s="124" t="s">
        <v>234</v>
      </c>
      <c r="E70" s="192">
        <v>90</v>
      </c>
      <c r="F70" s="125">
        <f>ROUND(E70*Valores!$C$2,2)</f>
        <v>2440.91</v>
      </c>
      <c r="G70" s="192">
        <v>3010</v>
      </c>
      <c r="H70" s="125">
        <f>ROUND(G70*Valores!$C$2,2)</f>
        <v>81634.81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16397.51</v>
      </c>
      <c r="N70" s="125">
        <f t="shared" si="1"/>
        <v>0</v>
      </c>
      <c r="O70" s="125">
        <f>Valores!$C$9</f>
        <v>29939.09</v>
      </c>
      <c r="P70" s="125">
        <f>Valores!$D$5</f>
        <v>13864.36</v>
      </c>
      <c r="Q70" s="125">
        <f>Valores!$C$22</f>
        <v>12369.22</v>
      </c>
      <c r="R70" s="125">
        <f>IF($F$4="NO",Valores!$C$48,Valores!$C$48/2)</f>
        <v>12340.01</v>
      </c>
      <c r="S70" s="125">
        <f>Valores!$C$19</f>
        <v>12901.01</v>
      </c>
      <c r="T70" s="125">
        <f t="shared" si="7"/>
        <v>12901.01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Valores!$C$95</f>
        <v>7582.51</v>
      </c>
      <c r="AA70" s="125">
        <f>Valores!$C$25</f>
        <v>567.06</v>
      </c>
      <c r="AB70" s="214">
        <v>0</v>
      </c>
      <c r="AC70" s="125">
        <f t="shared" si="2"/>
        <v>0</v>
      </c>
      <c r="AD70" s="125">
        <f>Valores!$C$26</f>
        <v>567.06</v>
      </c>
      <c r="AE70" s="192">
        <v>0</v>
      </c>
      <c r="AF70" s="125">
        <f>ROUND(AE70*Valores!$C$2,2)</f>
        <v>0</v>
      </c>
      <c r="AG70" s="125">
        <f>ROUND(IF($F$4="NO",Valores!$C$63,Valores!$C$63/2),2)</f>
        <v>6482.98</v>
      </c>
      <c r="AH70" s="125">
        <f t="shared" si="5"/>
        <v>197086.53000000003</v>
      </c>
      <c r="AI70" s="125">
        <f>Valores!$C$31</f>
        <v>0</v>
      </c>
      <c r="AJ70" s="125">
        <f>Valores!$C$88</f>
        <v>0</v>
      </c>
      <c r="AK70" s="125">
        <f>Valores!C$38*B70</f>
        <v>30000</v>
      </c>
      <c r="AL70" s="125">
        <f>IF($F$3="NO",0,Valores!$C$56)</f>
        <v>170.34</v>
      </c>
      <c r="AM70" s="125">
        <f t="shared" si="3"/>
        <v>30170.34</v>
      </c>
      <c r="AN70" s="125">
        <f>AH70*Valores!$C$71</f>
        <v>-21679.518300000003</v>
      </c>
      <c r="AO70" s="125">
        <f>AH70*-Valores!$C$72</f>
        <v>0</v>
      </c>
      <c r="AP70" s="125">
        <f>AH70*Valores!$C$73</f>
        <v>-8868.89385</v>
      </c>
      <c r="AQ70" s="125">
        <f>Valores!$C$100</f>
        <v>-280.91</v>
      </c>
      <c r="AR70" s="125">
        <f>IF($F$5=0,Valores!$C$101,(Valores!$C$101+$F$5*(Valores!$C$101)))</f>
        <v>-385</v>
      </c>
      <c r="AS70" s="125">
        <f t="shared" si="6"/>
        <v>196042.54785000003</v>
      </c>
      <c r="AT70" s="125">
        <f t="shared" si="0"/>
        <v>-21679.518300000003</v>
      </c>
      <c r="AU70" s="125">
        <f>AH70*Valores!$C$74</f>
        <v>-5321.336310000001</v>
      </c>
      <c r="AV70" s="125">
        <f>AH70*Valores!$C$75</f>
        <v>-591.2595900000001</v>
      </c>
      <c r="AW70" s="125">
        <f t="shared" si="4"/>
        <v>199664.7558</v>
      </c>
      <c r="AX70" s="126"/>
      <c r="AY70" s="126"/>
      <c r="AZ70" s="123" t="s">
        <v>4</v>
      </c>
    </row>
    <row r="71" spans="1:52" s="110" customFormat="1" ht="11.25" customHeight="1">
      <c r="A71" s="123" t="s">
        <v>235</v>
      </c>
      <c r="B71" s="123">
        <v>1</v>
      </c>
      <c r="C71" s="126">
        <v>64</v>
      </c>
      <c r="D71" s="124" t="s">
        <v>236</v>
      </c>
      <c r="E71" s="192">
        <v>78</v>
      </c>
      <c r="F71" s="125">
        <f>ROUND(E71*Valores!$C$2,2)</f>
        <v>2115.45</v>
      </c>
      <c r="G71" s="192">
        <v>2162</v>
      </c>
      <c r="H71" s="125">
        <f>ROUND(G71*Valores!$C$2,2)</f>
        <v>58636.03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12573.36</v>
      </c>
      <c r="N71" s="125">
        <f t="shared" si="1"/>
        <v>0</v>
      </c>
      <c r="O71" s="125">
        <f>Valores!$C$9</f>
        <v>29939.09</v>
      </c>
      <c r="P71" s="125">
        <f>Valores!$D$5</f>
        <v>13864.36</v>
      </c>
      <c r="Q71" s="125">
        <f>Valores!$C$22</f>
        <v>12369.22</v>
      </c>
      <c r="R71" s="125">
        <f>IF($F$4="NO",Valores!$C$45,Valores!$C$45/2)</f>
        <v>10169.9</v>
      </c>
      <c r="S71" s="125">
        <f>Valores!$C$19</f>
        <v>12901.01</v>
      </c>
      <c r="T71" s="125">
        <f t="shared" si="7"/>
        <v>12901.01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Valores!$C$95</f>
        <v>7582.51</v>
      </c>
      <c r="AA71" s="125">
        <f>Valores!$C$25</f>
        <v>567.06</v>
      </c>
      <c r="AB71" s="214">
        <v>0</v>
      </c>
      <c r="AC71" s="125">
        <f t="shared" si="2"/>
        <v>0</v>
      </c>
      <c r="AD71" s="125">
        <f>Valores!$C$26</f>
        <v>567.06</v>
      </c>
      <c r="AE71" s="192">
        <v>0</v>
      </c>
      <c r="AF71" s="125">
        <f>ROUND(AE71*Valores!$C$2,2)</f>
        <v>0</v>
      </c>
      <c r="AG71" s="125">
        <f>ROUND(IF($F$4="NO",Valores!$C$63,Valores!$C$63/2),2)</f>
        <v>6482.98</v>
      </c>
      <c r="AH71" s="125">
        <f t="shared" si="5"/>
        <v>167768.03000000003</v>
      </c>
      <c r="AI71" s="125">
        <f>Valores!$C$31</f>
        <v>0</v>
      </c>
      <c r="AJ71" s="125">
        <f>Valores!$C$88</f>
        <v>0</v>
      </c>
      <c r="AK71" s="125">
        <f>Valores!C$38*B71</f>
        <v>30000</v>
      </c>
      <c r="AL71" s="125">
        <f>IF($F$3="NO",0,Valores!$C$56)</f>
        <v>170.34</v>
      </c>
      <c r="AM71" s="125">
        <f t="shared" si="3"/>
        <v>30170.34</v>
      </c>
      <c r="AN71" s="125">
        <f>AH71*Valores!$C$71</f>
        <v>-18454.483300000004</v>
      </c>
      <c r="AO71" s="125">
        <f>AH71*-Valores!$C$72</f>
        <v>0</v>
      </c>
      <c r="AP71" s="125">
        <f>AH71*Valores!$C$73</f>
        <v>-7549.561350000001</v>
      </c>
      <c r="AQ71" s="125">
        <f>Valores!$C$100</f>
        <v>-280.91</v>
      </c>
      <c r="AR71" s="125">
        <f>IF($F$5=0,Valores!$C$101,(Valores!$C$101+$F$5*(Valores!$C$101)))</f>
        <v>-385</v>
      </c>
      <c r="AS71" s="125">
        <f t="shared" si="6"/>
        <v>171268.41535000002</v>
      </c>
      <c r="AT71" s="125">
        <f aca="true" t="shared" si="10" ref="AT71:AT133">AN71</f>
        <v>-18454.483300000004</v>
      </c>
      <c r="AU71" s="125">
        <f>AH71*Valores!$C$74</f>
        <v>-4529.73681</v>
      </c>
      <c r="AV71" s="125">
        <f>AH71*Valores!$C$75</f>
        <v>-503.3040900000001</v>
      </c>
      <c r="AW71" s="125">
        <f t="shared" si="4"/>
        <v>174450.8458</v>
      </c>
      <c r="AX71" s="126"/>
      <c r="AY71" s="126">
        <v>25</v>
      </c>
      <c r="AZ71" s="123" t="s">
        <v>4</v>
      </c>
    </row>
    <row r="72" spans="1:52" s="110" customFormat="1" ht="11.25" customHeight="1">
      <c r="A72" s="123" t="s">
        <v>237</v>
      </c>
      <c r="B72" s="123">
        <v>1</v>
      </c>
      <c r="C72" s="126">
        <v>65</v>
      </c>
      <c r="D72" s="124" t="s">
        <v>238</v>
      </c>
      <c r="E72" s="192">
        <v>90</v>
      </c>
      <c r="F72" s="125">
        <f>ROUND(E72*Valores!$C$2,2)</f>
        <v>2440.91</v>
      </c>
      <c r="G72" s="192">
        <v>2800</v>
      </c>
      <c r="H72" s="125">
        <f>ROUND(G72*Valores!$C$2,2)</f>
        <v>75939.36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15543.19</v>
      </c>
      <c r="N72" s="125">
        <f aca="true" t="shared" si="11" ref="N72:N135">ROUND(SUM(F72,H72,J72,L72,X72,R72)*$H$2,2)</f>
        <v>0</v>
      </c>
      <c r="O72" s="125">
        <f>Valores!$C$9</f>
        <v>29939.09</v>
      </c>
      <c r="P72" s="125">
        <f>Valores!$D$5</f>
        <v>13864.36</v>
      </c>
      <c r="Q72" s="125">
        <v>0</v>
      </c>
      <c r="R72" s="125">
        <f>IF($F$4="NO",Valores!$C$48,Valores!$C$48/2)</f>
        <v>12340.01</v>
      </c>
      <c r="S72" s="125">
        <f>Valores!$C$19</f>
        <v>12901.01</v>
      </c>
      <c r="T72" s="125">
        <f t="shared" si="7"/>
        <v>12901.01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Valores!$C$95</f>
        <v>7582.51</v>
      </c>
      <c r="AA72" s="125">
        <f>Valores!$C$25</f>
        <v>567.06</v>
      </c>
      <c r="AB72" s="214">
        <v>0</v>
      </c>
      <c r="AC72" s="125">
        <f aca="true" t="shared" si="12" ref="AC72:AC135">ROUND(SUM(F72,H72,J72,X72,R72)*AB72,2)</f>
        <v>0</v>
      </c>
      <c r="AD72" s="125">
        <f>Valores!$C$26</f>
        <v>567.06</v>
      </c>
      <c r="AE72" s="192">
        <v>0</v>
      </c>
      <c r="AF72" s="125">
        <f>ROUND(AE72*Valores!$C$2,2)</f>
        <v>0</v>
      </c>
      <c r="AG72" s="125">
        <f>ROUND(IF($F$4="NO",Valores!$C$63,Valores!$C$63/2),2)</f>
        <v>6482.98</v>
      </c>
      <c r="AH72" s="125">
        <f t="shared" si="5"/>
        <v>178167.54000000004</v>
      </c>
      <c r="AI72" s="125">
        <f>Valores!$C$31</f>
        <v>0</v>
      </c>
      <c r="AJ72" s="125">
        <f>Valores!$C$88</f>
        <v>0</v>
      </c>
      <c r="AK72" s="125">
        <f>Valores!C$38*B72</f>
        <v>30000</v>
      </c>
      <c r="AL72" s="125">
        <f>IF($F$3="NO",0,Valores!$C$56)</f>
        <v>170.34</v>
      </c>
      <c r="AM72" s="125">
        <f aca="true" t="shared" si="13" ref="AM72:AM135">SUM(AI72:AL72)</f>
        <v>30170.34</v>
      </c>
      <c r="AN72" s="125">
        <f>AH72*Valores!$C$71</f>
        <v>-19598.429400000005</v>
      </c>
      <c r="AO72" s="125">
        <f>AH72*-Valores!$C$72</f>
        <v>0</v>
      </c>
      <c r="AP72" s="125">
        <f>AH72*Valores!$C$73</f>
        <v>-8017.539300000001</v>
      </c>
      <c r="AQ72" s="125">
        <f>Valores!$C$100</f>
        <v>-280.91</v>
      </c>
      <c r="AR72" s="125">
        <f>IF($F$5=0,Valores!$C$101,(Valores!$C$101+$F$5*(Valores!$C$101)))</f>
        <v>-385</v>
      </c>
      <c r="AS72" s="125">
        <f t="shared" si="6"/>
        <v>180056.00130000003</v>
      </c>
      <c r="AT72" s="125">
        <f t="shared" si="10"/>
        <v>-19598.429400000005</v>
      </c>
      <c r="AU72" s="125">
        <f>AH72*Valores!$C$74</f>
        <v>-4810.523580000001</v>
      </c>
      <c r="AV72" s="125">
        <f>AH72*Valores!$C$75</f>
        <v>-534.5026200000001</v>
      </c>
      <c r="AW72" s="125">
        <f aca="true" t="shared" si="14" ref="AW72:AW135">AH72+AM72+SUM(AT72:AV72)</f>
        <v>183394.42440000002</v>
      </c>
      <c r="AX72" s="126"/>
      <c r="AY72" s="126"/>
      <c r="AZ72" s="123" t="s">
        <v>8</v>
      </c>
    </row>
    <row r="73" spans="1:52" s="110" customFormat="1" ht="11.25" customHeight="1">
      <c r="A73" s="123" t="s">
        <v>239</v>
      </c>
      <c r="B73" s="123">
        <v>1</v>
      </c>
      <c r="C73" s="126">
        <v>66</v>
      </c>
      <c r="D73" s="124" t="s">
        <v>240</v>
      </c>
      <c r="E73" s="192">
        <v>79</v>
      </c>
      <c r="F73" s="125">
        <f>ROUND(E73*Valores!$C$2,2)</f>
        <v>2142.57</v>
      </c>
      <c r="G73" s="192">
        <v>2161</v>
      </c>
      <c r="H73" s="125">
        <f>ROUND(G73*Valores!$C$2,2)</f>
        <v>58608.91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12573.36</v>
      </c>
      <c r="N73" s="125">
        <f t="shared" si="11"/>
        <v>0</v>
      </c>
      <c r="O73" s="125">
        <f>Valores!$C$9</f>
        <v>29939.09</v>
      </c>
      <c r="P73" s="125">
        <f>Valores!$D$5</f>
        <v>13864.36</v>
      </c>
      <c r="Q73" s="125">
        <f>Valores!$C$22</f>
        <v>12369.22</v>
      </c>
      <c r="R73" s="125">
        <f>IF($F$4="NO",Valores!$C$45,Valores!$C$45/2)</f>
        <v>10169.9</v>
      </c>
      <c r="S73" s="125">
        <f>Valores!$C$19</f>
        <v>12901.01</v>
      </c>
      <c r="T73" s="125">
        <f t="shared" si="7"/>
        <v>12901.01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Valores!$C$95</f>
        <v>7582.51</v>
      </c>
      <c r="AA73" s="125">
        <f>Valores!$C$25</f>
        <v>567.06</v>
      </c>
      <c r="AB73" s="214">
        <v>0</v>
      </c>
      <c r="AC73" s="125">
        <f t="shared" si="12"/>
        <v>0</v>
      </c>
      <c r="AD73" s="125">
        <f>Valores!$C$26</f>
        <v>567.06</v>
      </c>
      <c r="AE73" s="192">
        <v>0</v>
      </c>
      <c r="AF73" s="125">
        <f>ROUND(AE73*Valores!$C$2,2)</f>
        <v>0</v>
      </c>
      <c r="AG73" s="125">
        <f>ROUND(IF($F$4="NO",Valores!$C$63,Valores!$C$63/2),2)</f>
        <v>6482.98</v>
      </c>
      <c r="AH73" s="125">
        <f aca="true" t="shared" si="15" ref="AH73:AH136">SUM(F73,H73,J73,L73,M73,N73,O73,P73,Q73,R73,T73,U73,V73,X73,Y73,Z73,AA73,AC73,AD73,AF73,AG73)</f>
        <v>167768.03000000003</v>
      </c>
      <c r="AI73" s="125">
        <f>Valores!$C$31</f>
        <v>0</v>
      </c>
      <c r="AJ73" s="125">
        <f>Valores!$C$88</f>
        <v>0</v>
      </c>
      <c r="AK73" s="125">
        <f>Valores!C$38*B73</f>
        <v>30000</v>
      </c>
      <c r="AL73" s="125">
        <f>IF($F$3="NO",0,Valores!$C$56)</f>
        <v>170.34</v>
      </c>
      <c r="AM73" s="125">
        <f t="shared" si="13"/>
        <v>30170.34</v>
      </c>
      <c r="AN73" s="125">
        <f>AH73*Valores!$C$71</f>
        <v>-18454.483300000004</v>
      </c>
      <c r="AO73" s="125">
        <f>AH73*-Valores!$C$72</f>
        <v>0</v>
      </c>
      <c r="AP73" s="125">
        <f>AH73*Valores!$C$73</f>
        <v>-7549.561350000001</v>
      </c>
      <c r="AQ73" s="125">
        <f>Valores!$C$100</f>
        <v>-280.91</v>
      </c>
      <c r="AR73" s="125">
        <f>IF($F$5=0,Valores!$C$101,(Valores!$C$101+$F$5*(Valores!$C$101)))</f>
        <v>-385</v>
      </c>
      <c r="AS73" s="125">
        <f aca="true" t="shared" si="16" ref="AS73:AS136">AH73+SUM(AM73:AR73)</f>
        <v>171268.41535000002</v>
      </c>
      <c r="AT73" s="125">
        <f t="shared" si="10"/>
        <v>-18454.483300000004</v>
      </c>
      <c r="AU73" s="125">
        <f>AH73*Valores!$C$74</f>
        <v>-4529.73681</v>
      </c>
      <c r="AV73" s="125">
        <f>AH73*Valores!$C$75</f>
        <v>-503.3040900000001</v>
      </c>
      <c r="AW73" s="125">
        <f t="shared" si="14"/>
        <v>174450.8458</v>
      </c>
      <c r="AX73" s="126"/>
      <c r="AY73" s="126">
        <v>30</v>
      </c>
      <c r="AZ73" s="123" t="s">
        <v>4</v>
      </c>
    </row>
    <row r="74" spans="1:52" s="110" customFormat="1" ht="11.25" customHeight="1">
      <c r="A74" s="123" t="s">
        <v>241</v>
      </c>
      <c r="B74" s="123">
        <v>1</v>
      </c>
      <c r="C74" s="126">
        <v>67</v>
      </c>
      <c r="D74" s="124" t="s">
        <v>242</v>
      </c>
      <c r="E74" s="192">
        <v>90</v>
      </c>
      <c r="F74" s="125">
        <f>ROUND(E74*Valores!$C$2,2)</f>
        <v>2440.91</v>
      </c>
      <c r="G74" s="192">
        <v>2720</v>
      </c>
      <c r="H74" s="125">
        <f>ROUND(G74*Valores!$C$2,2)</f>
        <v>73769.66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15217.74</v>
      </c>
      <c r="N74" s="125">
        <f t="shared" si="11"/>
        <v>0</v>
      </c>
      <c r="O74" s="125">
        <f>Valores!$C$9</f>
        <v>29939.09</v>
      </c>
      <c r="P74" s="125">
        <f>Valores!$D$5</f>
        <v>13864.36</v>
      </c>
      <c r="Q74" s="125">
        <v>0</v>
      </c>
      <c r="R74" s="125">
        <f>IF($F$4="NO",Valores!$C$48,Valores!$C$476/2)</f>
        <v>12340.01</v>
      </c>
      <c r="S74" s="125">
        <f>Valores!$C$19</f>
        <v>12901.01</v>
      </c>
      <c r="T74" s="125">
        <f t="shared" si="7"/>
        <v>12901.01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Valores!$C$95</f>
        <v>7582.51</v>
      </c>
      <c r="AA74" s="125">
        <f>Valores!$C$25</f>
        <v>567.06</v>
      </c>
      <c r="AB74" s="214">
        <v>0</v>
      </c>
      <c r="AC74" s="125">
        <f t="shared" si="12"/>
        <v>0</v>
      </c>
      <c r="AD74" s="125">
        <f>Valores!$C$26</f>
        <v>567.06</v>
      </c>
      <c r="AE74" s="192">
        <v>0</v>
      </c>
      <c r="AF74" s="125">
        <f>ROUND(AE74*Valores!$C$2,2)</f>
        <v>0</v>
      </c>
      <c r="AG74" s="125">
        <f>ROUND(IF($F$4="NO",Valores!$C$63,Valores!$C$63/2),2)</f>
        <v>6482.98</v>
      </c>
      <c r="AH74" s="125">
        <f t="shared" si="15"/>
        <v>175672.39000000004</v>
      </c>
      <c r="AI74" s="125">
        <f>Valores!$C$31</f>
        <v>0</v>
      </c>
      <c r="AJ74" s="125">
        <f>Valores!$C$88</f>
        <v>0</v>
      </c>
      <c r="AK74" s="125">
        <f>Valores!C$38*B74</f>
        <v>30000</v>
      </c>
      <c r="AL74" s="125">
        <f>IF($F$3="NO",0,Valores!$C$56)</f>
        <v>170.34</v>
      </c>
      <c r="AM74" s="125">
        <f t="shared" si="13"/>
        <v>30170.34</v>
      </c>
      <c r="AN74" s="125">
        <f>AH74*Valores!$C$71</f>
        <v>-19323.962900000006</v>
      </c>
      <c r="AO74" s="125">
        <f>AH74*-Valores!$C$72</f>
        <v>0</v>
      </c>
      <c r="AP74" s="125">
        <f>AH74*Valores!$C$73</f>
        <v>-7905.257550000002</v>
      </c>
      <c r="AQ74" s="125">
        <f>Valores!$C$100</f>
        <v>-280.91</v>
      </c>
      <c r="AR74" s="125">
        <f>IF($F$5=0,Valores!$C$101,(Valores!$C$101+$F$5*(Valores!$C$101)))</f>
        <v>-385</v>
      </c>
      <c r="AS74" s="125">
        <f t="shared" si="16"/>
        <v>177947.59955000004</v>
      </c>
      <c r="AT74" s="125">
        <f t="shared" si="10"/>
        <v>-19323.962900000006</v>
      </c>
      <c r="AU74" s="125">
        <f>AH74*Valores!$C$74</f>
        <v>-4743.154530000001</v>
      </c>
      <c r="AV74" s="125">
        <f>AH74*Valores!$C$75</f>
        <v>-527.0171700000002</v>
      </c>
      <c r="AW74" s="125">
        <f t="shared" si="14"/>
        <v>181248.59540000005</v>
      </c>
      <c r="AX74" s="126"/>
      <c r="AY74" s="126"/>
      <c r="AZ74" s="123" t="s">
        <v>8</v>
      </c>
    </row>
    <row r="75" spans="1:52" s="110" customFormat="1" ht="11.25" customHeight="1">
      <c r="A75" s="123" t="s">
        <v>243</v>
      </c>
      <c r="B75" s="123">
        <v>1</v>
      </c>
      <c r="C75" s="126">
        <v>68</v>
      </c>
      <c r="D75" s="124" t="s">
        <v>244</v>
      </c>
      <c r="E75" s="192">
        <v>78</v>
      </c>
      <c r="F75" s="125">
        <f>ROUND(E75*Valores!$C$2,2)</f>
        <v>2115.45</v>
      </c>
      <c r="G75" s="192">
        <v>1284</v>
      </c>
      <c r="H75" s="125">
        <f>ROUND(G75*Valores!$C$2,2)</f>
        <v>34823.62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8900.94</v>
      </c>
      <c r="N75" s="125">
        <f t="shared" si="11"/>
        <v>0</v>
      </c>
      <c r="O75" s="125">
        <f>Valores!$C$8</f>
        <v>29851.25</v>
      </c>
      <c r="P75" s="125">
        <f>Valores!$D$5</f>
        <v>13864.36</v>
      </c>
      <c r="Q75" s="125">
        <f>Valores!$C$22</f>
        <v>12369.22</v>
      </c>
      <c r="R75" s="125">
        <f>IF($F$4="NO",Valores!$C$44,Valores!$C$44/2)</f>
        <v>9631.44</v>
      </c>
      <c r="S75" s="125">
        <f>Valores!$C$20</f>
        <v>12769.11</v>
      </c>
      <c r="T75" s="125">
        <f aca="true" t="shared" si="17" ref="T75:T138">ROUND(S75*(1+$H$2),2)</f>
        <v>12769.11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Valores!$C$94</f>
        <v>6318.76</v>
      </c>
      <c r="AA75" s="125">
        <f>Valores!$C$25</f>
        <v>567.06</v>
      </c>
      <c r="AB75" s="214">
        <v>0</v>
      </c>
      <c r="AC75" s="125">
        <f t="shared" si="12"/>
        <v>0</v>
      </c>
      <c r="AD75" s="125">
        <f>Valores!$C$26</f>
        <v>567.06</v>
      </c>
      <c r="AE75" s="192">
        <v>0</v>
      </c>
      <c r="AF75" s="125">
        <f>ROUND(AE75*Valores!$C$2,2)</f>
        <v>0</v>
      </c>
      <c r="AG75" s="125">
        <f>ROUND(IF($F$4="NO",Valores!$C$63,Valores!$C$63/2),2)</f>
        <v>6482.98</v>
      </c>
      <c r="AH75" s="125">
        <f t="shared" si="15"/>
        <v>138261.25000000003</v>
      </c>
      <c r="AI75" s="125">
        <f>Valores!$C$31</f>
        <v>0</v>
      </c>
      <c r="AJ75" s="125">
        <f>Valores!$C$87</f>
        <v>0</v>
      </c>
      <c r="AK75" s="125">
        <f>Valores!C$38*B75</f>
        <v>30000</v>
      </c>
      <c r="AL75" s="125">
        <f>IF($F$3="NO",0,Valores!$C$56)</f>
        <v>170.34</v>
      </c>
      <c r="AM75" s="125">
        <f t="shared" si="13"/>
        <v>30170.34</v>
      </c>
      <c r="AN75" s="125">
        <f>AH75*Valores!$C$71</f>
        <v>-15208.737500000003</v>
      </c>
      <c r="AO75" s="125">
        <f>AH75*-Valores!$C$72</f>
        <v>0</v>
      </c>
      <c r="AP75" s="125">
        <f>AH75*Valores!$C$73</f>
        <v>-6221.756250000001</v>
      </c>
      <c r="AQ75" s="125">
        <f>Valores!$C$100</f>
        <v>-280.91</v>
      </c>
      <c r="AR75" s="125">
        <f>IF($F$5=0,Valores!$C$101,(Valores!$C$101+$F$5*(Valores!$C$101)))</f>
        <v>-385</v>
      </c>
      <c r="AS75" s="125">
        <f t="shared" si="16"/>
        <v>146335.18625000003</v>
      </c>
      <c r="AT75" s="125">
        <f t="shared" si="10"/>
        <v>-15208.737500000003</v>
      </c>
      <c r="AU75" s="125">
        <f>AH75*Valores!$C$74</f>
        <v>-3733.053750000001</v>
      </c>
      <c r="AV75" s="125">
        <f>AH75*Valores!$C$75</f>
        <v>-414.7837500000001</v>
      </c>
      <c r="AW75" s="125">
        <f t="shared" si="14"/>
        <v>149075.015</v>
      </c>
      <c r="AX75" s="126"/>
      <c r="AY75" s="126">
        <v>30</v>
      </c>
      <c r="AZ75" s="123" t="s">
        <v>4</v>
      </c>
    </row>
    <row r="76" spans="1:52" s="110" customFormat="1" ht="11.25" customHeight="1">
      <c r="A76" s="123" t="s">
        <v>245</v>
      </c>
      <c r="B76" s="123">
        <v>1</v>
      </c>
      <c r="C76" s="126">
        <v>69</v>
      </c>
      <c r="D76" s="124" t="s">
        <v>246</v>
      </c>
      <c r="E76" s="192">
        <v>78</v>
      </c>
      <c r="F76" s="125">
        <f>ROUND(E76*Valores!$C$2,2)</f>
        <v>2115.45</v>
      </c>
      <c r="G76" s="192">
        <v>1284</v>
      </c>
      <c r="H76" s="125">
        <f>ROUND(G76*Valores!$C$2,2)</f>
        <v>34823.62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8900.94</v>
      </c>
      <c r="N76" s="125">
        <f t="shared" si="11"/>
        <v>0</v>
      </c>
      <c r="O76" s="125">
        <f>Valores!$C$8</f>
        <v>29851.25</v>
      </c>
      <c r="P76" s="125">
        <f>Valores!$D$5</f>
        <v>13864.36</v>
      </c>
      <c r="Q76" s="125">
        <f>Valores!$C$22</f>
        <v>12369.22</v>
      </c>
      <c r="R76" s="125">
        <f>IF($F$4="NO",Valores!$C$44,Valores!$C$44/2)</f>
        <v>9631.44</v>
      </c>
      <c r="S76" s="125">
        <f>Valores!$C$20</f>
        <v>12769.11</v>
      </c>
      <c r="T76" s="125">
        <f t="shared" si="17"/>
        <v>12769.11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Valores!$C$94</f>
        <v>6318.76</v>
      </c>
      <c r="AA76" s="125">
        <f>Valores!$C$25</f>
        <v>567.06</v>
      </c>
      <c r="AB76" s="214">
        <v>0</v>
      </c>
      <c r="AC76" s="125">
        <f t="shared" si="12"/>
        <v>0</v>
      </c>
      <c r="AD76" s="125">
        <f>Valores!$C$26</f>
        <v>567.06</v>
      </c>
      <c r="AE76" s="192">
        <v>0</v>
      </c>
      <c r="AF76" s="125">
        <f>ROUND(AE76*Valores!$C$2,2)</f>
        <v>0</v>
      </c>
      <c r="AG76" s="125">
        <f>ROUND(IF($F$4="NO",Valores!$C$63,Valores!$C$63/2),2)</f>
        <v>6482.98</v>
      </c>
      <c r="AH76" s="125">
        <f t="shared" si="15"/>
        <v>138261.25000000003</v>
      </c>
      <c r="AI76" s="125">
        <f>Valores!$C$31</f>
        <v>0</v>
      </c>
      <c r="AJ76" s="125">
        <f>Valores!$C$87</f>
        <v>0</v>
      </c>
      <c r="AK76" s="125">
        <f>Valores!C$38*B76</f>
        <v>30000</v>
      </c>
      <c r="AL76" s="125">
        <v>0</v>
      </c>
      <c r="AM76" s="125">
        <f t="shared" si="13"/>
        <v>30000</v>
      </c>
      <c r="AN76" s="125">
        <f>AH76*Valores!$C$71</f>
        <v>-15208.737500000003</v>
      </c>
      <c r="AO76" s="125">
        <f>AH76*-Valores!$C$72</f>
        <v>0</v>
      </c>
      <c r="AP76" s="125">
        <f>AH76*Valores!$C$73</f>
        <v>-6221.756250000001</v>
      </c>
      <c r="AQ76" s="125">
        <f>Valores!$C$100</f>
        <v>-280.91</v>
      </c>
      <c r="AR76" s="125">
        <f>IF($F$5=0,Valores!$C$101,(Valores!$C$101+$F$5*(Valores!$C$101)))</f>
        <v>-385</v>
      </c>
      <c r="AS76" s="125">
        <f t="shared" si="16"/>
        <v>146164.84625000003</v>
      </c>
      <c r="AT76" s="125">
        <f t="shared" si="10"/>
        <v>-15208.737500000003</v>
      </c>
      <c r="AU76" s="125">
        <f>AH76*Valores!$C$74</f>
        <v>-3733.053750000001</v>
      </c>
      <c r="AV76" s="125">
        <f>AH76*Valores!$C$75</f>
        <v>-414.7837500000001</v>
      </c>
      <c r="AW76" s="125">
        <f t="shared" si="14"/>
        <v>148904.67500000002</v>
      </c>
      <c r="AX76" s="126"/>
      <c r="AY76" s="126"/>
      <c r="AZ76" s="123" t="s">
        <v>8</v>
      </c>
    </row>
    <row r="77" spans="1:52" s="110" customFormat="1" ht="11.25" customHeight="1">
      <c r="A77" s="123" t="s">
        <v>247</v>
      </c>
      <c r="B77" s="123">
        <v>1</v>
      </c>
      <c r="C77" s="126">
        <v>70</v>
      </c>
      <c r="D77" s="124" t="s">
        <v>248</v>
      </c>
      <c r="E77" s="192">
        <v>78</v>
      </c>
      <c r="F77" s="125">
        <f>ROUND(E77*Valores!$C$2,2)</f>
        <v>2115.45</v>
      </c>
      <c r="G77" s="192">
        <v>1284</v>
      </c>
      <c r="H77" s="125">
        <f>ROUND(G77*Valores!$C$2,2)</f>
        <v>34823.62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6985.58</v>
      </c>
      <c r="N77" s="125">
        <f t="shared" si="11"/>
        <v>0</v>
      </c>
      <c r="O77" s="125">
        <f>Valores!$C$14</f>
        <v>24936.25</v>
      </c>
      <c r="P77" s="125">
        <f>Valores!$D$5</f>
        <v>13864.36</v>
      </c>
      <c r="Q77" s="125">
        <f>Valores!$C$22</f>
        <v>12369.22</v>
      </c>
      <c r="R77" s="125">
        <f>IF($F$4="NO",Valores!$C$44,Valores!$C$44/2)</f>
        <v>9631.44</v>
      </c>
      <c r="S77" s="125">
        <v>0</v>
      </c>
      <c r="T77" s="125">
        <f t="shared" si="17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Valores!$C$94</f>
        <v>6318.76</v>
      </c>
      <c r="AA77" s="125">
        <f>Valores!$C$25</f>
        <v>567.06</v>
      </c>
      <c r="AB77" s="214">
        <v>0</v>
      </c>
      <c r="AC77" s="125">
        <f t="shared" si="12"/>
        <v>0</v>
      </c>
      <c r="AD77" s="125">
        <f>Valores!$C$26</f>
        <v>567.06</v>
      </c>
      <c r="AE77" s="192">
        <v>0</v>
      </c>
      <c r="AF77" s="125">
        <f>ROUND(AE77*Valores!$C$2,2)</f>
        <v>0</v>
      </c>
      <c r="AG77" s="125">
        <f>ROUND(IF($F$4="NO",Valores!$C$63,Valores!$C$63/2),2)</f>
        <v>6482.98</v>
      </c>
      <c r="AH77" s="125">
        <f t="shared" si="15"/>
        <v>118661.77999999998</v>
      </c>
      <c r="AI77" s="125">
        <f>Valores!$C$31</f>
        <v>0</v>
      </c>
      <c r="AJ77" s="125">
        <f>Valores!$C$87</f>
        <v>0</v>
      </c>
      <c r="AK77" s="125">
        <f>Valores!C$38*B77</f>
        <v>30000</v>
      </c>
      <c r="AL77" s="125">
        <v>0</v>
      </c>
      <c r="AM77" s="125">
        <f t="shared" si="13"/>
        <v>30000</v>
      </c>
      <c r="AN77" s="125">
        <f>AH77*Valores!$C$71</f>
        <v>-13052.795799999998</v>
      </c>
      <c r="AO77" s="125">
        <f>AH77*-Valores!$C$72</f>
        <v>0</v>
      </c>
      <c r="AP77" s="125">
        <f>AH77*Valores!$C$73</f>
        <v>-5339.780099999999</v>
      </c>
      <c r="AQ77" s="125">
        <f>Valores!$C$100</f>
        <v>-280.91</v>
      </c>
      <c r="AR77" s="125">
        <f>IF($F$5=0,Valores!$C$101,(Valores!$C$101+$F$5*(Valores!$C$101)))</f>
        <v>-385</v>
      </c>
      <c r="AS77" s="125">
        <f t="shared" si="16"/>
        <v>129603.29409999998</v>
      </c>
      <c r="AT77" s="125">
        <f t="shared" si="10"/>
        <v>-13052.795799999998</v>
      </c>
      <c r="AU77" s="125">
        <f>AH77*Valores!$C$74</f>
        <v>-3203.8680599999993</v>
      </c>
      <c r="AV77" s="125">
        <f>AH77*Valores!$C$75</f>
        <v>-355.98533999999995</v>
      </c>
      <c r="AW77" s="125">
        <f t="shared" si="14"/>
        <v>132049.13079999998</v>
      </c>
      <c r="AX77" s="126"/>
      <c r="AY77" s="126"/>
      <c r="AZ77" s="123" t="s">
        <v>8</v>
      </c>
    </row>
    <row r="78" spans="1:52" s="110" customFormat="1" ht="11.25" customHeight="1">
      <c r="A78" s="123" t="s">
        <v>249</v>
      </c>
      <c r="B78" s="123">
        <v>1</v>
      </c>
      <c r="C78" s="126">
        <v>71</v>
      </c>
      <c r="D78" s="124" t="s">
        <v>250</v>
      </c>
      <c r="E78" s="192">
        <v>82</v>
      </c>
      <c r="F78" s="125">
        <f>ROUND(E78*Valores!$C$2,2)</f>
        <v>2223.94</v>
      </c>
      <c r="G78" s="192">
        <v>2038</v>
      </c>
      <c r="H78" s="125">
        <f>ROUND(G78*Valores!$C$2,2)</f>
        <v>55273.01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12004.41</v>
      </c>
      <c r="N78" s="125">
        <f t="shared" si="11"/>
        <v>0</v>
      </c>
      <c r="O78" s="125">
        <f>Valores!$C$9</f>
        <v>29939.09</v>
      </c>
      <c r="P78" s="125">
        <f>Valores!$D$5</f>
        <v>13864.36</v>
      </c>
      <c r="Q78" s="125">
        <f>Valores!$C$22</f>
        <v>12369.22</v>
      </c>
      <c r="R78" s="125">
        <f>IF($F$4="NO",Valores!$C$44,Valores!$C$44/2)</f>
        <v>9631.44</v>
      </c>
      <c r="S78" s="125">
        <f>Valores!$C$19</f>
        <v>12901.01</v>
      </c>
      <c r="T78" s="125">
        <f t="shared" si="17"/>
        <v>12901.01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Valores!$C$94</f>
        <v>6318.76</v>
      </c>
      <c r="AA78" s="125">
        <f>Valores!$C$25</f>
        <v>567.06</v>
      </c>
      <c r="AB78" s="214">
        <v>0</v>
      </c>
      <c r="AC78" s="125">
        <f t="shared" si="12"/>
        <v>0</v>
      </c>
      <c r="AD78" s="125">
        <f>Valores!$C$26</f>
        <v>567.06</v>
      </c>
      <c r="AE78" s="192">
        <v>0</v>
      </c>
      <c r="AF78" s="125">
        <f>ROUND(AE78*Valores!$C$2,2)</f>
        <v>0</v>
      </c>
      <c r="AG78" s="125">
        <f>ROUND(IF($F$4="NO",Valores!$C$63,Valores!$C$63/2),2)</f>
        <v>6482.98</v>
      </c>
      <c r="AH78" s="125">
        <f t="shared" si="15"/>
        <v>162142.34000000003</v>
      </c>
      <c r="AI78" s="125">
        <f>Valores!$C$31</f>
        <v>0</v>
      </c>
      <c r="AJ78" s="125">
        <f>Valores!$C$87</f>
        <v>0</v>
      </c>
      <c r="AK78" s="125">
        <f>Valores!C$38*B78</f>
        <v>30000</v>
      </c>
      <c r="AL78" s="125">
        <f>IF($F$3="NO",0,Valores!$C$56)</f>
        <v>170.34</v>
      </c>
      <c r="AM78" s="125">
        <f t="shared" si="13"/>
        <v>30170.34</v>
      </c>
      <c r="AN78" s="125">
        <f>AH78*Valores!$C$71</f>
        <v>-17835.657400000004</v>
      </c>
      <c r="AO78" s="125">
        <f>AH78*-Valores!$C$72</f>
        <v>0</v>
      </c>
      <c r="AP78" s="125">
        <f>AH78*Valores!$C$73</f>
        <v>-7296.405300000001</v>
      </c>
      <c r="AQ78" s="125">
        <f>Valores!$C$100</f>
        <v>-280.91</v>
      </c>
      <c r="AR78" s="125">
        <f>IF($F$5=0,Valores!$C$101,(Valores!$C$101+$F$5*(Valores!$C$101)))</f>
        <v>-385</v>
      </c>
      <c r="AS78" s="125">
        <f t="shared" si="16"/>
        <v>166514.7073</v>
      </c>
      <c r="AT78" s="125">
        <f t="shared" si="10"/>
        <v>-17835.657400000004</v>
      </c>
      <c r="AU78" s="125">
        <f>AH78*Valores!$C$74</f>
        <v>-4377.843180000001</v>
      </c>
      <c r="AV78" s="125">
        <f>AH78*Valores!$C$75</f>
        <v>-486.4270200000001</v>
      </c>
      <c r="AW78" s="125">
        <f t="shared" si="14"/>
        <v>169612.75240000003</v>
      </c>
      <c r="AX78" s="126"/>
      <c r="AY78" s="126">
        <v>25</v>
      </c>
      <c r="AZ78" s="123" t="s">
        <v>4</v>
      </c>
    </row>
    <row r="79" spans="1:52" s="110" customFormat="1" ht="11.25" customHeight="1">
      <c r="A79" s="123" t="s">
        <v>251</v>
      </c>
      <c r="B79" s="123">
        <v>1</v>
      </c>
      <c r="C79" s="126">
        <v>72</v>
      </c>
      <c r="D79" s="124" t="s">
        <v>252</v>
      </c>
      <c r="E79" s="192">
        <v>78</v>
      </c>
      <c r="F79" s="125">
        <f>ROUND(E79*Valores!$C$2,2)</f>
        <v>2115.45</v>
      </c>
      <c r="G79" s="192">
        <v>2072</v>
      </c>
      <c r="H79" s="125">
        <f>ROUND(G79*Valores!$C$2,2)</f>
        <v>56195.13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12207.22</v>
      </c>
      <c r="N79" s="125">
        <f t="shared" si="11"/>
        <v>0</v>
      </c>
      <c r="O79" s="125">
        <f>Valores!$C$9</f>
        <v>29939.09</v>
      </c>
      <c r="P79" s="125">
        <f>Valores!$D$5</f>
        <v>13864.36</v>
      </c>
      <c r="Q79" s="125">
        <f>Valores!$C$22</f>
        <v>12369.22</v>
      </c>
      <c r="R79" s="125">
        <f>IF($F$4="NO",Valores!$C$45,Valores!$C$45/2)</f>
        <v>10169.9</v>
      </c>
      <c r="S79" s="125">
        <f>Valores!$C$19</f>
        <v>12901.01</v>
      </c>
      <c r="T79" s="125">
        <f t="shared" si="17"/>
        <v>12901.01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Valores!$C$95</f>
        <v>7582.51</v>
      </c>
      <c r="AA79" s="125">
        <f>Valores!$C$25</f>
        <v>567.06</v>
      </c>
      <c r="AB79" s="214">
        <v>0</v>
      </c>
      <c r="AC79" s="125">
        <f t="shared" si="12"/>
        <v>0</v>
      </c>
      <c r="AD79" s="125">
        <f>Valores!$C$26</f>
        <v>567.06</v>
      </c>
      <c r="AE79" s="192">
        <v>0</v>
      </c>
      <c r="AF79" s="125">
        <f>ROUND(AE79*Valores!$C$2,2)</f>
        <v>0</v>
      </c>
      <c r="AG79" s="125">
        <f>ROUND(IF($F$4="NO",Valores!$C$63,Valores!$C$63/2),2)</f>
        <v>6482.98</v>
      </c>
      <c r="AH79" s="125">
        <f t="shared" si="15"/>
        <v>164960.99000000002</v>
      </c>
      <c r="AI79" s="125">
        <f>Valores!$C$31</f>
        <v>0</v>
      </c>
      <c r="AJ79" s="125">
        <f>Valores!$C$88</f>
        <v>0</v>
      </c>
      <c r="AK79" s="125">
        <f>Valores!C$38*B79</f>
        <v>30000</v>
      </c>
      <c r="AL79" s="125">
        <f>IF($F$3="NO",0,Valores!$C$56)</f>
        <v>170.34</v>
      </c>
      <c r="AM79" s="125">
        <f t="shared" si="13"/>
        <v>30170.34</v>
      </c>
      <c r="AN79" s="125">
        <f>AH79*Valores!$C$71</f>
        <v>-18145.7089</v>
      </c>
      <c r="AO79" s="125">
        <f>AH79*-Valores!$C$72</f>
        <v>0</v>
      </c>
      <c r="AP79" s="125">
        <f>AH79*Valores!$C$73</f>
        <v>-7423.24455</v>
      </c>
      <c r="AQ79" s="125">
        <f>Valores!$C$100</f>
        <v>-280.91</v>
      </c>
      <c r="AR79" s="125">
        <f>IF($F$5=0,Valores!$C$101,(Valores!$C$101+$F$5*(Valores!$C$101)))</f>
        <v>-385</v>
      </c>
      <c r="AS79" s="125">
        <f t="shared" si="16"/>
        <v>168896.46655</v>
      </c>
      <c r="AT79" s="125">
        <f t="shared" si="10"/>
        <v>-18145.7089</v>
      </c>
      <c r="AU79" s="125">
        <f>AH79*Valores!$C$74</f>
        <v>-4453.946730000001</v>
      </c>
      <c r="AV79" s="125">
        <f>AH79*Valores!$C$75</f>
        <v>-494.88297000000006</v>
      </c>
      <c r="AW79" s="125">
        <f t="shared" si="14"/>
        <v>172036.79140000002</v>
      </c>
      <c r="AX79" s="126"/>
      <c r="AY79" s="126">
        <v>30</v>
      </c>
      <c r="AZ79" s="123" t="s">
        <v>4</v>
      </c>
    </row>
    <row r="80" spans="1:52" s="110" customFormat="1" ht="11.25" customHeight="1">
      <c r="A80" s="123" t="s">
        <v>253</v>
      </c>
      <c r="B80" s="123">
        <v>1</v>
      </c>
      <c r="C80" s="126">
        <v>73</v>
      </c>
      <c r="D80" s="124" t="s">
        <v>254</v>
      </c>
      <c r="E80" s="192">
        <v>78</v>
      </c>
      <c r="F80" s="125">
        <f>ROUND(E80*Valores!$C$2,2)</f>
        <v>2115.45</v>
      </c>
      <c r="G80" s="192">
        <v>1770</v>
      </c>
      <c r="H80" s="125">
        <f>ROUND(G80*Valores!$C$2,2)</f>
        <v>48004.52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10978.63</v>
      </c>
      <c r="N80" s="125">
        <f t="shared" si="11"/>
        <v>0</v>
      </c>
      <c r="O80" s="125">
        <f>Valores!$C$9</f>
        <v>29939.09</v>
      </c>
      <c r="P80" s="125">
        <f>Valores!$D$5</f>
        <v>13864.36</v>
      </c>
      <c r="Q80" s="125">
        <f>Valores!$C$22</f>
        <v>12369.22</v>
      </c>
      <c r="R80" s="125">
        <f>IF($F$4="NO",Valores!$C$45,Valores!$C$45/2)</f>
        <v>10169.9</v>
      </c>
      <c r="S80" s="125">
        <f>Valores!$C$19</f>
        <v>12901.01</v>
      </c>
      <c r="T80" s="125">
        <f t="shared" si="17"/>
        <v>12901.01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Valores!$C$95</f>
        <v>7582.51</v>
      </c>
      <c r="AA80" s="125">
        <f>Valores!$C$25</f>
        <v>567.06</v>
      </c>
      <c r="AB80" s="214">
        <v>0</v>
      </c>
      <c r="AC80" s="125">
        <f t="shared" si="12"/>
        <v>0</v>
      </c>
      <c r="AD80" s="125">
        <f>Valores!$C$26</f>
        <v>567.06</v>
      </c>
      <c r="AE80" s="192">
        <v>0</v>
      </c>
      <c r="AF80" s="125">
        <f>ROUND(AE80*Valores!$C$2,2)</f>
        <v>0</v>
      </c>
      <c r="AG80" s="125">
        <f>ROUND(IF($F$4="NO",Valores!$C$63,Valores!$C$63/2),2)</f>
        <v>6482.98</v>
      </c>
      <c r="AH80" s="125">
        <f t="shared" si="15"/>
        <v>155541.79</v>
      </c>
      <c r="AI80" s="125">
        <f>Valores!$C$31</f>
        <v>0</v>
      </c>
      <c r="AJ80" s="125">
        <f>Valores!$C$88</f>
        <v>0</v>
      </c>
      <c r="AK80" s="125">
        <f>Valores!C$38*B80</f>
        <v>30000</v>
      </c>
      <c r="AL80" s="125">
        <f>IF($F$3="NO",0,Valores!$C$56)</f>
        <v>170.34</v>
      </c>
      <c r="AM80" s="125">
        <f t="shared" si="13"/>
        <v>30170.34</v>
      </c>
      <c r="AN80" s="125">
        <f>AH80*Valores!$C$71</f>
        <v>-17109.5969</v>
      </c>
      <c r="AO80" s="125">
        <f>AH80*-Valores!$C$72</f>
        <v>0</v>
      </c>
      <c r="AP80" s="125">
        <f>AH80*Valores!$C$73</f>
        <v>-6999.38055</v>
      </c>
      <c r="AQ80" s="125">
        <f>Valores!$C$100</f>
        <v>-280.91</v>
      </c>
      <c r="AR80" s="125">
        <f>IF($F$5=0,Valores!$C$101,(Valores!$C$101+$F$5*(Valores!$C$101)))</f>
        <v>-385</v>
      </c>
      <c r="AS80" s="125">
        <f t="shared" si="16"/>
        <v>160937.24255</v>
      </c>
      <c r="AT80" s="125">
        <f t="shared" si="10"/>
        <v>-17109.5969</v>
      </c>
      <c r="AU80" s="125">
        <f>AH80*Valores!$C$74</f>
        <v>-4199.6283300000005</v>
      </c>
      <c r="AV80" s="125">
        <f>AH80*Valores!$C$75</f>
        <v>-466.62537000000003</v>
      </c>
      <c r="AW80" s="125">
        <f t="shared" si="14"/>
        <v>163936.2794</v>
      </c>
      <c r="AX80" s="126"/>
      <c r="AY80" s="126"/>
      <c r="AZ80" s="123" t="s">
        <v>4</v>
      </c>
    </row>
    <row r="81" spans="1:52" s="110" customFormat="1" ht="11.25" customHeight="1">
      <c r="A81" s="123" t="s">
        <v>255</v>
      </c>
      <c r="B81" s="123">
        <v>1</v>
      </c>
      <c r="C81" s="126">
        <v>74</v>
      </c>
      <c r="D81" s="124" t="s">
        <v>256</v>
      </c>
      <c r="E81" s="192">
        <v>77</v>
      </c>
      <c r="F81" s="125">
        <f>ROUND(E81*Valores!$C$2,2)</f>
        <v>2088.33</v>
      </c>
      <c r="G81" s="192">
        <v>2073</v>
      </c>
      <c r="H81" s="125">
        <f>ROUND(G81*Valores!$C$2,2)</f>
        <v>56222.25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12207.22</v>
      </c>
      <c r="N81" s="125">
        <f t="shared" si="11"/>
        <v>0</v>
      </c>
      <c r="O81" s="125">
        <f>Valores!$C$9</f>
        <v>29939.09</v>
      </c>
      <c r="P81" s="125">
        <f>Valores!$D$5</f>
        <v>13864.36</v>
      </c>
      <c r="Q81" s="125">
        <f>Valores!$C$22</f>
        <v>12369.22</v>
      </c>
      <c r="R81" s="125">
        <f>IF($F$4="NO",Valores!$C$45,Valores!$C$45/2)</f>
        <v>10169.9</v>
      </c>
      <c r="S81" s="125">
        <f>Valores!$C$19</f>
        <v>12901.01</v>
      </c>
      <c r="T81" s="125">
        <f t="shared" si="17"/>
        <v>12901.01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Valores!$C$95</f>
        <v>7582.51</v>
      </c>
      <c r="AA81" s="125">
        <f>Valores!$C$25</f>
        <v>567.06</v>
      </c>
      <c r="AB81" s="214">
        <v>0</v>
      </c>
      <c r="AC81" s="125">
        <f t="shared" si="12"/>
        <v>0</v>
      </c>
      <c r="AD81" s="125">
        <f>Valores!$C$26</f>
        <v>567.06</v>
      </c>
      <c r="AE81" s="192">
        <v>0</v>
      </c>
      <c r="AF81" s="125">
        <f>ROUND(AE81*Valores!$C$2,2)</f>
        <v>0</v>
      </c>
      <c r="AG81" s="125">
        <f>ROUND(IF($F$4="NO",Valores!$C$63,Valores!$C$63/2),2)</f>
        <v>6482.98</v>
      </c>
      <c r="AH81" s="125">
        <f t="shared" si="15"/>
        <v>164960.99000000002</v>
      </c>
      <c r="AI81" s="125">
        <f>Valores!$C$31</f>
        <v>0</v>
      </c>
      <c r="AJ81" s="125">
        <f>Valores!$C$88</f>
        <v>0</v>
      </c>
      <c r="AK81" s="125">
        <f>Valores!C$38*B81</f>
        <v>30000</v>
      </c>
      <c r="AL81" s="125">
        <f>IF($F$3="NO",0,Valores!$C$56)</f>
        <v>170.34</v>
      </c>
      <c r="AM81" s="125">
        <f t="shared" si="13"/>
        <v>30170.34</v>
      </c>
      <c r="AN81" s="125">
        <f>AH81*Valores!$C$71</f>
        <v>-18145.7089</v>
      </c>
      <c r="AO81" s="125">
        <f>AH81*-Valores!$C$72</f>
        <v>0</v>
      </c>
      <c r="AP81" s="125">
        <f>AH81*Valores!$C$73</f>
        <v>-7423.24455</v>
      </c>
      <c r="AQ81" s="125">
        <f>Valores!$C$100</f>
        <v>-280.91</v>
      </c>
      <c r="AR81" s="125">
        <f>IF($F$5=0,Valores!$C$101,(Valores!$C$101+$F$5*(Valores!$C$101)))</f>
        <v>-385</v>
      </c>
      <c r="AS81" s="125">
        <f t="shared" si="16"/>
        <v>168896.46655</v>
      </c>
      <c r="AT81" s="125">
        <f t="shared" si="10"/>
        <v>-18145.7089</v>
      </c>
      <c r="AU81" s="125">
        <f>AH81*Valores!$C$74</f>
        <v>-4453.946730000001</v>
      </c>
      <c r="AV81" s="125">
        <f>AH81*Valores!$C$75</f>
        <v>-494.88297000000006</v>
      </c>
      <c r="AW81" s="125">
        <f t="shared" si="14"/>
        <v>172036.79140000002</v>
      </c>
      <c r="AX81" s="126"/>
      <c r="AY81" s="126">
        <v>25</v>
      </c>
      <c r="AZ81" s="123" t="s">
        <v>8</v>
      </c>
    </row>
    <row r="82" spans="1:52" s="110" customFormat="1" ht="11.25" customHeight="1">
      <c r="A82" s="123" t="s">
        <v>257</v>
      </c>
      <c r="B82" s="123">
        <v>1</v>
      </c>
      <c r="C82" s="126">
        <v>75</v>
      </c>
      <c r="D82" s="124" t="s">
        <v>258</v>
      </c>
      <c r="E82" s="192">
        <v>76</v>
      </c>
      <c r="F82" s="125">
        <f>ROUND(E82*Valores!$C$2,2)</f>
        <v>2061.21</v>
      </c>
      <c r="G82" s="192">
        <v>1872</v>
      </c>
      <c r="H82" s="125">
        <f>ROUND(G82*Valores!$C$2,2)</f>
        <v>50770.89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11385.45</v>
      </c>
      <c r="N82" s="125">
        <f t="shared" si="11"/>
        <v>0</v>
      </c>
      <c r="O82" s="125">
        <f>Valores!$C$9</f>
        <v>29939.09</v>
      </c>
      <c r="P82" s="125">
        <f>Valores!$D$5</f>
        <v>13864.36</v>
      </c>
      <c r="Q82" s="125">
        <v>0</v>
      </c>
      <c r="R82" s="125">
        <f>IF($F$4="NO",Valores!$C$45,Valores!$C$45/2)</f>
        <v>10169.9</v>
      </c>
      <c r="S82" s="125">
        <f>Valores!$C$19</f>
        <v>12901.01</v>
      </c>
      <c r="T82" s="125">
        <f t="shared" si="17"/>
        <v>12901.01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Valores!$C$95</f>
        <v>7582.51</v>
      </c>
      <c r="AA82" s="125">
        <f>Valores!$C$25</f>
        <v>567.06</v>
      </c>
      <c r="AB82" s="214">
        <v>0</v>
      </c>
      <c r="AC82" s="125">
        <f t="shared" si="12"/>
        <v>0</v>
      </c>
      <c r="AD82" s="125">
        <f>Valores!$C$26</f>
        <v>567.06</v>
      </c>
      <c r="AE82" s="192">
        <v>0</v>
      </c>
      <c r="AF82" s="125">
        <f>ROUND(AE82*Valores!$C$2,2)</f>
        <v>0</v>
      </c>
      <c r="AG82" s="125">
        <f>ROUND(IF($F$4="NO",Valores!$C$63,Valores!$C$63/2),2)</f>
        <v>6482.98</v>
      </c>
      <c r="AH82" s="125">
        <f t="shared" si="15"/>
        <v>146291.52000000002</v>
      </c>
      <c r="AI82" s="125">
        <f>Valores!$C$31</f>
        <v>0</v>
      </c>
      <c r="AJ82" s="125">
        <f>Valores!$C$88</f>
        <v>0</v>
      </c>
      <c r="AK82" s="125">
        <f>Valores!C$38*B82</f>
        <v>30000</v>
      </c>
      <c r="AL82" s="125">
        <f>IF($F$3="NO",0,Valores!$C$56)</f>
        <v>170.34</v>
      </c>
      <c r="AM82" s="125">
        <f t="shared" si="13"/>
        <v>30170.34</v>
      </c>
      <c r="AN82" s="125">
        <f>AH82*Valores!$C$71</f>
        <v>-16092.067200000001</v>
      </c>
      <c r="AO82" s="125">
        <f>AH82*-Valores!$C$72</f>
        <v>0</v>
      </c>
      <c r="AP82" s="125">
        <f>AH82*Valores!$C$73</f>
        <v>-6583.1184</v>
      </c>
      <c r="AQ82" s="125">
        <f>Valores!$C$100</f>
        <v>-280.91</v>
      </c>
      <c r="AR82" s="125">
        <f>IF($F$5=0,Valores!$C$101,(Valores!$C$101+$F$5*(Valores!$C$101)))</f>
        <v>-385</v>
      </c>
      <c r="AS82" s="125">
        <f t="shared" si="16"/>
        <v>153120.76440000001</v>
      </c>
      <c r="AT82" s="125">
        <f t="shared" si="10"/>
        <v>-16092.067200000001</v>
      </c>
      <c r="AU82" s="125">
        <f>AH82*Valores!$C$74</f>
        <v>-3949.8710400000004</v>
      </c>
      <c r="AV82" s="125">
        <f>AH82*Valores!$C$75</f>
        <v>-438.8745600000001</v>
      </c>
      <c r="AW82" s="125">
        <f t="shared" si="14"/>
        <v>155981.0472</v>
      </c>
      <c r="AX82" s="126"/>
      <c r="AY82" s="126">
        <v>30</v>
      </c>
      <c r="AZ82" s="123" t="s">
        <v>8</v>
      </c>
    </row>
    <row r="83" spans="1:52" s="110" customFormat="1" ht="11.25" customHeight="1">
      <c r="A83" s="123" t="s">
        <v>259</v>
      </c>
      <c r="B83" s="123">
        <v>1</v>
      </c>
      <c r="C83" s="126">
        <v>76</v>
      </c>
      <c r="D83" s="124" t="s">
        <v>260</v>
      </c>
      <c r="E83" s="192">
        <v>75</v>
      </c>
      <c r="F83" s="125">
        <f>ROUND(E83*Valores!$C$2,2)</f>
        <v>2034.09</v>
      </c>
      <c r="G83" s="192">
        <v>1873</v>
      </c>
      <c r="H83" s="125">
        <f>ROUND(G83*Valores!$C$2,2)</f>
        <v>50798.01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11385.45</v>
      </c>
      <c r="N83" s="125">
        <f t="shared" si="11"/>
        <v>0</v>
      </c>
      <c r="O83" s="125">
        <f>Valores!$C$9</f>
        <v>29939.09</v>
      </c>
      <c r="P83" s="125">
        <f>Valores!$D$5</f>
        <v>13864.36</v>
      </c>
      <c r="Q83" s="125">
        <f>Valores!$C$22</f>
        <v>12369.22</v>
      </c>
      <c r="R83" s="125">
        <f>IF($F$4="NO",Valores!$C$45,Valores!$C$45/2)</f>
        <v>10169.9</v>
      </c>
      <c r="S83" s="125">
        <f>Valores!$C$19</f>
        <v>12901.01</v>
      </c>
      <c r="T83" s="125">
        <f t="shared" si="17"/>
        <v>12901.01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Valores!$C$95</f>
        <v>7582.51</v>
      </c>
      <c r="AA83" s="125">
        <f>Valores!$C$25</f>
        <v>567.06</v>
      </c>
      <c r="AB83" s="214">
        <v>0</v>
      </c>
      <c r="AC83" s="125">
        <f t="shared" si="12"/>
        <v>0</v>
      </c>
      <c r="AD83" s="125">
        <f>Valores!$C$26</f>
        <v>567.06</v>
      </c>
      <c r="AE83" s="192">
        <v>0</v>
      </c>
      <c r="AF83" s="125">
        <f>ROUND(AE83*Valores!$C$2,2)</f>
        <v>0</v>
      </c>
      <c r="AG83" s="125">
        <f>ROUND(IF($F$4="NO",Valores!$C$63,Valores!$C$63/2),2)</f>
        <v>6482.98</v>
      </c>
      <c r="AH83" s="125">
        <f t="shared" si="15"/>
        <v>158660.74000000002</v>
      </c>
      <c r="AI83" s="125">
        <f>Valores!$C$31</f>
        <v>0</v>
      </c>
      <c r="AJ83" s="125">
        <f>Valores!$C$88</f>
        <v>0</v>
      </c>
      <c r="AK83" s="125">
        <f>Valores!C$38*B83</f>
        <v>30000</v>
      </c>
      <c r="AL83" s="125">
        <f>IF($F$3="NO",0,Valores!$C$56)</f>
        <v>170.34</v>
      </c>
      <c r="AM83" s="125">
        <f t="shared" si="13"/>
        <v>30170.34</v>
      </c>
      <c r="AN83" s="125">
        <f>AH83*Valores!$C$71</f>
        <v>-17452.6814</v>
      </c>
      <c r="AO83" s="125">
        <f>AH83*-Valores!$C$72</f>
        <v>0</v>
      </c>
      <c r="AP83" s="125">
        <f>AH83*Valores!$C$73</f>
        <v>-7139.733300000001</v>
      </c>
      <c r="AQ83" s="125">
        <f>Valores!$C$100</f>
        <v>-280.91</v>
      </c>
      <c r="AR83" s="125">
        <f>IF($F$5=0,Valores!$C$101,(Valores!$C$101+$F$5*(Valores!$C$101)))</f>
        <v>-385</v>
      </c>
      <c r="AS83" s="125">
        <f t="shared" si="16"/>
        <v>163572.75530000002</v>
      </c>
      <c r="AT83" s="125">
        <f t="shared" si="10"/>
        <v>-17452.6814</v>
      </c>
      <c r="AU83" s="125">
        <f>AH83*Valores!$C$74</f>
        <v>-4283.839980000001</v>
      </c>
      <c r="AV83" s="125">
        <f>AH83*Valores!$C$75</f>
        <v>-475.9822200000001</v>
      </c>
      <c r="AW83" s="125">
        <f t="shared" si="14"/>
        <v>166618.57640000002</v>
      </c>
      <c r="AX83" s="126"/>
      <c r="AY83" s="126">
        <v>25</v>
      </c>
      <c r="AZ83" s="123" t="s">
        <v>4</v>
      </c>
    </row>
    <row r="84" spans="1:52" s="110" customFormat="1" ht="11.25" customHeight="1">
      <c r="A84" s="123" t="s">
        <v>261</v>
      </c>
      <c r="B84" s="123">
        <v>1</v>
      </c>
      <c r="C84" s="126">
        <v>77</v>
      </c>
      <c r="D84" s="124" t="s">
        <v>262</v>
      </c>
      <c r="E84" s="192">
        <v>76</v>
      </c>
      <c r="F84" s="125">
        <f>ROUND(E84*Valores!$C$2,2)</f>
        <v>2061.21</v>
      </c>
      <c r="G84" s="192">
        <v>1752</v>
      </c>
      <c r="H84" s="125">
        <f>ROUND(G84*Valores!$C$2,2)</f>
        <v>47516.34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10816.5</v>
      </c>
      <c r="N84" s="125">
        <f t="shared" si="11"/>
        <v>0</v>
      </c>
      <c r="O84" s="125">
        <f>Valores!$C$8</f>
        <v>29851.25</v>
      </c>
      <c r="P84" s="125">
        <f>Valores!$D$5</f>
        <v>13864.36</v>
      </c>
      <c r="Q84" s="125">
        <f>Valores!$C$22</f>
        <v>12369.22</v>
      </c>
      <c r="R84" s="125">
        <f>IF($F$4="NO",Valores!$C$44,Valores!$C$44/2)</f>
        <v>9631.44</v>
      </c>
      <c r="S84" s="125">
        <f>Valores!$C$19</f>
        <v>12901.01</v>
      </c>
      <c r="T84" s="125">
        <f t="shared" si="17"/>
        <v>12901.01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Valores!$C$94</f>
        <v>6318.76</v>
      </c>
      <c r="AA84" s="125">
        <f>Valores!$C$25</f>
        <v>567.06</v>
      </c>
      <c r="AB84" s="214">
        <v>0</v>
      </c>
      <c r="AC84" s="125">
        <f t="shared" si="12"/>
        <v>0</v>
      </c>
      <c r="AD84" s="125">
        <f>Valores!$C$26</f>
        <v>567.06</v>
      </c>
      <c r="AE84" s="192">
        <v>0</v>
      </c>
      <c r="AF84" s="125">
        <f>ROUND(AE84*Valores!$C$2,2)</f>
        <v>0</v>
      </c>
      <c r="AG84" s="125">
        <f>ROUND(IF($F$4="NO",Valores!$C$63,Valores!$C$63/2),2)</f>
        <v>6482.98</v>
      </c>
      <c r="AH84" s="125">
        <f t="shared" si="15"/>
        <v>152947.19</v>
      </c>
      <c r="AI84" s="125">
        <f>Valores!$C$31</f>
        <v>0</v>
      </c>
      <c r="AJ84" s="125">
        <f>Valores!$C$87</f>
        <v>0</v>
      </c>
      <c r="AK84" s="125">
        <f>Valores!C$38*B84</f>
        <v>30000</v>
      </c>
      <c r="AL84" s="125">
        <f>IF($F$3="NO",0,Valores!$C$56)</f>
        <v>170.34</v>
      </c>
      <c r="AM84" s="125">
        <f t="shared" si="13"/>
        <v>30170.34</v>
      </c>
      <c r="AN84" s="125">
        <f>AH84*Valores!$C$71</f>
        <v>-16824.1909</v>
      </c>
      <c r="AO84" s="125">
        <f>AH84*-Valores!$C$72</f>
        <v>0</v>
      </c>
      <c r="AP84" s="125">
        <f>AH84*Valores!$C$73</f>
        <v>-6882.62355</v>
      </c>
      <c r="AQ84" s="125">
        <f>Valores!$C$100</f>
        <v>-280.91</v>
      </c>
      <c r="AR84" s="125">
        <f>IF($F$5=0,Valores!$C$101,(Valores!$C$101+$F$5*(Valores!$C$101)))</f>
        <v>-385</v>
      </c>
      <c r="AS84" s="125">
        <f t="shared" si="16"/>
        <v>158744.80555</v>
      </c>
      <c r="AT84" s="125">
        <f t="shared" si="10"/>
        <v>-16824.1909</v>
      </c>
      <c r="AU84" s="125">
        <f>AH84*Valores!$C$74</f>
        <v>-4129.57413</v>
      </c>
      <c r="AV84" s="125">
        <f>AH84*Valores!$C$75</f>
        <v>-458.84157</v>
      </c>
      <c r="AW84" s="125">
        <f t="shared" si="14"/>
        <v>161704.9234</v>
      </c>
      <c r="AX84" s="126"/>
      <c r="AY84" s="126">
        <v>25</v>
      </c>
      <c r="AZ84" s="123" t="s">
        <v>8</v>
      </c>
    </row>
    <row r="85" spans="1:52" s="110" customFormat="1" ht="11.25" customHeight="1">
      <c r="A85" s="123" t="s">
        <v>263</v>
      </c>
      <c r="B85" s="123">
        <v>1</v>
      </c>
      <c r="C85" s="126">
        <v>78</v>
      </c>
      <c r="D85" s="124" t="s">
        <v>264</v>
      </c>
      <c r="E85" s="192">
        <v>78</v>
      </c>
      <c r="F85" s="125">
        <f>ROUND(E85*Valores!$C$2,2)</f>
        <v>2115.45</v>
      </c>
      <c r="G85" s="192">
        <v>1770</v>
      </c>
      <c r="H85" s="125">
        <f>ROUND(G85*Valores!$C$2,2)</f>
        <v>48004.52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10816.46</v>
      </c>
      <c r="N85" s="125">
        <f t="shared" si="11"/>
        <v>0</v>
      </c>
      <c r="O85" s="125">
        <f>Valores!$C$10</f>
        <v>25683.22</v>
      </c>
      <c r="P85" s="125">
        <f>Valores!$D$5</f>
        <v>13864.36</v>
      </c>
      <c r="Q85" s="125">
        <f>Valores!$C$22</f>
        <v>12369.22</v>
      </c>
      <c r="R85" s="125">
        <f>IF($F$4="NO",Valores!$C$43,Valores!$C$43/2)</f>
        <v>9088.77</v>
      </c>
      <c r="S85" s="125">
        <f>Valores!$C$19</f>
        <v>12901.01</v>
      </c>
      <c r="T85" s="125">
        <f t="shared" si="17"/>
        <v>12901.01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Valores!$C$94</f>
        <v>6318.76</v>
      </c>
      <c r="AA85" s="125">
        <f>Valores!$C$25</f>
        <v>567.06</v>
      </c>
      <c r="AB85" s="214">
        <v>0</v>
      </c>
      <c r="AC85" s="125">
        <f t="shared" si="12"/>
        <v>0</v>
      </c>
      <c r="AD85" s="125">
        <f>Valores!$C$26</f>
        <v>567.06</v>
      </c>
      <c r="AE85" s="192">
        <v>0</v>
      </c>
      <c r="AF85" s="125">
        <f>ROUND(AE85*Valores!$C$2,2)</f>
        <v>0</v>
      </c>
      <c r="AG85" s="125">
        <f>ROUND(IF($F$4="NO",Valores!$C$63,Valores!$C$63/2),2)</f>
        <v>6482.98</v>
      </c>
      <c r="AH85" s="125">
        <f t="shared" si="15"/>
        <v>148778.87000000002</v>
      </c>
      <c r="AI85" s="125">
        <f>Valores!$C$31</f>
        <v>0</v>
      </c>
      <c r="AJ85" s="125">
        <f>Valores!$C$87</f>
        <v>0</v>
      </c>
      <c r="AK85" s="125">
        <f>Valores!C$38*B85</f>
        <v>30000</v>
      </c>
      <c r="AL85" s="125">
        <f>IF($F$3="NO",0,Valores!$C$56)</f>
        <v>170.34</v>
      </c>
      <c r="AM85" s="125">
        <f t="shared" si="13"/>
        <v>30170.34</v>
      </c>
      <c r="AN85" s="125">
        <f>AH85*Valores!$C$71</f>
        <v>-16365.675700000003</v>
      </c>
      <c r="AO85" s="125">
        <f>AH85*-Valores!$C$72</f>
        <v>0</v>
      </c>
      <c r="AP85" s="125">
        <f>AH85*Valores!$C$73</f>
        <v>-6695.049150000001</v>
      </c>
      <c r="AQ85" s="125">
        <f>Valores!$C$100</f>
        <v>-280.91</v>
      </c>
      <c r="AR85" s="125">
        <f>IF($F$5=0,Valores!$C$101,(Valores!$C$101+$F$5*(Valores!$C$101)))</f>
        <v>-385</v>
      </c>
      <c r="AS85" s="125">
        <f t="shared" si="16"/>
        <v>155222.57515000002</v>
      </c>
      <c r="AT85" s="125">
        <f t="shared" si="10"/>
        <v>-16365.675700000003</v>
      </c>
      <c r="AU85" s="125">
        <f>AH85*Valores!$C$74</f>
        <v>-4017.029490000001</v>
      </c>
      <c r="AV85" s="125">
        <f>AH85*Valores!$C$75</f>
        <v>-446.33661000000006</v>
      </c>
      <c r="AW85" s="125">
        <f t="shared" si="14"/>
        <v>158120.16820000001</v>
      </c>
      <c r="AX85" s="126"/>
      <c r="AY85" s="126">
        <v>27</v>
      </c>
      <c r="AZ85" s="123" t="s">
        <v>4</v>
      </c>
    </row>
    <row r="86" spans="1:52" s="110" customFormat="1" ht="11.25" customHeight="1">
      <c r="A86" s="123" t="s">
        <v>265</v>
      </c>
      <c r="B86" s="123">
        <v>1</v>
      </c>
      <c r="C86" s="126">
        <v>79</v>
      </c>
      <c r="D86" s="124" t="s">
        <v>266</v>
      </c>
      <c r="E86" s="192">
        <v>76</v>
      </c>
      <c r="F86" s="125">
        <f>ROUND(E86*Valores!$C$2,2)</f>
        <v>2061.21</v>
      </c>
      <c r="G86" s="192">
        <v>1872</v>
      </c>
      <c r="H86" s="125">
        <f>ROUND(G86*Valores!$C$2,2)</f>
        <v>50770.89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11223.28</v>
      </c>
      <c r="N86" s="125">
        <f t="shared" si="11"/>
        <v>0</v>
      </c>
      <c r="O86" s="125">
        <f>Valores!$C$10</f>
        <v>25683.22</v>
      </c>
      <c r="P86" s="125">
        <f>Valores!$D$5</f>
        <v>13864.36</v>
      </c>
      <c r="Q86" s="125">
        <v>0</v>
      </c>
      <c r="R86" s="125">
        <f>IF($F$4="NO",Valores!$C$43,Valores!$C$43/2)</f>
        <v>9088.77</v>
      </c>
      <c r="S86" s="125">
        <f>Valores!$C$19</f>
        <v>12901.01</v>
      </c>
      <c r="T86" s="125">
        <f t="shared" si="17"/>
        <v>12901.01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Valores!$C$94</f>
        <v>6318.76</v>
      </c>
      <c r="AA86" s="125">
        <f>Valores!$C$25</f>
        <v>567.06</v>
      </c>
      <c r="AB86" s="214">
        <v>0</v>
      </c>
      <c r="AC86" s="125">
        <f t="shared" si="12"/>
        <v>0</v>
      </c>
      <c r="AD86" s="125">
        <f>Valores!$C$26</f>
        <v>567.06</v>
      </c>
      <c r="AE86" s="192">
        <v>0</v>
      </c>
      <c r="AF86" s="125">
        <f>ROUND(AE86*Valores!$C$2,2)</f>
        <v>0</v>
      </c>
      <c r="AG86" s="125">
        <f>ROUND(IF($F$4="NO",Valores!$C$63,Valores!$C$63/2),2)</f>
        <v>6482.98</v>
      </c>
      <c r="AH86" s="125">
        <f t="shared" si="15"/>
        <v>139528.6</v>
      </c>
      <c r="AI86" s="125">
        <f>Valores!$C$31</f>
        <v>0</v>
      </c>
      <c r="AJ86" s="125">
        <f>Valores!$C$87</f>
        <v>0</v>
      </c>
      <c r="AK86" s="125">
        <f>Valores!C$38*B86</f>
        <v>30000</v>
      </c>
      <c r="AL86" s="125">
        <f>IF($F$3="NO",0,Valores!$C$56)</f>
        <v>170.34</v>
      </c>
      <c r="AM86" s="125">
        <f t="shared" si="13"/>
        <v>30170.34</v>
      </c>
      <c r="AN86" s="125">
        <f>AH86*Valores!$C$71</f>
        <v>-15348.146</v>
      </c>
      <c r="AO86" s="125">
        <f>AH86*-Valores!$C$72</f>
        <v>0</v>
      </c>
      <c r="AP86" s="125">
        <f>AH86*Valores!$C$73</f>
        <v>-6278.787</v>
      </c>
      <c r="AQ86" s="125">
        <f>Valores!$C$100</f>
        <v>-280.91</v>
      </c>
      <c r="AR86" s="125">
        <f>IF($F$5=0,Valores!$C$101,(Valores!$C$101+$F$5*(Valores!$C$101)))</f>
        <v>-385</v>
      </c>
      <c r="AS86" s="125">
        <f t="shared" si="16"/>
        <v>147406.097</v>
      </c>
      <c r="AT86" s="125">
        <f t="shared" si="10"/>
        <v>-15348.146</v>
      </c>
      <c r="AU86" s="125">
        <f>AH86*Valores!$C$74</f>
        <v>-3767.2722000000003</v>
      </c>
      <c r="AV86" s="125">
        <f>AH86*Valores!$C$75</f>
        <v>-418.5858</v>
      </c>
      <c r="AW86" s="125">
        <f t="shared" si="14"/>
        <v>150164.936</v>
      </c>
      <c r="AX86" s="126"/>
      <c r="AY86" s="126">
        <v>27</v>
      </c>
      <c r="AZ86" s="123" t="s">
        <v>4</v>
      </c>
    </row>
    <row r="87" spans="1:52" s="110" customFormat="1" ht="11.25" customHeight="1">
      <c r="A87" s="123" t="s">
        <v>267</v>
      </c>
      <c r="B87" s="123">
        <v>1</v>
      </c>
      <c r="C87" s="126">
        <v>80</v>
      </c>
      <c r="D87" s="124" t="s">
        <v>268</v>
      </c>
      <c r="E87" s="192">
        <v>169</v>
      </c>
      <c r="F87" s="125">
        <f>ROUND(E87*Valores!$C$2,2)</f>
        <v>4583.48</v>
      </c>
      <c r="G87" s="192">
        <f>1997</f>
        <v>1997</v>
      </c>
      <c r="H87" s="125">
        <f>ROUND(G87*Valores!$C$2,2)</f>
        <v>54161.04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12191.55</v>
      </c>
      <c r="N87" s="125">
        <f t="shared" si="11"/>
        <v>0</v>
      </c>
      <c r="O87" s="125">
        <f>Valores!$C$9</f>
        <v>29939.09</v>
      </c>
      <c r="P87" s="125">
        <f>Valores!$D$5</f>
        <v>13864.36</v>
      </c>
      <c r="Q87" s="125">
        <f>Valores!$C$22</f>
        <v>12369.22</v>
      </c>
      <c r="R87" s="125">
        <f>IF($F$4="NO",Valores!$C$44,Valores!$C$44/2)</f>
        <v>9631.44</v>
      </c>
      <c r="S87" s="125">
        <f>Valores!$C$19</f>
        <v>12901.01</v>
      </c>
      <c r="T87" s="125">
        <f t="shared" si="17"/>
        <v>12901.01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Valores!$C$94</f>
        <v>6318.76</v>
      </c>
      <c r="AA87" s="125">
        <f>Valores!$C$25</f>
        <v>567.06</v>
      </c>
      <c r="AB87" s="214">
        <v>0</v>
      </c>
      <c r="AC87" s="125">
        <f t="shared" si="12"/>
        <v>0</v>
      </c>
      <c r="AD87" s="125">
        <f>Valores!$C$26</f>
        <v>567.06</v>
      </c>
      <c r="AE87" s="192">
        <v>0</v>
      </c>
      <c r="AF87" s="125">
        <f>ROUND(AE87*Valores!$C$2,2)</f>
        <v>0</v>
      </c>
      <c r="AG87" s="125">
        <f>ROUND(IF($F$4="NO",Valores!$C$63,Valores!$C$63/2),2)</f>
        <v>6482.98</v>
      </c>
      <c r="AH87" s="125">
        <f t="shared" si="15"/>
        <v>163577.05000000002</v>
      </c>
      <c r="AI87" s="125">
        <f>Valores!$C$31</f>
        <v>0</v>
      </c>
      <c r="AJ87" s="125">
        <f>Valores!$C$87</f>
        <v>0</v>
      </c>
      <c r="AK87" s="125">
        <f>Valores!C$38*B87</f>
        <v>30000</v>
      </c>
      <c r="AL87" s="125">
        <f>IF($F$3="NO",0,Valores!$C$56)</f>
        <v>170.34</v>
      </c>
      <c r="AM87" s="125">
        <f t="shared" si="13"/>
        <v>30170.34</v>
      </c>
      <c r="AN87" s="125">
        <f>AH87*Valores!$C$71</f>
        <v>-17993.4755</v>
      </c>
      <c r="AO87" s="125">
        <f>AH87*-Valores!$C$72</f>
        <v>0</v>
      </c>
      <c r="AP87" s="125">
        <f>AH87*Valores!$C$73</f>
        <v>-7360.967250000001</v>
      </c>
      <c r="AQ87" s="125">
        <f>Valores!$C$100</f>
        <v>-280.91</v>
      </c>
      <c r="AR87" s="125">
        <f>IF($F$5=0,Valores!$C$101,(Valores!$C$101+$F$5*(Valores!$C$101)))</f>
        <v>-385</v>
      </c>
      <c r="AS87" s="125">
        <f t="shared" si="16"/>
        <v>167727.03725000002</v>
      </c>
      <c r="AT87" s="125">
        <f t="shared" si="10"/>
        <v>-17993.4755</v>
      </c>
      <c r="AU87" s="125">
        <f>AH87*Valores!$C$74</f>
        <v>-4416.58035</v>
      </c>
      <c r="AV87" s="125">
        <f>AH87*Valores!$C$75</f>
        <v>-490.73115000000007</v>
      </c>
      <c r="AW87" s="125">
        <f t="shared" si="14"/>
        <v>170846.603</v>
      </c>
      <c r="AX87" s="126"/>
      <c r="AY87" s="126">
        <v>25</v>
      </c>
      <c r="AZ87" s="123" t="s">
        <v>8</v>
      </c>
    </row>
    <row r="88" spans="1:52" s="110" customFormat="1" ht="11.25" customHeight="1">
      <c r="A88" s="123" t="s">
        <v>269</v>
      </c>
      <c r="B88" s="123">
        <v>1</v>
      </c>
      <c r="C88" s="126">
        <v>81</v>
      </c>
      <c r="D88" s="124" t="s">
        <v>270</v>
      </c>
      <c r="E88" s="192">
        <v>218</v>
      </c>
      <c r="F88" s="125">
        <f>ROUND(E88*Valores!$C$2,2)</f>
        <v>5912.42</v>
      </c>
      <c r="G88" s="192">
        <f>1997</f>
        <v>1997</v>
      </c>
      <c r="H88" s="125">
        <f>ROUND(G88*Valores!$C$2,2)</f>
        <v>54161.04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12390.89</v>
      </c>
      <c r="N88" s="125">
        <f t="shared" si="11"/>
        <v>0</v>
      </c>
      <c r="O88" s="125">
        <f>Valores!$C$15</f>
        <v>35046.14</v>
      </c>
      <c r="P88" s="125">
        <f>Valores!$D$5</f>
        <v>13864.36</v>
      </c>
      <c r="Q88" s="125">
        <f>Valores!$C$22</f>
        <v>12369.22</v>
      </c>
      <c r="R88" s="125">
        <f>IF($F$4="NO",Valores!$C$44,Valores!$C$44/2)</f>
        <v>9631.44</v>
      </c>
      <c r="S88" s="125">
        <f>Valores!$C$19</f>
        <v>12901.01</v>
      </c>
      <c r="T88" s="125">
        <f t="shared" si="17"/>
        <v>12901.01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Valores!$C$94</f>
        <v>6318.76</v>
      </c>
      <c r="AA88" s="125">
        <f>Valores!$C$25</f>
        <v>567.06</v>
      </c>
      <c r="AB88" s="214">
        <v>0</v>
      </c>
      <c r="AC88" s="125">
        <f t="shared" si="12"/>
        <v>0</v>
      </c>
      <c r="AD88" s="125">
        <f>Valores!$C$26</f>
        <v>567.06</v>
      </c>
      <c r="AE88" s="192">
        <v>0</v>
      </c>
      <c r="AF88" s="125">
        <f>ROUND(AE88*Valores!$C$2,2)</f>
        <v>0</v>
      </c>
      <c r="AG88" s="125">
        <f>ROUND(IF($F$4="NO",Valores!$C$63,Valores!$C$63/2),2)</f>
        <v>6482.98</v>
      </c>
      <c r="AH88" s="125">
        <f t="shared" si="15"/>
        <v>170212.38000000003</v>
      </c>
      <c r="AI88" s="125">
        <f>Valores!$C$31</f>
        <v>0</v>
      </c>
      <c r="AJ88" s="125">
        <f>Valores!$C$87</f>
        <v>0</v>
      </c>
      <c r="AK88" s="125">
        <f>Valores!C$38*B88</f>
        <v>30000</v>
      </c>
      <c r="AL88" s="125">
        <f>IF($F$3="NO",0,Valores!$C$56)</f>
        <v>170.34</v>
      </c>
      <c r="AM88" s="125">
        <f t="shared" si="13"/>
        <v>30170.34</v>
      </c>
      <c r="AN88" s="125">
        <f>AH88*Valores!$C$71</f>
        <v>-18723.361800000002</v>
      </c>
      <c r="AO88" s="125">
        <f>AH88*-Valores!$C$72</f>
        <v>0</v>
      </c>
      <c r="AP88" s="125">
        <f>AH88*Valores!$C$73</f>
        <v>-7659.557100000001</v>
      </c>
      <c r="AQ88" s="125">
        <f>Valores!$C$100</f>
        <v>-280.91</v>
      </c>
      <c r="AR88" s="125">
        <f>IF($F$5=0,Valores!$C$101,(Valores!$C$101+$F$5*(Valores!$C$101)))</f>
        <v>-385</v>
      </c>
      <c r="AS88" s="125">
        <f t="shared" si="16"/>
        <v>173333.89110000004</v>
      </c>
      <c r="AT88" s="125">
        <f t="shared" si="10"/>
        <v>-18723.361800000002</v>
      </c>
      <c r="AU88" s="125">
        <f>AH88*Valores!$C$74</f>
        <v>-4595.734260000001</v>
      </c>
      <c r="AV88" s="125">
        <f>AH88*Valores!$C$75</f>
        <v>-510.6371400000001</v>
      </c>
      <c r="AW88" s="125">
        <f t="shared" si="14"/>
        <v>176552.9868</v>
      </c>
      <c r="AX88" s="126"/>
      <c r="AY88" s="126">
        <v>25</v>
      </c>
      <c r="AZ88" s="123" t="s">
        <v>4</v>
      </c>
    </row>
    <row r="89" spans="1:52" s="110" customFormat="1" ht="11.25" customHeight="1">
      <c r="A89" s="123" t="s">
        <v>269</v>
      </c>
      <c r="B89" s="123">
        <v>1</v>
      </c>
      <c r="C89" s="126">
        <v>82</v>
      </c>
      <c r="D89" s="124" t="s">
        <v>271</v>
      </c>
      <c r="E89" s="192">
        <v>218</v>
      </c>
      <c r="F89" s="125">
        <f>ROUND(E89*Valores!$C$2,2)</f>
        <v>5912.42</v>
      </c>
      <c r="G89" s="192">
        <f>1997</f>
        <v>1997</v>
      </c>
      <c r="H89" s="125">
        <f>ROUND(G89*Valores!$C$2,2)</f>
        <v>54161.04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12390.89</v>
      </c>
      <c r="N89" s="125">
        <f t="shared" si="11"/>
        <v>0</v>
      </c>
      <c r="O89" s="125">
        <f>Valores!$C$15</f>
        <v>35046.14</v>
      </c>
      <c r="P89" s="125">
        <f>Valores!$D$5</f>
        <v>13864.36</v>
      </c>
      <c r="Q89" s="125">
        <f>Valores!$C$22</f>
        <v>12369.22</v>
      </c>
      <c r="R89" s="125">
        <f>IF($F$4="NO",Valores!$C$44,Valores!$C$44/2)</f>
        <v>9631.44</v>
      </c>
      <c r="S89" s="125">
        <f>Valores!$C$19</f>
        <v>12901.01</v>
      </c>
      <c r="T89" s="125">
        <f t="shared" si="17"/>
        <v>12901.01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Valores!$C$94</f>
        <v>6318.76</v>
      </c>
      <c r="AA89" s="125">
        <f>Valores!$C$25</f>
        <v>567.06</v>
      </c>
      <c r="AB89" s="214">
        <v>0</v>
      </c>
      <c r="AC89" s="125">
        <f t="shared" si="12"/>
        <v>0</v>
      </c>
      <c r="AD89" s="125">
        <f>Valores!$C$26</f>
        <v>567.06</v>
      </c>
      <c r="AE89" s="192">
        <v>19</v>
      </c>
      <c r="AF89" s="125">
        <f>ROUND(AE89*Valores!$C$2,2)</f>
        <v>515.3</v>
      </c>
      <c r="AG89" s="125">
        <f>ROUND(IF($F$4="NO",Valores!$C$63,Valores!$C$63/2),2)</f>
        <v>6482.98</v>
      </c>
      <c r="AH89" s="125">
        <f t="shared" si="15"/>
        <v>170727.68000000002</v>
      </c>
      <c r="AI89" s="125">
        <f>Valores!$C$31</f>
        <v>0</v>
      </c>
      <c r="AJ89" s="125">
        <f>Valores!$C$87</f>
        <v>0</v>
      </c>
      <c r="AK89" s="125">
        <f>Valores!C$38*B89</f>
        <v>30000</v>
      </c>
      <c r="AL89" s="125">
        <f>IF($F$3="NO",0,Valores!$C$56)</f>
        <v>170.34</v>
      </c>
      <c r="AM89" s="125">
        <f t="shared" si="13"/>
        <v>30170.34</v>
      </c>
      <c r="AN89" s="125">
        <f>AH89*Valores!$C$71</f>
        <v>-18780.044800000003</v>
      </c>
      <c r="AO89" s="125">
        <f>AH89*-Valores!$C$72</f>
        <v>0</v>
      </c>
      <c r="AP89" s="125">
        <f>AH89*Valores!$C$73</f>
        <v>-7682.745600000001</v>
      </c>
      <c r="AQ89" s="125">
        <f>Valores!$C$100</f>
        <v>-280.91</v>
      </c>
      <c r="AR89" s="125">
        <f>IF($F$5=0,Valores!$C$101,(Valores!$C$101+$F$5*(Valores!$C$101)))</f>
        <v>-385</v>
      </c>
      <c r="AS89" s="125">
        <f t="shared" si="16"/>
        <v>173769.31960000002</v>
      </c>
      <c r="AT89" s="125">
        <f t="shared" si="10"/>
        <v>-18780.044800000003</v>
      </c>
      <c r="AU89" s="125">
        <f>AH89*Valores!$C$74</f>
        <v>-4609.647360000001</v>
      </c>
      <c r="AV89" s="125">
        <f>AH89*Valores!$C$75</f>
        <v>-512.1830400000001</v>
      </c>
      <c r="AW89" s="125">
        <f t="shared" si="14"/>
        <v>176996.1448</v>
      </c>
      <c r="AX89" s="126"/>
      <c r="AY89" s="126">
        <v>25</v>
      </c>
      <c r="AZ89" s="123" t="s">
        <v>4</v>
      </c>
    </row>
    <row r="90" spans="1:52" s="110" customFormat="1" ht="11.25" customHeight="1">
      <c r="A90" s="123" t="s">
        <v>272</v>
      </c>
      <c r="B90" s="123">
        <v>1</v>
      </c>
      <c r="C90" s="126">
        <v>83</v>
      </c>
      <c r="D90" s="124" t="s">
        <v>273</v>
      </c>
      <c r="E90" s="192">
        <v>187</v>
      </c>
      <c r="F90" s="125">
        <f>ROUND(E90*Valores!$C$2,2)</f>
        <v>5071.66</v>
      </c>
      <c r="G90" s="192">
        <v>1704</v>
      </c>
      <c r="H90" s="125">
        <f>ROUND(G90*Valores!$C$2,2)</f>
        <v>46214.52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11072.79</v>
      </c>
      <c r="N90" s="125">
        <f t="shared" si="11"/>
        <v>0</v>
      </c>
      <c r="O90" s="125">
        <f>Valores!$C$9</f>
        <v>29939.09</v>
      </c>
      <c r="P90" s="125">
        <f>Valores!$D$5</f>
        <v>13864.36</v>
      </c>
      <c r="Q90" s="125">
        <f>Valores!$C$22</f>
        <v>12369.22</v>
      </c>
      <c r="R90" s="125">
        <f>IF($F$4="NO",Valores!$C$44,Valores!$C$44/2)</f>
        <v>9631.44</v>
      </c>
      <c r="S90" s="125">
        <f>Valores!$C$19</f>
        <v>12901.01</v>
      </c>
      <c r="T90" s="125">
        <f t="shared" si="17"/>
        <v>12901.01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Valores!$C$94</f>
        <v>6318.76</v>
      </c>
      <c r="AA90" s="125">
        <f>Valores!$C$25</f>
        <v>567.06</v>
      </c>
      <c r="AB90" s="214">
        <v>0</v>
      </c>
      <c r="AC90" s="125">
        <f t="shared" si="12"/>
        <v>0</v>
      </c>
      <c r="AD90" s="125">
        <f>Valores!$C$26</f>
        <v>567.06</v>
      </c>
      <c r="AE90" s="192">
        <v>0</v>
      </c>
      <c r="AF90" s="125">
        <f>ROUND(AE90*Valores!$C$2,2)</f>
        <v>0</v>
      </c>
      <c r="AG90" s="125">
        <f>ROUND(IF($F$4="NO",Valores!$C$63,Valores!$C$63/2),2)</f>
        <v>6482.98</v>
      </c>
      <c r="AH90" s="125">
        <f t="shared" si="15"/>
        <v>154999.95</v>
      </c>
      <c r="AI90" s="125">
        <f>Valores!$C$31</f>
        <v>0</v>
      </c>
      <c r="AJ90" s="125">
        <f>Valores!$C$87</f>
        <v>0</v>
      </c>
      <c r="AK90" s="125">
        <f>Valores!C$38*B90</f>
        <v>30000</v>
      </c>
      <c r="AL90" s="125">
        <f>IF($F$3="NO",0,Valores!$C$56)</f>
        <v>170.34</v>
      </c>
      <c r="AM90" s="125">
        <f t="shared" si="13"/>
        <v>30170.34</v>
      </c>
      <c r="AN90" s="125">
        <f>AH90*Valores!$C$71</f>
        <v>-17049.9945</v>
      </c>
      <c r="AO90" s="125">
        <f>AH90*-Valores!$C$72</f>
        <v>0</v>
      </c>
      <c r="AP90" s="125">
        <f>AH90*Valores!$C$73</f>
        <v>-6974.99775</v>
      </c>
      <c r="AQ90" s="125">
        <f>Valores!$C$100</f>
        <v>-280.91</v>
      </c>
      <c r="AR90" s="125">
        <f>IF($F$5=0,Valores!$C$101,(Valores!$C$101+$F$5*(Valores!$C$101)))</f>
        <v>-385</v>
      </c>
      <c r="AS90" s="125">
        <f t="shared" si="16"/>
        <v>160479.38775000002</v>
      </c>
      <c r="AT90" s="125">
        <f t="shared" si="10"/>
        <v>-17049.9945</v>
      </c>
      <c r="AU90" s="125">
        <f>AH90*Valores!$C$74</f>
        <v>-4184.99865</v>
      </c>
      <c r="AV90" s="125">
        <f>AH90*Valores!$C$75</f>
        <v>-464.99985000000004</v>
      </c>
      <c r="AW90" s="125">
        <f t="shared" si="14"/>
        <v>163470.29700000002</v>
      </c>
      <c r="AX90" s="126"/>
      <c r="AY90" s="126">
        <v>25</v>
      </c>
      <c r="AZ90" s="123" t="s">
        <v>4</v>
      </c>
    </row>
    <row r="91" spans="1:52" s="110" customFormat="1" ht="11.25" customHeight="1">
      <c r="A91" s="123" t="s">
        <v>272</v>
      </c>
      <c r="B91" s="123">
        <v>1</v>
      </c>
      <c r="C91" s="126">
        <v>84</v>
      </c>
      <c r="D91" s="124" t="s">
        <v>274</v>
      </c>
      <c r="E91" s="192">
        <v>187</v>
      </c>
      <c r="F91" s="125">
        <f>ROUND(E91*Valores!$C$2,2)</f>
        <v>5071.66</v>
      </c>
      <c r="G91" s="192">
        <v>1704</v>
      </c>
      <c r="H91" s="125">
        <f>ROUND(G91*Valores!$C$2,2)</f>
        <v>46214.52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11072.79</v>
      </c>
      <c r="N91" s="125">
        <f t="shared" si="11"/>
        <v>0</v>
      </c>
      <c r="O91" s="125">
        <f>Valores!$C$9</f>
        <v>29939.09</v>
      </c>
      <c r="P91" s="125">
        <f>Valores!$D$5</f>
        <v>13864.36</v>
      </c>
      <c r="Q91" s="125">
        <f>Valores!$C$22</f>
        <v>12369.22</v>
      </c>
      <c r="R91" s="125">
        <f>IF($F$4="NO",Valores!$C$44,Valores!$C$44/2)</f>
        <v>9631.44</v>
      </c>
      <c r="S91" s="125">
        <f>Valores!$C$19</f>
        <v>12901.01</v>
      </c>
      <c r="T91" s="125">
        <f t="shared" si="17"/>
        <v>12901.01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Valores!$C$94</f>
        <v>6318.76</v>
      </c>
      <c r="AA91" s="125">
        <f>Valores!$C$25</f>
        <v>567.06</v>
      </c>
      <c r="AB91" s="214">
        <v>0</v>
      </c>
      <c r="AC91" s="125">
        <f t="shared" si="12"/>
        <v>0</v>
      </c>
      <c r="AD91" s="125">
        <f>Valores!$C$26</f>
        <v>567.06</v>
      </c>
      <c r="AE91" s="192">
        <v>19</v>
      </c>
      <c r="AF91" s="125">
        <f>ROUND(AE91*Valores!$C$2,2)</f>
        <v>515.3</v>
      </c>
      <c r="AG91" s="125">
        <f>ROUND(IF($F$4="NO",Valores!$C$63,Valores!$C$63/2),2)</f>
        <v>6482.98</v>
      </c>
      <c r="AH91" s="125">
        <f t="shared" si="15"/>
        <v>155515.25</v>
      </c>
      <c r="AI91" s="125">
        <f>Valores!$C$31</f>
        <v>0</v>
      </c>
      <c r="AJ91" s="125">
        <f>Valores!$C$87</f>
        <v>0</v>
      </c>
      <c r="AK91" s="125">
        <f>Valores!C$38*B91</f>
        <v>30000</v>
      </c>
      <c r="AL91" s="125">
        <f>IF($F$3="NO",0,Valores!$C$56)</f>
        <v>170.34</v>
      </c>
      <c r="AM91" s="125">
        <f t="shared" si="13"/>
        <v>30170.34</v>
      </c>
      <c r="AN91" s="125">
        <f>AH91*Valores!$C$71</f>
        <v>-17106.6775</v>
      </c>
      <c r="AO91" s="125">
        <f>AH91*-Valores!$C$72</f>
        <v>0</v>
      </c>
      <c r="AP91" s="125">
        <f>AH91*Valores!$C$73</f>
        <v>-6998.18625</v>
      </c>
      <c r="AQ91" s="125">
        <f>Valores!$C$100</f>
        <v>-280.91</v>
      </c>
      <c r="AR91" s="125">
        <f>IF($F$5=0,Valores!$C$101,(Valores!$C$101+$F$5*(Valores!$C$101)))</f>
        <v>-385</v>
      </c>
      <c r="AS91" s="125">
        <f t="shared" si="16"/>
        <v>160914.81625</v>
      </c>
      <c r="AT91" s="125">
        <f t="shared" si="10"/>
        <v>-17106.6775</v>
      </c>
      <c r="AU91" s="125">
        <f>AH91*Valores!$C$74</f>
        <v>-4198.91175</v>
      </c>
      <c r="AV91" s="125">
        <f>AH91*Valores!$C$75</f>
        <v>-466.54575</v>
      </c>
      <c r="AW91" s="125">
        <f t="shared" si="14"/>
        <v>163913.455</v>
      </c>
      <c r="AX91" s="126"/>
      <c r="AY91" s="126">
        <v>25</v>
      </c>
      <c r="AZ91" s="123" t="s">
        <v>4</v>
      </c>
    </row>
    <row r="92" spans="1:52" s="110" customFormat="1" ht="11.25" customHeight="1">
      <c r="A92" s="123" t="s">
        <v>275</v>
      </c>
      <c r="B92" s="123">
        <v>1</v>
      </c>
      <c r="C92" s="126">
        <v>85</v>
      </c>
      <c r="D92" s="124" t="s">
        <v>276</v>
      </c>
      <c r="E92" s="192">
        <v>161</v>
      </c>
      <c r="F92" s="125">
        <f>ROUND(E92*Valores!$C$2,2)</f>
        <v>4366.51</v>
      </c>
      <c r="G92" s="192">
        <f>1480</f>
        <v>1480</v>
      </c>
      <c r="H92" s="125">
        <f>ROUND(G92*Valores!$C$2,2)</f>
        <v>40139.38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10055.75</v>
      </c>
      <c r="N92" s="125">
        <f t="shared" si="11"/>
        <v>0</v>
      </c>
      <c r="O92" s="125">
        <f>Valores!$C$9</f>
        <v>29939.09</v>
      </c>
      <c r="P92" s="125">
        <f>Valores!$D$5</f>
        <v>13864.36</v>
      </c>
      <c r="Q92" s="125">
        <f>Valores!$C$22</f>
        <v>12369.22</v>
      </c>
      <c r="R92" s="125">
        <f>IF($F$4="NO",Valores!$C$44,Valores!$C$44/2)</f>
        <v>9631.44</v>
      </c>
      <c r="S92" s="125">
        <f>Valores!$C$19</f>
        <v>12901.01</v>
      </c>
      <c r="T92" s="125">
        <f t="shared" si="17"/>
        <v>12901.01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Valores!$C$94</f>
        <v>6318.76</v>
      </c>
      <c r="AA92" s="125">
        <f>Valores!$C$25</f>
        <v>567.06</v>
      </c>
      <c r="AB92" s="214">
        <v>0</v>
      </c>
      <c r="AC92" s="125">
        <f t="shared" si="12"/>
        <v>0</v>
      </c>
      <c r="AD92" s="125">
        <f>Valores!$C$26</f>
        <v>567.06</v>
      </c>
      <c r="AE92" s="192">
        <v>0</v>
      </c>
      <c r="AF92" s="125">
        <f>ROUND(AE92*Valores!$C$2,2)</f>
        <v>0</v>
      </c>
      <c r="AG92" s="125">
        <f>ROUND(IF($F$4="NO",Valores!$C$63,Valores!$C$63/2),2)</f>
        <v>6482.98</v>
      </c>
      <c r="AH92" s="125">
        <f t="shared" si="15"/>
        <v>147202.62000000002</v>
      </c>
      <c r="AI92" s="125">
        <f>Valores!$C$31</f>
        <v>0</v>
      </c>
      <c r="AJ92" s="125">
        <f>Valores!$C$87</f>
        <v>0</v>
      </c>
      <c r="AK92" s="125">
        <f>Valores!C$38*B92</f>
        <v>30000</v>
      </c>
      <c r="AL92" s="125">
        <f>IF($F$3="NO",0,Valores!$C$56)</f>
        <v>170.34</v>
      </c>
      <c r="AM92" s="125">
        <f t="shared" si="13"/>
        <v>30170.34</v>
      </c>
      <c r="AN92" s="125">
        <f>AH92*Valores!$C$71</f>
        <v>-16192.288200000003</v>
      </c>
      <c r="AO92" s="125">
        <f>AH92*-Valores!$C$72</f>
        <v>0</v>
      </c>
      <c r="AP92" s="125">
        <f>AH92*Valores!$C$73</f>
        <v>-6624.117900000001</v>
      </c>
      <c r="AQ92" s="125">
        <f>Valores!$C$100</f>
        <v>-280.91</v>
      </c>
      <c r="AR92" s="125">
        <f>IF($F$5=0,Valores!$C$101,(Valores!$C$101+$F$5*(Valores!$C$101)))</f>
        <v>-385</v>
      </c>
      <c r="AS92" s="125">
        <f t="shared" si="16"/>
        <v>153890.64390000002</v>
      </c>
      <c r="AT92" s="125">
        <f t="shared" si="10"/>
        <v>-16192.288200000003</v>
      </c>
      <c r="AU92" s="125">
        <f>AH92*Valores!$C$74</f>
        <v>-3974.4707400000007</v>
      </c>
      <c r="AV92" s="125">
        <f>AH92*Valores!$C$75</f>
        <v>-441.6078600000001</v>
      </c>
      <c r="AW92" s="125">
        <f t="shared" si="14"/>
        <v>156764.5932</v>
      </c>
      <c r="AX92" s="126"/>
      <c r="AY92" s="126">
        <v>25</v>
      </c>
      <c r="AZ92" s="123" t="s">
        <v>4</v>
      </c>
    </row>
    <row r="93" spans="1:52" s="110" customFormat="1" ht="11.25" customHeight="1">
      <c r="A93" s="123" t="s">
        <v>275</v>
      </c>
      <c r="B93" s="123">
        <v>1</v>
      </c>
      <c r="C93" s="126">
        <v>86</v>
      </c>
      <c r="D93" s="124" t="s">
        <v>277</v>
      </c>
      <c r="E93" s="192">
        <v>161</v>
      </c>
      <c r="F93" s="125">
        <f>ROUND(E93*Valores!$C$2,2)</f>
        <v>4366.51</v>
      </c>
      <c r="G93" s="192">
        <f>1480</f>
        <v>1480</v>
      </c>
      <c r="H93" s="125">
        <f>ROUND(G93*Valores!$C$2,2)</f>
        <v>40139.38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10055.75</v>
      </c>
      <c r="N93" s="125">
        <f t="shared" si="11"/>
        <v>0</v>
      </c>
      <c r="O93" s="125">
        <f>Valores!$C$9</f>
        <v>29939.09</v>
      </c>
      <c r="P93" s="125">
        <f>Valores!$D$5</f>
        <v>13864.36</v>
      </c>
      <c r="Q93" s="125">
        <f>Valores!$C$22</f>
        <v>12369.22</v>
      </c>
      <c r="R93" s="125">
        <f>IF($F$4="NO",Valores!$C$44,Valores!$C$44/2)</f>
        <v>9631.44</v>
      </c>
      <c r="S93" s="125">
        <f>Valores!$C$19</f>
        <v>12901.01</v>
      </c>
      <c r="T93" s="125">
        <f t="shared" si="17"/>
        <v>12901.01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Valores!$C$94</f>
        <v>6318.76</v>
      </c>
      <c r="AA93" s="125">
        <f>Valores!$C$25</f>
        <v>567.06</v>
      </c>
      <c r="AB93" s="214">
        <v>0</v>
      </c>
      <c r="AC93" s="125">
        <f t="shared" si="12"/>
        <v>0</v>
      </c>
      <c r="AD93" s="125">
        <f>Valores!$C$26</f>
        <v>567.06</v>
      </c>
      <c r="AE93" s="192">
        <v>19</v>
      </c>
      <c r="AF93" s="125">
        <f>ROUND(AE93*Valores!$C$2,2)</f>
        <v>515.3</v>
      </c>
      <c r="AG93" s="125">
        <f>ROUND(IF($F$4="NO",Valores!$C$63,Valores!$C$63/2),2)</f>
        <v>6482.98</v>
      </c>
      <c r="AH93" s="125">
        <f t="shared" si="15"/>
        <v>147717.92</v>
      </c>
      <c r="AI93" s="125">
        <f>Valores!$C$31</f>
        <v>0</v>
      </c>
      <c r="AJ93" s="125">
        <f>Valores!$C$87</f>
        <v>0</v>
      </c>
      <c r="AK93" s="125">
        <f>Valores!C$38*B93</f>
        <v>30000</v>
      </c>
      <c r="AL93" s="125">
        <f>IF($F$3="NO",0,Valores!$C$56)</f>
        <v>170.34</v>
      </c>
      <c r="AM93" s="125">
        <f t="shared" si="13"/>
        <v>30170.34</v>
      </c>
      <c r="AN93" s="125">
        <f>AH93*Valores!$C$71</f>
        <v>-16248.971200000002</v>
      </c>
      <c r="AO93" s="125">
        <f>AH93*-Valores!$C$72</f>
        <v>0</v>
      </c>
      <c r="AP93" s="125">
        <f>AH93*Valores!$C$73</f>
        <v>-6647.3064</v>
      </c>
      <c r="AQ93" s="125">
        <f>Valores!$C$100</f>
        <v>-280.91</v>
      </c>
      <c r="AR93" s="125">
        <f>IF($F$5=0,Valores!$C$101,(Valores!$C$101+$F$5*(Valores!$C$101)))</f>
        <v>-385</v>
      </c>
      <c r="AS93" s="125">
        <f t="shared" si="16"/>
        <v>154326.0724</v>
      </c>
      <c r="AT93" s="125">
        <f t="shared" si="10"/>
        <v>-16248.971200000002</v>
      </c>
      <c r="AU93" s="125">
        <f>AH93*Valores!$C$74</f>
        <v>-3988.3838400000004</v>
      </c>
      <c r="AV93" s="125">
        <f>AH93*Valores!$C$75</f>
        <v>-443.15376000000003</v>
      </c>
      <c r="AW93" s="125">
        <f t="shared" si="14"/>
        <v>157207.7512</v>
      </c>
      <c r="AX93" s="126"/>
      <c r="AY93" s="126">
        <v>25</v>
      </c>
      <c r="AZ93" s="123" t="s">
        <v>4</v>
      </c>
    </row>
    <row r="94" spans="1:52" s="110" customFormat="1" ht="11.25" customHeight="1">
      <c r="A94" s="123" t="s">
        <v>278</v>
      </c>
      <c r="B94" s="123">
        <v>1</v>
      </c>
      <c r="C94" s="126">
        <v>87</v>
      </c>
      <c r="D94" s="124" t="s">
        <v>279</v>
      </c>
      <c r="E94" s="192">
        <v>179</v>
      </c>
      <c r="F94" s="125">
        <f>ROUND(E94*Valores!$C$2,2)</f>
        <v>4854.69</v>
      </c>
      <c r="G94" s="192">
        <v>1712</v>
      </c>
      <c r="H94" s="125">
        <f>ROUND(G94*Valores!$C$2,2)</f>
        <v>46431.49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11072.79</v>
      </c>
      <c r="N94" s="125">
        <f t="shared" si="11"/>
        <v>0</v>
      </c>
      <c r="O94" s="125">
        <f>Valores!$C$9</f>
        <v>29939.09</v>
      </c>
      <c r="P94" s="125">
        <f>Valores!$D$5</f>
        <v>13864.36</v>
      </c>
      <c r="Q94" s="125">
        <f>Valores!$C$22</f>
        <v>12369.22</v>
      </c>
      <c r="R94" s="125">
        <f>IF($F$4="NO",Valores!$C$44,Valores!$C$44/2)</f>
        <v>9631.44</v>
      </c>
      <c r="S94" s="125">
        <f>Valores!$C$19</f>
        <v>12901.01</v>
      </c>
      <c r="T94" s="125">
        <f t="shared" si="17"/>
        <v>12901.01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Valores!$C$94</f>
        <v>6318.76</v>
      </c>
      <c r="AA94" s="125">
        <f>Valores!$C$25</f>
        <v>567.06</v>
      </c>
      <c r="AB94" s="214">
        <v>0</v>
      </c>
      <c r="AC94" s="125">
        <f t="shared" si="12"/>
        <v>0</v>
      </c>
      <c r="AD94" s="125">
        <f>Valores!$C$26</f>
        <v>567.06</v>
      </c>
      <c r="AE94" s="192">
        <v>0</v>
      </c>
      <c r="AF94" s="125">
        <f>ROUND(AE94*Valores!$C$2,2)</f>
        <v>0</v>
      </c>
      <c r="AG94" s="125">
        <f>ROUND(IF($F$4="NO",Valores!$C$63,Valores!$C$63/2),2)</f>
        <v>6482.98</v>
      </c>
      <c r="AH94" s="125">
        <f t="shared" si="15"/>
        <v>154999.95</v>
      </c>
      <c r="AI94" s="125">
        <f>Valores!$C$31</f>
        <v>0</v>
      </c>
      <c r="AJ94" s="125">
        <f>Valores!$C$87</f>
        <v>0</v>
      </c>
      <c r="AK94" s="125">
        <f>Valores!C$38*B94</f>
        <v>30000</v>
      </c>
      <c r="AL94" s="125">
        <f>IF($F$3="NO",0,Valores!$C$56)</f>
        <v>170.34</v>
      </c>
      <c r="AM94" s="125">
        <f t="shared" si="13"/>
        <v>30170.34</v>
      </c>
      <c r="AN94" s="125">
        <f>AH94*Valores!$C$71</f>
        <v>-17049.9945</v>
      </c>
      <c r="AO94" s="125">
        <f>AH94*-Valores!$C$72</f>
        <v>0</v>
      </c>
      <c r="AP94" s="125">
        <f>AH94*Valores!$C$73</f>
        <v>-6974.99775</v>
      </c>
      <c r="AQ94" s="125">
        <f>Valores!$C$100</f>
        <v>-280.91</v>
      </c>
      <c r="AR94" s="125">
        <f>IF($F$5=0,Valores!$C$101,(Valores!$C$101+$F$5*(Valores!$C$101)))</f>
        <v>-385</v>
      </c>
      <c r="AS94" s="125">
        <f t="shared" si="16"/>
        <v>160479.38775000002</v>
      </c>
      <c r="AT94" s="125">
        <f t="shared" si="10"/>
        <v>-17049.9945</v>
      </c>
      <c r="AU94" s="125">
        <f>AH94*Valores!$C$74</f>
        <v>-4184.99865</v>
      </c>
      <c r="AV94" s="125">
        <f>AH94*Valores!$C$75</f>
        <v>-464.99985000000004</v>
      </c>
      <c r="AW94" s="125">
        <f t="shared" si="14"/>
        <v>163470.29700000002</v>
      </c>
      <c r="AX94" s="126"/>
      <c r="AY94" s="126">
        <v>25</v>
      </c>
      <c r="AZ94" s="123" t="s">
        <v>4</v>
      </c>
    </row>
    <row r="95" spans="1:52" s="110" customFormat="1" ht="11.25" customHeight="1">
      <c r="A95" s="123" t="s">
        <v>280</v>
      </c>
      <c r="B95" s="123">
        <v>1</v>
      </c>
      <c r="C95" s="126">
        <v>88</v>
      </c>
      <c r="D95" s="124" t="s">
        <v>281</v>
      </c>
      <c r="E95" s="192">
        <v>64</v>
      </c>
      <c r="F95" s="125">
        <f>ROUND(E95*Valores!$C$2,2)</f>
        <v>1735.76</v>
      </c>
      <c r="G95" s="192">
        <v>2086</v>
      </c>
      <c r="H95" s="125">
        <f>ROUND(G95*Valores!$C$2,2)</f>
        <v>56574.82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12207.22</v>
      </c>
      <c r="N95" s="125">
        <f t="shared" si="11"/>
        <v>0</v>
      </c>
      <c r="O95" s="125">
        <f>Valores!$C$9</f>
        <v>29939.09</v>
      </c>
      <c r="P95" s="125">
        <f>Valores!$D$5</f>
        <v>13864.36</v>
      </c>
      <c r="Q95" s="125">
        <f>Valores!$C$22</f>
        <v>12369.22</v>
      </c>
      <c r="R95" s="125">
        <f>IF($F$4="NO",Valores!$C$45,Valores!$C$45/2)</f>
        <v>10169.9</v>
      </c>
      <c r="S95" s="125">
        <f>Valores!$C$19</f>
        <v>12901.01</v>
      </c>
      <c r="T95" s="125">
        <f t="shared" si="17"/>
        <v>12901.01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Valores!$C$95</f>
        <v>7582.51</v>
      </c>
      <c r="AA95" s="125">
        <f>Valores!$C$25</f>
        <v>567.06</v>
      </c>
      <c r="AB95" s="214">
        <v>0</v>
      </c>
      <c r="AC95" s="125">
        <f t="shared" si="12"/>
        <v>0</v>
      </c>
      <c r="AD95" s="125">
        <f>Valores!$C$26</f>
        <v>567.06</v>
      </c>
      <c r="AE95" s="192">
        <v>0</v>
      </c>
      <c r="AF95" s="125">
        <f>ROUND(AE95*Valores!$C$2,2)</f>
        <v>0</v>
      </c>
      <c r="AG95" s="125">
        <f>ROUND(IF($F$4="NO",Valores!$C$63,Valores!$C$63/2),2)</f>
        <v>6482.98</v>
      </c>
      <c r="AH95" s="125">
        <f t="shared" si="15"/>
        <v>164960.99000000002</v>
      </c>
      <c r="AI95" s="125">
        <f>Valores!$C$31</f>
        <v>0</v>
      </c>
      <c r="AJ95" s="125">
        <f>Valores!$C$88</f>
        <v>0</v>
      </c>
      <c r="AK95" s="125">
        <f>Valores!C$38*B95</f>
        <v>30000</v>
      </c>
      <c r="AL95" s="125">
        <f>IF($F$3="NO",0,Valores!$C$56)</f>
        <v>170.34</v>
      </c>
      <c r="AM95" s="125">
        <f t="shared" si="13"/>
        <v>30170.34</v>
      </c>
      <c r="AN95" s="125">
        <f>AH95*Valores!$C$71</f>
        <v>-18145.7089</v>
      </c>
      <c r="AO95" s="125">
        <f>AH95*-Valores!$C$72</f>
        <v>0</v>
      </c>
      <c r="AP95" s="125">
        <f>AH95*Valores!$C$73</f>
        <v>-7423.24455</v>
      </c>
      <c r="AQ95" s="125">
        <f>Valores!$C$100</f>
        <v>-280.91</v>
      </c>
      <c r="AR95" s="125">
        <f>IF($F$5=0,Valores!$C$101,(Valores!$C$101+$F$5*(Valores!$C$101)))</f>
        <v>-385</v>
      </c>
      <c r="AS95" s="125">
        <f t="shared" si="16"/>
        <v>168896.46655</v>
      </c>
      <c r="AT95" s="125">
        <f t="shared" si="10"/>
        <v>-18145.7089</v>
      </c>
      <c r="AU95" s="125">
        <f>AH95*Valores!$C$74</f>
        <v>-4453.946730000001</v>
      </c>
      <c r="AV95" s="125">
        <f>AH95*Valores!$C$75</f>
        <v>-494.88297000000006</v>
      </c>
      <c r="AW95" s="125">
        <f t="shared" si="14"/>
        <v>172036.79140000002</v>
      </c>
      <c r="AX95" s="126"/>
      <c r="AY95" s="126">
        <v>25</v>
      </c>
      <c r="AZ95" s="123" t="s">
        <v>4</v>
      </c>
    </row>
    <row r="96" spans="1:52" s="110" customFormat="1" ht="11.25" customHeight="1">
      <c r="A96" s="123" t="s">
        <v>282</v>
      </c>
      <c r="B96" s="123">
        <v>1</v>
      </c>
      <c r="C96" s="126">
        <v>89</v>
      </c>
      <c r="D96" s="124" t="s">
        <v>283</v>
      </c>
      <c r="E96" s="192">
        <v>89</v>
      </c>
      <c r="F96" s="125">
        <f>ROUND(E96*Valores!$C$2,2)</f>
        <v>2413.79</v>
      </c>
      <c r="G96" s="192">
        <v>2481</v>
      </c>
      <c r="H96" s="125">
        <f>ROUND(G96*Valores!$C$2,2)</f>
        <v>67287.7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13835.09</v>
      </c>
      <c r="N96" s="125">
        <f t="shared" si="11"/>
        <v>0</v>
      </c>
      <c r="O96" s="125">
        <f>Valores!$C$8</f>
        <v>29851.25</v>
      </c>
      <c r="P96" s="125">
        <f>Valores!$D$5</f>
        <v>13864.36</v>
      </c>
      <c r="Q96" s="125">
        <v>0</v>
      </c>
      <c r="R96" s="125">
        <f>IF($F$4="NO",Valores!$C$44,Valores!$C$44/2)</f>
        <v>9631.44</v>
      </c>
      <c r="S96" s="125">
        <f>Valores!$C$19</f>
        <v>12901.01</v>
      </c>
      <c r="T96" s="125">
        <f t="shared" si="17"/>
        <v>12901.01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Valores!$C$94</f>
        <v>6318.76</v>
      </c>
      <c r="AA96" s="125">
        <f>Valores!$C$25</f>
        <v>567.06</v>
      </c>
      <c r="AB96" s="214">
        <v>0</v>
      </c>
      <c r="AC96" s="125">
        <f t="shared" si="12"/>
        <v>0</v>
      </c>
      <c r="AD96" s="125">
        <f>Valores!$C$26</f>
        <v>567.06</v>
      </c>
      <c r="AE96" s="192">
        <v>0</v>
      </c>
      <c r="AF96" s="125">
        <f>ROUND(AE96*Valores!$C$2,2)</f>
        <v>0</v>
      </c>
      <c r="AG96" s="125">
        <f>ROUND(IF($F$4="NO",Valores!$C$63,Valores!$C$63/2),2)</f>
        <v>6482.98</v>
      </c>
      <c r="AH96" s="125">
        <f t="shared" si="15"/>
        <v>163720.5</v>
      </c>
      <c r="AI96" s="125">
        <f>Valores!$C$31</f>
        <v>0</v>
      </c>
      <c r="AJ96" s="125">
        <f>Valores!$C$87</f>
        <v>0</v>
      </c>
      <c r="AK96" s="125">
        <f>Valores!C$38*B96</f>
        <v>30000</v>
      </c>
      <c r="AL96" s="125">
        <f>IF($F$3="NO",0,Valores!$C$56)</f>
        <v>170.34</v>
      </c>
      <c r="AM96" s="125">
        <f t="shared" si="13"/>
        <v>30170.34</v>
      </c>
      <c r="AN96" s="125">
        <f>AH96*Valores!$C$71</f>
        <v>-18009.255</v>
      </c>
      <c r="AO96" s="125">
        <f>AH96*-Valores!$C$72</f>
        <v>0</v>
      </c>
      <c r="AP96" s="125">
        <f>AH96*Valores!$C$73</f>
        <v>-7367.4225</v>
      </c>
      <c r="AQ96" s="125">
        <f>Valores!$C$100</f>
        <v>-280.91</v>
      </c>
      <c r="AR96" s="125">
        <f>IF($F$5=0,Valores!$C$101,(Valores!$C$101+$F$5*(Valores!$C$101)))</f>
        <v>-385</v>
      </c>
      <c r="AS96" s="125">
        <f t="shared" si="16"/>
        <v>167848.2525</v>
      </c>
      <c r="AT96" s="125">
        <f t="shared" si="10"/>
        <v>-18009.255</v>
      </c>
      <c r="AU96" s="125">
        <f>AH96*Valores!$C$74</f>
        <v>-4420.4535</v>
      </c>
      <c r="AV96" s="125">
        <f>AH96*Valores!$C$75</f>
        <v>-491.1615</v>
      </c>
      <c r="AW96" s="125">
        <f t="shared" si="14"/>
        <v>170969.97</v>
      </c>
      <c r="AX96" s="126"/>
      <c r="AY96" s="126">
        <v>25</v>
      </c>
      <c r="AZ96" s="123" t="s">
        <v>8</v>
      </c>
    </row>
    <row r="97" spans="1:52" s="110" customFormat="1" ht="11.25" customHeight="1">
      <c r="A97" s="123" t="s">
        <v>284</v>
      </c>
      <c r="B97" s="123">
        <v>1</v>
      </c>
      <c r="C97" s="126">
        <v>90</v>
      </c>
      <c r="D97" s="124" t="s">
        <v>285</v>
      </c>
      <c r="E97" s="192">
        <v>89</v>
      </c>
      <c r="F97" s="125">
        <f>ROUND(E97*Valores!$C$2,2)</f>
        <v>2413.79</v>
      </c>
      <c r="G97" s="192">
        <v>2381</v>
      </c>
      <c r="H97" s="125">
        <f>ROUND(G97*Valores!$C$2,2)</f>
        <v>64575.58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13428.27</v>
      </c>
      <c r="N97" s="125">
        <f t="shared" si="11"/>
        <v>0</v>
      </c>
      <c r="O97" s="125">
        <f>Valores!$C$16</f>
        <v>23436.25</v>
      </c>
      <c r="P97" s="125">
        <f>Valores!$D$5</f>
        <v>13864.36</v>
      </c>
      <c r="Q97" s="125">
        <f>Valores!$C$22</f>
        <v>12369.22</v>
      </c>
      <c r="R97" s="125">
        <f>IF($F$4="NO",Valores!$C$44,Valores!$C$44/2)</f>
        <v>9631.44</v>
      </c>
      <c r="S97" s="125">
        <f>Valores!$C$19</f>
        <v>12901.01</v>
      </c>
      <c r="T97" s="125">
        <f t="shared" si="17"/>
        <v>12901.01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Valores!$C$94</f>
        <v>6318.76</v>
      </c>
      <c r="AA97" s="125">
        <f>Valores!$C$25</f>
        <v>567.06</v>
      </c>
      <c r="AB97" s="214">
        <v>0</v>
      </c>
      <c r="AC97" s="125">
        <f t="shared" si="12"/>
        <v>0</v>
      </c>
      <c r="AD97" s="125">
        <f>Valores!$C$26</f>
        <v>567.06</v>
      </c>
      <c r="AE97" s="192">
        <v>0</v>
      </c>
      <c r="AF97" s="125">
        <f>ROUND(AE97*Valores!$C$2,2)</f>
        <v>0</v>
      </c>
      <c r="AG97" s="125">
        <f>ROUND(IF($F$4="NO",Valores!$C$63,Valores!$C$63/2),2)</f>
        <v>6482.98</v>
      </c>
      <c r="AH97" s="125">
        <f t="shared" si="15"/>
        <v>166555.78000000003</v>
      </c>
      <c r="AI97" s="125">
        <f>Valores!$C$31</f>
        <v>0</v>
      </c>
      <c r="AJ97" s="125">
        <f>Valores!$C$87</f>
        <v>0</v>
      </c>
      <c r="AK97" s="125">
        <f>Valores!C$38*B97</f>
        <v>30000</v>
      </c>
      <c r="AL97" s="125">
        <f>IF($F$3="NO",0,Valores!$C$56)</f>
        <v>170.34</v>
      </c>
      <c r="AM97" s="125">
        <f t="shared" si="13"/>
        <v>30170.34</v>
      </c>
      <c r="AN97" s="125">
        <f>AH97*Valores!$C$71</f>
        <v>-18321.135800000004</v>
      </c>
      <c r="AO97" s="125">
        <f>AH97*-Valores!$C$72</f>
        <v>0</v>
      </c>
      <c r="AP97" s="125">
        <f>AH97*Valores!$C$73</f>
        <v>-7495.010100000001</v>
      </c>
      <c r="AQ97" s="125">
        <f>Valores!$C$100</f>
        <v>-280.91</v>
      </c>
      <c r="AR97" s="125">
        <f>IF($F$5=0,Valores!$C$101,(Valores!$C$101+$F$5*(Valores!$C$101)))</f>
        <v>-385</v>
      </c>
      <c r="AS97" s="125">
        <f t="shared" si="16"/>
        <v>170244.06410000002</v>
      </c>
      <c r="AT97" s="125">
        <f t="shared" si="10"/>
        <v>-18321.135800000004</v>
      </c>
      <c r="AU97" s="125">
        <f>AH97*Valores!$C$74</f>
        <v>-4497.006060000001</v>
      </c>
      <c r="AV97" s="125">
        <f>AH97*Valores!$C$75</f>
        <v>-499.6673400000001</v>
      </c>
      <c r="AW97" s="125">
        <f t="shared" si="14"/>
        <v>173408.31080000004</v>
      </c>
      <c r="AX97" s="126"/>
      <c r="AY97" s="126">
        <v>25</v>
      </c>
      <c r="AZ97" s="123" t="s">
        <v>4</v>
      </c>
    </row>
    <row r="98" spans="1:52" s="110" customFormat="1" ht="11.25" customHeight="1">
      <c r="A98" s="123" t="s">
        <v>286</v>
      </c>
      <c r="B98" s="123">
        <v>1</v>
      </c>
      <c r="C98" s="126">
        <v>91</v>
      </c>
      <c r="D98" s="124" t="s">
        <v>287</v>
      </c>
      <c r="E98" s="192">
        <v>89</v>
      </c>
      <c r="F98" s="125">
        <f>ROUND(E98*Valores!$C$2,2)</f>
        <v>2413.79</v>
      </c>
      <c r="G98" s="192">
        <v>1768</v>
      </c>
      <c r="H98" s="125">
        <f>ROUND(G98*Valores!$C$2,2)</f>
        <v>47950.28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10934.48</v>
      </c>
      <c r="N98" s="125">
        <f t="shared" si="11"/>
        <v>0</v>
      </c>
      <c r="O98" s="125">
        <f>Valores!$C$16</f>
        <v>23436.25</v>
      </c>
      <c r="P98" s="125">
        <f>Valores!$D$5</f>
        <v>13864.36</v>
      </c>
      <c r="Q98" s="125">
        <f>Valores!$C$22</f>
        <v>12369.22</v>
      </c>
      <c r="R98" s="125">
        <f>IF($F$4="NO",Valores!$C$44,Valores!$C$44/2)</f>
        <v>9631.44</v>
      </c>
      <c r="S98" s="125">
        <f>Valores!$C$19</f>
        <v>12901.01</v>
      </c>
      <c r="T98" s="125">
        <f t="shared" si="17"/>
        <v>12901.01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Valores!$C$94</f>
        <v>6318.76</v>
      </c>
      <c r="AA98" s="125">
        <f>Valores!$C$25</f>
        <v>567.06</v>
      </c>
      <c r="AB98" s="214">
        <v>0</v>
      </c>
      <c r="AC98" s="125">
        <f t="shared" si="12"/>
        <v>0</v>
      </c>
      <c r="AD98" s="125">
        <f>Valores!$C$26</f>
        <v>567.06</v>
      </c>
      <c r="AE98" s="192">
        <v>0</v>
      </c>
      <c r="AF98" s="125">
        <f>ROUND(AE98*Valores!$C$2,2)</f>
        <v>0</v>
      </c>
      <c r="AG98" s="125">
        <f>ROUND(IF($F$4="NO",Valores!$C$63,Valores!$C$63/2),2)</f>
        <v>6482.98</v>
      </c>
      <c r="AH98" s="125">
        <f t="shared" si="15"/>
        <v>147436.69000000003</v>
      </c>
      <c r="AI98" s="125">
        <f>Valores!$C$31</f>
        <v>0</v>
      </c>
      <c r="AJ98" s="125">
        <f>Valores!$C$87</f>
        <v>0</v>
      </c>
      <c r="AK98" s="125">
        <f>Valores!C$38*B98</f>
        <v>30000</v>
      </c>
      <c r="AL98" s="125">
        <f>IF($F$3="NO",0,Valores!$C$56)</f>
        <v>170.34</v>
      </c>
      <c r="AM98" s="125">
        <f t="shared" si="13"/>
        <v>30170.34</v>
      </c>
      <c r="AN98" s="125">
        <f>AH98*Valores!$C$71</f>
        <v>-16218.035900000004</v>
      </c>
      <c r="AO98" s="125">
        <f>AH98*-Valores!$C$72</f>
        <v>0</v>
      </c>
      <c r="AP98" s="125">
        <f>AH98*Valores!$C$73</f>
        <v>-6634.651050000001</v>
      </c>
      <c r="AQ98" s="125">
        <f>Valores!$C$100</f>
        <v>-280.91</v>
      </c>
      <c r="AR98" s="125">
        <f>IF($F$5=0,Valores!$C$101,(Valores!$C$101+$F$5*(Valores!$C$101)))</f>
        <v>-385</v>
      </c>
      <c r="AS98" s="125">
        <f t="shared" si="16"/>
        <v>154088.43305000002</v>
      </c>
      <c r="AT98" s="125">
        <f t="shared" si="10"/>
        <v>-16218.035900000004</v>
      </c>
      <c r="AU98" s="125">
        <f>AH98*Valores!$C$74</f>
        <v>-3980.790630000001</v>
      </c>
      <c r="AV98" s="125">
        <f>AH98*Valores!$C$75</f>
        <v>-442.3100700000001</v>
      </c>
      <c r="AW98" s="125">
        <f t="shared" si="14"/>
        <v>156965.89340000003</v>
      </c>
      <c r="AX98" s="126"/>
      <c r="AY98" s="126">
        <v>25</v>
      </c>
      <c r="AZ98" s="123" t="s">
        <v>4</v>
      </c>
    </row>
    <row r="99" spans="1:52" s="110" customFormat="1" ht="11.25" customHeight="1">
      <c r="A99" s="123" t="s">
        <v>288</v>
      </c>
      <c r="B99" s="123">
        <v>1</v>
      </c>
      <c r="C99" s="126">
        <v>92</v>
      </c>
      <c r="D99" s="124" t="s">
        <v>289</v>
      </c>
      <c r="E99" s="192">
        <v>89</v>
      </c>
      <c r="F99" s="125">
        <f>ROUND(E99*Valores!$C$2,2)</f>
        <v>2413.79</v>
      </c>
      <c r="G99" s="192">
        <v>1768</v>
      </c>
      <c r="H99" s="125">
        <f>ROUND(G99*Valores!$C$2,2)</f>
        <v>47950.28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10934.48</v>
      </c>
      <c r="N99" s="125">
        <f t="shared" si="11"/>
        <v>0</v>
      </c>
      <c r="O99" s="125">
        <f>Valores!$C$8</f>
        <v>29851.25</v>
      </c>
      <c r="P99" s="125">
        <f>Valores!$D$5</f>
        <v>13864.36</v>
      </c>
      <c r="Q99" s="125">
        <f>Valores!$C$22</f>
        <v>12369.22</v>
      </c>
      <c r="R99" s="125">
        <f>IF($F$4="NO",Valores!$C$44,Valores!$C$44/2)</f>
        <v>9631.44</v>
      </c>
      <c r="S99" s="125">
        <f>Valores!$C$19</f>
        <v>12901.01</v>
      </c>
      <c r="T99" s="125">
        <f t="shared" si="17"/>
        <v>12901.01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Valores!$C$94</f>
        <v>6318.76</v>
      </c>
      <c r="AA99" s="125">
        <f>Valores!$C$25</f>
        <v>567.06</v>
      </c>
      <c r="AB99" s="214">
        <v>0</v>
      </c>
      <c r="AC99" s="125">
        <f t="shared" si="12"/>
        <v>0</v>
      </c>
      <c r="AD99" s="125">
        <f>Valores!$C$26</f>
        <v>567.06</v>
      </c>
      <c r="AE99" s="192">
        <v>0</v>
      </c>
      <c r="AF99" s="125">
        <f>ROUND(AE99*Valores!$C$2,2)</f>
        <v>0</v>
      </c>
      <c r="AG99" s="125">
        <f>ROUND(IF($F$4="NO",Valores!$C$63,Valores!$C$63/2),2)</f>
        <v>6482.98</v>
      </c>
      <c r="AH99" s="125">
        <f t="shared" si="15"/>
        <v>153851.69000000003</v>
      </c>
      <c r="AI99" s="125">
        <f>Valores!$C$31</f>
        <v>0</v>
      </c>
      <c r="AJ99" s="125">
        <f>Valores!$C$87</f>
        <v>0</v>
      </c>
      <c r="AK99" s="125">
        <f>Valores!C$38*B99</f>
        <v>30000</v>
      </c>
      <c r="AL99" s="125">
        <f>IF($F$3="NO",0,Valores!$C$56)</f>
        <v>170.34</v>
      </c>
      <c r="AM99" s="125">
        <f t="shared" si="13"/>
        <v>30170.34</v>
      </c>
      <c r="AN99" s="125">
        <f>AH99*Valores!$C$71</f>
        <v>-16923.685900000004</v>
      </c>
      <c r="AO99" s="125">
        <f>AH99*-Valores!$C$72</f>
        <v>0</v>
      </c>
      <c r="AP99" s="125">
        <f>AH99*Valores!$C$73</f>
        <v>-6923.3260500000015</v>
      </c>
      <c r="AQ99" s="125">
        <f>Valores!$C$100</f>
        <v>-280.91</v>
      </c>
      <c r="AR99" s="125">
        <f>IF($F$5=0,Valores!$C$101,(Valores!$C$101+$F$5*(Valores!$C$101)))</f>
        <v>-385</v>
      </c>
      <c r="AS99" s="125">
        <f t="shared" si="16"/>
        <v>159509.10805000004</v>
      </c>
      <c r="AT99" s="125">
        <f t="shared" si="10"/>
        <v>-16923.685900000004</v>
      </c>
      <c r="AU99" s="125">
        <f>AH99*Valores!$C$74</f>
        <v>-4153.995630000001</v>
      </c>
      <c r="AV99" s="125">
        <f>AH99*Valores!$C$75</f>
        <v>-461.5550700000001</v>
      </c>
      <c r="AW99" s="125">
        <f t="shared" si="14"/>
        <v>162482.79340000002</v>
      </c>
      <c r="AX99" s="126"/>
      <c r="AY99" s="126"/>
      <c r="AZ99" s="123" t="s">
        <v>4</v>
      </c>
    </row>
    <row r="100" spans="1:52" s="110" customFormat="1" ht="11.25" customHeight="1">
      <c r="A100" s="123" t="s">
        <v>290</v>
      </c>
      <c r="B100" s="123">
        <v>1</v>
      </c>
      <c r="C100" s="126">
        <v>93</v>
      </c>
      <c r="D100" s="124" t="s">
        <v>291</v>
      </c>
      <c r="E100" s="192">
        <v>89</v>
      </c>
      <c r="F100" s="125">
        <f>ROUND(E100*Valores!$C$2,2)</f>
        <v>2413.79</v>
      </c>
      <c r="G100" s="192">
        <v>2211</v>
      </c>
      <c r="H100" s="125">
        <f>ROUND(G100*Valores!$C$2,2)</f>
        <v>59964.97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12736.68</v>
      </c>
      <c r="N100" s="125">
        <f t="shared" si="11"/>
        <v>0</v>
      </c>
      <c r="O100" s="125">
        <f>Valores!$C$8</f>
        <v>29851.25</v>
      </c>
      <c r="P100" s="125">
        <f>Valores!$D$5</f>
        <v>13864.36</v>
      </c>
      <c r="Q100" s="125">
        <f>Valores!$C$22</f>
        <v>12369.22</v>
      </c>
      <c r="R100" s="125">
        <f>IF($F$4="NO",Valores!$C$44,Valores!$C$44/2)</f>
        <v>9631.44</v>
      </c>
      <c r="S100" s="125">
        <f>Valores!$C$19</f>
        <v>12901.01</v>
      </c>
      <c r="T100" s="125">
        <f t="shared" si="17"/>
        <v>12901.01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Valores!$C$94</f>
        <v>6318.76</v>
      </c>
      <c r="AA100" s="125">
        <f>Valores!$C$25</f>
        <v>567.06</v>
      </c>
      <c r="AB100" s="214">
        <v>0</v>
      </c>
      <c r="AC100" s="125">
        <f t="shared" si="12"/>
        <v>0</v>
      </c>
      <c r="AD100" s="125">
        <f>Valores!$C$26</f>
        <v>567.06</v>
      </c>
      <c r="AE100" s="192">
        <v>0</v>
      </c>
      <c r="AF100" s="125">
        <f>ROUND(AE100*Valores!$C$2,2)</f>
        <v>0</v>
      </c>
      <c r="AG100" s="125">
        <f>ROUND(IF($F$4="NO",Valores!$C$63,Valores!$C$63/2),2)</f>
        <v>6482.98</v>
      </c>
      <c r="AH100" s="125">
        <f t="shared" si="15"/>
        <v>167668.58000000002</v>
      </c>
      <c r="AI100" s="125">
        <f>Valores!$C$31</f>
        <v>0</v>
      </c>
      <c r="AJ100" s="125">
        <f>Valores!$C$87</f>
        <v>0</v>
      </c>
      <c r="AK100" s="125">
        <f>Valores!C$38*B100</f>
        <v>30000</v>
      </c>
      <c r="AL100" s="125">
        <f>IF($F$3="NO",0,Valores!$C$56)</f>
        <v>170.34</v>
      </c>
      <c r="AM100" s="125">
        <f t="shared" si="13"/>
        <v>30170.34</v>
      </c>
      <c r="AN100" s="125">
        <f>AH100*Valores!$C$71</f>
        <v>-18443.543800000003</v>
      </c>
      <c r="AO100" s="125">
        <f>AH100*-Valores!$C$72</f>
        <v>0</v>
      </c>
      <c r="AP100" s="125">
        <f>AH100*Valores!$C$73</f>
        <v>-7545.0861</v>
      </c>
      <c r="AQ100" s="125">
        <f>Valores!$C$100</f>
        <v>-280.91</v>
      </c>
      <c r="AR100" s="125">
        <f>IF($F$5=0,Valores!$C$101,(Valores!$C$101+$F$5*(Valores!$C$101)))</f>
        <v>-385</v>
      </c>
      <c r="AS100" s="125">
        <f t="shared" si="16"/>
        <v>171184.3801</v>
      </c>
      <c r="AT100" s="125">
        <f t="shared" si="10"/>
        <v>-18443.543800000003</v>
      </c>
      <c r="AU100" s="125">
        <f>AH100*Valores!$C$74</f>
        <v>-4527.05166</v>
      </c>
      <c r="AV100" s="125">
        <f>AH100*Valores!$C$75</f>
        <v>-503.00574000000006</v>
      </c>
      <c r="AW100" s="125">
        <f t="shared" si="14"/>
        <v>174365.3188</v>
      </c>
      <c r="AX100" s="126"/>
      <c r="AY100" s="126"/>
      <c r="AZ100" s="123" t="s">
        <v>4</v>
      </c>
    </row>
    <row r="101" spans="1:52" s="110" customFormat="1" ht="11.25" customHeight="1">
      <c r="A101" s="123" t="s">
        <v>292</v>
      </c>
      <c r="B101" s="123">
        <v>1</v>
      </c>
      <c r="C101" s="126">
        <v>94</v>
      </c>
      <c r="D101" s="124" t="s">
        <v>293</v>
      </c>
      <c r="E101" s="192">
        <v>89</v>
      </c>
      <c r="F101" s="125">
        <f>ROUND(E101*Valores!$C$2,2)</f>
        <v>2413.79</v>
      </c>
      <c r="G101" s="192">
        <v>1956</v>
      </c>
      <c r="H101" s="125">
        <f>ROUND(G101*Valores!$C$2,2)</f>
        <v>53049.07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11699.3</v>
      </c>
      <c r="N101" s="125">
        <f t="shared" si="11"/>
        <v>0</v>
      </c>
      <c r="O101" s="125">
        <f>Valores!$C$16</f>
        <v>23436.25</v>
      </c>
      <c r="P101" s="125">
        <f>Valores!$D$5</f>
        <v>13864.36</v>
      </c>
      <c r="Q101" s="125">
        <v>0</v>
      </c>
      <c r="R101" s="125">
        <f>IF($F$4="NO",Valores!$C$44,Valores!$C$44/2)</f>
        <v>9631.44</v>
      </c>
      <c r="S101" s="125">
        <f>Valores!$C$19</f>
        <v>12901.01</v>
      </c>
      <c r="T101" s="125">
        <f t="shared" si="17"/>
        <v>12901.01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Valores!$C$94</f>
        <v>6318.76</v>
      </c>
      <c r="AA101" s="125">
        <f>Valores!$C$25</f>
        <v>567.06</v>
      </c>
      <c r="AB101" s="214">
        <v>0</v>
      </c>
      <c r="AC101" s="125">
        <f t="shared" si="12"/>
        <v>0</v>
      </c>
      <c r="AD101" s="125">
        <f>Valores!$C$26</f>
        <v>567.06</v>
      </c>
      <c r="AE101" s="192">
        <v>0</v>
      </c>
      <c r="AF101" s="125">
        <f>ROUND(AE101*Valores!$C$2,2)</f>
        <v>0</v>
      </c>
      <c r="AG101" s="125">
        <f>ROUND(IF($F$4="NO",Valores!$C$63,Valores!$C$63/2),2)</f>
        <v>6482.98</v>
      </c>
      <c r="AH101" s="125">
        <f t="shared" si="15"/>
        <v>140931.08000000002</v>
      </c>
      <c r="AI101" s="125">
        <f>Valores!$C$31</f>
        <v>0</v>
      </c>
      <c r="AJ101" s="125">
        <f>Valores!$C$87</f>
        <v>0</v>
      </c>
      <c r="AK101" s="125">
        <f>Valores!C$38*B101</f>
        <v>30000</v>
      </c>
      <c r="AL101" s="125">
        <f>IF($F$3="NO",0,Valores!$C$56)</f>
        <v>170.34</v>
      </c>
      <c r="AM101" s="125">
        <f t="shared" si="13"/>
        <v>30170.34</v>
      </c>
      <c r="AN101" s="125">
        <f>AH101*Valores!$C$71</f>
        <v>-15502.418800000001</v>
      </c>
      <c r="AO101" s="125">
        <f>AH101*-Valores!$C$72</f>
        <v>0</v>
      </c>
      <c r="AP101" s="125">
        <f>AH101*Valores!$C$73</f>
        <v>-6341.8986</v>
      </c>
      <c r="AQ101" s="125">
        <f>Valores!$C$100</f>
        <v>-280.91</v>
      </c>
      <c r="AR101" s="125">
        <f>IF($F$5=0,Valores!$C$101,(Valores!$C$101+$F$5*(Valores!$C$101)))</f>
        <v>-385</v>
      </c>
      <c r="AS101" s="125">
        <f t="shared" si="16"/>
        <v>148591.1926</v>
      </c>
      <c r="AT101" s="125">
        <f t="shared" si="10"/>
        <v>-15502.418800000001</v>
      </c>
      <c r="AU101" s="125">
        <f>AH101*Valores!$C$74</f>
        <v>-3805.13916</v>
      </c>
      <c r="AV101" s="125">
        <f>AH101*Valores!$C$75</f>
        <v>-422.7932400000001</v>
      </c>
      <c r="AW101" s="125">
        <f t="shared" si="14"/>
        <v>151371.0688</v>
      </c>
      <c r="AX101" s="126"/>
      <c r="AY101" s="126"/>
      <c r="AZ101" s="123" t="s">
        <v>8</v>
      </c>
    </row>
    <row r="102" spans="1:52" s="110" customFormat="1" ht="11.25" customHeight="1">
      <c r="A102" s="123" t="s">
        <v>294</v>
      </c>
      <c r="B102" s="123">
        <v>1</v>
      </c>
      <c r="C102" s="126">
        <v>95</v>
      </c>
      <c r="D102" s="124" t="s">
        <v>295</v>
      </c>
      <c r="E102" s="192">
        <v>89</v>
      </c>
      <c r="F102" s="125">
        <f>ROUND(E102*Valores!$C$2,2)</f>
        <v>2413.79</v>
      </c>
      <c r="G102" s="192">
        <v>1267</v>
      </c>
      <c r="H102" s="125">
        <f>ROUND(G102*Valores!$C$2,2)</f>
        <v>34362.56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8896.32</v>
      </c>
      <c r="N102" s="125">
        <f t="shared" si="11"/>
        <v>0</v>
      </c>
      <c r="O102" s="125">
        <f>Valores!$C$16</f>
        <v>23436.25</v>
      </c>
      <c r="P102" s="125">
        <f>Valores!$D$5</f>
        <v>13864.36</v>
      </c>
      <c r="Q102" s="125">
        <v>0</v>
      </c>
      <c r="R102" s="125">
        <f>IF($F$4="NO",Valores!$C$44,Valores!$C$44/2)</f>
        <v>9631.44</v>
      </c>
      <c r="S102" s="125">
        <f>Valores!$C$19</f>
        <v>12901.01</v>
      </c>
      <c r="T102" s="125">
        <f t="shared" si="17"/>
        <v>12901.01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Valores!$C$94</f>
        <v>6318.76</v>
      </c>
      <c r="AA102" s="125">
        <f>Valores!$C$25</f>
        <v>567.06</v>
      </c>
      <c r="AB102" s="214">
        <v>0</v>
      </c>
      <c r="AC102" s="125">
        <f t="shared" si="12"/>
        <v>0</v>
      </c>
      <c r="AD102" s="125">
        <f>Valores!$C$26</f>
        <v>567.06</v>
      </c>
      <c r="AE102" s="192">
        <v>0</v>
      </c>
      <c r="AF102" s="125">
        <f>ROUND(AE102*Valores!$C$2,2)</f>
        <v>0</v>
      </c>
      <c r="AG102" s="125">
        <f>ROUND(IF($F$4="NO",Valores!$C$63,Valores!$C$63/2),2)</f>
        <v>6482.98</v>
      </c>
      <c r="AH102" s="125">
        <f t="shared" si="15"/>
        <v>119441.58999999998</v>
      </c>
      <c r="AI102" s="125">
        <f>Valores!$C$31</f>
        <v>0</v>
      </c>
      <c r="AJ102" s="125">
        <f>Valores!$C$87</f>
        <v>0</v>
      </c>
      <c r="AK102" s="125">
        <f>Valores!C$38*B102</f>
        <v>30000</v>
      </c>
      <c r="AL102" s="125">
        <f>IF($F$3="NO",0,Valores!$C$56)</f>
        <v>170.34</v>
      </c>
      <c r="AM102" s="125">
        <f t="shared" si="13"/>
        <v>30170.34</v>
      </c>
      <c r="AN102" s="125">
        <f>AH102*Valores!$C$71</f>
        <v>-13138.574899999998</v>
      </c>
      <c r="AO102" s="125">
        <f>AH102*-Valores!$C$72</f>
        <v>0</v>
      </c>
      <c r="AP102" s="125">
        <f>AH102*Valores!$C$73</f>
        <v>-5374.871549999999</v>
      </c>
      <c r="AQ102" s="125">
        <f>Valores!$C$100</f>
        <v>-280.91</v>
      </c>
      <c r="AR102" s="125">
        <f>IF($F$5=0,Valores!$C$101,(Valores!$C$101+$F$5*(Valores!$C$101)))</f>
        <v>-385</v>
      </c>
      <c r="AS102" s="125">
        <f t="shared" si="16"/>
        <v>130432.57354999999</v>
      </c>
      <c r="AT102" s="125">
        <f t="shared" si="10"/>
        <v>-13138.574899999998</v>
      </c>
      <c r="AU102" s="125">
        <f>AH102*Valores!$C$74</f>
        <v>-3224.9229299999993</v>
      </c>
      <c r="AV102" s="125">
        <f>AH102*Valores!$C$75</f>
        <v>-358.32476999999994</v>
      </c>
      <c r="AW102" s="125">
        <f t="shared" si="14"/>
        <v>132890.1074</v>
      </c>
      <c r="AX102" s="126"/>
      <c r="AY102" s="126"/>
      <c r="AZ102" s="123" t="s">
        <v>8</v>
      </c>
    </row>
    <row r="103" spans="1:52" s="110" customFormat="1" ht="11.25" customHeight="1">
      <c r="A103" s="123" t="s">
        <v>296</v>
      </c>
      <c r="B103" s="123">
        <v>1</v>
      </c>
      <c r="C103" s="126">
        <v>96</v>
      </c>
      <c r="D103" s="124" t="s">
        <v>297</v>
      </c>
      <c r="E103" s="192">
        <v>67</v>
      </c>
      <c r="F103" s="125">
        <f>ROUND(E103*Valores!$C$2,2)</f>
        <v>1817.12</v>
      </c>
      <c r="G103" s="192">
        <v>2108</v>
      </c>
      <c r="H103" s="125">
        <f>ROUND(G103*Valores!$C$2,2)</f>
        <v>57171.49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12045.59</v>
      </c>
      <c r="N103" s="125">
        <f t="shared" si="11"/>
        <v>0</v>
      </c>
      <c r="O103" s="125">
        <f>Valores!$C$14</f>
        <v>24936.25</v>
      </c>
      <c r="P103" s="125">
        <f>Valores!$D$5</f>
        <v>13864.36</v>
      </c>
      <c r="Q103" s="125">
        <v>0</v>
      </c>
      <c r="R103" s="125">
        <f>IF($F$4="NO",Valores!$C$42,Valores!$C$42/2)</f>
        <v>8546.22</v>
      </c>
      <c r="S103" s="125">
        <f>Valores!$C$20</f>
        <v>12769.11</v>
      </c>
      <c r="T103" s="125">
        <f t="shared" si="17"/>
        <v>12769.11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Valores!$C$94</f>
        <v>6318.76</v>
      </c>
      <c r="AA103" s="125">
        <f>Valores!$C$25</f>
        <v>567.06</v>
      </c>
      <c r="AB103" s="214">
        <v>0</v>
      </c>
      <c r="AC103" s="125">
        <f t="shared" si="12"/>
        <v>0</v>
      </c>
      <c r="AD103" s="125">
        <f>Valores!$C$26</f>
        <v>567.06</v>
      </c>
      <c r="AE103" s="192">
        <v>0</v>
      </c>
      <c r="AF103" s="125">
        <f>ROUND(AE103*Valores!$C$2,2)</f>
        <v>0</v>
      </c>
      <c r="AG103" s="125">
        <f>ROUND(IF($F$4="NO",Valores!$C$63,Valores!$C$63/2),2)</f>
        <v>6482.98</v>
      </c>
      <c r="AH103" s="125">
        <f t="shared" si="15"/>
        <v>145086.00000000003</v>
      </c>
      <c r="AI103" s="125">
        <f>Valores!$C$31</f>
        <v>0</v>
      </c>
      <c r="AJ103" s="125">
        <f>Valores!$C$87</f>
        <v>0</v>
      </c>
      <c r="AK103" s="125">
        <f>Valores!C$38*B103</f>
        <v>30000</v>
      </c>
      <c r="AL103" s="125">
        <f>IF($F$3="NO",0,Valores!$C$56)</f>
        <v>170.34</v>
      </c>
      <c r="AM103" s="125">
        <f t="shared" si="13"/>
        <v>30170.34</v>
      </c>
      <c r="AN103" s="125">
        <f>AH103*Valores!$C$71</f>
        <v>-15959.460000000003</v>
      </c>
      <c r="AO103" s="125">
        <f>AH103*-Valores!$C$72</f>
        <v>0</v>
      </c>
      <c r="AP103" s="125">
        <f>AH103*Valores!$C$73</f>
        <v>-6528.870000000001</v>
      </c>
      <c r="AQ103" s="125">
        <f>Valores!$C$100</f>
        <v>-280.91</v>
      </c>
      <c r="AR103" s="125">
        <f>IF($F$5=0,Valores!$C$101,(Valores!$C$101+$F$5*(Valores!$C$101)))</f>
        <v>-385</v>
      </c>
      <c r="AS103" s="125">
        <f t="shared" si="16"/>
        <v>152102.10000000003</v>
      </c>
      <c r="AT103" s="125">
        <f t="shared" si="10"/>
        <v>-15959.460000000003</v>
      </c>
      <c r="AU103" s="125">
        <f>AH103*Valores!$C$74</f>
        <v>-3917.3220000000006</v>
      </c>
      <c r="AV103" s="125">
        <f>AH103*Valores!$C$75</f>
        <v>-435.2580000000001</v>
      </c>
      <c r="AW103" s="125">
        <f t="shared" si="14"/>
        <v>154944.30000000002</v>
      </c>
      <c r="AX103" s="126"/>
      <c r="AY103" s="126">
        <v>30</v>
      </c>
      <c r="AZ103" s="123" t="s">
        <v>4</v>
      </c>
    </row>
    <row r="104" spans="1:52" s="110" customFormat="1" ht="11.25" customHeight="1">
      <c r="A104" s="123" t="s">
        <v>298</v>
      </c>
      <c r="B104" s="123">
        <v>1</v>
      </c>
      <c r="C104" s="126">
        <v>97</v>
      </c>
      <c r="D104" s="124" t="s">
        <v>299</v>
      </c>
      <c r="E104" s="192">
        <v>45</v>
      </c>
      <c r="F104" s="125">
        <f>ROUND(E104*Valores!$C$2,2)</f>
        <v>1220.45</v>
      </c>
      <c r="G104" s="192">
        <v>1502</v>
      </c>
      <c r="H104" s="125">
        <f>ROUND(G104*Valores!$C$2,2)</f>
        <v>40736.04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9490.77</v>
      </c>
      <c r="N104" s="125">
        <f t="shared" si="11"/>
        <v>0</v>
      </c>
      <c r="O104" s="125">
        <f>Valores!$C$14</f>
        <v>24936.25</v>
      </c>
      <c r="P104" s="125">
        <f>Valores!$D$5</f>
        <v>13864.36</v>
      </c>
      <c r="Q104" s="125">
        <v>0</v>
      </c>
      <c r="R104" s="125">
        <f>IF($F$4="NO",Valores!$C$42,Valores!$C$42/2)</f>
        <v>8546.22</v>
      </c>
      <c r="S104" s="125">
        <f>Valores!$C$20</f>
        <v>12769.11</v>
      </c>
      <c r="T104" s="125">
        <f t="shared" si="17"/>
        <v>12769.11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Valores!$C$94</f>
        <v>6318.76</v>
      </c>
      <c r="AA104" s="125">
        <f>Valores!$C$25</f>
        <v>567.06</v>
      </c>
      <c r="AB104" s="214">
        <v>0</v>
      </c>
      <c r="AC104" s="125">
        <f t="shared" si="12"/>
        <v>0</v>
      </c>
      <c r="AD104" s="125">
        <f>Valores!$C$26</f>
        <v>567.06</v>
      </c>
      <c r="AE104" s="192">
        <v>0</v>
      </c>
      <c r="AF104" s="125">
        <f>ROUND(AE104*Valores!$C$2,2)</f>
        <v>0</v>
      </c>
      <c r="AG104" s="125">
        <f>ROUND(IF($F$4="NO",Valores!$C$63,Valores!$C$63/2),2)</f>
        <v>6482.98</v>
      </c>
      <c r="AH104" s="125">
        <f t="shared" si="15"/>
        <v>125499.05999999998</v>
      </c>
      <c r="AI104" s="125">
        <f>Valores!$C$31</f>
        <v>0</v>
      </c>
      <c r="AJ104" s="125">
        <f>Valores!$C$87</f>
        <v>0</v>
      </c>
      <c r="AK104" s="125">
        <f>Valores!C$38*B104</f>
        <v>30000</v>
      </c>
      <c r="AL104" s="125">
        <f>IF($F$3="NO",0,Valores!$C$56)</f>
        <v>170.34</v>
      </c>
      <c r="AM104" s="125">
        <f t="shared" si="13"/>
        <v>30170.34</v>
      </c>
      <c r="AN104" s="125">
        <f>AH104*Valores!$C$71</f>
        <v>-13804.896599999998</v>
      </c>
      <c r="AO104" s="125">
        <f>AH104*-Valores!$C$72</f>
        <v>0</v>
      </c>
      <c r="AP104" s="125">
        <f>AH104*Valores!$C$73</f>
        <v>-5647.457699999999</v>
      </c>
      <c r="AQ104" s="125">
        <f>Valores!$C$100</f>
        <v>-280.91</v>
      </c>
      <c r="AR104" s="125">
        <f>IF($F$5=0,Valores!$C$101,(Valores!$C$101+$F$5*(Valores!$C$101)))</f>
        <v>-385</v>
      </c>
      <c r="AS104" s="125">
        <f t="shared" si="16"/>
        <v>135551.13569999998</v>
      </c>
      <c r="AT104" s="125">
        <f t="shared" si="10"/>
        <v>-13804.896599999998</v>
      </c>
      <c r="AU104" s="125">
        <f>AH104*Valores!$C$74</f>
        <v>-3388.4746199999995</v>
      </c>
      <c r="AV104" s="125">
        <f>AH104*Valores!$C$75</f>
        <v>-376.49717999999996</v>
      </c>
      <c r="AW104" s="125">
        <f t="shared" si="14"/>
        <v>138099.5316</v>
      </c>
      <c r="AX104" s="126"/>
      <c r="AY104" s="126"/>
      <c r="AZ104" s="123" t="s">
        <v>4</v>
      </c>
    </row>
    <row r="105" spans="1:52" s="110" customFormat="1" ht="11.25" customHeight="1">
      <c r="A105" s="123" t="s">
        <v>300</v>
      </c>
      <c r="B105" s="123">
        <v>1</v>
      </c>
      <c r="C105" s="126">
        <v>98</v>
      </c>
      <c r="D105" s="124" t="s">
        <v>301</v>
      </c>
      <c r="E105" s="192">
        <v>61</v>
      </c>
      <c r="F105" s="125">
        <f>ROUND(E105*Valores!$C$2,2)</f>
        <v>1654.39</v>
      </c>
      <c r="G105" s="192">
        <v>2114</v>
      </c>
      <c r="H105" s="125">
        <f>ROUND(G105*Valores!$C$2,2)</f>
        <v>57334.22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12045.59</v>
      </c>
      <c r="N105" s="125">
        <f t="shared" si="11"/>
        <v>0</v>
      </c>
      <c r="O105" s="125">
        <f>Valores!$C$14</f>
        <v>24936.25</v>
      </c>
      <c r="P105" s="125">
        <f>Valores!$D$5</f>
        <v>13864.36</v>
      </c>
      <c r="Q105" s="125">
        <v>0</v>
      </c>
      <c r="R105" s="125">
        <f>IF($F$4="NO",Valores!$C$42,Valores!$C$42/2)</f>
        <v>8546.22</v>
      </c>
      <c r="S105" s="125">
        <f>Valores!$C$20</f>
        <v>12769.11</v>
      </c>
      <c r="T105" s="125">
        <f t="shared" si="17"/>
        <v>12769.11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Valores!$C$94</f>
        <v>6318.76</v>
      </c>
      <c r="AA105" s="125">
        <f>Valores!$C$25</f>
        <v>567.06</v>
      </c>
      <c r="AB105" s="214">
        <v>0</v>
      </c>
      <c r="AC105" s="125">
        <f t="shared" si="12"/>
        <v>0</v>
      </c>
      <c r="AD105" s="125">
        <f>Valores!$C$26</f>
        <v>567.06</v>
      </c>
      <c r="AE105" s="192">
        <v>0</v>
      </c>
      <c r="AF105" s="125">
        <f>ROUND(AE105*Valores!$C$2,2)</f>
        <v>0</v>
      </c>
      <c r="AG105" s="125">
        <f>ROUND(IF($F$4="NO",Valores!$C$63,Valores!$C$63/2),2)</f>
        <v>6482.98</v>
      </c>
      <c r="AH105" s="125">
        <f t="shared" si="15"/>
        <v>145086.00000000003</v>
      </c>
      <c r="AI105" s="125">
        <f>Valores!$C$31</f>
        <v>0</v>
      </c>
      <c r="AJ105" s="125">
        <f>Valores!$C$87</f>
        <v>0</v>
      </c>
      <c r="AK105" s="125">
        <f>Valores!C$38*B105</f>
        <v>30000</v>
      </c>
      <c r="AL105" s="125">
        <f>IF($F$3="NO",0,Valores!$C$56)</f>
        <v>170.34</v>
      </c>
      <c r="AM105" s="125">
        <f t="shared" si="13"/>
        <v>30170.34</v>
      </c>
      <c r="AN105" s="125">
        <f>AH105*Valores!$C$71</f>
        <v>-15959.460000000003</v>
      </c>
      <c r="AO105" s="125">
        <f>AH105*-Valores!$C$72</f>
        <v>0</v>
      </c>
      <c r="AP105" s="125">
        <f>AH105*Valores!$C$73</f>
        <v>-6528.870000000001</v>
      </c>
      <c r="AQ105" s="125">
        <f>Valores!$C$100</f>
        <v>-280.91</v>
      </c>
      <c r="AR105" s="125">
        <f>IF($F$5=0,Valores!$C$101,(Valores!$C$101+$F$5*(Valores!$C$101)))</f>
        <v>-385</v>
      </c>
      <c r="AS105" s="125">
        <f t="shared" si="16"/>
        <v>152102.10000000003</v>
      </c>
      <c r="AT105" s="125">
        <f t="shared" si="10"/>
        <v>-15959.460000000003</v>
      </c>
      <c r="AU105" s="125">
        <f>AH105*Valores!$C$74</f>
        <v>-3917.3220000000006</v>
      </c>
      <c r="AV105" s="125">
        <f>AH105*Valores!$C$75</f>
        <v>-435.2580000000001</v>
      </c>
      <c r="AW105" s="125">
        <f t="shared" si="14"/>
        <v>154944.30000000002</v>
      </c>
      <c r="AX105" s="126"/>
      <c r="AY105" s="126">
        <v>30</v>
      </c>
      <c r="AZ105" s="123" t="s">
        <v>4</v>
      </c>
    </row>
    <row r="106" spans="1:52" s="110" customFormat="1" ht="11.25" customHeight="1">
      <c r="A106" s="123" t="s">
        <v>302</v>
      </c>
      <c r="B106" s="123">
        <v>1</v>
      </c>
      <c r="C106" s="126">
        <v>99</v>
      </c>
      <c r="D106" s="124" t="s">
        <v>303</v>
      </c>
      <c r="E106" s="192">
        <v>59</v>
      </c>
      <c r="F106" s="125">
        <f>ROUND(E106*Valores!$C$2,2)</f>
        <v>1600.15</v>
      </c>
      <c r="G106" s="192">
        <v>2013</v>
      </c>
      <c r="H106" s="125">
        <f>ROUND(G106*Valores!$C$2,2)</f>
        <v>54594.98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11626.57</v>
      </c>
      <c r="N106" s="125">
        <f t="shared" si="11"/>
        <v>0</v>
      </c>
      <c r="O106" s="125">
        <f>Valores!$C$14</f>
        <v>24936.25</v>
      </c>
      <c r="P106" s="125">
        <f>Valores!$D$5</f>
        <v>13864.36</v>
      </c>
      <c r="Q106" s="125">
        <v>0</v>
      </c>
      <c r="R106" s="125">
        <f>IF($F$4="NO",Valores!$C$42,Valores!$C$42/2)</f>
        <v>8546.22</v>
      </c>
      <c r="S106" s="125">
        <f>Valores!$C$20</f>
        <v>12769.11</v>
      </c>
      <c r="T106" s="125">
        <f t="shared" si="17"/>
        <v>12769.11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Valores!$C$94</f>
        <v>6318.76</v>
      </c>
      <c r="AA106" s="125">
        <f>Valores!$C$25</f>
        <v>567.06</v>
      </c>
      <c r="AB106" s="214">
        <v>0</v>
      </c>
      <c r="AC106" s="125">
        <f t="shared" si="12"/>
        <v>0</v>
      </c>
      <c r="AD106" s="125">
        <f>Valores!$C$26</f>
        <v>567.06</v>
      </c>
      <c r="AE106" s="192">
        <v>0</v>
      </c>
      <c r="AF106" s="125">
        <f>ROUND(AE106*Valores!$C$2,2)</f>
        <v>0</v>
      </c>
      <c r="AG106" s="125">
        <f>ROUND(IF($F$4="NO",Valores!$C$63,Valores!$C$63/2),2)</f>
        <v>6482.98</v>
      </c>
      <c r="AH106" s="125">
        <f t="shared" si="15"/>
        <v>141873.50000000003</v>
      </c>
      <c r="AI106" s="125">
        <f>Valores!$C$31</f>
        <v>0</v>
      </c>
      <c r="AJ106" s="125">
        <f>Valores!$C$87</f>
        <v>0</v>
      </c>
      <c r="AK106" s="125">
        <f>Valores!C$38*B106</f>
        <v>30000</v>
      </c>
      <c r="AL106" s="125">
        <f>IF($F$3="NO",0,Valores!$C$56)</f>
        <v>170.34</v>
      </c>
      <c r="AM106" s="125">
        <f t="shared" si="13"/>
        <v>30170.34</v>
      </c>
      <c r="AN106" s="125">
        <f>AH106*Valores!$C$71</f>
        <v>-15606.085000000003</v>
      </c>
      <c r="AO106" s="125">
        <f>AH106*-Valores!$C$72</f>
        <v>0</v>
      </c>
      <c r="AP106" s="125">
        <f>AH106*Valores!$C$73</f>
        <v>-6384.307500000001</v>
      </c>
      <c r="AQ106" s="125">
        <f>Valores!$C$100</f>
        <v>-280.91</v>
      </c>
      <c r="AR106" s="125">
        <f>IF($F$5=0,Valores!$C$101,(Valores!$C$101+$F$5*(Valores!$C$101)))</f>
        <v>-385</v>
      </c>
      <c r="AS106" s="125">
        <f t="shared" si="16"/>
        <v>149387.53750000003</v>
      </c>
      <c r="AT106" s="125">
        <f t="shared" si="10"/>
        <v>-15606.085000000003</v>
      </c>
      <c r="AU106" s="125">
        <f>AH106*Valores!$C$74</f>
        <v>-3830.584500000001</v>
      </c>
      <c r="AV106" s="125">
        <f>AH106*Valores!$C$75</f>
        <v>-425.6205000000001</v>
      </c>
      <c r="AW106" s="125">
        <f t="shared" si="14"/>
        <v>152181.55000000002</v>
      </c>
      <c r="AX106" s="126"/>
      <c r="AY106" s="126">
        <v>30</v>
      </c>
      <c r="AZ106" s="123" t="s">
        <v>4</v>
      </c>
    </row>
    <row r="107" spans="1:52" s="110" customFormat="1" ht="11.25" customHeight="1">
      <c r="A107" s="123" t="s">
        <v>304</v>
      </c>
      <c r="B107" s="123">
        <v>1</v>
      </c>
      <c r="C107" s="126">
        <v>100</v>
      </c>
      <c r="D107" s="124" t="s">
        <v>305</v>
      </c>
      <c r="E107" s="192">
        <v>56</v>
      </c>
      <c r="F107" s="125">
        <f>ROUND(E107*Valores!$C$2,2)</f>
        <v>1518.79</v>
      </c>
      <c r="G107" s="192">
        <v>1720</v>
      </c>
      <c r="H107" s="125">
        <f>ROUND(G107*Valores!$C$2,2)</f>
        <v>46648.46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10422.39</v>
      </c>
      <c r="N107" s="125">
        <f t="shared" si="11"/>
        <v>0</v>
      </c>
      <c r="O107" s="125">
        <f>Valores!$C$14</f>
        <v>24936.25</v>
      </c>
      <c r="P107" s="125">
        <f>Valores!$D$5</f>
        <v>13864.36</v>
      </c>
      <c r="Q107" s="125">
        <v>0</v>
      </c>
      <c r="R107" s="125">
        <f>IF($F$4="NO",Valores!$C$42,Valores!$C$42/2)</f>
        <v>8546.22</v>
      </c>
      <c r="S107" s="125">
        <f>Valores!$C$20</f>
        <v>12769.11</v>
      </c>
      <c r="T107" s="125">
        <f t="shared" si="17"/>
        <v>12769.11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Valores!$C$94</f>
        <v>6318.76</v>
      </c>
      <c r="AA107" s="125">
        <f>Valores!$C$25</f>
        <v>567.06</v>
      </c>
      <c r="AB107" s="214">
        <v>0</v>
      </c>
      <c r="AC107" s="125">
        <f t="shared" si="12"/>
        <v>0</v>
      </c>
      <c r="AD107" s="125">
        <f>Valores!$C$26</f>
        <v>567.06</v>
      </c>
      <c r="AE107" s="192">
        <v>0</v>
      </c>
      <c r="AF107" s="125">
        <f>ROUND(AE107*Valores!$C$2,2)</f>
        <v>0</v>
      </c>
      <c r="AG107" s="125">
        <f>ROUND(IF($F$4="NO",Valores!$C$63,Valores!$C$63/2),2)</f>
        <v>6482.98</v>
      </c>
      <c r="AH107" s="125">
        <f t="shared" si="15"/>
        <v>132641.44</v>
      </c>
      <c r="AI107" s="125">
        <f>Valores!$C$31</f>
        <v>0</v>
      </c>
      <c r="AJ107" s="125">
        <f>Valores!$C$87</f>
        <v>0</v>
      </c>
      <c r="AK107" s="125">
        <f>Valores!C$38*B107</f>
        <v>30000</v>
      </c>
      <c r="AL107" s="125">
        <f>IF($F$3="NO",0,Valores!$C$56)</f>
        <v>170.34</v>
      </c>
      <c r="AM107" s="125">
        <f t="shared" si="13"/>
        <v>30170.34</v>
      </c>
      <c r="AN107" s="125">
        <f>AH107*Valores!$C$71</f>
        <v>-14590.5584</v>
      </c>
      <c r="AO107" s="125">
        <f>AH107*-Valores!$C$72</f>
        <v>0</v>
      </c>
      <c r="AP107" s="125">
        <f>AH107*Valores!$C$73</f>
        <v>-5968.8648</v>
      </c>
      <c r="AQ107" s="125">
        <f>Valores!$C$100</f>
        <v>-280.91</v>
      </c>
      <c r="AR107" s="125">
        <f>IF($F$5=0,Valores!$C$101,(Valores!$C$101+$F$5*(Valores!$C$101)))</f>
        <v>-385</v>
      </c>
      <c r="AS107" s="125">
        <f t="shared" si="16"/>
        <v>141586.4468</v>
      </c>
      <c r="AT107" s="125">
        <f t="shared" si="10"/>
        <v>-14590.5584</v>
      </c>
      <c r="AU107" s="125">
        <f>AH107*Valores!$C$74</f>
        <v>-3581.31888</v>
      </c>
      <c r="AV107" s="125">
        <f>AH107*Valores!$C$75</f>
        <v>-397.92432</v>
      </c>
      <c r="AW107" s="125">
        <f t="shared" si="14"/>
        <v>144241.9784</v>
      </c>
      <c r="AX107" s="126"/>
      <c r="AY107" s="126">
        <v>30</v>
      </c>
      <c r="AZ107" s="123" t="s">
        <v>4</v>
      </c>
    </row>
    <row r="108" spans="1:52" s="110" customFormat="1" ht="11.25" customHeight="1">
      <c r="A108" s="123" t="s">
        <v>306</v>
      </c>
      <c r="B108" s="123">
        <v>1</v>
      </c>
      <c r="C108" s="126">
        <v>101</v>
      </c>
      <c r="D108" s="124" t="s">
        <v>307</v>
      </c>
      <c r="E108" s="192">
        <v>45</v>
      </c>
      <c r="F108" s="125">
        <f>ROUND(E108*Valores!$C$2,2)</f>
        <v>1220.45</v>
      </c>
      <c r="G108" s="192">
        <v>1502</v>
      </c>
      <c r="H108" s="125">
        <f>ROUND(G108*Valores!$C$2,2)</f>
        <v>40736.04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9490.77</v>
      </c>
      <c r="N108" s="125">
        <f t="shared" si="11"/>
        <v>0</v>
      </c>
      <c r="O108" s="125">
        <f>Valores!$C$14</f>
        <v>24936.25</v>
      </c>
      <c r="P108" s="125">
        <f>Valores!$D$5</f>
        <v>13864.36</v>
      </c>
      <c r="Q108" s="125">
        <v>0</v>
      </c>
      <c r="R108" s="125">
        <f>IF($F$4="NO",Valores!$C$42,Valores!$C$42/2)</f>
        <v>8546.22</v>
      </c>
      <c r="S108" s="125">
        <f>Valores!$C$20</f>
        <v>12769.11</v>
      </c>
      <c r="T108" s="125">
        <f t="shared" si="17"/>
        <v>12769.11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Valores!$C$94</f>
        <v>6318.76</v>
      </c>
      <c r="AA108" s="125">
        <f>Valores!$C$25</f>
        <v>567.06</v>
      </c>
      <c r="AB108" s="214">
        <v>0</v>
      </c>
      <c r="AC108" s="125">
        <f t="shared" si="12"/>
        <v>0</v>
      </c>
      <c r="AD108" s="125">
        <f>Valores!$C$26</f>
        <v>567.06</v>
      </c>
      <c r="AE108" s="192">
        <v>0</v>
      </c>
      <c r="AF108" s="125">
        <f>ROUND(AE108*Valores!$C$2,2)</f>
        <v>0</v>
      </c>
      <c r="AG108" s="125">
        <f>ROUND(IF($F$4="NO",Valores!$C$63,Valores!$C$63/2),2)</f>
        <v>6482.98</v>
      </c>
      <c r="AH108" s="125">
        <f t="shared" si="15"/>
        <v>125499.05999999998</v>
      </c>
      <c r="AI108" s="125">
        <f>Valores!$C$31</f>
        <v>0</v>
      </c>
      <c r="AJ108" s="125">
        <f>Valores!$C$87</f>
        <v>0</v>
      </c>
      <c r="AK108" s="125">
        <f>Valores!C$38*B108</f>
        <v>30000</v>
      </c>
      <c r="AL108" s="125">
        <f>IF($F$3="NO",0,Valores!$C$56)</f>
        <v>170.34</v>
      </c>
      <c r="AM108" s="125">
        <f t="shared" si="13"/>
        <v>30170.34</v>
      </c>
      <c r="AN108" s="125">
        <f>AH108*Valores!$C$71</f>
        <v>-13804.896599999998</v>
      </c>
      <c r="AO108" s="125">
        <f>AH108*-Valores!$C$72</f>
        <v>0</v>
      </c>
      <c r="AP108" s="125">
        <f>AH108*Valores!$C$73</f>
        <v>-5647.457699999999</v>
      </c>
      <c r="AQ108" s="125">
        <f>Valores!$C$100</f>
        <v>-280.91</v>
      </c>
      <c r="AR108" s="125">
        <f>IF($F$5=0,Valores!$C$101,(Valores!$C$101+$F$5*(Valores!$C$101)))</f>
        <v>-385</v>
      </c>
      <c r="AS108" s="125">
        <f t="shared" si="16"/>
        <v>135551.13569999998</v>
      </c>
      <c r="AT108" s="125">
        <f t="shared" si="10"/>
        <v>-13804.896599999998</v>
      </c>
      <c r="AU108" s="125">
        <f>AH108*Valores!$C$74</f>
        <v>-3388.4746199999995</v>
      </c>
      <c r="AV108" s="125">
        <f>AH108*Valores!$C$75</f>
        <v>-376.49717999999996</v>
      </c>
      <c r="AW108" s="125">
        <f t="shared" si="14"/>
        <v>138099.5316</v>
      </c>
      <c r="AX108" s="126"/>
      <c r="AY108" s="126">
        <v>30</v>
      </c>
      <c r="AZ108" s="123" t="s">
        <v>4</v>
      </c>
    </row>
    <row r="109" spans="1:52" s="110" customFormat="1" ht="11.25" customHeight="1">
      <c r="A109" s="123" t="s">
        <v>308</v>
      </c>
      <c r="B109" s="123">
        <v>1</v>
      </c>
      <c r="C109" s="126">
        <v>102</v>
      </c>
      <c r="D109" s="124" t="s">
        <v>309</v>
      </c>
      <c r="E109" s="192">
        <v>45</v>
      </c>
      <c r="F109" s="125">
        <f>ROUND(E109*Valores!$C$2,2)</f>
        <v>1220.45</v>
      </c>
      <c r="G109" s="192">
        <v>1139</v>
      </c>
      <c r="H109" s="125">
        <f>ROUND(G109*Valores!$C$2,2)</f>
        <v>30891.05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8014.02</v>
      </c>
      <c r="N109" s="125">
        <f t="shared" si="11"/>
        <v>0</v>
      </c>
      <c r="O109" s="125">
        <f>Valores!$C$14</f>
        <v>24936.25</v>
      </c>
      <c r="P109" s="125">
        <f>Valores!$D$5</f>
        <v>13864.36</v>
      </c>
      <c r="Q109" s="125">
        <v>0</v>
      </c>
      <c r="R109" s="125">
        <f>IF($F$4="NO",Valores!$C$42,Valores!$C$42/2)</f>
        <v>8546.22</v>
      </c>
      <c r="S109" s="125">
        <f>Valores!$C$20</f>
        <v>12769.11</v>
      </c>
      <c r="T109" s="125">
        <f t="shared" si="17"/>
        <v>12769.11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Valores!$C$94</f>
        <v>6318.76</v>
      </c>
      <c r="AA109" s="125">
        <f>Valores!$C$25</f>
        <v>567.06</v>
      </c>
      <c r="AB109" s="214">
        <v>0</v>
      </c>
      <c r="AC109" s="125">
        <f t="shared" si="12"/>
        <v>0</v>
      </c>
      <c r="AD109" s="125">
        <f>Valores!$C$26</f>
        <v>567.06</v>
      </c>
      <c r="AE109" s="192">
        <v>0</v>
      </c>
      <c r="AF109" s="125">
        <f>ROUND(AE109*Valores!$C$2,2)</f>
        <v>0</v>
      </c>
      <c r="AG109" s="125">
        <f>ROUND(IF($F$4="NO",Valores!$C$63,Valores!$C$63/2),2)</f>
        <v>6482.98</v>
      </c>
      <c r="AH109" s="125">
        <f t="shared" si="15"/>
        <v>114177.31999999999</v>
      </c>
      <c r="AI109" s="125">
        <f>Valores!$C$31</f>
        <v>0</v>
      </c>
      <c r="AJ109" s="125">
        <f>Valores!$C$87</f>
        <v>0</v>
      </c>
      <c r="AK109" s="125">
        <f>Valores!C$38*B109</f>
        <v>30000</v>
      </c>
      <c r="AL109" s="125">
        <f>IF($F$3="NO",0,Valores!$C$56)</f>
        <v>170.34</v>
      </c>
      <c r="AM109" s="125">
        <f t="shared" si="13"/>
        <v>30170.34</v>
      </c>
      <c r="AN109" s="125">
        <f>AH109*Valores!$C$71</f>
        <v>-12559.5052</v>
      </c>
      <c r="AO109" s="125">
        <f>AH109*-Valores!$C$72</f>
        <v>0</v>
      </c>
      <c r="AP109" s="125">
        <f>AH109*Valores!$C$73</f>
        <v>-5137.979399999999</v>
      </c>
      <c r="AQ109" s="125">
        <f>Valores!$C$100</f>
        <v>-280.91</v>
      </c>
      <c r="AR109" s="125">
        <f>IF($F$5=0,Valores!$C$101,(Valores!$C$101+$F$5*(Valores!$C$101)))</f>
        <v>-385</v>
      </c>
      <c r="AS109" s="125">
        <f t="shared" si="16"/>
        <v>125984.26539999999</v>
      </c>
      <c r="AT109" s="125">
        <f t="shared" si="10"/>
        <v>-12559.5052</v>
      </c>
      <c r="AU109" s="125">
        <f>AH109*Valores!$C$74</f>
        <v>-3082.7876399999996</v>
      </c>
      <c r="AV109" s="125">
        <f>AH109*Valores!$C$75</f>
        <v>-342.53195999999997</v>
      </c>
      <c r="AW109" s="125">
        <f t="shared" si="14"/>
        <v>128362.8352</v>
      </c>
      <c r="AX109" s="126"/>
      <c r="AY109" s="126">
        <v>30</v>
      </c>
      <c r="AZ109" s="123" t="s">
        <v>4</v>
      </c>
    </row>
    <row r="110" spans="1:52" s="110" customFormat="1" ht="11.25" customHeight="1">
      <c r="A110" s="123" t="s">
        <v>310</v>
      </c>
      <c r="B110" s="123">
        <v>1</v>
      </c>
      <c r="C110" s="126">
        <v>103</v>
      </c>
      <c r="D110" s="124" t="s">
        <v>311</v>
      </c>
      <c r="E110" s="192">
        <v>46</v>
      </c>
      <c r="F110" s="125">
        <f>ROUND(E110*Valores!$C$2,2)</f>
        <v>1247.58</v>
      </c>
      <c r="G110" s="192">
        <v>1102</v>
      </c>
      <c r="H110" s="125">
        <f>ROUND(G110*Valores!$C$2,2)</f>
        <v>29887.56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7867.57</v>
      </c>
      <c r="N110" s="125">
        <f t="shared" si="11"/>
        <v>0</v>
      </c>
      <c r="O110" s="125">
        <f>Valores!$C$14</f>
        <v>24936.25</v>
      </c>
      <c r="P110" s="125">
        <f>Valores!$D$5</f>
        <v>13864.36</v>
      </c>
      <c r="Q110" s="125">
        <v>0</v>
      </c>
      <c r="R110" s="125">
        <f>IF($F$4="NO",Valores!$C$42,Valores!$C$42/2)</f>
        <v>8546.22</v>
      </c>
      <c r="S110" s="125">
        <f>Valores!$C$20</f>
        <v>12769.11</v>
      </c>
      <c r="T110" s="125">
        <f t="shared" si="17"/>
        <v>12769.11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Valores!$C$94</f>
        <v>6318.76</v>
      </c>
      <c r="AA110" s="125">
        <f>Valores!$C$25</f>
        <v>567.06</v>
      </c>
      <c r="AB110" s="214">
        <v>0</v>
      </c>
      <c r="AC110" s="125">
        <f t="shared" si="12"/>
        <v>0</v>
      </c>
      <c r="AD110" s="125">
        <f>Valores!$C$26</f>
        <v>567.06</v>
      </c>
      <c r="AE110" s="192">
        <v>0</v>
      </c>
      <c r="AF110" s="125">
        <f>ROUND(AE110*Valores!$C$2,2)</f>
        <v>0</v>
      </c>
      <c r="AG110" s="125">
        <f>ROUND(IF($F$4="NO",Valores!$C$63,Valores!$C$63/2),2)</f>
        <v>6482.98</v>
      </c>
      <c r="AH110" s="125">
        <f t="shared" si="15"/>
        <v>113054.51</v>
      </c>
      <c r="AI110" s="125">
        <f>Valores!$C$31</f>
        <v>0</v>
      </c>
      <c r="AJ110" s="125">
        <f>Valores!$C$87</f>
        <v>0</v>
      </c>
      <c r="AK110" s="125">
        <f>Valores!C$38*B110</f>
        <v>30000</v>
      </c>
      <c r="AL110" s="125">
        <f>IF($F$3="NO",0,Valores!$C$56)</f>
        <v>170.34</v>
      </c>
      <c r="AM110" s="125">
        <f t="shared" si="13"/>
        <v>30170.34</v>
      </c>
      <c r="AN110" s="125">
        <f>AH110*Valores!$C$71</f>
        <v>-12435.9961</v>
      </c>
      <c r="AO110" s="125">
        <f>AH110*-Valores!$C$72</f>
        <v>0</v>
      </c>
      <c r="AP110" s="125">
        <f>AH110*Valores!$C$73</f>
        <v>-5087.45295</v>
      </c>
      <c r="AQ110" s="125">
        <f>Valores!$C$100</f>
        <v>-280.91</v>
      </c>
      <c r="AR110" s="125">
        <f>IF($F$5=0,Valores!$C$101,(Valores!$C$101+$F$5*(Valores!$C$101)))</f>
        <v>-385</v>
      </c>
      <c r="AS110" s="125">
        <f t="shared" si="16"/>
        <v>125035.49094999999</v>
      </c>
      <c r="AT110" s="125">
        <f t="shared" si="10"/>
        <v>-12435.9961</v>
      </c>
      <c r="AU110" s="125">
        <f>AH110*Valores!$C$74</f>
        <v>-3052.4717699999997</v>
      </c>
      <c r="AV110" s="125">
        <f>AH110*Valores!$C$75</f>
        <v>-339.16353</v>
      </c>
      <c r="AW110" s="125">
        <f t="shared" si="14"/>
        <v>127397.21860000001</v>
      </c>
      <c r="AX110" s="126"/>
      <c r="AY110" s="126">
        <v>30</v>
      </c>
      <c r="AZ110" s="123" t="s">
        <v>4</v>
      </c>
    </row>
    <row r="111" spans="1:52" s="110" customFormat="1" ht="11.25" customHeight="1">
      <c r="A111" s="123" t="s">
        <v>312</v>
      </c>
      <c r="B111" s="123">
        <v>1</v>
      </c>
      <c r="C111" s="126">
        <v>104</v>
      </c>
      <c r="D111" s="124" t="s">
        <v>313</v>
      </c>
      <c r="E111" s="192">
        <v>66</v>
      </c>
      <c r="F111" s="125">
        <f>ROUND(E111*Valores!$C$2,2)</f>
        <v>1790</v>
      </c>
      <c r="G111" s="192">
        <v>1911</v>
      </c>
      <c r="H111" s="125">
        <f>ROUND(G111*Valores!$C$2,2)</f>
        <v>51828.61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11240.09</v>
      </c>
      <c r="N111" s="125">
        <f t="shared" si="11"/>
        <v>0</v>
      </c>
      <c r="O111" s="125">
        <f>Valores!$C$14</f>
        <v>24936.25</v>
      </c>
      <c r="P111" s="125">
        <f>Valores!$D$5</f>
        <v>13864.36</v>
      </c>
      <c r="Q111" s="125">
        <f>Valores!$C$22</f>
        <v>12369.22</v>
      </c>
      <c r="R111" s="125">
        <f>IF($F$4="NO",Valores!$C$42,Valores!$C$42/2)</f>
        <v>8546.22</v>
      </c>
      <c r="S111" s="125">
        <f>Valores!$C$20</f>
        <v>12769.11</v>
      </c>
      <c r="T111" s="125">
        <f t="shared" si="17"/>
        <v>12769.11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Valores!$C$94</f>
        <v>6318.76</v>
      </c>
      <c r="AA111" s="125">
        <f>Valores!$C$25</f>
        <v>567.06</v>
      </c>
      <c r="AB111" s="214">
        <v>0</v>
      </c>
      <c r="AC111" s="125">
        <f t="shared" si="12"/>
        <v>0</v>
      </c>
      <c r="AD111" s="125">
        <f>Valores!$C$26</f>
        <v>567.06</v>
      </c>
      <c r="AE111" s="192">
        <v>94</v>
      </c>
      <c r="AF111" s="125">
        <f>ROUND(AE111*Valores!$C$2,2)</f>
        <v>2549.39</v>
      </c>
      <c r="AG111" s="125">
        <f>ROUND(IF($F$4="NO",Valores!$C$63,Valores!$C$63/2),2)</f>
        <v>6482.98</v>
      </c>
      <c r="AH111" s="125">
        <f t="shared" si="15"/>
        <v>153829.11000000002</v>
      </c>
      <c r="AI111" s="125">
        <f>Valores!$C$31</f>
        <v>0</v>
      </c>
      <c r="AJ111" s="125">
        <f>Valores!$C$87</f>
        <v>0</v>
      </c>
      <c r="AK111" s="125">
        <f>Valores!C$38*B111</f>
        <v>30000</v>
      </c>
      <c r="AL111" s="125">
        <f>IF($F$3="NO",0,Valores!$C$56)</f>
        <v>170.34</v>
      </c>
      <c r="AM111" s="125">
        <f t="shared" si="13"/>
        <v>30170.34</v>
      </c>
      <c r="AN111" s="125">
        <f>AH111*Valores!$C$71</f>
        <v>-16921.202100000002</v>
      </c>
      <c r="AO111" s="125">
        <f>AH111*-Valores!$C$72</f>
        <v>0</v>
      </c>
      <c r="AP111" s="125">
        <f>AH111*Valores!$C$73</f>
        <v>-6922.309950000001</v>
      </c>
      <c r="AQ111" s="125">
        <f>Valores!$C$100</f>
        <v>-280.91</v>
      </c>
      <c r="AR111" s="125">
        <f>IF($F$5=0,Valores!$C$101,(Valores!$C$101+$F$5*(Valores!$C$101)))</f>
        <v>-385</v>
      </c>
      <c r="AS111" s="125">
        <f t="shared" si="16"/>
        <v>159490.02795000002</v>
      </c>
      <c r="AT111" s="125">
        <f t="shared" si="10"/>
        <v>-16921.202100000002</v>
      </c>
      <c r="AU111" s="125">
        <f>AH111*Valores!$C$74</f>
        <v>-4153.38597</v>
      </c>
      <c r="AV111" s="125">
        <f>AH111*Valores!$C$75</f>
        <v>-461.48733000000004</v>
      </c>
      <c r="AW111" s="125">
        <f t="shared" si="14"/>
        <v>162463.3746</v>
      </c>
      <c r="AX111" s="126"/>
      <c r="AY111" s="126">
        <v>25</v>
      </c>
      <c r="AZ111" s="123" t="s">
        <v>4</v>
      </c>
    </row>
    <row r="112" spans="1:52" s="110" customFormat="1" ht="11.25" customHeight="1">
      <c r="A112" s="123" t="s">
        <v>314</v>
      </c>
      <c r="B112" s="123">
        <v>1</v>
      </c>
      <c r="C112" s="126">
        <v>105</v>
      </c>
      <c r="D112" s="124" t="s">
        <v>315</v>
      </c>
      <c r="E112" s="192">
        <v>61</v>
      </c>
      <c r="F112" s="125">
        <f>ROUND(E112*Valores!$C$2,2)</f>
        <v>1654.39</v>
      </c>
      <c r="G112" s="192">
        <v>1545</v>
      </c>
      <c r="H112" s="125">
        <f>ROUND(G112*Valores!$C$2,2)</f>
        <v>41902.25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9730.8</v>
      </c>
      <c r="N112" s="125">
        <f t="shared" si="11"/>
        <v>0</v>
      </c>
      <c r="O112" s="125">
        <f>Valores!$C$14</f>
        <v>24936.25</v>
      </c>
      <c r="P112" s="125">
        <f>Valores!$D$5</f>
        <v>13864.36</v>
      </c>
      <c r="Q112" s="125">
        <f>Valores!$C$22</f>
        <v>12369.22</v>
      </c>
      <c r="R112" s="125">
        <f>IF($F$4="NO",Valores!$C$42,Valores!$C$42/2)</f>
        <v>8546.22</v>
      </c>
      <c r="S112" s="125">
        <f>Valores!$C$20</f>
        <v>12769.11</v>
      </c>
      <c r="T112" s="125">
        <f t="shared" si="17"/>
        <v>12769.11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Valores!$C$94</f>
        <v>6318.76</v>
      </c>
      <c r="AA112" s="125">
        <f>Valores!$C$25</f>
        <v>567.06</v>
      </c>
      <c r="AB112" s="214">
        <v>0</v>
      </c>
      <c r="AC112" s="125">
        <f t="shared" si="12"/>
        <v>0</v>
      </c>
      <c r="AD112" s="125">
        <f>Valores!$C$26</f>
        <v>567.06</v>
      </c>
      <c r="AE112" s="192">
        <v>94</v>
      </c>
      <c r="AF112" s="125">
        <f>ROUND(AE112*Valores!$C$2,2)</f>
        <v>2549.39</v>
      </c>
      <c r="AG112" s="125">
        <f>ROUND(IF($F$4="NO",Valores!$C$63,Valores!$C$63/2),2)</f>
        <v>6482.98</v>
      </c>
      <c r="AH112" s="125">
        <f t="shared" si="15"/>
        <v>142257.85000000003</v>
      </c>
      <c r="AI112" s="125">
        <f>Valores!$C$31</f>
        <v>0</v>
      </c>
      <c r="AJ112" s="125">
        <f>Valores!$C$87</f>
        <v>0</v>
      </c>
      <c r="AK112" s="125">
        <f>Valores!C$38*B112</f>
        <v>30000</v>
      </c>
      <c r="AL112" s="125">
        <f>IF($F$3="NO",0,Valores!$C$56)</f>
        <v>170.34</v>
      </c>
      <c r="AM112" s="125">
        <f t="shared" si="13"/>
        <v>30170.34</v>
      </c>
      <c r="AN112" s="125">
        <f>AH112*Valores!$C$71</f>
        <v>-15648.363500000003</v>
      </c>
      <c r="AO112" s="125">
        <f>AH112*-Valores!$C$72</f>
        <v>0</v>
      </c>
      <c r="AP112" s="125">
        <f>AH112*Valores!$C$73</f>
        <v>-6401.603250000001</v>
      </c>
      <c r="AQ112" s="125">
        <f>Valores!$C$100</f>
        <v>-280.91</v>
      </c>
      <c r="AR112" s="125">
        <f>IF($F$5=0,Valores!$C$101,(Valores!$C$101+$F$5*(Valores!$C$101)))</f>
        <v>-385</v>
      </c>
      <c r="AS112" s="125">
        <f t="shared" si="16"/>
        <v>149712.31325000004</v>
      </c>
      <c r="AT112" s="125">
        <f t="shared" si="10"/>
        <v>-15648.363500000003</v>
      </c>
      <c r="AU112" s="125">
        <f>AH112*Valores!$C$74</f>
        <v>-3840.961950000001</v>
      </c>
      <c r="AV112" s="125">
        <f>AH112*Valores!$C$75</f>
        <v>-426.7735500000001</v>
      </c>
      <c r="AW112" s="125">
        <f t="shared" si="14"/>
        <v>152512.09100000001</v>
      </c>
      <c r="AX112" s="126"/>
      <c r="AY112" s="126">
        <v>25</v>
      </c>
      <c r="AZ112" s="123" t="s">
        <v>8</v>
      </c>
    </row>
    <row r="113" spans="1:52" s="110" customFormat="1" ht="11.25" customHeight="1">
      <c r="A113" s="123" t="s">
        <v>316</v>
      </c>
      <c r="B113" s="123">
        <v>1</v>
      </c>
      <c r="C113" s="126">
        <v>106</v>
      </c>
      <c r="D113" s="124" t="s">
        <v>317</v>
      </c>
      <c r="E113" s="192">
        <f>75+143</f>
        <v>218</v>
      </c>
      <c r="F113" s="125">
        <f>ROUND(E113*Valores!$C$2,2)</f>
        <v>5912.42</v>
      </c>
      <c r="G113" s="192">
        <v>2100</v>
      </c>
      <c r="H113" s="125">
        <f>ROUND(G113*Valores!$C$2,2)</f>
        <v>56954.52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12627.34</v>
      </c>
      <c r="N113" s="125">
        <f t="shared" si="11"/>
        <v>0</v>
      </c>
      <c r="O113" s="125">
        <f>Valores!$C$14</f>
        <v>24936.25</v>
      </c>
      <c r="P113" s="125">
        <f>Valores!$D$5</f>
        <v>13864.36</v>
      </c>
      <c r="Q113" s="125">
        <f>Valores!$C$22</f>
        <v>12369.22</v>
      </c>
      <c r="R113" s="125">
        <f>IF($F$4="NO",Valores!$C$42,Valores!$C$42/2)</f>
        <v>8546.22</v>
      </c>
      <c r="S113" s="125">
        <f>Valores!$C$20</f>
        <v>12769.11</v>
      </c>
      <c r="T113" s="125">
        <f t="shared" si="17"/>
        <v>12769.11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Valores!$C$94</f>
        <v>6318.76</v>
      </c>
      <c r="AA113" s="125">
        <f>Valores!$C$25</f>
        <v>567.06</v>
      </c>
      <c r="AB113" s="214">
        <v>0</v>
      </c>
      <c r="AC113" s="125">
        <f t="shared" si="12"/>
        <v>0</v>
      </c>
      <c r="AD113" s="125">
        <f>Valores!$C$26</f>
        <v>567.06</v>
      </c>
      <c r="AE113" s="192">
        <v>0</v>
      </c>
      <c r="AF113" s="125">
        <f>ROUND(AE113*Valores!$C$2,2)</f>
        <v>0</v>
      </c>
      <c r="AG113" s="125">
        <f>ROUND(IF($F$4="NO",Valores!$C$63,Valores!$C$63/2),2)</f>
        <v>6482.98</v>
      </c>
      <c r="AH113" s="125">
        <f t="shared" si="15"/>
        <v>161915.30000000002</v>
      </c>
      <c r="AI113" s="125">
        <f>Valores!$C$31</f>
        <v>0</v>
      </c>
      <c r="AJ113" s="125">
        <f>Valores!$C$87</f>
        <v>0</v>
      </c>
      <c r="AK113" s="125">
        <f>Valores!C$38*B113</f>
        <v>30000</v>
      </c>
      <c r="AL113" s="125">
        <f>IF($F$3="NO",0,Valores!$C$56)</f>
        <v>170.34</v>
      </c>
      <c r="AM113" s="125">
        <f t="shared" si="13"/>
        <v>30170.34</v>
      </c>
      <c r="AN113" s="125">
        <f>AH113*Valores!$C$71</f>
        <v>-17810.683</v>
      </c>
      <c r="AO113" s="125">
        <f>AH113*-Valores!$C$72</f>
        <v>0</v>
      </c>
      <c r="AP113" s="125">
        <f>AH113*Valores!$C$73</f>
        <v>-7286.1885</v>
      </c>
      <c r="AQ113" s="125">
        <f>Valores!$C$100</f>
        <v>-280.91</v>
      </c>
      <c r="AR113" s="125">
        <f>IF($F$5=0,Valores!$C$101,(Valores!$C$101+$F$5*(Valores!$C$101)))</f>
        <v>-385</v>
      </c>
      <c r="AS113" s="125">
        <f t="shared" si="16"/>
        <v>166322.85850000003</v>
      </c>
      <c r="AT113" s="125">
        <f t="shared" si="10"/>
        <v>-17810.683</v>
      </c>
      <c r="AU113" s="125">
        <f>AH113*Valores!$C$74</f>
        <v>-4371.713100000001</v>
      </c>
      <c r="AV113" s="125">
        <f>AH113*Valores!$C$75</f>
        <v>-485.74590000000006</v>
      </c>
      <c r="AW113" s="125">
        <f t="shared" si="14"/>
        <v>169417.49800000002</v>
      </c>
      <c r="AX113" s="126"/>
      <c r="AY113" s="126">
        <v>30</v>
      </c>
      <c r="AZ113" s="123" t="s">
        <v>4</v>
      </c>
    </row>
    <row r="114" spans="1:52" s="110" customFormat="1" ht="11.25" customHeight="1">
      <c r="A114" s="123" t="s">
        <v>318</v>
      </c>
      <c r="B114" s="123">
        <v>1</v>
      </c>
      <c r="C114" s="126">
        <v>107</v>
      </c>
      <c r="D114" s="124" t="s">
        <v>319</v>
      </c>
      <c r="E114" s="192">
        <f>77+143</f>
        <v>220</v>
      </c>
      <c r="F114" s="125">
        <f>ROUND(E114*Valores!$C$2,2)</f>
        <v>5966.66</v>
      </c>
      <c r="G114" s="192">
        <v>1995</v>
      </c>
      <c r="H114" s="125">
        <f>ROUND(G114*Valores!$C$2,2)</f>
        <v>54106.79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12208.32</v>
      </c>
      <c r="N114" s="125">
        <f t="shared" si="11"/>
        <v>0</v>
      </c>
      <c r="O114" s="125">
        <f>Valores!$C$14</f>
        <v>24936.25</v>
      </c>
      <c r="P114" s="125">
        <f>Valores!$D$5</f>
        <v>13864.36</v>
      </c>
      <c r="Q114" s="125">
        <f>Valores!$C$22</f>
        <v>12369.22</v>
      </c>
      <c r="R114" s="125">
        <f>IF($F$4="NO",Valores!$C$42,Valores!$C$42/2)</f>
        <v>8546.22</v>
      </c>
      <c r="S114" s="125">
        <f>Valores!$C$20</f>
        <v>12769.11</v>
      </c>
      <c r="T114" s="125">
        <f t="shared" si="17"/>
        <v>12769.11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Valores!$C$94</f>
        <v>6318.76</v>
      </c>
      <c r="AA114" s="125">
        <f>Valores!$C$25</f>
        <v>567.06</v>
      </c>
      <c r="AB114" s="214">
        <v>0</v>
      </c>
      <c r="AC114" s="125">
        <f t="shared" si="12"/>
        <v>0</v>
      </c>
      <c r="AD114" s="125">
        <f>Valores!$C$26</f>
        <v>567.06</v>
      </c>
      <c r="AE114" s="192">
        <v>0</v>
      </c>
      <c r="AF114" s="125">
        <f>ROUND(AE114*Valores!$C$2,2)</f>
        <v>0</v>
      </c>
      <c r="AG114" s="125">
        <f>ROUND(IF($F$4="NO",Valores!$C$63,Valores!$C$63/2),2)</f>
        <v>6482.98</v>
      </c>
      <c r="AH114" s="125">
        <f t="shared" si="15"/>
        <v>158702.79</v>
      </c>
      <c r="AI114" s="125">
        <f>Valores!$C$31</f>
        <v>0</v>
      </c>
      <c r="AJ114" s="125">
        <f>Valores!$C$87</f>
        <v>0</v>
      </c>
      <c r="AK114" s="125">
        <f>Valores!C$38*B114</f>
        <v>30000</v>
      </c>
      <c r="AL114" s="125">
        <f>IF($F$3="NO",0,Valores!$C$56)</f>
        <v>170.34</v>
      </c>
      <c r="AM114" s="125">
        <f t="shared" si="13"/>
        <v>30170.34</v>
      </c>
      <c r="AN114" s="125">
        <f>AH114*Valores!$C$71</f>
        <v>-17457.3069</v>
      </c>
      <c r="AO114" s="125">
        <f>AH114*-Valores!$C$72</f>
        <v>0</v>
      </c>
      <c r="AP114" s="125">
        <f>AH114*Valores!$C$73</f>
        <v>-7141.62555</v>
      </c>
      <c r="AQ114" s="125">
        <f>Valores!$C$100</f>
        <v>-280.91</v>
      </c>
      <c r="AR114" s="125">
        <f>IF($F$5=0,Valores!$C$101,(Valores!$C$101+$F$5*(Valores!$C$101)))</f>
        <v>-385</v>
      </c>
      <c r="AS114" s="125">
        <f t="shared" si="16"/>
        <v>163608.28755</v>
      </c>
      <c r="AT114" s="125">
        <f t="shared" si="10"/>
        <v>-17457.3069</v>
      </c>
      <c r="AU114" s="125">
        <f>AH114*Valores!$C$74</f>
        <v>-4284.97533</v>
      </c>
      <c r="AV114" s="125">
        <f>AH114*Valores!$C$75</f>
        <v>-476.10837000000004</v>
      </c>
      <c r="AW114" s="125">
        <f t="shared" si="14"/>
        <v>166654.7394</v>
      </c>
      <c r="AX114" s="126"/>
      <c r="AY114" s="126">
        <v>30</v>
      </c>
      <c r="AZ114" s="123" t="s">
        <v>4</v>
      </c>
    </row>
    <row r="115" spans="1:52" s="110" customFormat="1" ht="11.25" customHeight="1">
      <c r="A115" s="123" t="s">
        <v>320</v>
      </c>
      <c r="B115" s="123">
        <v>1</v>
      </c>
      <c r="C115" s="126">
        <v>108</v>
      </c>
      <c r="D115" s="124" t="s">
        <v>321</v>
      </c>
      <c r="E115" s="192">
        <f>72+115</f>
        <v>187</v>
      </c>
      <c r="F115" s="125">
        <f>ROUND(E115*Valores!$C$2,2)</f>
        <v>5071.66</v>
      </c>
      <c r="G115" s="192">
        <v>1704</v>
      </c>
      <c r="H115" s="125">
        <f>ROUND(G115*Valores!$C$2,2)</f>
        <v>46214.52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10890.23</v>
      </c>
      <c r="N115" s="125">
        <f t="shared" si="11"/>
        <v>0</v>
      </c>
      <c r="O115" s="125">
        <f>Valores!$C$14</f>
        <v>24936.25</v>
      </c>
      <c r="P115" s="125">
        <f>Valores!$D$5</f>
        <v>13864.36</v>
      </c>
      <c r="Q115" s="125">
        <f>Valores!$C$22</f>
        <v>12369.22</v>
      </c>
      <c r="R115" s="125">
        <f>IF($F$4="NO",Valores!$C$42,Valores!$C$42/2)</f>
        <v>8546.22</v>
      </c>
      <c r="S115" s="125">
        <f>Valores!$C$20</f>
        <v>12769.11</v>
      </c>
      <c r="T115" s="125">
        <f t="shared" si="17"/>
        <v>12769.11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Valores!$C$94</f>
        <v>6318.76</v>
      </c>
      <c r="AA115" s="125">
        <f>Valores!$C$25</f>
        <v>567.06</v>
      </c>
      <c r="AB115" s="214">
        <v>0</v>
      </c>
      <c r="AC115" s="125">
        <f t="shared" si="12"/>
        <v>0</v>
      </c>
      <c r="AD115" s="125">
        <f>Valores!$C$26</f>
        <v>567.06</v>
      </c>
      <c r="AE115" s="192">
        <v>0</v>
      </c>
      <c r="AF115" s="125">
        <f>ROUND(AE115*Valores!$C$2,2)</f>
        <v>0</v>
      </c>
      <c r="AG115" s="125">
        <f>ROUND(IF($F$4="NO",Valores!$C$63,Valores!$C$63/2),2)</f>
        <v>6482.98</v>
      </c>
      <c r="AH115" s="125">
        <f t="shared" si="15"/>
        <v>148597.43000000002</v>
      </c>
      <c r="AI115" s="125">
        <f>Valores!$C$31</f>
        <v>0</v>
      </c>
      <c r="AJ115" s="125">
        <f>Valores!$C$87</f>
        <v>0</v>
      </c>
      <c r="AK115" s="125">
        <f>Valores!C$38*B115</f>
        <v>30000</v>
      </c>
      <c r="AL115" s="125">
        <f>IF($F$3="NO",0,Valores!$C$56)</f>
        <v>170.34</v>
      </c>
      <c r="AM115" s="125">
        <f t="shared" si="13"/>
        <v>30170.34</v>
      </c>
      <c r="AN115" s="125">
        <f>AH115*Valores!$C$71</f>
        <v>-16345.717300000002</v>
      </c>
      <c r="AO115" s="125">
        <f>AH115*-Valores!$C$72</f>
        <v>0</v>
      </c>
      <c r="AP115" s="125">
        <f>AH115*Valores!$C$73</f>
        <v>-6686.884350000001</v>
      </c>
      <c r="AQ115" s="125">
        <f>Valores!$C$100</f>
        <v>-280.91</v>
      </c>
      <c r="AR115" s="125">
        <f>IF($F$5=0,Valores!$C$101,(Valores!$C$101+$F$5*(Valores!$C$101)))</f>
        <v>-385</v>
      </c>
      <c r="AS115" s="125">
        <f t="shared" si="16"/>
        <v>155069.25835000002</v>
      </c>
      <c r="AT115" s="125">
        <f t="shared" si="10"/>
        <v>-16345.717300000002</v>
      </c>
      <c r="AU115" s="125">
        <f>AH115*Valores!$C$74</f>
        <v>-4012.1306100000006</v>
      </c>
      <c r="AV115" s="125">
        <f>AH115*Valores!$C$75</f>
        <v>-445.7922900000001</v>
      </c>
      <c r="AW115" s="125">
        <f t="shared" si="14"/>
        <v>157964.12980000002</v>
      </c>
      <c r="AX115" s="126"/>
      <c r="AY115" s="126">
        <v>30</v>
      </c>
      <c r="AZ115" s="123" t="s">
        <v>4</v>
      </c>
    </row>
    <row r="116" spans="1:52" s="110" customFormat="1" ht="11.25" customHeight="1">
      <c r="A116" s="123" t="s">
        <v>322</v>
      </c>
      <c r="B116" s="123">
        <v>1</v>
      </c>
      <c r="C116" s="126">
        <v>109</v>
      </c>
      <c r="D116" s="124" t="s">
        <v>323</v>
      </c>
      <c r="E116" s="192">
        <f>67+94</f>
        <v>161</v>
      </c>
      <c r="F116" s="125">
        <f>ROUND(E116*Valores!$C$2,2)</f>
        <v>4366.51</v>
      </c>
      <c r="G116" s="192">
        <v>1480</v>
      </c>
      <c r="H116" s="125">
        <f>ROUND(G116*Valores!$C$2,2)</f>
        <v>40139.38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9873.18</v>
      </c>
      <c r="N116" s="125">
        <f t="shared" si="11"/>
        <v>0</v>
      </c>
      <c r="O116" s="125">
        <f>Valores!$C$14</f>
        <v>24936.25</v>
      </c>
      <c r="P116" s="125">
        <f>Valores!$D$5</f>
        <v>13864.36</v>
      </c>
      <c r="Q116" s="125">
        <f>Valores!$C$22</f>
        <v>12369.22</v>
      </c>
      <c r="R116" s="125">
        <f>IF($F$4="NO",Valores!$C$42,Valores!$C$42/2)</f>
        <v>8546.22</v>
      </c>
      <c r="S116" s="125">
        <f>Valores!$C$20</f>
        <v>12769.11</v>
      </c>
      <c r="T116" s="125">
        <f t="shared" si="17"/>
        <v>12769.11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Valores!$C$94</f>
        <v>6318.76</v>
      </c>
      <c r="AA116" s="125">
        <f>Valores!$C$25</f>
        <v>567.06</v>
      </c>
      <c r="AB116" s="214">
        <v>0</v>
      </c>
      <c r="AC116" s="125">
        <f t="shared" si="12"/>
        <v>0</v>
      </c>
      <c r="AD116" s="125">
        <f>Valores!$C$26</f>
        <v>567.06</v>
      </c>
      <c r="AE116" s="192">
        <v>0</v>
      </c>
      <c r="AF116" s="125">
        <f>ROUND(AE116*Valores!$C$2,2)</f>
        <v>0</v>
      </c>
      <c r="AG116" s="125">
        <f>ROUND(IF($F$4="NO",Valores!$C$63,Valores!$C$63/2),2)</f>
        <v>6482.98</v>
      </c>
      <c r="AH116" s="125">
        <f t="shared" si="15"/>
        <v>140800.09000000003</v>
      </c>
      <c r="AI116" s="125">
        <f>Valores!$C$31</f>
        <v>0</v>
      </c>
      <c r="AJ116" s="125">
        <f>Valores!$C$87</f>
        <v>0</v>
      </c>
      <c r="AK116" s="125">
        <f>Valores!C$38*B116</f>
        <v>30000</v>
      </c>
      <c r="AL116" s="125">
        <f>IF($F$3="NO",0,Valores!$C$56)</f>
        <v>170.34</v>
      </c>
      <c r="AM116" s="125">
        <f t="shared" si="13"/>
        <v>30170.34</v>
      </c>
      <c r="AN116" s="125">
        <f>AH116*Valores!$C$71</f>
        <v>-15488.009900000003</v>
      </c>
      <c r="AO116" s="125">
        <f>AH116*-Valores!$C$72</f>
        <v>0</v>
      </c>
      <c r="AP116" s="125">
        <f>AH116*Valores!$C$73</f>
        <v>-6336.004050000001</v>
      </c>
      <c r="AQ116" s="125">
        <f>Valores!$C$100</f>
        <v>-280.91</v>
      </c>
      <c r="AR116" s="125">
        <f>IF($F$5=0,Valores!$C$101,(Valores!$C$101+$F$5*(Valores!$C$101)))</f>
        <v>-385</v>
      </c>
      <c r="AS116" s="125">
        <f t="shared" si="16"/>
        <v>148480.50605000003</v>
      </c>
      <c r="AT116" s="125">
        <f t="shared" si="10"/>
        <v>-15488.009900000003</v>
      </c>
      <c r="AU116" s="125">
        <f>AH116*Valores!$C$74</f>
        <v>-3801.602430000001</v>
      </c>
      <c r="AV116" s="125">
        <f>AH116*Valores!$C$75</f>
        <v>-422.4002700000001</v>
      </c>
      <c r="AW116" s="125">
        <f t="shared" si="14"/>
        <v>151258.41740000003</v>
      </c>
      <c r="AX116" s="126"/>
      <c r="AY116" s="126">
        <v>30</v>
      </c>
      <c r="AZ116" s="123" t="s">
        <v>4</v>
      </c>
    </row>
    <row r="117" spans="1:52" s="110" customFormat="1" ht="11.25" customHeight="1">
      <c r="A117" s="123" t="s">
        <v>324</v>
      </c>
      <c r="B117" s="123">
        <v>1</v>
      </c>
      <c r="C117" s="126">
        <v>110</v>
      </c>
      <c r="D117" s="124" t="s">
        <v>325</v>
      </c>
      <c r="E117" s="192">
        <f>1184+94</f>
        <v>1278</v>
      </c>
      <c r="F117" s="125">
        <f>ROUND(E117*Valores!$C$2,2)</f>
        <v>34660.89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8396.43</v>
      </c>
      <c r="N117" s="125">
        <f t="shared" si="11"/>
        <v>0</v>
      </c>
      <c r="O117" s="125">
        <f>Valores!$C$14</f>
        <v>24936.25</v>
      </c>
      <c r="P117" s="125">
        <f>Valores!$D$5</f>
        <v>13864.36</v>
      </c>
      <c r="Q117" s="125">
        <f>Valores!$C$22</f>
        <v>12369.22</v>
      </c>
      <c r="R117" s="125">
        <f>IF($F$4="NO",Valores!$C$42,Valores!$C$42/2)</f>
        <v>8546.22</v>
      </c>
      <c r="S117" s="125">
        <f>Valores!$C$20</f>
        <v>12769.11</v>
      </c>
      <c r="T117" s="125">
        <f t="shared" si="17"/>
        <v>12769.11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Valores!$C$94</f>
        <v>6318.76</v>
      </c>
      <c r="AA117" s="125">
        <f>Valores!$C$25</f>
        <v>567.06</v>
      </c>
      <c r="AB117" s="214">
        <v>0</v>
      </c>
      <c r="AC117" s="125">
        <f t="shared" si="12"/>
        <v>0</v>
      </c>
      <c r="AD117" s="125">
        <f>Valores!$C$26</f>
        <v>567.06</v>
      </c>
      <c r="AE117" s="192">
        <v>0</v>
      </c>
      <c r="AF117" s="125">
        <f>ROUND(AE117*Valores!$C$2,2)</f>
        <v>0</v>
      </c>
      <c r="AG117" s="125">
        <f>ROUND(IF($F$4="NO",Valores!$C$63,Valores!$C$63/2),2)</f>
        <v>6482.98</v>
      </c>
      <c r="AH117" s="125">
        <f t="shared" si="15"/>
        <v>129478.34</v>
      </c>
      <c r="AI117" s="125">
        <f>Valores!$C$31</f>
        <v>0</v>
      </c>
      <c r="AJ117" s="125">
        <f>Valores!$C$87</f>
        <v>0</v>
      </c>
      <c r="AK117" s="125">
        <f>Valores!C$38*B117</f>
        <v>30000</v>
      </c>
      <c r="AL117" s="125">
        <f>IF($F$3="NO",0,Valores!$C$56)</f>
        <v>170.34</v>
      </c>
      <c r="AM117" s="125">
        <f t="shared" si="13"/>
        <v>30170.34</v>
      </c>
      <c r="AN117" s="125">
        <f>AH117*Valores!$C$71</f>
        <v>-14242.6174</v>
      </c>
      <c r="AO117" s="125">
        <f>AH117*-Valores!$C$72</f>
        <v>0</v>
      </c>
      <c r="AP117" s="125">
        <f>AH117*Valores!$C$73</f>
        <v>-5826.525299999999</v>
      </c>
      <c r="AQ117" s="125">
        <f>Valores!$C$100</f>
        <v>-280.91</v>
      </c>
      <c r="AR117" s="125">
        <f>IF($F$5=0,Valores!$C$101,(Valores!$C$101+$F$5*(Valores!$C$101)))</f>
        <v>-385</v>
      </c>
      <c r="AS117" s="125">
        <f t="shared" si="16"/>
        <v>138913.6273</v>
      </c>
      <c r="AT117" s="125">
        <f t="shared" si="10"/>
        <v>-14242.6174</v>
      </c>
      <c r="AU117" s="125">
        <f>AH117*Valores!$C$74</f>
        <v>-3495.91518</v>
      </c>
      <c r="AV117" s="125">
        <f>AH117*Valores!$C$75</f>
        <v>-388.43502</v>
      </c>
      <c r="AW117" s="125">
        <f t="shared" si="14"/>
        <v>141521.7124</v>
      </c>
      <c r="AX117" s="126"/>
      <c r="AY117" s="126">
        <v>30</v>
      </c>
      <c r="AZ117" s="123" t="s">
        <v>4</v>
      </c>
    </row>
    <row r="118" spans="1:52" s="110" customFormat="1" ht="11.25" customHeight="1">
      <c r="A118" s="123" t="s">
        <v>326</v>
      </c>
      <c r="B118" s="123">
        <v>1</v>
      </c>
      <c r="C118" s="126">
        <v>111</v>
      </c>
      <c r="D118" s="124" t="s">
        <v>327</v>
      </c>
      <c r="E118" s="192">
        <v>77</v>
      </c>
      <c r="F118" s="125">
        <f>ROUND(E118*Valores!$C$2,2)</f>
        <v>2088.33</v>
      </c>
      <c r="G118" s="192">
        <v>2073</v>
      </c>
      <c r="H118" s="125">
        <f>ROUND(G118*Valores!$C$2,2)</f>
        <v>56222.25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12126.45</v>
      </c>
      <c r="N118" s="125">
        <f t="shared" si="11"/>
        <v>0</v>
      </c>
      <c r="O118" s="125">
        <f>Valores!$C$8</f>
        <v>29851.25</v>
      </c>
      <c r="P118" s="125">
        <f>Valores!$D$5</f>
        <v>13864.36</v>
      </c>
      <c r="Q118" s="125">
        <f>Valores!$C$22</f>
        <v>12369.22</v>
      </c>
      <c r="R118" s="125">
        <f>IF($F$4="NO",Valores!$C$44,Valores!$C$44/2)</f>
        <v>9631.44</v>
      </c>
      <c r="S118" s="125">
        <f>Valores!$C$19</f>
        <v>12901.01</v>
      </c>
      <c r="T118" s="125">
        <f t="shared" si="17"/>
        <v>12901.01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Valores!$C$94</f>
        <v>6318.76</v>
      </c>
      <c r="AA118" s="125">
        <f>Valores!$C$25</f>
        <v>567.06</v>
      </c>
      <c r="AB118" s="214">
        <v>0</v>
      </c>
      <c r="AC118" s="125">
        <f t="shared" si="12"/>
        <v>0</v>
      </c>
      <c r="AD118" s="125">
        <f>Valores!$C$26</f>
        <v>567.06</v>
      </c>
      <c r="AE118" s="192">
        <v>0</v>
      </c>
      <c r="AF118" s="125">
        <f>ROUND(AE118*Valores!$C$2,2)</f>
        <v>0</v>
      </c>
      <c r="AG118" s="125">
        <f>ROUND(IF($F$4="NO",Valores!$C$63,Valores!$C$63/2),2)</f>
        <v>6482.98</v>
      </c>
      <c r="AH118" s="125">
        <f t="shared" si="15"/>
        <v>162990.17</v>
      </c>
      <c r="AI118" s="125">
        <f>Valores!$C$31</f>
        <v>0</v>
      </c>
      <c r="AJ118" s="125">
        <f>Valores!$C$87</f>
        <v>0</v>
      </c>
      <c r="AK118" s="125">
        <f>Valores!C$38*B118</f>
        <v>30000</v>
      </c>
      <c r="AL118" s="125">
        <f>IF($F$3="NO",0,Valores!$C$56)</f>
        <v>170.34</v>
      </c>
      <c r="AM118" s="125">
        <f t="shared" si="13"/>
        <v>30170.34</v>
      </c>
      <c r="AN118" s="125">
        <f>AH118*Valores!$C$71</f>
        <v>-17928.918700000002</v>
      </c>
      <c r="AO118" s="125">
        <f>AH118*-Valores!$C$72</f>
        <v>0</v>
      </c>
      <c r="AP118" s="125">
        <f>AH118*Valores!$C$73</f>
        <v>-7334.557650000001</v>
      </c>
      <c r="AQ118" s="125">
        <f>Valores!$C$100</f>
        <v>-280.91</v>
      </c>
      <c r="AR118" s="125">
        <f>IF($F$5=0,Valores!$C$101,(Valores!$C$101+$F$5*(Valores!$C$101)))</f>
        <v>-385</v>
      </c>
      <c r="AS118" s="125">
        <f t="shared" si="16"/>
        <v>167231.12365000002</v>
      </c>
      <c r="AT118" s="125">
        <f t="shared" si="10"/>
        <v>-17928.918700000002</v>
      </c>
      <c r="AU118" s="125">
        <f>AH118*Valores!$C$74</f>
        <v>-4400.73459</v>
      </c>
      <c r="AV118" s="125">
        <f>AH118*Valores!$C$75</f>
        <v>-488.97051000000005</v>
      </c>
      <c r="AW118" s="125">
        <f t="shared" si="14"/>
        <v>170341.8862</v>
      </c>
      <c r="AX118" s="126"/>
      <c r="AY118" s="126">
        <v>30</v>
      </c>
      <c r="AZ118" s="123" t="s">
        <v>4</v>
      </c>
    </row>
    <row r="119" spans="1:52" s="110" customFormat="1" ht="11.25" customHeight="1">
      <c r="A119" s="123" t="s">
        <v>328</v>
      </c>
      <c r="B119" s="123">
        <v>1</v>
      </c>
      <c r="C119" s="126">
        <v>112</v>
      </c>
      <c r="D119" s="124" t="s">
        <v>329</v>
      </c>
      <c r="E119" s="192">
        <v>77</v>
      </c>
      <c r="F119" s="125">
        <f>ROUND(E119*Valores!$C$2,2)</f>
        <v>2088.33</v>
      </c>
      <c r="G119" s="192">
        <v>2043</v>
      </c>
      <c r="H119" s="125">
        <f>ROUND(G119*Valores!$C$2,2)</f>
        <v>55408.61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12004.41</v>
      </c>
      <c r="N119" s="125">
        <f t="shared" si="11"/>
        <v>0</v>
      </c>
      <c r="O119" s="125">
        <f>Valores!$C$9</f>
        <v>29939.09</v>
      </c>
      <c r="P119" s="125">
        <f>Valores!$D$5</f>
        <v>13864.36</v>
      </c>
      <c r="Q119" s="125">
        <f>Valores!$C$22</f>
        <v>12369.22</v>
      </c>
      <c r="R119" s="125">
        <f>IF($F$4="NO",Valores!$C$44,Valores!$C$44/2)</f>
        <v>9631.44</v>
      </c>
      <c r="S119" s="125">
        <f>Valores!$C$19</f>
        <v>12901.01</v>
      </c>
      <c r="T119" s="125">
        <f t="shared" si="17"/>
        <v>12901.01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Valores!$C$94</f>
        <v>6318.76</v>
      </c>
      <c r="AA119" s="125">
        <f>Valores!$C$25</f>
        <v>567.06</v>
      </c>
      <c r="AB119" s="214">
        <v>0</v>
      </c>
      <c r="AC119" s="125">
        <f t="shared" si="12"/>
        <v>0</v>
      </c>
      <c r="AD119" s="125">
        <f>Valores!$C$26</f>
        <v>567.06</v>
      </c>
      <c r="AE119" s="192">
        <v>0</v>
      </c>
      <c r="AF119" s="125">
        <f>ROUND(AE119*Valores!$C$2,2)</f>
        <v>0</v>
      </c>
      <c r="AG119" s="125">
        <f>ROUND(IF($F$4="NO",Valores!$C$63,Valores!$C$63/2),2)</f>
        <v>6482.98</v>
      </c>
      <c r="AH119" s="125">
        <f t="shared" si="15"/>
        <v>162142.33000000002</v>
      </c>
      <c r="AI119" s="125">
        <f>Valores!$C$31</f>
        <v>0</v>
      </c>
      <c r="AJ119" s="125">
        <f>Valores!$C$87</f>
        <v>0</v>
      </c>
      <c r="AK119" s="125">
        <f>Valores!C$38*B119</f>
        <v>30000</v>
      </c>
      <c r="AL119" s="125">
        <f>IF($F$3="NO",0,Valores!$C$56)</f>
        <v>170.34</v>
      </c>
      <c r="AM119" s="125">
        <f t="shared" si="13"/>
        <v>30170.34</v>
      </c>
      <c r="AN119" s="125">
        <f>AH119*Valores!$C$71</f>
        <v>-17835.656300000002</v>
      </c>
      <c r="AO119" s="125">
        <f>AH119*-Valores!$C$72</f>
        <v>0</v>
      </c>
      <c r="AP119" s="125">
        <f>AH119*Valores!$C$73</f>
        <v>-7296.404850000001</v>
      </c>
      <c r="AQ119" s="125">
        <f>Valores!$C$100</f>
        <v>-280.91</v>
      </c>
      <c r="AR119" s="125">
        <f>IF($F$5=0,Valores!$C$101,(Valores!$C$101+$F$5*(Valores!$C$101)))</f>
        <v>-385</v>
      </c>
      <c r="AS119" s="125">
        <f t="shared" si="16"/>
        <v>166514.69885000002</v>
      </c>
      <c r="AT119" s="125">
        <f t="shared" si="10"/>
        <v>-17835.656300000002</v>
      </c>
      <c r="AU119" s="125">
        <f>AH119*Valores!$C$74</f>
        <v>-4377.84291</v>
      </c>
      <c r="AV119" s="125">
        <f>AH119*Valores!$C$75</f>
        <v>-486.42699000000005</v>
      </c>
      <c r="AW119" s="125">
        <f t="shared" si="14"/>
        <v>169612.7438</v>
      </c>
      <c r="AX119" s="126"/>
      <c r="AY119" s="126">
        <v>30</v>
      </c>
      <c r="AZ119" s="123" t="s">
        <v>4</v>
      </c>
    </row>
    <row r="120" spans="1:52" s="110" customFormat="1" ht="11.25" customHeight="1">
      <c r="A120" s="123" t="s">
        <v>330</v>
      </c>
      <c r="B120" s="123">
        <v>1</v>
      </c>
      <c r="C120" s="126">
        <v>113</v>
      </c>
      <c r="D120" s="124" t="s">
        <v>331</v>
      </c>
      <c r="E120" s="192">
        <v>76</v>
      </c>
      <c r="F120" s="125">
        <f>ROUND(E120*Valores!$C$2,2)</f>
        <v>2061.21</v>
      </c>
      <c r="G120" s="192">
        <v>1954</v>
      </c>
      <c r="H120" s="125">
        <f>ROUND(G120*Valores!$C$2,2)</f>
        <v>52994.82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11638.27</v>
      </c>
      <c r="N120" s="125">
        <f t="shared" si="11"/>
        <v>0</v>
      </c>
      <c r="O120" s="125">
        <f>Valores!$C$9</f>
        <v>29939.09</v>
      </c>
      <c r="P120" s="125">
        <f>Valores!$D$5</f>
        <v>13864.36</v>
      </c>
      <c r="Q120" s="125">
        <f>Valores!$C$22</f>
        <v>12369.22</v>
      </c>
      <c r="R120" s="125">
        <f>IF($F$4="NO",Valores!$C$44,Valores!$C$44/2)</f>
        <v>9631.44</v>
      </c>
      <c r="S120" s="125">
        <f>Valores!$C$19</f>
        <v>12901.01</v>
      </c>
      <c r="T120" s="125">
        <f t="shared" si="17"/>
        <v>12901.01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Valores!$C$94</f>
        <v>6318.76</v>
      </c>
      <c r="AA120" s="125">
        <f>Valores!$C$25</f>
        <v>567.06</v>
      </c>
      <c r="AB120" s="214">
        <v>0</v>
      </c>
      <c r="AC120" s="125">
        <f t="shared" si="12"/>
        <v>0</v>
      </c>
      <c r="AD120" s="125">
        <f>Valores!$C$26</f>
        <v>567.06</v>
      </c>
      <c r="AE120" s="192">
        <v>0</v>
      </c>
      <c r="AF120" s="125">
        <f>ROUND(AE120*Valores!$C$2,2)</f>
        <v>0</v>
      </c>
      <c r="AG120" s="125">
        <f>ROUND(IF($F$4="NO",Valores!$C$63,Valores!$C$63/2),2)</f>
        <v>6482.98</v>
      </c>
      <c r="AH120" s="125">
        <f t="shared" si="15"/>
        <v>159335.28000000003</v>
      </c>
      <c r="AI120" s="125">
        <f>Valores!$C$31</f>
        <v>0</v>
      </c>
      <c r="AJ120" s="125">
        <f>Valores!$C$87</f>
        <v>0</v>
      </c>
      <c r="AK120" s="125">
        <f>Valores!C$38*B120</f>
        <v>30000</v>
      </c>
      <c r="AL120" s="125">
        <f>IF($F$3="NO",0,Valores!$C$56)</f>
        <v>170.34</v>
      </c>
      <c r="AM120" s="125">
        <f t="shared" si="13"/>
        <v>30170.34</v>
      </c>
      <c r="AN120" s="125">
        <f>AH120*Valores!$C$71</f>
        <v>-17526.880800000003</v>
      </c>
      <c r="AO120" s="125">
        <f>AH120*-Valores!$C$72</f>
        <v>0</v>
      </c>
      <c r="AP120" s="125">
        <f>AH120*Valores!$C$73</f>
        <v>-7170.087600000001</v>
      </c>
      <c r="AQ120" s="125">
        <f>Valores!$C$100</f>
        <v>-280.91</v>
      </c>
      <c r="AR120" s="125">
        <f>IF($F$5=0,Valores!$C$101,(Valores!$C$101+$F$5*(Valores!$C$101)))</f>
        <v>-385</v>
      </c>
      <c r="AS120" s="125">
        <f t="shared" si="16"/>
        <v>164142.74160000004</v>
      </c>
      <c r="AT120" s="125">
        <f t="shared" si="10"/>
        <v>-17526.880800000003</v>
      </c>
      <c r="AU120" s="125">
        <f>AH120*Valores!$C$74</f>
        <v>-4302.052560000001</v>
      </c>
      <c r="AV120" s="125">
        <f>AH120*Valores!$C$75</f>
        <v>-478.0058400000001</v>
      </c>
      <c r="AW120" s="125">
        <f t="shared" si="14"/>
        <v>167198.68080000003</v>
      </c>
      <c r="AX120" s="126"/>
      <c r="AY120" s="126">
        <v>30</v>
      </c>
      <c r="AZ120" s="123" t="s">
        <v>4</v>
      </c>
    </row>
    <row r="121" spans="1:52" s="110" customFormat="1" ht="11.25" customHeight="1">
      <c r="A121" s="123" t="s">
        <v>332</v>
      </c>
      <c r="B121" s="123">
        <v>1</v>
      </c>
      <c r="C121" s="126">
        <v>114</v>
      </c>
      <c r="D121" s="124" t="s">
        <v>333</v>
      </c>
      <c r="E121" s="192">
        <v>274</v>
      </c>
      <c r="F121" s="125">
        <f>ROUND(E121*Valores!$C$2,2)</f>
        <v>7431.21</v>
      </c>
      <c r="G121" s="192">
        <v>1163</v>
      </c>
      <c r="H121" s="125">
        <f>ROUND(G121*Valores!$C$2,2)</f>
        <v>31541.96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9225.84</v>
      </c>
      <c r="N121" s="125">
        <f t="shared" si="11"/>
        <v>0</v>
      </c>
      <c r="O121" s="125">
        <f>Valores!$C$9</f>
        <v>29939.09</v>
      </c>
      <c r="P121" s="125">
        <f>Valores!$D$5</f>
        <v>13864.36</v>
      </c>
      <c r="Q121" s="125">
        <f>Valores!$C$22</f>
        <v>12369.22</v>
      </c>
      <c r="R121" s="125">
        <f>IF($F$4="NO",Valores!$C$44,Valores!$C$44/2)</f>
        <v>9631.44</v>
      </c>
      <c r="S121" s="125">
        <f>Valores!$C$19</f>
        <v>12901.01</v>
      </c>
      <c r="T121" s="125">
        <f t="shared" si="17"/>
        <v>12901.01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Valores!$C$94</f>
        <v>6318.76</v>
      </c>
      <c r="AA121" s="125">
        <f>Valores!$C$25</f>
        <v>567.06</v>
      </c>
      <c r="AB121" s="214">
        <v>0</v>
      </c>
      <c r="AC121" s="125">
        <f t="shared" si="12"/>
        <v>0</v>
      </c>
      <c r="AD121" s="125">
        <f>Valores!$C$26</f>
        <v>567.06</v>
      </c>
      <c r="AE121" s="192">
        <v>0</v>
      </c>
      <c r="AF121" s="125">
        <f>ROUND(AE121*Valores!$C$2,2)</f>
        <v>0</v>
      </c>
      <c r="AG121" s="125">
        <f>ROUND(IF($F$4="NO",Valores!$C$63,Valores!$C$63/2),2)</f>
        <v>6482.98</v>
      </c>
      <c r="AH121" s="125">
        <f t="shared" si="15"/>
        <v>140839.99</v>
      </c>
      <c r="AI121" s="125">
        <f>Valores!$C$31</f>
        <v>0</v>
      </c>
      <c r="AJ121" s="125">
        <f>Valores!$C$87</f>
        <v>0</v>
      </c>
      <c r="AK121" s="125">
        <f>Valores!C$38*B121</f>
        <v>30000</v>
      </c>
      <c r="AL121" s="125">
        <f>IF($F$3="NO",0,Valores!$C$56)</f>
        <v>170.34</v>
      </c>
      <c r="AM121" s="125">
        <f t="shared" si="13"/>
        <v>30170.34</v>
      </c>
      <c r="AN121" s="125">
        <f>AH121*Valores!$C$71</f>
        <v>-15492.398899999998</v>
      </c>
      <c r="AO121" s="125">
        <f>AH121*-Valores!$C$72</f>
        <v>0</v>
      </c>
      <c r="AP121" s="125">
        <f>AH121*Valores!$C$73</f>
        <v>-6337.79955</v>
      </c>
      <c r="AQ121" s="125">
        <f>Valores!$C$100</f>
        <v>-280.91</v>
      </c>
      <c r="AR121" s="125">
        <f>IF($F$5=0,Valores!$C$101,(Valores!$C$101+$F$5*(Valores!$C$101)))</f>
        <v>-385</v>
      </c>
      <c r="AS121" s="125">
        <f t="shared" si="16"/>
        <v>148514.22155</v>
      </c>
      <c r="AT121" s="125">
        <f t="shared" si="10"/>
        <v>-15492.398899999998</v>
      </c>
      <c r="AU121" s="125">
        <f>AH121*Valores!$C$74</f>
        <v>-3802.67973</v>
      </c>
      <c r="AV121" s="125">
        <f>AH121*Valores!$C$75</f>
        <v>-422.51997</v>
      </c>
      <c r="AW121" s="125">
        <f t="shared" si="14"/>
        <v>151292.7314</v>
      </c>
      <c r="AX121" s="126"/>
      <c r="AY121" s="126">
        <v>30</v>
      </c>
      <c r="AZ121" s="123" t="s">
        <v>4</v>
      </c>
    </row>
    <row r="122" spans="1:52" s="110" customFormat="1" ht="11.25" customHeight="1">
      <c r="A122" s="123" t="s">
        <v>334</v>
      </c>
      <c r="B122" s="123">
        <v>1</v>
      </c>
      <c r="C122" s="126">
        <v>115</v>
      </c>
      <c r="D122" s="124" t="s">
        <v>335</v>
      </c>
      <c r="E122" s="192">
        <v>2800</v>
      </c>
      <c r="F122" s="125">
        <f>ROUND(E122*Valores!$C$2,2)</f>
        <v>75939.36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15076.5</v>
      </c>
      <c r="N122" s="125">
        <f t="shared" si="11"/>
        <v>0</v>
      </c>
      <c r="O122" s="125">
        <f>Valores!$C$16</f>
        <v>23436.25</v>
      </c>
      <c r="P122" s="125">
        <f>Valores!$D$5</f>
        <v>13864.36</v>
      </c>
      <c r="Q122" s="125">
        <f>Valores!$C$22</f>
        <v>12369.22</v>
      </c>
      <c r="R122" s="125">
        <f>IF($F$4="NO",Valores!$C$46,Valores!$C$46/2)</f>
        <v>11801.55</v>
      </c>
      <c r="S122" s="125">
        <f>Valores!$C$20</f>
        <v>12769.11</v>
      </c>
      <c r="T122" s="125">
        <f t="shared" si="17"/>
        <v>12769.11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Valores!$C$94</f>
        <v>6318.76</v>
      </c>
      <c r="AA122" s="125">
        <f>Valores!$C$25</f>
        <v>567.06</v>
      </c>
      <c r="AB122" s="214">
        <v>0</v>
      </c>
      <c r="AC122" s="125">
        <f t="shared" si="12"/>
        <v>0</v>
      </c>
      <c r="AD122" s="125">
        <f>Valores!$C$26</f>
        <v>567.06</v>
      </c>
      <c r="AE122" s="192">
        <v>0</v>
      </c>
      <c r="AF122" s="125">
        <f>ROUND(AE122*Valores!$C$2,2)</f>
        <v>0</v>
      </c>
      <c r="AG122" s="125">
        <f>ROUND(IF($F$4="NO",Valores!$C$63,Valores!$C$63/2),2)</f>
        <v>6482.98</v>
      </c>
      <c r="AH122" s="125">
        <f t="shared" si="15"/>
        <v>179192.21</v>
      </c>
      <c r="AI122" s="125">
        <f>Valores!$C$31</f>
        <v>0</v>
      </c>
      <c r="AJ122" s="125">
        <f>Valores!$C$87</f>
        <v>0</v>
      </c>
      <c r="AK122" s="125">
        <f>Valores!C$38*B122</f>
        <v>30000</v>
      </c>
      <c r="AL122" s="125">
        <f>IF($F$3="NO",0,Valores!$C$55)</f>
        <v>327.6</v>
      </c>
      <c r="AM122" s="125">
        <f t="shared" si="13"/>
        <v>30327.6</v>
      </c>
      <c r="AN122" s="125">
        <f>AH122*Valores!$C$71</f>
        <v>-19711.143099999998</v>
      </c>
      <c r="AO122" s="125">
        <f>AH122*-Valores!$C$72</f>
        <v>0</v>
      </c>
      <c r="AP122" s="125">
        <f>AH122*Valores!$C$73</f>
        <v>-8063.649449999999</v>
      </c>
      <c r="AQ122" s="125">
        <f>Valores!$C$100</f>
        <v>-280.91</v>
      </c>
      <c r="AR122" s="125">
        <f>IF($F$5=0,Valores!$C$101,(Valores!$C$101+$F$5*(Valores!$C$101)))</f>
        <v>-385</v>
      </c>
      <c r="AS122" s="125">
        <f t="shared" si="16"/>
        <v>181079.10744999998</v>
      </c>
      <c r="AT122" s="125">
        <f t="shared" si="10"/>
        <v>-19711.143099999998</v>
      </c>
      <c r="AU122" s="125">
        <f>AH122*Valores!$C$74</f>
        <v>-4838.18967</v>
      </c>
      <c r="AV122" s="125">
        <f>AH122*Valores!$C$75</f>
        <v>-537.57663</v>
      </c>
      <c r="AW122" s="125">
        <f t="shared" si="14"/>
        <v>184432.9006</v>
      </c>
      <c r="AX122" s="126"/>
      <c r="AY122" s="126"/>
      <c r="AZ122" s="123" t="s">
        <v>4</v>
      </c>
    </row>
    <row r="123" spans="1:52" s="110" customFormat="1" ht="11.25" customHeight="1">
      <c r="A123" s="123" t="s">
        <v>336</v>
      </c>
      <c r="B123" s="123">
        <v>1</v>
      </c>
      <c r="C123" s="126">
        <v>116</v>
      </c>
      <c r="D123" s="124" t="s">
        <v>337</v>
      </c>
      <c r="E123" s="192">
        <v>2850</v>
      </c>
      <c r="F123" s="125">
        <f>ROUND(E123*Valores!$C$2,2)</f>
        <v>77295.42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15683.76</v>
      </c>
      <c r="N123" s="125">
        <f t="shared" si="11"/>
        <v>0</v>
      </c>
      <c r="O123" s="125">
        <f>Valores!$C$9</f>
        <v>29939.09</v>
      </c>
      <c r="P123" s="125">
        <f>Valores!$D$5</f>
        <v>13864.36</v>
      </c>
      <c r="Q123" s="125">
        <f>Valores!$C$22</f>
        <v>12369.22</v>
      </c>
      <c r="R123" s="125">
        <f>IF($F$4="NO",Valores!$C$47,Valores!$C$47/2)</f>
        <v>14493.86</v>
      </c>
      <c r="S123" s="125">
        <f>Valores!$C$20</f>
        <v>12769.11</v>
      </c>
      <c r="T123" s="125">
        <f t="shared" si="17"/>
        <v>12769.11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Valores!$C$96</f>
        <v>12637.52</v>
      </c>
      <c r="AA123" s="125">
        <f>Valores!$C$25</f>
        <v>567.06</v>
      </c>
      <c r="AB123" s="214">
        <v>0</v>
      </c>
      <c r="AC123" s="125">
        <f t="shared" si="12"/>
        <v>0</v>
      </c>
      <c r="AD123" s="125">
        <f>Valores!$C$26</f>
        <v>567.06</v>
      </c>
      <c r="AE123" s="192">
        <v>0</v>
      </c>
      <c r="AF123" s="125">
        <f>ROUND(AE123*Valores!$C$2,2)</f>
        <v>0</v>
      </c>
      <c r="AG123" s="125">
        <f>ROUND(IF($F$4="NO",Valores!$C$63,Valores!$C$63/2),2)</f>
        <v>6482.98</v>
      </c>
      <c r="AH123" s="125">
        <f t="shared" si="15"/>
        <v>196669.44</v>
      </c>
      <c r="AI123" s="125">
        <f>Valores!$C$31</f>
        <v>0</v>
      </c>
      <c r="AJ123" s="125">
        <f>Valores!$C$89</f>
        <v>0</v>
      </c>
      <c r="AK123" s="125">
        <f>Valores!C$38*B123</f>
        <v>30000</v>
      </c>
      <c r="AL123" s="125">
        <f>IF($F$3="NO",0,Valores!$C$55)</f>
        <v>327.6</v>
      </c>
      <c r="AM123" s="125">
        <f t="shared" si="13"/>
        <v>30327.6</v>
      </c>
      <c r="AN123" s="125">
        <f>AH123*Valores!$C$71</f>
        <v>-21633.6384</v>
      </c>
      <c r="AO123" s="125">
        <f>AH123*-Valores!$C$72</f>
        <v>0</v>
      </c>
      <c r="AP123" s="125">
        <f>AH123*Valores!$C$73</f>
        <v>-8850.1248</v>
      </c>
      <c r="AQ123" s="125">
        <f>Valores!$C$100</f>
        <v>-280.91</v>
      </c>
      <c r="AR123" s="125">
        <f>IF($F$5=0,Valores!$C$101,(Valores!$C$101+$F$5*(Valores!$C$101)))</f>
        <v>-385</v>
      </c>
      <c r="AS123" s="125">
        <f t="shared" si="16"/>
        <v>195847.3668</v>
      </c>
      <c r="AT123" s="125">
        <f t="shared" si="10"/>
        <v>-21633.6384</v>
      </c>
      <c r="AU123" s="125">
        <f>AH123*Valores!$C$74</f>
        <v>-5310.07488</v>
      </c>
      <c r="AV123" s="125">
        <f>AH123*Valores!$C$75</f>
        <v>-590.00832</v>
      </c>
      <c r="AW123" s="125">
        <f t="shared" si="14"/>
        <v>199463.31840000002</v>
      </c>
      <c r="AX123" s="126"/>
      <c r="AY123" s="126">
        <v>40</v>
      </c>
      <c r="AZ123" s="123" t="s">
        <v>4</v>
      </c>
    </row>
    <row r="124" spans="1:52" s="110" customFormat="1" ht="11.25" customHeight="1">
      <c r="A124" s="123" t="s">
        <v>338</v>
      </c>
      <c r="B124" s="123">
        <v>1</v>
      </c>
      <c r="C124" s="126">
        <v>117</v>
      </c>
      <c r="D124" s="124" t="s">
        <v>339</v>
      </c>
      <c r="E124" s="192">
        <v>1735</v>
      </c>
      <c r="F124" s="125">
        <f>ROUND(E124*Valores!$C$2,2)</f>
        <v>47055.28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10336.97</v>
      </c>
      <c r="N124" s="125">
        <f t="shared" si="11"/>
        <v>0</v>
      </c>
      <c r="O124" s="125">
        <f>Valores!$C$16</f>
        <v>23436.25</v>
      </c>
      <c r="P124" s="125">
        <f>Valores!$D$5</f>
        <v>13864.36</v>
      </c>
      <c r="Q124" s="125">
        <v>0</v>
      </c>
      <c r="R124" s="125">
        <f>IF($F$4="NO",Valores!$C$43,Valores!$C$43/2)</f>
        <v>9088.77</v>
      </c>
      <c r="S124" s="125">
        <f>Valores!$C$20</f>
        <v>12769.11</v>
      </c>
      <c r="T124" s="125">
        <f t="shared" si="17"/>
        <v>12769.11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Valores!$C$94</f>
        <v>6318.76</v>
      </c>
      <c r="AA124" s="125">
        <f>Valores!$C$25</f>
        <v>567.06</v>
      </c>
      <c r="AB124" s="214">
        <v>0</v>
      </c>
      <c r="AC124" s="125">
        <f t="shared" si="12"/>
        <v>0</v>
      </c>
      <c r="AD124" s="125">
        <f>Valores!$C$26</f>
        <v>567.06</v>
      </c>
      <c r="AE124" s="192">
        <v>0</v>
      </c>
      <c r="AF124" s="125">
        <f>ROUND(AE124*Valores!$C$2,2)</f>
        <v>0</v>
      </c>
      <c r="AG124" s="125">
        <f>ROUND(IF($F$4="NO",Valores!$C$63,Valores!$C$63/2),2)</f>
        <v>6482.98</v>
      </c>
      <c r="AH124" s="125">
        <f t="shared" si="15"/>
        <v>130486.59999999999</v>
      </c>
      <c r="AI124" s="125">
        <f>Valores!$C$31</f>
        <v>0</v>
      </c>
      <c r="AJ124" s="125">
        <f>Valores!$C$87</f>
        <v>0</v>
      </c>
      <c r="AK124" s="125">
        <f>Valores!C$38*B124</f>
        <v>30000</v>
      </c>
      <c r="AL124" s="125">
        <f>IF($F$3="NO",0,Valores!$C$56)</f>
        <v>170.34</v>
      </c>
      <c r="AM124" s="125">
        <f t="shared" si="13"/>
        <v>30170.34</v>
      </c>
      <c r="AN124" s="125">
        <f>AH124*Valores!$C$71</f>
        <v>-14353.526</v>
      </c>
      <c r="AO124" s="125">
        <f>AH124*-Valores!$C$72</f>
        <v>0</v>
      </c>
      <c r="AP124" s="125">
        <f>AH124*Valores!$C$73</f>
        <v>-5871.896999999999</v>
      </c>
      <c r="AQ124" s="125">
        <f>Valores!$C$100</f>
        <v>-280.91</v>
      </c>
      <c r="AR124" s="125">
        <f>IF($F$5=0,Valores!$C$101,(Valores!$C$101+$F$5*(Valores!$C$101)))</f>
        <v>-385</v>
      </c>
      <c r="AS124" s="125">
        <f t="shared" si="16"/>
        <v>139765.607</v>
      </c>
      <c r="AT124" s="125">
        <f t="shared" si="10"/>
        <v>-14353.526</v>
      </c>
      <c r="AU124" s="125">
        <f>AH124*Valores!$C$74</f>
        <v>-3523.1382</v>
      </c>
      <c r="AV124" s="125">
        <f>AH124*Valores!$C$75</f>
        <v>-391.4598</v>
      </c>
      <c r="AW124" s="125">
        <f t="shared" si="14"/>
        <v>142388.816</v>
      </c>
      <c r="AX124" s="126"/>
      <c r="AY124" s="126">
        <v>40</v>
      </c>
      <c r="AZ124" s="123" t="s">
        <v>4</v>
      </c>
    </row>
    <row r="125" spans="1:52" s="110" customFormat="1" ht="11.25" customHeight="1">
      <c r="A125" s="123" t="s">
        <v>340</v>
      </c>
      <c r="B125" s="123">
        <v>1</v>
      </c>
      <c r="C125" s="126">
        <v>118</v>
      </c>
      <c r="D125" s="124" t="s">
        <v>341</v>
      </c>
      <c r="E125" s="192">
        <v>72</v>
      </c>
      <c r="F125" s="125">
        <f>ROUND(E125*Valores!$C$2,2)</f>
        <v>1952.73</v>
      </c>
      <c r="G125" s="192">
        <v>1590</v>
      </c>
      <c r="H125" s="125">
        <f>ROUND(G125*Valores!$C$2,2)</f>
        <v>43122.71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10040</v>
      </c>
      <c r="N125" s="125">
        <f t="shared" si="11"/>
        <v>0</v>
      </c>
      <c r="O125" s="125">
        <f>Valores!$C$16</f>
        <v>23436.25</v>
      </c>
      <c r="P125" s="125">
        <f>Valores!$D$5</f>
        <v>13864.36</v>
      </c>
      <c r="Q125" s="125">
        <f>Valores!$C$22</f>
        <v>12369.22</v>
      </c>
      <c r="R125" s="125">
        <f>IF($F$4="NO",Valores!$C$43,Valores!$C$43/2)</f>
        <v>9088.77</v>
      </c>
      <c r="S125" s="125">
        <f>Valores!$C$20</f>
        <v>12769.11</v>
      </c>
      <c r="T125" s="125">
        <f t="shared" si="17"/>
        <v>12769.11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Valores!$C$94</f>
        <v>6318.76</v>
      </c>
      <c r="AA125" s="125">
        <f>Valores!$C$25</f>
        <v>567.06</v>
      </c>
      <c r="AB125" s="214">
        <v>0</v>
      </c>
      <c r="AC125" s="125">
        <f t="shared" si="12"/>
        <v>0</v>
      </c>
      <c r="AD125" s="125">
        <f>Valores!$C$26</f>
        <v>567.06</v>
      </c>
      <c r="AE125" s="192">
        <v>0</v>
      </c>
      <c r="AF125" s="125">
        <f>ROUND(AE125*Valores!$C$2,2)</f>
        <v>0</v>
      </c>
      <c r="AG125" s="125">
        <f>ROUND(IF($F$4="NO",Valores!$C$63,Valores!$C$63/2),2)</f>
        <v>6482.98</v>
      </c>
      <c r="AH125" s="125">
        <f t="shared" si="15"/>
        <v>140579.01</v>
      </c>
      <c r="AI125" s="125">
        <f>Valores!$C$31</f>
        <v>0</v>
      </c>
      <c r="AJ125" s="125">
        <f>Valores!$C$87</f>
        <v>0</v>
      </c>
      <c r="AK125" s="125">
        <f>Valores!C$38*B125</f>
        <v>30000</v>
      </c>
      <c r="AL125" s="125">
        <f>IF($F$3="NO",0,Valores!$C$56)</f>
        <v>170.34</v>
      </c>
      <c r="AM125" s="125">
        <f t="shared" si="13"/>
        <v>30170.34</v>
      </c>
      <c r="AN125" s="125">
        <f>AH125*Valores!$C$71</f>
        <v>-15463.691100000002</v>
      </c>
      <c r="AO125" s="125">
        <f>AH125*-Valores!$C$72</f>
        <v>0</v>
      </c>
      <c r="AP125" s="125">
        <f>AH125*Valores!$C$73</f>
        <v>-6326.05545</v>
      </c>
      <c r="AQ125" s="125">
        <f>Valores!$C$100</f>
        <v>-280.91</v>
      </c>
      <c r="AR125" s="125">
        <f>IF($F$5=0,Valores!$C$101,(Valores!$C$101+$F$5*(Valores!$C$101)))</f>
        <v>-385</v>
      </c>
      <c r="AS125" s="125">
        <f t="shared" si="16"/>
        <v>148293.69345000002</v>
      </c>
      <c r="AT125" s="125">
        <f t="shared" si="10"/>
        <v>-15463.691100000002</v>
      </c>
      <c r="AU125" s="125">
        <f>AH125*Valores!$C$74</f>
        <v>-3795.6332700000003</v>
      </c>
      <c r="AV125" s="125">
        <f>AH125*Valores!$C$75</f>
        <v>-421.73703000000006</v>
      </c>
      <c r="AW125" s="125">
        <f t="shared" si="14"/>
        <v>151068.2886</v>
      </c>
      <c r="AX125" s="126"/>
      <c r="AY125" s="126">
        <v>25</v>
      </c>
      <c r="AZ125" s="123" t="s">
        <v>4</v>
      </c>
    </row>
    <row r="126" spans="1:52" s="110" customFormat="1" ht="11.25" customHeight="1">
      <c r="A126" s="123" t="s">
        <v>342</v>
      </c>
      <c r="B126" s="123">
        <v>1</v>
      </c>
      <c r="C126" s="126">
        <v>119</v>
      </c>
      <c r="D126" s="124" t="s">
        <v>343</v>
      </c>
      <c r="E126" s="192">
        <v>72</v>
      </c>
      <c r="F126" s="125">
        <f>ROUND(E126*Valores!$C$2,2)</f>
        <v>1952.73</v>
      </c>
      <c r="G126" s="192">
        <v>1590</v>
      </c>
      <c r="H126" s="125">
        <f>ROUND(G126*Valores!$C$2,2)</f>
        <v>43122.71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10040</v>
      </c>
      <c r="N126" s="125">
        <f t="shared" si="11"/>
        <v>0</v>
      </c>
      <c r="O126" s="125">
        <f>Valores!$C$16</f>
        <v>23436.25</v>
      </c>
      <c r="P126" s="125">
        <f>Valores!$D$5</f>
        <v>13864.36</v>
      </c>
      <c r="Q126" s="125">
        <f>Valores!$C$22</f>
        <v>12369.22</v>
      </c>
      <c r="R126" s="125">
        <f>IF($F$4="NO",Valores!$C$43,Valores!$C$43/2)</f>
        <v>9088.77</v>
      </c>
      <c r="S126" s="125">
        <f>Valores!$C$20</f>
        <v>12769.11</v>
      </c>
      <c r="T126" s="125">
        <f t="shared" si="17"/>
        <v>12769.11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Valores!$C$94</f>
        <v>6318.76</v>
      </c>
      <c r="AA126" s="125">
        <f>Valores!$C$25</f>
        <v>567.06</v>
      </c>
      <c r="AB126" s="214">
        <v>0</v>
      </c>
      <c r="AC126" s="125">
        <f t="shared" si="12"/>
        <v>0</v>
      </c>
      <c r="AD126" s="125">
        <f>Valores!$C$26</f>
        <v>567.06</v>
      </c>
      <c r="AE126" s="192">
        <v>94</v>
      </c>
      <c r="AF126" s="125">
        <f>ROUND(AE126*Valores!$C$2,2)</f>
        <v>2549.39</v>
      </c>
      <c r="AG126" s="125">
        <f>ROUND(IF($F$4="NO",Valores!$C$63,Valores!$C$63/2),2)</f>
        <v>6482.98</v>
      </c>
      <c r="AH126" s="125">
        <f t="shared" si="15"/>
        <v>143128.40000000002</v>
      </c>
      <c r="AI126" s="125">
        <f>Valores!$C$31</f>
        <v>0</v>
      </c>
      <c r="AJ126" s="125">
        <f>Valores!$C$87</f>
        <v>0</v>
      </c>
      <c r="AK126" s="125">
        <f>Valores!C$38*B126</f>
        <v>30000</v>
      </c>
      <c r="AL126" s="125">
        <f>IF($F$3="NO",0,Valores!$C$56)</f>
        <v>170.34</v>
      </c>
      <c r="AM126" s="125">
        <f t="shared" si="13"/>
        <v>30170.34</v>
      </c>
      <c r="AN126" s="125">
        <f>AH126*Valores!$C$71</f>
        <v>-15744.124000000003</v>
      </c>
      <c r="AO126" s="125">
        <f>AH126*-Valores!$C$72</f>
        <v>0</v>
      </c>
      <c r="AP126" s="125">
        <f>AH126*Valores!$C$73</f>
        <v>-6440.778000000001</v>
      </c>
      <c r="AQ126" s="125">
        <f>Valores!$C$100</f>
        <v>-280.91</v>
      </c>
      <c r="AR126" s="125">
        <f>IF($F$5=0,Valores!$C$101,(Valores!$C$101+$F$5*(Valores!$C$101)))</f>
        <v>-385</v>
      </c>
      <c r="AS126" s="125">
        <f t="shared" si="16"/>
        <v>150447.928</v>
      </c>
      <c r="AT126" s="125">
        <f t="shared" si="10"/>
        <v>-15744.124000000003</v>
      </c>
      <c r="AU126" s="125">
        <f>AH126*Valores!$C$74</f>
        <v>-3864.4668000000006</v>
      </c>
      <c r="AV126" s="125">
        <f>AH126*Valores!$C$75</f>
        <v>-429.38520000000005</v>
      </c>
      <c r="AW126" s="125">
        <f t="shared" si="14"/>
        <v>153260.76400000002</v>
      </c>
      <c r="AX126" s="126"/>
      <c r="AY126" s="126">
        <v>20</v>
      </c>
      <c r="AZ126" s="123" t="s">
        <v>4</v>
      </c>
    </row>
    <row r="127" spans="1:52" s="110" customFormat="1" ht="11.25" customHeight="1">
      <c r="A127" s="123" t="s">
        <v>344</v>
      </c>
      <c r="B127" s="123">
        <v>1</v>
      </c>
      <c r="C127" s="126">
        <v>120</v>
      </c>
      <c r="D127" s="124" t="s">
        <v>345</v>
      </c>
      <c r="E127" s="192">
        <v>77</v>
      </c>
      <c r="F127" s="125">
        <f>ROUND(E127*Valores!$C$2,2)</f>
        <v>2088.33</v>
      </c>
      <c r="G127" s="192">
        <v>2043</v>
      </c>
      <c r="H127" s="125">
        <f>ROUND(G127*Valores!$C$2,2)</f>
        <v>55408.61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12004.41</v>
      </c>
      <c r="N127" s="125">
        <f t="shared" si="11"/>
        <v>0</v>
      </c>
      <c r="O127" s="125">
        <f>Valores!$C$11</f>
        <v>24183.22</v>
      </c>
      <c r="P127" s="125">
        <f>Valores!$D$5</f>
        <v>13864.36</v>
      </c>
      <c r="Q127" s="125">
        <f>Valores!$C$22</f>
        <v>12369.22</v>
      </c>
      <c r="R127" s="125">
        <f>IF($F$4="NO",Valores!$C$44,Valores!$C$44/2)</f>
        <v>9631.44</v>
      </c>
      <c r="S127" s="125">
        <f>Valores!$C$19</f>
        <v>12901.01</v>
      </c>
      <c r="T127" s="125">
        <f t="shared" si="17"/>
        <v>12901.01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Valores!$C$94</f>
        <v>6318.76</v>
      </c>
      <c r="AA127" s="125">
        <f>Valores!$C$25</f>
        <v>567.06</v>
      </c>
      <c r="AB127" s="214">
        <v>0</v>
      </c>
      <c r="AC127" s="125">
        <f t="shared" si="12"/>
        <v>0</v>
      </c>
      <c r="AD127" s="125">
        <f>Valores!$C$26</f>
        <v>567.06</v>
      </c>
      <c r="AE127" s="192">
        <v>0</v>
      </c>
      <c r="AF127" s="125">
        <f>ROUND(AE127*Valores!$C$2,2)</f>
        <v>0</v>
      </c>
      <c r="AG127" s="125">
        <f>ROUND(IF($F$4="NO",Valores!$C$63,Valores!$C$63/2),2)</f>
        <v>6482.98</v>
      </c>
      <c r="AH127" s="125">
        <f t="shared" si="15"/>
        <v>156386.46000000002</v>
      </c>
      <c r="AI127" s="125">
        <f>Valores!$C$31</f>
        <v>0</v>
      </c>
      <c r="AJ127" s="125">
        <f>Valores!$C$87</f>
        <v>0</v>
      </c>
      <c r="AK127" s="125">
        <f>Valores!C$38*B127</f>
        <v>30000</v>
      </c>
      <c r="AL127" s="125">
        <f>IF($F$3="NO",0,Valores!$C$56)</f>
        <v>170.34</v>
      </c>
      <c r="AM127" s="125">
        <f t="shared" si="13"/>
        <v>30170.34</v>
      </c>
      <c r="AN127" s="125">
        <f>AH127*Valores!$C$71</f>
        <v>-17202.5106</v>
      </c>
      <c r="AO127" s="125">
        <f>AH127*-Valores!$C$72</f>
        <v>0</v>
      </c>
      <c r="AP127" s="125">
        <f>AH127*Valores!$C$73</f>
        <v>-7037.390700000001</v>
      </c>
      <c r="AQ127" s="125">
        <f>Valores!$C$100</f>
        <v>-280.91</v>
      </c>
      <c r="AR127" s="125">
        <f>IF($F$5=0,Valores!$C$101,(Valores!$C$101+$F$5*(Valores!$C$101)))</f>
        <v>-385</v>
      </c>
      <c r="AS127" s="125">
        <f t="shared" si="16"/>
        <v>161650.98870000002</v>
      </c>
      <c r="AT127" s="125">
        <f t="shared" si="10"/>
        <v>-17202.5106</v>
      </c>
      <c r="AU127" s="125">
        <f>AH127*Valores!$C$74</f>
        <v>-4222.4344200000005</v>
      </c>
      <c r="AV127" s="125">
        <f>AH127*Valores!$C$75</f>
        <v>-469.15938000000006</v>
      </c>
      <c r="AW127" s="125">
        <f t="shared" si="14"/>
        <v>164662.6956</v>
      </c>
      <c r="AX127" s="126"/>
      <c r="AY127" s="126"/>
      <c r="AZ127" s="123" t="s">
        <v>4</v>
      </c>
    </row>
    <row r="128" spans="1:52" s="110" customFormat="1" ht="11.25" customHeight="1">
      <c r="A128" s="123" t="s">
        <v>346</v>
      </c>
      <c r="B128" s="123">
        <v>1</v>
      </c>
      <c r="C128" s="126">
        <v>121</v>
      </c>
      <c r="D128" s="124" t="s">
        <v>347</v>
      </c>
      <c r="E128" s="192">
        <v>61</v>
      </c>
      <c r="F128" s="125">
        <f>ROUND(E128*Valores!$C$2,2)</f>
        <v>1654.39</v>
      </c>
      <c r="G128" s="192">
        <v>1217</v>
      </c>
      <c r="H128" s="125">
        <f>ROUND(G128*Valores!$C$2,2)</f>
        <v>33006.5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8497.6</v>
      </c>
      <c r="N128" s="125">
        <f t="shared" si="11"/>
        <v>0</v>
      </c>
      <c r="O128" s="125">
        <f>Valores!$C$16</f>
        <v>23436.25</v>
      </c>
      <c r="P128" s="125">
        <f>Valores!$D$5</f>
        <v>13864.36</v>
      </c>
      <c r="Q128" s="125">
        <f>Valores!$C$22</f>
        <v>12369.22</v>
      </c>
      <c r="R128" s="125">
        <f>IF($F$4="NO",Valores!$C$43,Valores!$C$43/2)</f>
        <v>9088.77</v>
      </c>
      <c r="S128" s="125">
        <f>Valores!$C$19</f>
        <v>12901.01</v>
      </c>
      <c r="T128" s="125">
        <f t="shared" si="17"/>
        <v>12901.01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Valores!$C$94</f>
        <v>6318.76</v>
      </c>
      <c r="AA128" s="125">
        <f>Valores!$C$25</f>
        <v>567.06</v>
      </c>
      <c r="AB128" s="214">
        <v>0</v>
      </c>
      <c r="AC128" s="125">
        <f t="shared" si="12"/>
        <v>0</v>
      </c>
      <c r="AD128" s="125">
        <f>Valores!$C$26</f>
        <v>567.06</v>
      </c>
      <c r="AE128" s="192">
        <v>0</v>
      </c>
      <c r="AF128" s="125">
        <f>ROUND(AE128*Valores!$C$2,2)</f>
        <v>0</v>
      </c>
      <c r="AG128" s="125">
        <f>ROUND(IF($F$4="NO",Valores!$C$63,Valores!$C$63/2),2)</f>
        <v>6482.98</v>
      </c>
      <c r="AH128" s="125">
        <f t="shared" si="15"/>
        <v>128753.95999999998</v>
      </c>
      <c r="AI128" s="125">
        <f>Valores!$C$31</f>
        <v>0</v>
      </c>
      <c r="AJ128" s="125">
        <f>Valores!$C$87</f>
        <v>0</v>
      </c>
      <c r="AK128" s="125">
        <f>Valores!C$38*B128</f>
        <v>30000</v>
      </c>
      <c r="AL128" s="125">
        <f>IF($F$3="NO",0,Valores!$C$56)</f>
        <v>170.34</v>
      </c>
      <c r="AM128" s="125">
        <f t="shared" si="13"/>
        <v>30170.34</v>
      </c>
      <c r="AN128" s="125">
        <f>AH128*Valores!$C$71</f>
        <v>-14162.935599999997</v>
      </c>
      <c r="AO128" s="125">
        <f>AH128*-Valores!$C$72</f>
        <v>0</v>
      </c>
      <c r="AP128" s="125">
        <f>AH128*Valores!$C$73</f>
        <v>-5793.9281999999985</v>
      </c>
      <c r="AQ128" s="125">
        <f>Valores!$C$100</f>
        <v>-280.91</v>
      </c>
      <c r="AR128" s="125">
        <f>IF($F$5=0,Valores!$C$101,(Valores!$C$101+$F$5*(Valores!$C$101)))</f>
        <v>-385</v>
      </c>
      <c r="AS128" s="125">
        <f t="shared" si="16"/>
        <v>138301.5262</v>
      </c>
      <c r="AT128" s="125">
        <f t="shared" si="10"/>
        <v>-14162.935599999997</v>
      </c>
      <c r="AU128" s="125">
        <f>AH128*Valores!$C$74</f>
        <v>-3476.3569199999993</v>
      </c>
      <c r="AV128" s="125">
        <f>AH128*Valores!$C$75</f>
        <v>-386.26187999999996</v>
      </c>
      <c r="AW128" s="125">
        <f t="shared" si="14"/>
        <v>140898.7456</v>
      </c>
      <c r="AX128" s="126"/>
      <c r="AY128" s="126">
        <v>25</v>
      </c>
      <c r="AZ128" s="123" t="s">
        <v>4</v>
      </c>
    </row>
    <row r="129" spans="1:52" s="110" customFormat="1" ht="11.25" customHeight="1">
      <c r="A129" s="123" t="s">
        <v>348</v>
      </c>
      <c r="B129" s="123">
        <v>1</v>
      </c>
      <c r="C129" s="126">
        <v>122</v>
      </c>
      <c r="D129" s="124" t="s">
        <v>349</v>
      </c>
      <c r="E129" s="192">
        <v>72</v>
      </c>
      <c r="F129" s="125">
        <f>ROUND(E129*Valores!$C$2,2)</f>
        <v>1952.73</v>
      </c>
      <c r="G129" s="192">
        <v>1206</v>
      </c>
      <c r="H129" s="125">
        <f>ROUND(G129*Valores!$C$2,2)</f>
        <v>32708.17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8497.6</v>
      </c>
      <c r="N129" s="125">
        <f t="shared" si="11"/>
        <v>0</v>
      </c>
      <c r="O129" s="125">
        <f>Valores!$C$16</f>
        <v>23436.25</v>
      </c>
      <c r="P129" s="125">
        <f>Valores!$D$5</f>
        <v>13864.36</v>
      </c>
      <c r="Q129" s="125">
        <f>Valores!$C$22</f>
        <v>12369.22</v>
      </c>
      <c r="R129" s="125">
        <f>IF($F$4="NO",Valores!$C$43,Valores!$C$43/2)</f>
        <v>9088.77</v>
      </c>
      <c r="S129" s="125">
        <f>Valores!$C$19</f>
        <v>12901.01</v>
      </c>
      <c r="T129" s="125">
        <f t="shared" si="17"/>
        <v>12901.01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Valores!$C$94</f>
        <v>6318.76</v>
      </c>
      <c r="AA129" s="125">
        <f>Valores!$C$25</f>
        <v>567.06</v>
      </c>
      <c r="AB129" s="214">
        <v>0</v>
      </c>
      <c r="AC129" s="125">
        <f t="shared" si="12"/>
        <v>0</v>
      </c>
      <c r="AD129" s="125">
        <f>Valores!$C$26</f>
        <v>567.06</v>
      </c>
      <c r="AE129" s="192">
        <v>94</v>
      </c>
      <c r="AF129" s="125">
        <f>ROUND(AE129*Valores!$C$2,2)</f>
        <v>2549.39</v>
      </c>
      <c r="AG129" s="125">
        <f>ROUND(IF($F$4="NO",Valores!$C$63,Valores!$C$63/2),2)</f>
        <v>6482.98</v>
      </c>
      <c r="AH129" s="125">
        <f t="shared" si="15"/>
        <v>131303.36</v>
      </c>
      <c r="AI129" s="125">
        <f>Valores!$C$31</f>
        <v>0</v>
      </c>
      <c r="AJ129" s="125">
        <f>Valores!$C$87</f>
        <v>0</v>
      </c>
      <c r="AK129" s="125">
        <f>Valores!C$38*B129</f>
        <v>30000</v>
      </c>
      <c r="AL129" s="125">
        <f>IF($F$3="NO",0,Valores!$C$56)</f>
        <v>170.34</v>
      </c>
      <c r="AM129" s="125">
        <f t="shared" si="13"/>
        <v>30170.34</v>
      </c>
      <c r="AN129" s="125">
        <f>AH129*Valores!$C$71</f>
        <v>-14443.369599999998</v>
      </c>
      <c r="AO129" s="125">
        <f>AH129*-Valores!$C$72</f>
        <v>0</v>
      </c>
      <c r="AP129" s="125">
        <f>AH129*Valores!$C$73</f>
        <v>-5908.651199999999</v>
      </c>
      <c r="AQ129" s="125">
        <f>Valores!$C$100</f>
        <v>-280.91</v>
      </c>
      <c r="AR129" s="125">
        <f>IF($F$5=0,Valores!$C$101,(Valores!$C$101+$F$5*(Valores!$C$101)))</f>
        <v>-385</v>
      </c>
      <c r="AS129" s="125">
        <f t="shared" si="16"/>
        <v>140455.76919999998</v>
      </c>
      <c r="AT129" s="125">
        <f t="shared" si="10"/>
        <v>-14443.369599999998</v>
      </c>
      <c r="AU129" s="125">
        <f>AH129*Valores!$C$74</f>
        <v>-3545.1907199999996</v>
      </c>
      <c r="AV129" s="125">
        <f>AH129*Valores!$C$75</f>
        <v>-393.91008</v>
      </c>
      <c r="AW129" s="125">
        <f t="shared" si="14"/>
        <v>143091.2296</v>
      </c>
      <c r="AX129" s="126"/>
      <c r="AY129" s="126">
        <v>20</v>
      </c>
      <c r="AZ129" s="123" t="s">
        <v>4</v>
      </c>
    </row>
    <row r="130" spans="1:52" s="110" customFormat="1" ht="11.25" customHeight="1">
      <c r="A130" s="123" t="s">
        <v>350</v>
      </c>
      <c r="B130" s="123">
        <v>1</v>
      </c>
      <c r="C130" s="126">
        <v>123</v>
      </c>
      <c r="D130" s="124" t="s">
        <v>351</v>
      </c>
      <c r="E130" s="192">
        <v>61</v>
      </c>
      <c r="F130" s="125">
        <f>ROUND(E130*Valores!$C$2,2)</f>
        <v>1654.39</v>
      </c>
      <c r="G130" s="192">
        <v>1217</v>
      </c>
      <c r="H130" s="125">
        <f>ROUND(G130*Valores!$C$2,2)</f>
        <v>33006.5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8477.82</v>
      </c>
      <c r="N130" s="125">
        <f t="shared" si="11"/>
        <v>0</v>
      </c>
      <c r="O130" s="125">
        <f>Valores!$C$16</f>
        <v>23436.25</v>
      </c>
      <c r="P130" s="125">
        <f>Valores!$D$5</f>
        <v>13864.36</v>
      </c>
      <c r="Q130" s="125">
        <v>0</v>
      </c>
      <c r="R130" s="125">
        <f>IF($F$4="NO",Valores!$C$43,Valores!$C$43/2)</f>
        <v>9088.77</v>
      </c>
      <c r="S130" s="125">
        <f>Valores!$C$20</f>
        <v>12769.11</v>
      </c>
      <c r="T130" s="125">
        <f t="shared" si="17"/>
        <v>12769.11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Valores!$C$94</f>
        <v>6318.76</v>
      </c>
      <c r="AA130" s="125">
        <f>Valores!$C$25</f>
        <v>567.06</v>
      </c>
      <c r="AB130" s="214">
        <v>0</v>
      </c>
      <c r="AC130" s="125">
        <f t="shared" si="12"/>
        <v>0</v>
      </c>
      <c r="AD130" s="125">
        <f>Valores!$C$26</f>
        <v>567.06</v>
      </c>
      <c r="AE130" s="192">
        <v>0</v>
      </c>
      <c r="AF130" s="125">
        <f>ROUND(AE130*Valores!$C$2,2)</f>
        <v>0</v>
      </c>
      <c r="AG130" s="125">
        <f>ROUND(IF($F$4="NO",Valores!$C$63,Valores!$C$63/2),2)</f>
        <v>6482.98</v>
      </c>
      <c r="AH130" s="125">
        <f t="shared" si="15"/>
        <v>116233.05999999998</v>
      </c>
      <c r="AI130" s="125">
        <f>Valores!$C$31</f>
        <v>0</v>
      </c>
      <c r="AJ130" s="125">
        <f>Valores!$C$87</f>
        <v>0</v>
      </c>
      <c r="AK130" s="125">
        <f>Valores!C$38*B130</f>
        <v>30000</v>
      </c>
      <c r="AL130" s="125">
        <f>IF($F$3="NO",0,Valores!$C$56)</f>
        <v>170.34</v>
      </c>
      <c r="AM130" s="125">
        <f t="shared" si="13"/>
        <v>30170.34</v>
      </c>
      <c r="AN130" s="125">
        <f>AH130*Valores!$C$71</f>
        <v>-12785.636599999998</v>
      </c>
      <c r="AO130" s="125">
        <f>AH130*-Valores!$C$72</f>
        <v>0</v>
      </c>
      <c r="AP130" s="125">
        <f>AH130*Valores!$C$73</f>
        <v>-5230.487699999999</v>
      </c>
      <c r="AQ130" s="125">
        <f>Valores!$C$100</f>
        <v>-280.91</v>
      </c>
      <c r="AR130" s="125">
        <f>IF($F$5=0,Valores!$C$101,(Valores!$C$101+$F$5*(Valores!$C$101)))</f>
        <v>-385</v>
      </c>
      <c r="AS130" s="125">
        <f t="shared" si="16"/>
        <v>127721.3657</v>
      </c>
      <c r="AT130" s="125">
        <f t="shared" si="10"/>
        <v>-12785.636599999998</v>
      </c>
      <c r="AU130" s="125">
        <f>AH130*Valores!$C$74</f>
        <v>-3138.2926199999997</v>
      </c>
      <c r="AV130" s="125">
        <f>AH130*Valores!$C$75</f>
        <v>-348.69917999999996</v>
      </c>
      <c r="AW130" s="125">
        <f t="shared" si="14"/>
        <v>130130.7716</v>
      </c>
      <c r="AX130" s="126"/>
      <c r="AY130" s="126"/>
      <c r="AZ130" s="123" t="s">
        <v>8</v>
      </c>
    </row>
    <row r="131" spans="1:52" s="110" customFormat="1" ht="11.25" customHeight="1">
      <c r="A131" s="123" t="s">
        <v>352</v>
      </c>
      <c r="B131" s="123">
        <v>1</v>
      </c>
      <c r="C131" s="126">
        <v>124</v>
      </c>
      <c r="D131" s="124" t="s">
        <v>353</v>
      </c>
      <c r="E131" s="192">
        <v>1278</v>
      </c>
      <c r="F131" s="125">
        <f>ROUND(E131*Valores!$C$2,2)</f>
        <v>34660.89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8559.22</v>
      </c>
      <c r="N131" s="125">
        <f t="shared" si="11"/>
        <v>0</v>
      </c>
      <c r="O131" s="125">
        <f>Valores!$C$16</f>
        <v>23436.25</v>
      </c>
      <c r="P131" s="125">
        <f>Valores!$D$5</f>
        <v>13864.36</v>
      </c>
      <c r="Q131" s="125">
        <f>Valores!$C$22</f>
        <v>12369.22</v>
      </c>
      <c r="R131" s="125">
        <f>IF($F$4="NO",Valores!$C$44,Valores!$C$44/2)</f>
        <v>9631.44</v>
      </c>
      <c r="S131" s="125">
        <f>Valores!$C$20</f>
        <v>12769.11</v>
      </c>
      <c r="T131" s="125">
        <f t="shared" si="17"/>
        <v>12769.11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Valores!$C$94</f>
        <v>6318.76</v>
      </c>
      <c r="AA131" s="125">
        <f>Valores!$C$25</f>
        <v>567.06</v>
      </c>
      <c r="AB131" s="214">
        <v>0</v>
      </c>
      <c r="AC131" s="125">
        <f t="shared" si="12"/>
        <v>0</v>
      </c>
      <c r="AD131" s="125">
        <f>Valores!$C$26</f>
        <v>567.06</v>
      </c>
      <c r="AE131" s="192">
        <v>0</v>
      </c>
      <c r="AF131" s="125">
        <f>ROUND(AE131*Valores!$C$2,2)</f>
        <v>0</v>
      </c>
      <c r="AG131" s="125">
        <f>ROUND(IF($F$4="NO",Valores!$C$63,Valores!$C$63/2),2)</f>
        <v>6482.98</v>
      </c>
      <c r="AH131" s="125">
        <f t="shared" si="15"/>
        <v>129226.34999999999</v>
      </c>
      <c r="AI131" s="125">
        <f>Valores!$C$31</f>
        <v>0</v>
      </c>
      <c r="AJ131" s="125">
        <f>Valores!$C$87</f>
        <v>0</v>
      </c>
      <c r="AK131" s="125">
        <f>Valores!C$38*B131</f>
        <v>30000</v>
      </c>
      <c r="AL131" s="125">
        <f>IF($F$3="NO",0,Valores!$C$56)</f>
        <v>170.34</v>
      </c>
      <c r="AM131" s="125">
        <f t="shared" si="13"/>
        <v>30170.34</v>
      </c>
      <c r="AN131" s="125">
        <f>AH131*Valores!$C$71</f>
        <v>-14214.8985</v>
      </c>
      <c r="AO131" s="125">
        <f>AH131*-Valores!$C$72</f>
        <v>0</v>
      </c>
      <c r="AP131" s="125">
        <f>AH131*Valores!$C$73</f>
        <v>-5815.18575</v>
      </c>
      <c r="AQ131" s="125">
        <f>Valores!$C$100</f>
        <v>-280.91</v>
      </c>
      <c r="AR131" s="125">
        <f>IF($F$5=0,Valores!$C$101,(Valores!$C$101+$F$5*(Valores!$C$101)))</f>
        <v>-385</v>
      </c>
      <c r="AS131" s="125">
        <f t="shared" si="16"/>
        <v>138700.69574999998</v>
      </c>
      <c r="AT131" s="125">
        <f t="shared" si="10"/>
        <v>-14214.8985</v>
      </c>
      <c r="AU131" s="125">
        <f>AH131*Valores!$C$74</f>
        <v>-3489.11145</v>
      </c>
      <c r="AV131" s="125">
        <f>AH131*Valores!$C$75</f>
        <v>-387.67904999999996</v>
      </c>
      <c r="AW131" s="125">
        <f t="shared" si="14"/>
        <v>141305.001</v>
      </c>
      <c r="AX131" s="126"/>
      <c r="AY131" s="126">
        <v>22</v>
      </c>
      <c r="AZ131" s="123" t="s">
        <v>4</v>
      </c>
    </row>
    <row r="132" spans="1:52" s="110" customFormat="1" ht="11.25" customHeight="1">
      <c r="A132" s="123" t="s">
        <v>354</v>
      </c>
      <c r="B132" s="123">
        <v>1</v>
      </c>
      <c r="C132" s="126">
        <v>125</v>
      </c>
      <c r="D132" s="124" t="s">
        <v>355</v>
      </c>
      <c r="E132" s="192">
        <v>1278</v>
      </c>
      <c r="F132" s="125">
        <f>ROUND(E132*Valores!$C$2,2)</f>
        <v>34660.89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8579</v>
      </c>
      <c r="N132" s="125">
        <f t="shared" si="11"/>
        <v>0</v>
      </c>
      <c r="O132" s="125">
        <f>Valores!$C$16</f>
        <v>23436.25</v>
      </c>
      <c r="P132" s="125">
        <f>Valores!$D$5</f>
        <v>13864.36</v>
      </c>
      <c r="Q132" s="125">
        <f>Valores!$C$22</f>
        <v>12369.22</v>
      </c>
      <c r="R132" s="125">
        <f>IF($F$4="NO",Valores!$C$44,Valores!$C$44/2)</f>
        <v>9631.44</v>
      </c>
      <c r="S132" s="125">
        <f>Valores!$C$19</f>
        <v>12901.01</v>
      </c>
      <c r="T132" s="125">
        <f t="shared" si="17"/>
        <v>12901.01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Valores!$C$94</f>
        <v>6318.76</v>
      </c>
      <c r="AA132" s="125">
        <f>Valores!$C$25</f>
        <v>567.06</v>
      </c>
      <c r="AB132" s="214">
        <v>0</v>
      </c>
      <c r="AC132" s="125">
        <f t="shared" si="12"/>
        <v>0</v>
      </c>
      <c r="AD132" s="125">
        <f>Valores!$C$26</f>
        <v>567.06</v>
      </c>
      <c r="AE132" s="192">
        <v>94</v>
      </c>
      <c r="AF132" s="125">
        <f>ROUND(AE132*Valores!$C$2,2)</f>
        <v>2549.39</v>
      </c>
      <c r="AG132" s="125">
        <f>ROUND(IF($F$4="NO",Valores!$C$63,Valores!$C$63/2),2)</f>
        <v>6482.98</v>
      </c>
      <c r="AH132" s="125">
        <f t="shared" si="15"/>
        <v>131927.41999999998</v>
      </c>
      <c r="AI132" s="125">
        <f>Valores!$C$31</f>
        <v>0</v>
      </c>
      <c r="AJ132" s="125">
        <f>Valores!$C$87</f>
        <v>0</v>
      </c>
      <c r="AK132" s="125">
        <f>Valores!C$38*B132</f>
        <v>30000</v>
      </c>
      <c r="AL132" s="125">
        <f>IF($F$3="NO",0,Valores!$C$56)</f>
        <v>170.34</v>
      </c>
      <c r="AM132" s="125">
        <f t="shared" si="13"/>
        <v>30170.34</v>
      </c>
      <c r="AN132" s="125">
        <f>AH132*Valores!$C$71</f>
        <v>-14512.016199999998</v>
      </c>
      <c r="AO132" s="125">
        <f>AH132*-Valores!$C$72</f>
        <v>0</v>
      </c>
      <c r="AP132" s="125">
        <f>AH132*Valores!$C$73</f>
        <v>-5936.733899999999</v>
      </c>
      <c r="AQ132" s="125">
        <f>Valores!$C$100</f>
        <v>-280.91</v>
      </c>
      <c r="AR132" s="125">
        <f>IF($F$5=0,Valores!$C$101,(Valores!$C$101+$F$5*(Valores!$C$101)))</f>
        <v>-385</v>
      </c>
      <c r="AS132" s="125">
        <f t="shared" si="16"/>
        <v>140983.09989999997</v>
      </c>
      <c r="AT132" s="125">
        <f t="shared" si="10"/>
        <v>-14512.016199999998</v>
      </c>
      <c r="AU132" s="125">
        <f>AH132*Valores!$C$74</f>
        <v>-3562.0403399999996</v>
      </c>
      <c r="AV132" s="125">
        <f>AH132*Valores!$C$75</f>
        <v>-395.78225999999995</v>
      </c>
      <c r="AW132" s="125">
        <f t="shared" si="14"/>
        <v>143627.92119999998</v>
      </c>
      <c r="AX132" s="126"/>
      <c r="AY132" s="126">
        <v>20</v>
      </c>
      <c r="AZ132" s="123" t="s">
        <v>4</v>
      </c>
    </row>
    <row r="133" spans="1:52" s="110" customFormat="1" ht="11.25" customHeight="1">
      <c r="A133" s="123" t="s">
        <v>356</v>
      </c>
      <c r="B133" s="123">
        <v>1</v>
      </c>
      <c r="C133" s="126">
        <v>126</v>
      </c>
      <c r="D133" s="124" t="s">
        <v>357</v>
      </c>
      <c r="E133" s="192">
        <v>936</v>
      </c>
      <c r="F133" s="125">
        <f>ROUND(E133*Valores!$C$2,2)</f>
        <v>25385.44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7086.5</v>
      </c>
      <c r="N133" s="125">
        <f t="shared" si="11"/>
        <v>0</v>
      </c>
      <c r="O133" s="125">
        <f>Valores!$C$16</f>
        <v>23436.25</v>
      </c>
      <c r="P133" s="125">
        <f>Valores!$D$5</f>
        <v>13864.36</v>
      </c>
      <c r="Q133" s="125">
        <f>Valores!$C$23</f>
        <v>11512.45</v>
      </c>
      <c r="R133" s="125">
        <f>IF($F$4="NO",Valores!$C$43,Valores!$C$43/2)</f>
        <v>9088.77</v>
      </c>
      <c r="S133" s="125">
        <f>Valores!$C$20</f>
        <v>12769.11</v>
      </c>
      <c r="T133" s="125">
        <f t="shared" si="17"/>
        <v>12769.11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Valores!$C$94</f>
        <v>6318.76</v>
      </c>
      <c r="AA133" s="125">
        <f>Valores!$C$25</f>
        <v>567.06</v>
      </c>
      <c r="AB133" s="214">
        <v>0</v>
      </c>
      <c r="AC133" s="125">
        <f t="shared" si="12"/>
        <v>0</v>
      </c>
      <c r="AD133" s="125">
        <f>Valores!$C$26</f>
        <v>567.06</v>
      </c>
      <c r="AE133" s="192">
        <v>94</v>
      </c>
      <c r="AF133" s="125">
        <f>ROUND(AE133*Valores!$C$2,2)</f>
        <v>2549.39</v>
      </c>
      <c r="AG133" s="125">
        <f>ROUND(IF($F$4="NO",Valores!$C$63,Valores!$C$63/2),2)</f>
        <v>6482.98</v>
      </c>
      <c r="AH133" s="125">
        <f t="shared" si="15"/>
        <v>119628.12999999999</v>
      </c>
      <c r="AI133" s="125">
        <f>Valores!$C$31</f>
        <v>0</v>
      </c>
      <c r="AJ133" s="125">
        <f>Valores!$C$87</f>
        <v>0</v>
      </c>
      <c r="AK133" s="125">
        <f>Valores!C$38*B133</f>
        <v>30000</v>
      </c>
      <c r="AL133" s="125">
        <f>IF($F$3="NO",0,Valores!$C$56)</f>
        <v>170.34</v>
      </c>
      <c r="AM133" s="125">
        <f t="shared" si="13"/>
        <v>30170.34</v>
      </c>
      <c r="AN133" s="125">
        <f>AH133*Valores!$C$71</f>
        <v>-13159.094299999999</v>
      </c>
      <c r="AO133" s="125">
        <f>AH133*-Valores!$C$72</f>
        <v>0</v>
      </c>
      <c r="AP133" s="125">
        <f>AH133*Valores!$C$73</f>
        <v>-5383.26585</v>
      </c>
      <c r="AQ133" s="125">
        <f>Valores!$C$100</f>
        <v>-280.91</v>
      </c>
      <c r="AR133" s="125">
        <f>IF($F$5=0,Valores!$C$101,(Valores!$C$101+$F$5*(Valores!$C$101)))</f>
        <v>-385</v>
      </c>
      <c r="AS133" s="125">
        <f t="shared" si="16"/>
        <v>130590.19984999999</v>
      </c>
      <c r="AT133" s="125">
        <f t="shared" si="10"/>
        <v>-13159.094299999999</v>
      </c>
      <c r="AU133" s="125">
        <f>AH133*Valores!$C$74</f>
        <v>-3229.9595099999997</v>
      </c>
      <c r="AV133" s="125">
        <f>AH133*Valores!$C$75</f>
        <v>-358.88439</v>
      </c>
      <c r="AW133" s="125">
        <f t="shared" si="14"/>
        <v>133050.5318</v>
      </c>
      <c r="AX133" s="126">
        <v>8</v>
      </c>
      <c r="AY133" s="126"/>
      <c r="AZ133" s="123" t="s">
        <v>4</v>
      </c>
    </row>
    <row r="134" spans="1:52" s="110" customFormat="1" ht="11.25" customHeight="1">
      <c r="A134" s="123" t="s">
        <v>358</v>
      </c>
      <c r="B134" s="123">
        <v>1</v>
      </c>
      <c r="C134" s="126">
        <v>127</v>
      </c>
      <c r="D134" s="124" t="s">
        <v>359</v>
      </c>
      <c r="E134" s="192">
        <v>1278</v>
      </c>
      <c r="F134" s="125">
        <f>ROUND(E134*Valores!$C$2,2)</f>
        <v>34660.89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8477.82</v>
      </c>
      <c r="N134" s="125">
        <f t="shared" si="11"/>
        <v>0</v>
      </c>
      <c r="O134" s="125">
        <f>Valores!$C$8</f>
        <v>29851.25</v>
      </c>
      <c r="P134" s="125">
        <f>Valores!$D$5</f>
        <v>13864.36</v>
      </c>
      <c r="Q134" s="125">
        <v>0</v>
      </c>
      <c r="R134" s="125">
        <f>IF($F$4="NO",Valores!$C$43,Valores!$C$43/2)</f>
        <v>9088.77</v>
      </c>
      <c r="S134" s="125">
        <f>Valores!$C$20</f>
        <v>12769.11</v>
      </c>
      <c r="T134" s="125">
        <f t="shared" si="17"/>
        <v>12769.11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Valores!$C$94</f>
        <v>6318.76</v>
      </c>
      <c r="AA134" s="125">
        <f>Valores!$C$25</f>
        <v>567.06</v>
      </c>
      <c r="AB134" s="214">
        <v>0</v>
      </c>
      <c r="AC134" s="125">
        <f t="shared" si="12"/>
        <v>0</v>
      </c>
      <c r="AD134" s="125">
        <f>Valores!$C$26</f>
        <v>567.06</v>
      </c>
      <c r="AE134" s="192">
        <v>94</v>
      </c>
      <c r="AF134" s="125">
        <f>ROUND(AE134*Valores!$C$2,2)</f>
        <v>2549.39</v>
      </c>
      <c r="AG134" s="125">
        <f>ROUND(IF($F$4="NO",Valores!$C$63,Valores!$C$63/2),2)</f>
        <v>6482.98</v>
      </c>
      <c r="AH134" s="125">
        <f t="shared" si="15"/>
        <v>125197.44999999998</v>
      </c>
      <c r="AI134" s="125">
        <f>Valores!$C$31</f>
        <v>0</v>
      </c>
      <c r="AJ134" s="125">
        <f>Valores!$C$87</f>
        <v>0</v>
      </c>
      <c r="AK134" s="125">
        <f>Valores!C$38*B134</f>
        <v>30000</v>
      </c>
      <c r="AL134" s="125">
        <f>IF($F$3="NO",0,Valores!$C$56)</f>
        <v>170.34</v>
      </c>
      <c r="AM134" s="125">
        <f t="shared" si="13"/>
        <v>30170.34</v>
      </c>
      <c r="AN134" s="125">
        <f>AH134*Valores!$C$71</f>
        <v>-13771.719499999997</v>
      </c>
      <c r="AO134" s="125">
        <f>AH134*-Valores!$C$72</f>
        <v>0</v>
      </c>
      <c r="AP134" s="125">
        <f>AH134*Valores!$C$73</f>
        <v>-5633.885249999999</v>
      </c>
      <c r="AQ134" s="125">
        <f>Valores!$C$100</f>
        <v>-280.91</v>
      </c>
      <c r="AR134" s="125">
        <f>IF($F$5=0,Valores!$C$101,(Valores!$C$101+$F$5*(Valores!$C$101)))</f>
        <v>-385</v>
      </c>
      <c r="AS134" s="125">
        <f t="shared" si="16"/>
        <v>135296.27524999998</v>
      </c>
      <c r="AT134" s="125">
        <f aca="true" t="shared" si="18" ref="AT134:AT196">AN134</f>
        <v>-13771.719499999997</v>
      </c>
      <c r="AU134" s="125">
        <f>AH134*Valores!$C$74</f>
        <v>-3380.3311499999995</v>
      </c>
      <c r="AV134" s="125">
        <f>AH134*Valores!$C$75</f>
        <v>-375.59234999999995</v>
      </c>
      <c r="AW134" s="125">
        <f t="shared" si="14"/>
        <v>137840.147</v>
      </c>
      <c r="AX134" s="126"/>
      <c r="AY134" s="126">
        <v>22</v>
      </c>
      <c r="AZ134" s="123" t="s">
        <v>4</v>
      </c>
    </row>
    <row r="135" spans="1:52" s="110" customFormat="1" ht="11.25" customHeight="1">
      <c r="A135" s="123" t="s">
        <v>360</v>
      </c>
      <c r="B135" s="123">
        <v>1</v>
      </c>
      <c r="C135" s="126">
        <v>128</v>
      </c>
      <c r="D135" s="124" t="s">
        <v>361</v>
      </c>
      <c r="E135" s="192">
        <v>1278</v>
      </c>
      <c r="F135" s="125">
        <f>ROUND(E135*Valores!$C$2,2)</f>
        <v>34660.89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8579</v>
      </c>
      <c r="N135" s="125">
        <f t="shared" si="11"/>
        <v>0</v>
      </c>
      <c r="O135" s="125">
        <f>Valores!$C$8</f>
        <v>29851.25</v>
      </c>
      <c r="P135" s="125">
        <f>Valores!$D$5</f>
        <v>13864.36</v>
      </c>
      <c r="Q135" s="125">
        <f>Valores!$C$22</f>
        <v>12369.22</v>
      </c>
      <c r="R135" s="125">
        <f>IF($F$4="NO",Valores!$C$44,Valores!$C$44/2)</f>
        <v>9631.44</v>
      </c>
      <c r="S135" s="125">
        <f>Valores!$C$19</f>
        <v>12901.01</v>
      </c>
      <c r="T135" s="125">
        <f t="shared" si="17"/>
        <v>12901.01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Valores!$C$94</f>
        <v>6318.76</v>
      </c>
      <c r="AA135" s="125">
        <f>Valores!$C$25</f>
        <v>567.06</v>
      </c>
      <c r="AB135" s="214">
        <v>0</v>
      </c>
      <c r="AC135" s="125">
        <f t="shared" si="12"/>
        <v>0</v>
      </c>
      <c r="AD135" s="125">
        <f>Valores!$C$26</f>
        <v>567.06</v>
      </c>
      <c r="AE135" s="192">
        <v>0</v>
      </c>
      <c r="AF135" s="125">
        <f>ROUND(AE135*Valores!$C$2,2)</f>
        <v>0</v>
      </c>
      <c r="AG135" s="125">
        <f>ROUND(IF($F$4="NO",Valores!$C$63,Valores!$C$63/2),2)</f>
        <v>6482.98</v>
      </c>
      <c r="AH135" s="125">
        <f t="shared" si="15"/>
        <v>135793.03</v>
      </c>
      <c r="AI135" s="125">
        <f>Valores!$C$31</f>
        <v>0</v>
      </c>
      <c r="AJ135" s="125">
        <f>Valores!$C$87</f>
        <v>0</v>
      </c>
      <c r="AK135" s="125">
        <f>Valores!C$38*B135</f>
        <v>30000</v>
      </c>
      <c r="AL135" s="125">
        <f>IF($F$3="NO",0,Valores!$C$56)</f>
        <v>170.34</v>
      </c>
      <c r="AM135" s="125">
        <f t="shared" si="13"/>
        <v>30170.34</v>
      </c>
      <c r="AN135" s="125">
        <f>AH135*Valores!$C$71</f>
        <v>-14937.2333</v>
      </c>
      <c r="AO135" s="125">
        <f>AH135*-Valores!$C$72</f>
        <v>0</v>
      </c>
      <c r="AP135" s="125">
        <f>AH135*Valores!$C$73</f>
        <v>-6110.68635</v>
      </c>
      <c r="AQ135" s="125">
        <f>Valores!$C$100</f>
        <v>-280.91</v>
      </c>
      <c r="AR135" s="125">
        <f>IF($F$5=0,Valores!$C$101,(Valores!$C$101+$F$5*(Valores!$C$101)))</f>
        <v>-385</v>
      </c>
      <c r="AS135" s="125">
        <f t="shared" si="16"/>
        <v>144249.54035</v>
      </c>
      <c r="AT135" s="125">
        <f t="shared" si="18"/>
        <v>-14937.2333</v>
      </c>
      <c r="AU135" s="125">
        <f>AH135*Valores!$C$74</f>
        <v>-3666.41181</v>
      </c>
      <c r="AV135" s="125">
        <f>AH135*Valores!$C$75</f>
        <v>-407.37909</v>
      </c>
      <c r="AW135" s="125">
        <f t="shared" si="14"/>
        <v>146952.3458</v>
      </c>
      <c r="AX135" s="126"/>
      <c r="AY135" s="126"/>
      <c r="AZ135" s="123" t="s">
        <v>4</v>
      </c>
    </row>
    <row r="136" spans="1:52" s="110" customFormat="1" ht="11.25" customHeight="1">
      <c r="A136" s="123" t="s">
        <v>362</v>
      </c>
      <c r="B136" s="123">
        <v>1</v>
      </c>
      <c r="C136" s="126">
        <v>129</v>
      </c>
      <c r="D136" s="124" t="s">
        <v>363</v>
      </c>
      <c r="E136" s="192">
        <v>1278</v>
      </c>
      <c r="F136" s="125">
        <f>ROUND(E136*Valores!$C$2,2)</f>
        <v>34660.89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8579</v>
      </c>
      <c r="N136" s="125">
        <f aca="true" t="shared" si="19" ref="N136:N199">ROUND(SUM(F136,H136,J136,L136,X136,R136)*$H$2,2)</f>
        <v>0</v>
      </c>
      <c r="O136" s="125">
        <f>Valores!$C$8</f>
        <v>29851.25</v>
      </c>
      <c r="P136" s="125">
        <f>Valores!$D$5</f>
        <v>13864.36</v>
      </c>
      <c r="Q136" s="125">
        <f>Valores!$C$22</f>
        <v>12369.22</v>
      </c>
      <c r="R136" s="125">
        <f>IF($F$4="NO",Valores!$C$44,Valores!$C$44/2)</f>
        <v>9631.44</v>
      </c>
      <c r="S136" s="125">
        <f>Valores!$C$19</f>
        <v>12901.01</v>
      </c>
      <c r="T136" s="125">
        <f t="shared" si="17"/>
        <v>12901.01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Valores!$C$94</f>
        <v>6318.76</v>
      </c>
      <c r="AA136" s="125">
        <f>Valores!$C$25</f>
        <v>567.06</v>
      </c>
      <c r="AB136" s="214">
        <v>0</v>
      </c>
      <c r="AC136" s="125">
        <f aca="true" t="shared" si="20" ref="AC136:AC199">ROUND(SUM(F136,H136,J136,X136,R136)*AB136,2)</f>
        <v>0</v>
      </c>
      <c r="AD136" s="125">
        <f>Valores!$C$26</f>
        <v>567.06</v>
      </c>
      <c r="AE136" s="192">
        <v>0</v>
      </c>
      <c r="AF136" s="125">
        <f>ROUND(AE136*Valores!$C$2,2)</f>
        <v>0</v>
      </c>
      <c r="AG136" s="125">
        <f>ROUND(IF($F$4="NO",Valores!$C$63,Valores!$C$63/2),2)</f>
        <v>6482.98</v>
      </c>
      <c r="AH136" s="125">
        <f t="shared" si="15"/>
        <v>135793.03</v>
      </c>
      <c r="AI136" s="125">
        <f>Valores!$C$31</f>
        <v>0</v>
      </c>
      <c r="AJ136" s="125">
        <f>Valores!$C$87</f>
        <v>0</v>
      </c>
      <c r="AK136" s="125">
        <f>Valores!C$38*B136</f>
        <v>30000</v>
      </c>
      <c r="AL136" s="125">
        <f>IF($F$3="NO",0,Valores!$C$56)</f>
        <v>170.34</v>
      </c>
      <c r="AM136" s="125">
        <f aca="true" t="shared" si="21" ref="AM136:AM199">SUM(AI136:AL136)</f>
        <v>30170.34</v>
      </c>
      <c r="AN136" s="125">
        <f>AH136*Valores!$C$71</f>
        <v>-14937.2333</v>
      </c>
      <c r="AO136" s="125">
        <f>AH136*-Valores!$C$72</f>
        <v>0</v>
      </c>
      <c r="AP136" s="125">
        <f>AH136*Valores!$C$73</f>
        <v>-6110.68635</v>
      </c>
      <c r="AQ136" s="125">
        <f>Valores!$C$100</f>
        <v>-280.91</v>
      </c>
      <c r="AR136" s="125">
        <f>IF($F$5=0,Valores!$C$101,(Valores!$C$101+$F$5*(Valores!$C$101)))</f>
        <v>-385</v>
      </c>
      <c r="AS136" s="125">
        <f t="shared" si="16"/>
        <v>144249.54035</v>
      </c>
      <c r="AT136" s="125">
        <f t="shared" si="18"/>
        <v>-14937.2333</v>
      </c>
      <c r="AU136" s="125">
        <f>AH136*Valores!$C$74</f>
        <v>-3666.41181</v>
      </c>
      <c r="AV136" s="125">
        <f>AH136*Valores!$C$75</f>
        <v>-407.37909</v>
      </c>
      <c r="AW136" s="125">
        <f aca="true" t="shared" si="22" ref="AW136:AW199">AH136+AM136+SUM(AT136:AV136)</f>
        <v>146952.3458</v>
      </c>
      <c r="AX136" s="126"/>
      <c r="AY136" s="126"/>
      <c r="AZ136" s="123" t="s">
        <v>4</v>
      </c>
    </row>
    <row r="137" spans="1:52" s="110" customFormat="1" ht="11.25" customHeight="1">
      <c r="A137" s="123" t="s">
        <v>364</v>
      </c>
      <c r="B137" s="123">
        <v>1</v>
      </c>
      <c r="C137" s="126">
        <v>130</v>
      </c>
      <c r="D137" s="124" t="s">
        <v>365</v>
      </c>
      <c r="E137" s="192">
        <v>1278</v>
      </c>
      <c r="F137" s="125">
        <f>ROUND(E137*Valores!$C$2,2)</f>
        <v>34660.89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8579</v>
      </c>
      <c r="N137" s="125">
        <f t="shared" si="19"/>
        <v>0</v>
      </c>
      <c r="O137" s="125">
        <f>Valores!$C$16</f>
        <v>23436.25</v>
      </c>
      <c r="P137" s="125">
        <f>Valores!$D$5</f>
        <v>13864.36</v>
      </c>
      <c r="Q137" s="125">
        <v>0</v>
      </c>
      <c r="R137" s="125">
        <f>IF($F$4="NO",Valores!$C$44,Valores!$C$44/2)</f>
        <v>9631.44</v>
      </c>
      <c r="S137" s="125">
        <f>Valores!$C$19</f>
        <v>12901.01</v>
      </c>
      <c r="T137" s="125">
        <f t="shared" si="17"/>
        <v>12901.01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Valores!$C$94</f>
        <v>6318.76</v>
      </c>
      <c r="AA137" s="125">
        <f>Valores!$C$25</f>
        <v>567.06</v>
      </c>
      <c r="AB137" s="214">
        <v>0</v>
      </c>
      <c r="AC137" s="125">
        <f t="shared" si="20"/>
        <v>0</v>
      </c>
      <c r="AD137" s="125">
        <f>Valores!$C$26</f>
        <v>567.06</v>
      </c>
      <c r="AE137" s="192">
        <v>0</v>
      </c>
      <c r="AF137" s="125">
        <f>ROUND(AE137*Valores!$C$2,2)</f>
        <v>0</v>
      </c>
      <c r="AG137" s="125">
        <f>ROUND(IF($F$4="NO",Valores!$C$63,Valores!$C$63/2),2)</f>
        <v>6482.98</v>
      </c>
      <c r="AH137" s="125">
        <f aca="true" t="shared" si="23" ref="AH137:AH200">SUM(F137,H137,J137,L137,M137,N137,O137,P137,Q137,R137,T137,U137,V137,X137,Y137,Z137,AA137,AC137,AD137,AF137,AG137)</f>
        <v>117008.80999999998</v>
      </c>
      <c r="AI137" s="125">
        <f>Valores!$C$31</f>
        <v>0</v>
      </c>
      <c r="AJ137" s="125">
        <f>Valores!$C$87</f>
        <v>0</v>
      </c>
      <c r="AK137" s="125">
        <f>Valores!C$38*B137</f>
        <v>30000</v>
      </c>
      <c r="AL137" s="125">
        <f>IF($F$3="NO",0,Valores!$C$56)</f>
        <v>170.34</v>
      </c>
      <c r="AM137" s="125">
        <f t="shared" si="21"/>
        <v>30170.34</v>
      </c>
      <c r="AN137" s="125">
        <f>AH137*Valores!$C$71</f>
        <v>-12870.969099999998</v>
      </c>
      <c r="AO137" s="125">
        <f>AH137*-Valores!$C$72</f>
        <v>0</v>
      </c>
      <c r="AP137" s="125">
        <f>AH137*Valores!$C$73</f>
        <v>-5265.396449999999</v>
      </c>
      <c r="AQ137" s="125">
        <f>Valores!$C$100</f>
        <v>-280.91</v>
      </c>
      <c r="AR137" s="125">
        <f>IF($F$5=0,Valores!$C$101,(Valores!$C$101+$F$5*(Valores!$C$101)))</f>
        <v>-385</v>
      </c>
      <c r="AS137" s="125">
        <f aca="true" t="shared" si="24" ref="AS137:AS200">AH137+SUM(AM137:AR137)</f>
        <v>128376.87444999999</v>
      </c>
      <c r="AT137" s="125">
        <f t="shared" si="18"/>
        <v>-12870.969099999998</v>
      </c>
      <c r="AU137" s="125">
        <f>AH137*Valores!$C$74</f>
        <v>-3159.2378699999995</v>
      </c>
      <c r="AV137" s="125">
        <f>AH137*Valores!$C$75</f>
        <v>-351.02642999999995</v>
      </c>
      <c r="AW137" s="125">
        <f t="shared" si="22"/>
        <v>130797.9166</v>
      </c>
      <c r="AX137" s="126">
        <v>12</v>
      </c>
      <c r="AY137" s="126">
        <v>15</v>
      </c>
      <c r="AZ137" s="123" t="s">
        <v>8</v>
      </c>
    </row>
    <row r="138" spans="1:52" s="110" customFormat="1" ht="11.25" customHeight="1">
      <c r="A138" s="123" t="s">
        <v>366</v>
      </c>
      <c r="B138" s="123">
        <v>1</v>
      </c>
      <c r="C138" s="126">
        <v>131</v>
      </c>
      <c r="D138" s="124" t="s">
        <v>367</v>
      </c>
      <c r="E138" s="192">
        <v>616</v>
      </c>
      <c r="F138" s="125">
        <f>ROUND(E138*Valores!$C$2,2)</f>
        <v>16706.66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5885.87</v>
      </c>
      <c r="N138" s="125">
        <f t="shared" si="19"/>
        <v>0</v>
      </c>
      <c r="O138" s="125">
        <f>Valores!$C$8</f>
        <v>29851.25</v>
      </c>
      <c r="P138" s="125">
        <f>Valores!$D$5</f>
        <v>13864.36</v>
      </c>
      <c r="Q138" s="125">
        <f>Valores!$C$22</f>
        <v>12369.22</v>
      </c>
      <c r="R138" s="125">
        <f>IF($F$4="NO",Valores!$C$44,Valores!$C$44/2)</f>
        <v>9631.44</v>
      </c>
      <c r="S138" s="125">
        <f>Valores!$C$19</f>
        <v>12901.01</v>
      </c>
      <c r="T138" s="125">
        <f t="shared" si="17"/>
        <v>12901.01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Valores!$C$94</f>
        <v>6318.76</v>
      </c>
      <c r="AA138" s="125">
        <f>Valores!$C$25</f>
        <v>567.06</v>
      </c>
      <c r="AB138" s="214">
        <v>0</v>
      </c>
      <c r="AC138" s="125">
        <f t="shared" si="20"/>
        <v>0</v>
      </c>
      <c r="AD138" s="125">
        <f>Valores!$C$26</f>
        <v>567.06</v>
      </c>
      <c r="AE138" s="192">
        <v>0</v>
      </c>
      <c r="AF138" s="125">
        <f>ROUND(AE138*Valores!$C$2,2)</f>
        <v>0</v>
      </c>
      <c r="AG138" s="125">
        <f>ROUND(IF($F$4="NO",Valores!$C$63,Valores!$C$63/2),2)</f>
        <v>6482.98</v>
      </c>
      <c r="AH138" s="125">
        <f t="shared" si="23"/>
        <v>115145.66999999998</v>
      </c>
      <c r="AI138" s="125">
        <f>Valores!$C$31</f>
        <v>0</v>
      </c>
      <c r="AJ138" s="125">
        <f>Valores!$C$87</f>
        <v>0</v>
      </c>
      <c r="AK138" s="125">
        <f>Valores!C$38*B138</f>
        <v>30000</v>
      </c>
      <c r="AL138" s="125">
        <f>IF($F$3="NO",0,Valores!$C$56)</f>
        <v>170.34</v>
      </c>
      <c r="AM138" s="125">
        <f t="shared" si="21"/>
        <v>30170.34</v>
      </c>
      <c r="AN138" s="125">
        <f>AH138*Valores!$C$71</f>
        <v>-12666.023699999998</v>
      </c>
      <c r="AO138" s="125">
        <f>AH138*-Valores!$C$72</f>
        <v>0</v>
      </c>
      <c r="AP138" s="125">
        <f>AH138*Valores!$C$73</f>
        <v>-5181.555149999999</v>
      </c>
      <c r="AQ138" s="125">
        <f>Valores!$C$100</f>
        <v>-280.91</v>
      </c>
      <c r="AR138" s="125">
        <f>IF($F$5=0,Valores!$C$101,(Valores!$C$101+$F$5*(Valores!$C$101)))</f>
        <v>-385</v>
      </c>
      <c r="AS138" s="125">
        <f t="shared" si="24"/>
        <v>126802.52114999999</v>
      </c>
      <c r="AT138" s="125">
        <f t="shared" si="18"/>
        <v>-12666.023699999998</v>
      </c>
      <c r="AU138" s="125">
        <f>AH138*Valores!$C$74</f>
        <v>-3108.9330899999995</v>
      </c>
      <c r="AV138" s="125">
        <f>AH138*Valores!$C$75</f>
        <v>-345.43701</v>
      </c>
      <c r="AW138" s="125">
        <f t="shared" si="22"/>
        <v>129195.61619999999</v>
      </c>
      <c r="AX138" s="126">
        <v>6</v>
      </c>
      <c r="AY138" s="126"/>
      <c r="AZ138" s="123" t="s">
        <v>4</v>
      </c>
    </row>
    <row r="139" spans="1:52" s="110" customFormat="1" ht="11.25" customHeight="1">
      <c r="A139" s="123" t="s">
        <v>368</v>
      </c>
      <c r="B139" s="123">
        <v>1</v>
      </c>
      <c r="C139" s="126">
        <v>132</v>
      </c>
      <c r="D139" s="124" t="s">
        <v>369</v>
      </c>
      <c r="E139" s="192">
        <v>1278</v>
      </c>
      <c r="F139" s="125">
        <f>ROUND(E139*Valores!$C$2,2)</f>
        <v>34660.89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8559.22</v>
      </c>
      <c r="N139" s="125">
        <f t="shared" si="19"/>
        <v>0</v>
      </c>
      <c r="O139" s="125">
        <f>Valores!$C$16</f>
        <v>23436.25</v>
      </c>
      <c r="P139" s="125">
        <f>Valores!$D$5</f>
        <v>13864.36</v>
      </c>
      <c r="Q139" s="125">
        <v>0</v>
      </c>
      <c r="R139" s="125">
        <f>IF($F$4="NO",Valores!$C$44,Valores!$C$44/2)</f>
        <v>9631.44</v>
      </c>
      <c r="S139" s="125">
        <f>Valores!$C$20</f>
        <v>12769.11</v>
      </c>
      <c r="T139" s="125">
        <f aca="true" t="shared" si="25" ref="T139:T202">ROUND(S139*(1+$H$2),2)</f>
        <v>12769.11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Valores!$C$94</f>
        <v>6318.76</v>
      </c>
      <c r="AA139" s="125">
        <f>Valores!$C$25</f>
        <v>567.06</v>
      </c>
      <c r="AB139" s="214">
        <v>0</v>
      </c>
      <c r="AC139" s="125">
        <f t="shared" si="20"/>
        <v>0</v>
      </c>
      <c r="AD139" s="125">
        <f>Valores!$C$26</f>
        <v>567.06</v>
      </c>
      <c r="AE139" s="192">
        <v>0</v>
      </c>
      <c r="AF139" s="125">
        <f>ROUND(AE139*Valores!$C$2,2)</f>
        <v>0</v>
      </c>
      <c r="AG139" s="125">
        <f>ROUND(IF($F$4="NO",Valores!$C$63,Valores!$C$63/2),2)</f>
        <v>6482.98</v>
      </c>
      <c r="AH139" s="125">
        <f t="shared" si="23"/>
        <v>116857.12999999999</v>
      </c>
      <c r="AI139" s="125">
        <f>Valores!$C$31</f>
        <v>0</v>
      </c>
      <c r="AJ139" s="125">
        <f>Valores!$C$87</f>
        <v>0</v>
      </c>
      <c r="AK139" s="125">
        <f>Valores!C$38*B139</f>
        <v>30000</v>
      </c>
      <c r="AL139" s="125">
        <f>(IF($F$3="NO",0,Valores!$C$58))</f>
        <v>155.18</v>
      </c>
      <c r="AM139" s="125">
        <f t="shared" si="21"/>
        <v>30155.18</v>
      </c>
      <c r="AN139" s="125">
        <f>AH139*Valores!$C$71</f>
        <v>-12854.2843</v>
      </c>
      <c r="AO139" s="125">
        <f>AH139*-Valores!$C$72</f>
        <v>0</v>
      </c>
      <c r="AP139" s="125">
        <f>AH139*Valores!$C$73</f>
        <v>-5258.570849999999</v>
      </c>
      <c r="AQ139" s="125">
        <f>Valores!$C$100</f>
        <v>-280.91</v>
      </c>
      <c r="AR139" s="125">
        <f>IF($F$5=0,Valores!$C$101,(Valores!$C$101+$F$5*(Valores!$C$101)))</f>
        <v>-385</v>
      </c>
      <c r="AS139" s="125">
        <f t="shared" si="24"/>
        <v>128233.54484999999</v>
      </c>
      <c r="AT139" s="125">
        <f t="shared" si="18"/>
        <v>-12854.2843</v>
      </c>
      <c r="AU139" s="125">
        <f>AH139*Valores!$C$74</f>
        <v>-3155.1425099999997</v>
      </c>
      <c r="AV139" s="125">
        <f>AH139*Valores!$C$75</f>
        <v>-350.57138999999995</v>
      </c>
      <c r="AW139" s="125">
        <f t="shared" si="22"/>
        <v>130652.3118</v>
      </c>
      <c r="AX139" s="126">
        <v>12</v>
      </c>
      <c r="AY139" s="126">
        <v>15</v>
      </c>
      <c r="AZ139" s="123" t="s">
        <v>4</v>
      </c>
    </row>
    <row r="140" spans="1:52" s="110" customFormat="1" ht="11.25" customHeight="1">
      <c r="A140" s="123" t="s">
        <v>370</v>
      </c>
      <c r="B140" s="123">
        <v>1</v>
      </c>
      <c r="C140" s="126">
        <v>133</v>
      </c>
      <c r="D140" s="124" t="s">
        <v>371</v>
      </c>
      <c r="E140" s="192">
        <v>1983</v>
      </c>
      <c r="F140" s="125">
        <f>ROUND(E140*Valores!$C$2,2)</f>
        <v>53781.34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11447.07</v>
      </c>
      <c r="N140" s="125">
        <f t="shared" si="19"/>
        <v>0</v>
      </c>
      <c r="O140" s="125">
        <f>Valores!$C$8</f>
        <v>29851.25</v>
      </c>
      <c r="P140" s="125">
        <f>Valores!$D$5</f>
        <v>13864.36</v>
      </c>
      <c r="Q140" s="125">
        <f>Valores!$C$22</f>
        <v>12369.22</v>
      </c>
      <c r="R140" s="125">
        <f>IF($F$4="NO",Valores!$C$44,Valores!$C$44/2)</f>
        <v>9631.44</v>
      </c>
      <c r="S140" s="125">
        <f>Valores!$C$19</f>
        <v>12901.01</v>
      </c>
      <c r="T140" s="125">
        <f t="shared" si="25"/>
        <v>12901.01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Valores!$C$94</f>
        <v>6318.76</v>
      </c>
      <c r="AA140" s="125">
        <f>Valores!$C$25</f>
        <v>567.06</v>
      </c>
      <c r="AB140" s="214">
        <v>0</v>
      </c>
      <c r="AC140" s="125">
        <f t="shared" si="20"/>
        <v>0</v>
      </c>
      <c r="AD140" s="125">
        <f>Valores!$C$26</f>
        <v>567.06</v>
      </c>
      <c r="AE140" s="192">
        <v>94</v>
      </c>
      <c r="AF140" s="125">
        <f>ROUND(AE140*Valores!$C$2,2)</f>
        <v>2549.39</v>
      </c>
      <c r="AG140" s="125">
        <f>ROUND(IF($F$4="NO",Valores!$C$63,Valores!$C$63/2),2)</f>
        <v>6482.98</v>
      </c>
      <c r="AH140" s="125">
        <f t="shared" si="23"/>
        <v>160330.94000000003</v>
      </c>
      <c r="AI140" s="125">
        <f>Valores!$C$31</f>
        <v>0</v>
      </c>
      <c r="AJ140" s="125">
        <f>Valores!$C$87</f>
        <v>0</v>
      </c>
      <c r="AK140" s="125">
        <f>Valores!C$38*B140</f>
        <v>30000</v>
      </c>
      <c r="AL140" s="125">
        <f>IF($F$3="NO",0,Valores!$C$56)</f>
        <v>170.34</v>
      </c>
      <c r="AM140" s="125">
        <f t="shared" si="21"/>
        <v>30170.34</v>
      </c>
      <c r="AN140" s="125">
        <f>AH140*Valores!$C$71</f>
        <v>-17636.403400000003</v>
      </c>
      <c r="AO140" s="125">
        <f>AH140*-Valores!$C$72</f>
        <v>0</v>
      </c>
      <c r="AP140" s="125">
        <f>AH140*Valores!$C$73</f>
        <v>-7214.892300000001</v>
      </c>
      <c r="AQ140" s="125">
        <f>Valores!$C$100</f>
        <v>-280.91</v>
      </c>
      <c r="AR140" s="125">
        <f>IF($F$5=0,Valores!$C$101,(Valores!$C$101+$F$5*(Valores!$C$101)))</f>
        <v>-385</v>
      </c>
      <c r="AS140" s="125">
        <f t="shared" si="24"/>
        <v>164984.07430000004</v>
      </c>
      <c r="AT140" s="125">
        <f t="shared" si="18"/>
        <v>-17636.403400000003</v>
      </c>
      <c r="AU140" s="125">
        <f>AH140*Valores!$C$74</f>
        <v>-4328.935380000001</v>
      </c>
      <c r="AV140" s="125">
        <f>AH140*Valores!$C$75</f>
        <v>-480.9928200000001</v>
      </c>
      <c r="AW140" s="125">
        <f t="shared" si="22"/>
        <v>168054.94840000002</v>
      </c>
      <c r="AX140" s="126"/>
      <c r="AY140" s="126"/>
      <c r="AZ140" s="123" t="s">
        <v>8</v>
      </c>
    </row>
    <row r="141" spans="1:52" s="110" customFormat="1" ht="11.25" customHeight="1">
      <c r="A141" s="123" t="s">
        <v>372</v>
      </c>
      <c r="B141" s="123">
        <v>1</v>
      </c>
      <c r="C141" s="126">
        <v>134</v>
      </c>
      <c r="D141" s="124" t="s">
        <v>373</v>
      </c>
      <c r="E141" s="192">
        <v>1378</v>
      </c>
      <c r="F141" s="125">
        <f>ROUND(E141*Valores!$C$2,2)</f>
        <v>37373.01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8966.03</v>
      </c>
      <c r="N141" s="125">
        <f t="shared" si="19"/>
        <v>0</v>
      </c>
      <c r="O141" s="125">
        <f>Valores!$C$16</f>
        <v>23436.25</v>
      </c>
      <c r="P141" s="125">
        <f>Valores!$D$5</f>
        <v>13864.36</v>
      </c>
      <c r="Q141" s="125">
        <f>Valores!$C$22</f>
        <v>12369.22</v>
      </c>
      <c r="R141" s="125">
        <f>IF($F$4="NO",Valores!$C$44,Valores!$C$44/2)</f>
        <v>9631.44</v>
      </c>
      <c r="S141" s="125">
        <f>Valores!$C$20</f>
        <v>12769.11</v>
      </c>
      <c r="T141" s="125">
        <f t="shared" si="25"/>
        <v>12769.11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Valores!$C$94</f>
        <v>6318.76</v>
      </c>
      <c r="AA141" s="125">
        <f>Valores!$C$25</f>
        <v>567.06</v>
      </c>
      <c r="AB141" s="214">
        <v>0</v>
      </c>
      <c r="AC141" s="125">
        <f t="shared" si="20"/>
        <v>0</v>
      </c>
      <c r="AD141" s="125">
        <f>Valores!$C$26</f>
        <v>567.06</v>
      </c>
      <c r="AE141" s="192">
        <v>0</v>
      </c>
      <c r="AF141" s="125">
        <f>ROUND(AE141*Valores!$C$2,2)</f>
        <v>0</v>
      </c>
      <c r="AG141" s="125">
        <f>ROUND(IF($F$4="NO",Valores!$C$63,Valores!$C$63/2),2)</f>
        <v>6482.98</v>
      </c>
      <c r="AH141" s="125">
        <f t="shared" si="23"/>
        <v>132345.28</v>
      </c>
      <c r="AI141" s="125">
        <f>Valores!$C$31</f>
        <v>0</v>
      </c>
      <c r="AJ141" s="125">
        <f>Valores!$C$87</f>
        <v>0</v>
      </c>
      <c r="AK141" s="125">
        <f>Valores!C$38*B141</f>
        <v>30000</v>
      </c>
      <c r="AL141" s="125">
        <f>IF($F$3="NO",0,Valores!$C$56)</f>
        <v>170.34</v>
      </c>
      <c r="AM141" s="125">
        <f t="shared" si="21"/>
        <v>30170.34</v>
      </c>
      <c r="AN141" s="125">
        <f>AH141*Valores!$C$71</f>
        <v>-14557.9808</v>
      </c>
      <c r="AO141" s="125">
        <f>AH141*-Valores!$C$72</f>
        <v>0</v>
      </c>
      <c r="AP141" s="125">
        <f>AH141*Valores!$C$73</f>
        <v>-5955.5376</v>
      </c>
      <c r="AQ141" s="125">
        <f>Valores!$C$100</f>
        <v>-280.91</v>
      </c>
      <c r="AR141" s="125">
        <f>IF($F$5=0,Valores!$C$101,(Valores!$C$101+$F$5*(Valores!$C$101)))</f>
        <v>-385</v>
      </c>
      <c r="AS141" s="125">
        <f t="shared" si="24"/>
        <v>141336.1916</v>
      </c>
      <c r="AT141" s="125">
        <f t="shared" si="18"/>
        <v>-14557.9808</v>
      </c>
      <c r="AU141" s="125">
        <f>AH141*Valores!$C$74</f>
        <v>-3573.32256</v>
      </c>
      <c r="AV141" s="125">
        <f>AH141*Valores!$C$75</f>
        <v>-397.03584</v>
      </c>
      <c r="AW141" s="125">
        <f t="shared" si="22"/>
        <v>143987.2808</v>
      </c>
      <c r="AX141" s="126"/>
      <c r="AY141" s="126">
        <v>22</v>
      </c>
      <c r="AZ141" s="123" t="s">
        <v>4</v>
      </c>
    </row>
    <row r="142" spans="1:52" s="110" customFormat="1" ht="11.25" customHeight="1">
      <c r="A142" s="123" t="s">
        <v>374</v>
      </c>
      <c r="B142" s="123">
        <v>1</v>
      </c>
      <c r="C142" s="126">
        <v>135</v>
      </c>
      <c r="D142" s="124" t="s">
        <v>375</v>
      </c>
      <c r="E142" s="192">
        <v>1278</v>
      </c>
      <c r="F142" s="125">
        <f>ROUND(E142*Valores!$C$2,2)</f>
        <v>34660.89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8579</v>
      </c>
      <c r="N142" s="125">
        <f t="shared" si="19"/>
        <v>0</v>
      </c>
      <c r="O142" s="125">
        <f>Valores!$C$16</f>
        <v>23436.25</v>
      </c>
      <c r="P142" s="125">
        <f>Valores!$D$5</f>
        <v>13864.36</v>
      </c>
      <c r="Q142" s="125">
        <f>Valores!$C$22</f>
        <v>12369.22</v>
      </c>
      <c r="R142" s="125">
        <f>IF($F$4="NO",Valores!$C$44,Valores!$C$44/2)</f>
        <v>9631.44</v>
      </c>
      <c r="S142" s="125">
        <f>Valores!$C$19</f>
        <v>12901.01</v>
      </c>
      <c r="T142" s="125">
        <f t="shared" si="25"/>
        <v>12901.01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Valores!$C$94</f>
        <v>6318.76</v>
      </c>
      <c r="AA142" s="125">
        <f>Valores!$C$25</f>
        <v>567.06</v>
      </c>
      <c r="AB142" s="214">
        <v>0</v>
      </c>
      <c r="AC142" s="125">
        <f t="shared" si="20"/>
        <v>0</v>
      </c>
      <c r="AD142" s="125">
        <f>Valores!$C$26</f>
        <v>567.06</v>
      </c>
      <c r="AE142" s="192">
        <v>0</v>
      </c>
      <c r="AF142" s="125">
        <f>ROUND(AE142*Valores!$C$2,2)</f>
        <v>0</v>
      </c>
      <c r="AG142" s="125">
        <f>ROUND(IF($F$4="NO",Valores!$C$63,Valores!$C$63/2),2)</f>
        <v>6482.98</v>
      </c>
      <c r="AH142" s="125">
        <f t="shared" si="23"/>
        <v>129378.02999999998</v>
      </c>
      <c r="AI142" s="125">
        <f>Valores!$C$31</f>
        <v>0</v>
      </c>
      <c r="AJ142" s="125">
        <f>Valores!$C$87</f>
        <v>0</v>
      </c>
      <c r="AK142" s="125">
        <f>Valores!C$38*B142</f>
        <v>30000</v>
      </c>
      <c r="AL142" s="125">
        <f>IF($F$3="NO",0,Valores!$C$56)</f>
        <v>170.34</v>
      </c>
      <c r="AM142" s="125">
        <f t="shared" si="21"/>
        <v>30170.34</v>
      </c>
      <c r="AN142" s="125">
        <f>AH142*Valores!$C$71</f>
        <v>-14231.583299999998</v>
      </c>
      <c r="AO142" s="125">
        <f>AH142*-Valores!$C$72</f>
        <v>0</v>
      </c>
      <c r="AP142" s="125">
        <f>AH142*Valores!$C$73</f>
        <v>-5822.011349999999</v>
      </c>
      <c r="AQ142" s="125">
        <f>Valores!$C$100</f>
        <v>-280.91</v>
      </c>
      <c r="AR142" s="125">
        <f>IF($F$5=0,Valores!$C$101,(Valores!$C$101+$F$5*(Valores!$C$101)))</f>
        <v>-385</v>
      </c>
      <c r="AS142" s="125">
        <f t="shared" si="24"/>
        <v>138828.86534999998</v>
      </c>
      <c r="AT142" s="125">
        <f t="shared" si="18"/>
        <v>-14231.583299999998</v>
      </c>
      <c r="AU142" s="125">
        <f>AH142*Valores!$C$74</f>
        <v>-3493.2068099999997</v>
      </c>
      <c r="AV142" s="125">
        <f>AH142*Valores!$C$75</f>
        <v>-388.13408999999996</v>
      </c>
      <c r="AW142" s="125">
        <f t="shared" si="22"/>
        <v>141435.4458</v>
      </c>
      <c r="AX142" s="126"/>
      <c r="AY142" s="126">
        <v>22</v>
      </c>
      <c r="AZ142" s="123" t="s">
        <v>4</v>
      </c>
    </row>
    <row r="143" spans="1:52" s="110" customFormat="1" ht="11.25" customHeight="1">
      <c r="A143" s="123" t="s">
        <v>376</v>
      </c>
      <c r="B143" s="123">
        <v>1</v>
      </c>
      <c r="C143" s="126">
        <v>136</v>
      </c>
      <c r="D143" s="124" t="s">
        <v>377</v>
      </c>
      <c r="E143" s="192">
        <v>1278</v>
      </c>
      <c r="F143" s="125">
        <f>ROUND(E143*Valores!$C$2,2)</f>
        <v>34660.89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8579</v>
      </c>
      <c r="N143" s="125">
        <f t="shared" si="19"/>
        <v>0</v>
      </c>
      <c r="O143" s="125">
        <f>Valores!$C$16</f>
        <v>23436.25</v>
      </c>
      <c r="P143" s="125">
        <f>Valores!$D$5</f>
        <v>13864.36</v>
      </c>
      <c r="Q143" s="125">
        <f>Valores!$C$22</f>
        <v>12369.22</v>
      </c>
      <c r="R143" s="125">
        <f>IF($F$4="NO",Valores!$C$44,Valores!$C$44/2)</f>
        <v>9631.44</v>
      </c>
      <c r="S143" s="125">
        <f>Valores!$C$19</f>
        <v>12901.01</v>
      </c>
      <c r="T143" s="125">
        <f t="shared" si="25"/>
        <v>12901.01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Valores!$C$94</f>
        <v>6318.76</v>
      </c>
      <c r="AA143" s="125">
        <f>Valores!$C$25</f>
        <v>567.06</v>
      </c>
      <c r="AB143" s="214">
        <v>0</v>
      </c>
      <c r="AC143" s="125">
        <f t="shared" si="20"/>
        <v>0</v>
      </c>
      <c r="AD143" s="125">
        <f>Valores!$C$26</f>
        <v>567.06</v>
      </c>
      <c r="AE143" s="192">
        <v>0</v>
      </c>
      <c r="AF143" s="125">
        <f>ROUND(AE143*Valores!$C$2,2)</f>
        <v>0</v>
      </c>
      <c r="AG143" s="125">
        <f>ROUND(IF($F$4="NO",Valores!$C$63,Valores!$C$63/2),2)</f>
        <v>6482.98</v>
      </c>
      <c r="AH143" s="125">
        <f t="shared" si="23"/>
        <v>129378.02999999998</v>
      </c>
      <c r="AI143" s="125">
        <f>Valores!$C$31</f>
        <v>0</v>
      </c>
      <c r="AJ143" s="125">
        <f>Valores!$C$87</f>
        <v>0</v>
      </c>
      <c r="AK143" s="125">
        <f>Valores!C$38*B143</f>
        <v>30000</v>
      </c>
      <c r="AL143" s="125">
        <f>IF($F$3="NO",0,Valores!$C$56)</f>
        <v>170.34</v>
      </c>
      <c r="AM143" s="125">
        <f t="shared" si="21"/>
        <v>30170.34</v>
      </c>
      <c r="AN143" s="125">
        <f>AH143*Valores!$C$71</f>
        <v>-14231.583299999998</v>
      </c>
      <c r="AO143" s="125">
        <f>AH143*-Valores!$C$72</f>
        <v>0</v>
      </c>
      <c r="AP143" s="125">
        <f>AH143*Valores!$C$73</f>
        <v>-5822.011349999999</v>
      </c>
      <c r="AQ143" s="125">
        <f>Valores!$C$100</f>
        <v>-280.91</v>
      </c>
      <c r="AR143" s="125">
        <f>IF($F$5=0,Valores!$C$101,(Valores!$C$101+$F$5*(Valores!$C$101)))</f>
        <v>-385</v>
      </c>
      <c r="AS143" s="125">
        <f t="shared" si="24"/>
        <v>138828.86534999998</v>
      </c>
      <c r="AT143" s="125">
        <f t="shared" si="18"/>
        <v>-14231.583299999998</v>
      </c>
      <c r="AU143" s="125">
        <f>AH143*Valores!$C$74</f>
        <v>-3493.2068099999997</v>
      </c>
      <c r="AV143" s="125">
        <f>AH143*Valores!$C$75</f>
        <v>-388.13408999999996</v>
      </c>
      <c r="AW143" s="125">
        <f t="shared" si="22"/>
        <v>141435.4458</v>
      </c>
      <c r="AX143" s="126"/>
      <c r="AY143" s="126"/>
      <c r="AZ143" s="123" t="s">
        <v>4</v>
      </c>
    </row>
    <row r="144" spans="1:52" s="110" customFormat="1" ht="11.25" customHeight="1">
      <c r="A144" s="123" t="s">
        <v>378</v>
      </c>
      <c r="B144" s="123">
        <v>1</v>
      </c>
      <c r="C144" s="126">
        <v>137</v>
      </c>
      <c r="D144" s="124" t="s">
        <v>379</v>
      </c>
      <c r="E144" s="192">
        <v>1278</v>
      </c>
      <c r="F144" s="125">
        <f>ROUND(E144*Valores!$C$2,2)</f>
        <v>34660.89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8579</v>
      </c>
      <c r="N144" s="125">
        <f t="shared" si="19"/>
        <v>0</v>
      </c>
      <c r="O144" s="125">
        <f>Valores!$C$16</f>
        <v>23436.25</v>
      </c>
      <c r="P144" s="125">
        <f>Valores!$D$5</f>
        <v>13864.36</v>
      </c>
      <c r="Q144" s="125">
        <f>Valores!$C$22</f>
        <v>12369.22</v>
      </c>
      <c r="R144" s="125">
        <f>IF($F$4="NO",Valores!$C$44,Valores!$C$44/2)</f>
        <v>9631.44</v>
      </c>
      <c r="S144" s="125">
        <f>Valores!$C$19</f>
        <v>12901.01</v>
      </c>
      <c r="T144" s="125">
        <f t="shared" si="25"/>
        <v>12901.01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Valores!$C$94</f>
        <v>6318.76</v>
      </c>
      <c r="AA144" s="125">
        <f>Valores!$C$25</f>
        <v>567.06</v>
      </c>
      <c r="AB144" s="214">
        <v>0</v>
      </c>
      <c r="AC144" s="125">
        <f t="shared" si="20"/>
        <v>0</v>
      </c>
      <c r="AD144" s="125">
        <f>Valores!$C$26</f>
        <v>567.06</v>
      </c>
      <c r="AE144" s="192">
        <v>0</v>
      </c>
      <c r="AF144" s="125">
        <f>ROUND(AE144*Valores!$C$2,2)</f>
        <v>0</v>
      </c>
      <c r="AG144" s="125">
        <f>ROUND(IF($F$4="NO",Valores!$C$63,Valores!$C$63/2),2)</f>
        <v>6482.98</v>
      </c>
      <c r="AH144" s="125">
        <f t="shared" si="23"/>
        <v>129378.02999999998</v>
      </c>
      <c r="AI144" s="125">
        <f>Valores!$C$31</f>
        <v>0</v>
      </c>
      <c r="AJ144" s="125">
        <f>Valores!$C$87</f>
        <v>0</v>
      </c>
      <c r="AK144" s="125">
        <f>Valores!C$38*B144</f>
        <v>30000</v>
      </c>
      <c r="AL144" s="125">
        <f>IF($F$3="NO",0,Valores!$C$56)</f>
        <v>170.34</v>
      </c>
      <c r="AM144" s="125">
        <f t="shared" si="21"/>
        <v>30170.34</v>
      </c>
      <c r="AN144" s="125">
        <f>AH144*Valores!$C$71</f>
        <v>-14231.583299999998</v>
      </c>
      <c r="AO144" s="125">
        <f>AH144*-Valores!$C$72</f>
        <v>0</v>
      </c>
      <c r="AP144" s="125">
        <f>AH144*Valores!$C$73</f>
        <v>-5822.011349999999</v>
      </c>
      <c r="AQ144" s="125">
        <f>Valores!$C$100</f>
        <v>-280.91</v>
      </c>
      <c r="AR144" s="125">
        <f>IF($F$5=0,Valores!$C$101,(Valores!$C$101+$F$5*(Valores!$C$101)))</f>
        <v>-385</v>
      </c>
      <c r="AS144" s="125">
        <f t="shared" si="24"/>
        <v>138828.86534999998</v>
      </c>
      <c r="AT144" s="125">
        <f t="shared" si="18"/>
        <v>-14231.583299999998</v>
      </c>
      <c r="AU144" s="125">
        <f>AH144*Valores!$C$74</f>
        <v>-3493.2068099999997</v>
      </c>
      <c r="AV144" s="125">
        <f>AH144*Valores!$C$75</f>
        <v>-388.13408999999996</v>
      </c>
      <c r="AW144" s="125">
        <f t="shared" si="22"/>
        <v>141435.4458</v>
      </c>
      <c r="AX144" s="126"/>
      <c r="AY144" s="126">
        <v>20</v>
      </c>
      <c r="AZ144" s="123" t="s">
        <v>4</v>
      </c>
    </row>
    <row r="145" spans="1:52" s="110" customFormat="1" ht="11.25" customHeight="1">
      <c r="A145" s="123" t="s">
        <v>380</v>
      </c>
      <c r="B145" s="123">
        <v>1</v>
      </c>
      <c r="C145" s="126">
        <v>138</v>
      </c>
      <c r="D145" s="124" t="s">
        <v>381</v>
      </c>
      <c r="E145" s="192">
        <v>1278</v>
      </c>
      <c r="F145" s="125">
        <f>ROUND(E145*Valores!$C$2,2)</f>
        <v>34660.89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8579</v>
      </c>
      <c r="N145" s="125">
        <f t="shared" si="19"/>
        <v>0</v>
      </c>
      <c r="O145" s="125">
        <f>Valores!$C$16</f>
        <v>23436.25</v>
      </c>
      <c r="P145" s="125">
        <f>Valores!$D$5</f>
        <v>13864.36</v>
      </c>
      <c r="Q145" s="125">
        <f>Valores!$C$22</f>
        <v>12369.22</v>
      </c>
      <c r="R145" s="125">
        <f>IF($F$4="NO",Valores!$C$44,Valores!$C$44/2)</f>
        <v>9631.44</v>
      </c>
      <c r="S145" s="125">
        <f>Valores!$C$19</f>
        <v>12901.01</v>
      </c>
      <c r="T145" s="125">
        <f t="shared" si="25"/>
        <v>12901.01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Valores!$C$94</f>
        <v>6318.76</v>
      </c>
      <c r="AA145" s="125">
        <f>Valores!$C$25</f>
        <v>567.06</v>
      </c>
      <c r="AB145" s="214">
        <v>0</v>
      </c>
      <c r="AC145" s="125">
        <f t="shared" si="20"/>
        <v>0</v>
      </c>
      <c r="AD145" s="125">
        <f>Valores!$C$26</f>
        <v>567.06</v>
      </c>
      <c r="AE145" s="192">
        <v>94</v>
      </c>
      <c r="AF145" s="125">
        <f>ROUND(AE145*Valores!$C$2,2)</f>
        <v>2549.39</v>
      </c>
      <c r="AG145" s="125">
        <f>ROUND(IF($F$4="NO",Valores!$C$63,Valores!$C$63/2),2)</f>
        <v>6482.98</v>
      </c>
      <c r="AH145" s="125">
        <f t="shared" si="23"/>
        <v>131927.41999999998</v>
      </c>
      <c r="AI145" s="125">
        <f>Valores!$C$31</f>
        <v>0</v>
      </c>
      <c r="AJ145" s="125">
        <f>Valores!$C$87</f>
        <v>0</v>
      </c>
      <c r="AK145" s="125">
        <f>Valores!C$38*B145</f>
        <v>30000</v>
      </c>
      <c r="AL145" s="125">
        <f>IF($F$3="NO",0,Valores!$C$56)</f>
        <v>170.34</v>
      </c>
      <c r="AM145" s="125">
        <f t="shared" si="21"/>
        <v>30170.34</v>
      </c>
      <c r="AN145" s="125">
        <f>AH145*Valores!$C$71</f>
        <v>-14512.016199999998</v>
      </c>
      <c r="AO145" s="125">
        <f>AH145*-Valores!$C$72</f>
        <v>0</v>
      </c>
      <c r="AP145" s="125">
        <f>AH145*Valores!$C$73</f>
        <v>-5936.733899999999</v>
      </c>
      <c r="AQ145" s="125">
        <f>Valores!$C$100</f>
        <v>-280.91</v>
      </c>
      <c r="AR145" s="125">
        <f>IF($F$5=0,Valores!$C$101,(Valores!$C$101+$F$5*(Valores!$C$101)))</f>
        <v>-385</v>
      </c>
      <c r="AS145" s="125">
        <f t="shared" si="24"/>
        <v>140983.09989999997</v>
      </c>
      <c r="AT145" s="125">
        <f t="shared" si="18"/>
        <v>-14512.016199999998</v>
      </c>
      <c r="AU145" s="125">
        <f>AH145*Valores!$C$74</f>
        <v>-3562.0403399999996</v>
      </c>
      <c r="AV145" s="125">
        <f>AH145*Valores!$C$75</f>
        <v>-395.78225999999995</v>
      </c>
      <c r="AW145" s="125">
        <f t="shared" si="22"/>
        <v>143627.92119999998</v>
      </c>
      <c r="AX145" s="126"/>
      <c r="AY145" s="126">
        <v>20</v>
      </c>
      <c r="AZ145" s="123" t="s">
        <v>4</v>
      </c>
    </row>
    <row r="146" spans="1:52" s="110" customFormat="1" ht="11.25" customHeight="1">
      <c r="A146" s="123" t="s">
        <v>382</v>
      </c>
      <c r="B146" s="123">
        <v>1</v>
      </c>
      <c r="C146" s="126">
        <v>139</v>
      </c>
      <c r="D146" s="124" t="s">
        <v>383</v>
      </c>
      <c r="E146" s="192">
        <v>1278</v>
      </c>
      <c r="F146" s="125">
        <f>ROUND(E146*Valores!$C$2,2)</f>
        <v>34660.89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8579</v>
      </c>
      <c r="N146" s="125">
        <f t="shared" si="19"/>
        <v>0</v>
      </c>
      <c r="O146" s="125">
        <f>Valores!$C$16</f>
        <v>23436.25</v>
      </c>
      <c r="P146" s="125">
        <f>Valores!$D$5</f>
        <v>13864.36</v>
      </c>
      <c r="Q146" s="125">
        <f>Valores!$C$22</f>
        <v>12369.22</v>
      </c>
      <c r="R146" s="125">
        <f>IF($F$4="NO",Valores!$C$44,Valores!$C$44/2)</f>
        <v>9631.44</v>
      </c>
      <c r="S146" s="125">
        <f>Valores!$C$19</f>
        <v>12901.01</v>
      </c>
      <c r="T146" s="125">
        <f t="shared" si="25"/>
        <v>12901.01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Valores!$C$94</f>
        <v>6318.76</v>
      </c>
      <c r="AA146" s="125">
        <f>Valores!$C$25</f>
        <v>567.06</v>
      </c>
      <c r="AB146" s="214">
        <v>0</v>
      </c>
      <c r="AC146" s="125">
        <f t="shared" si="20"/>
        <v>0</v>
      </c>
      <c r="AD146" s="125">
        <f>Valores!$C$26</f>
        <v>567.06</v>
      </c>
      <c r="AE146" s="192">
        <v>0</v>
      </c>
      <c r="AF146" s="125">
        <f>ROUND(AE146*Valores!$C$2,2)</f>
        <v>0</v>
      </c>
      <c r="AG146" s="125">
        <f>ROUND(IF($F$4="NO",Valores!$C$63,Valores!$C$63/2),2)</f>
        <v>6482.98</v>
      </c>
      <c r="AH146" s="125">
        <f t="shared" si="23"/>
        <v>129378.02999999998</v>
      </c>
      <c r="AI146" s="125">
        <f>Valores!$C$31</f>
        <v>0</v>
      </c>
      <c r="AJ146" s="125">
        <f>Valores!$C$87</f>
        <v>0</v>
      </c>
      <c r="AK146" s="125">
        <f>Valores!C$38*B146</f>
        <v>30000</v>
      </c>
      <c r="AL146" s="125">
        <f>IF($F$3="NO",0,Valores!$C$56)</f>
        <v>170.34</v>
      </c>
      <c r="AM146" s="125">
        <f t="shared" si="21"/>
        <v>30170.34</v>
      </c>
      <c r="AN146" s="125">
        <f>AH146*Valores!$C$71</f>
        <v>-14231.583299999998</v>
      </c>
      <c r="AO146" s="125">
        <f>AH146*-Valores!$C$72</f>
        <v>0</v>
      </c>
      <c r="AP146" s="125">
        <f>AH146*Valores!$C$73</f>
        <v>-5822.011349999999</v>
      </c>
      <c r="AQ146" s="125">
        <f>Valores!$C$100</f>
        <v>-280.91</v>
      </c>
      <c r="AR146" s="125">
        <f>IF($F$5=0,Valores!$C$101,(Valores!$C$101+$F$5*(Valores!$C$101)))</f>
        <v>-385</v>
      </c>
      <c r="AS146" s="125">
        <f t="shared" si="24"/>
        <v>138828.86534999998</v>
      </c>
      <c r="AT146" s="125">
        <f t="shared" si="18"/>
        <v>-14231.583299999998</v>
      </c>
      <c r="AU146" s="125">
        <f>AH146*Valores!$C$74</f>
        <v>-3493.2068099999997</v>
      </c>
      <c r="AV146" s="125">
        <f>AH146*Valores!$C$75</f>
        <v>-388.13408999999996</v>
      </c>
      <c r="AW146" s="125">
        <f t="shared" si="22"/>
        <v>141435.4458</v>
      </c>
      <c r="AX146" s="126"/>
      <c r="AY146" s="126">
        <v>22</v>
      </c>
      <c r="AZ146" s="123" t="s">
        <v>4</v>
      </c>
    </row>
    <row r="147" spans="1:52" s="110" customFormat="1" ht="11.25" customHeight="1">
      <c r="A147" s="123" t="s">
        <v>384</v>
      </c>
      <c r="B147" s="123">
        <v>1</v>
      </c>
      <c r="C147" s="126">
        <v>140</v>
      </c>
      <c r="D147" s="124" t="s">
        <v>385</v>
      </c>
      <c r="E147" s="192">
        <v>1278</v>
      </c>
      <c r="F147" s="125">
        <f>ROUND(E147*Valores!$C$2,2)</f>
        <v>34660.89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8559.22</v>
      </c>
      <c r="N147" s="125">
        <f t="shared" si="19"/>
        <v>0</v>
      </c>
      <c r="O147" s="125">
        <f>Valores!$C$16</f>
        <v>23436.25</v>
      </c>
      <c r="P147" s="125">
        <f>Valores!$D$5</f>
        <v>13864.36</v>
      </c>
      <c r="Q147" s="125">
        <v>0</v>
      </c>
      <c r="R147" s="125">
        <f>IF($F$4="NO",Valores!$C$44,Valores!$C$44/2)</f>
        <v>9631.44</v>
      </c>
      <c r="S147" s="125">
        <f>Valores!$C$20</f>
        <v>12769.11</v>
      </c>
      <c r="T147" s="125">
        <f t="shared" si="25"/>
        <v>12769.11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Valores!$C$94</f>
        <v>6318.76</v>
      </c>
      <c r="AA147" s="125">
        <f>Valores!$C$25</f>
        <v>567.06</v>
      </c>
      <c r="AB147" s="214">
        <v>0</v>
      </c>
      <c r="AC147" s="125">
        <f t="shared" si="20"/>
        <v>0</v>
      </c>
      <c r="AD147" s="125">
        <f>Valores!$C$26</f>
        <v>567.06</v>
      </c>
      <c r="AE147" s="192">
        <v>0</v>
      </c>
      <c r="AF147" s="125">
        <f>ROUND(AE147*Valores!$C$2,2)</f>
        <v>0</v>
      </c>
      <c r="AG147" s="125">
        <f>ROUND(IF($F$4="NO",Valores!$C$63,Valores!$C$63/2),2)</f>
        <v>6482.98</v>
      </c>
      <c r="AH147" s="125">
        <f t="shared" si="23"/>
        <v>116857.12999999999</v>
      </c>
      <c r="AI147" s="125">
        <f>Valores!$C$31</f>
        <v>0</v>
      </c>
      <c r="AJ147" s="125">
        <f>Valores!$C$87</f>
        <v>0</v>
      </c>
      <c r="AK147" s="125">
        <f>Valores!C$38*B147</f>
        <v>30000</v>
      </c>
      <c r="AL147" s="125">
        <f>IF($F$3="NO",0,Valores!$C$56)</f>
        <v>170.34</v>
      </c>
      <c r="AM147" s="125">
        <f t="shared" si="21"/>
        <v>30170.34</v>
      </c>
      <c r="AN147" s="125">
        <f>AH147*Valores!$C$71</f>
        <v>-12854.2843</v>
      </c>
      <c r="AO147" s="125">
        <f>AH147*-Valores!$C$72</f>
        <v>0</v>
      </c>
      <c r="AP147" s="125">
        <f>AH147*Valores!$C$73</f>
        <v>-5258.570849999999</v>
      </c>
      <c r="AQ147" s="125">
        <f>Valores!$C$100</f>
        <v>-280.91</v>
      </c>
      <c r="AR147" s="125">
        <f>IF($F$5=0,Valores!$C$101,(Valores!$C$101+$F$5*(Valores!$C$101)))</f>
        <v>-385</v>
      </c>
      <c r="AS147" s="125">
        <f t="shared" si="24"/>
        <v>128248.70485</v>
      </c>
      <c r="AT147" s="125">
        <f t="shared" si="18"/>
        <v>-12854.2843</v>
      </c>
      <c r="AU147" s="125">
        <f>AH147*Valores!$C$74</f>
        <v>-3155.1425099999997</v>
      </c>
      <c r="AV147" s="125">
        <f>AH147*Valores!$C$75</f>
        <v>-350.57138999999995</v>
      </c>
      <c r="AW147" s="125">
        <f t="shared" si="22"/>
        <v>130667.4718</v>
      </c>
      <c r="AX147" s="126"/>
      <c r="AY147" s="126"/>
      <c r="AZ147" s="123" t="s">
        <v>8</v>
      </c>
    </row>
    <row r="148" spans="1:52" s="110" customFormat="1" ht="11.25" customHeight="1">
      <c r="A148" s="123" t="s">
        <v>386</v>
      </c>
      <c r="B148" s="123">
        <v>1</v>
      </c>
      <c r="C148" s="126">
        <v>141</v>
      </c>
      <c r="D148" s="124" t="s">
        <v>387</v>
      </c>
      <c r="E148" s="192">
        <v>1278</v>
      </c>
      <c r="F148" s="125">
        <f>ROUND(E148*Valores!$C$2,2)</f>
        <v>34660.89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8559.22</v>
      </c>
      <c r="N148" s="125">
        <f t="shared" si="19"/>
        <v>0</v>
      </c>
      <c r="O148" s="125">
        <f>Valores!$C$16</f>
        <v>23436.25</v>
      </c>
      <c r="P148" s="125">
        <f>Valores!$D$5</f>
        <v>13864.36</v>
      </c>
      <c r="Q148" s="125">
        <v>0</v>
      </c>
      <c r="R148" s="125">
        <f>IF($F$4="NO",Valores!$C$44,Valores!$C$44/2)</f>
        <v>9631.44</v>
      </c>
      <c r="S148" s="125">
        <f>Valores!$C$20</f>
        <v>12769.11</v>
      </c>
      <c r="T148" s="125">
        <f t="shared" si="25"/>
        <v>12769.11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Valores!$C$94</f>
        <v>6318.76</v>
      </c>
      <c r="AA148" s="125">
        <f>Valores!$C$25</f>
        <v>567.06</v>
      </c>
      <c r="AB148" s="214">
        <v>0</v>
      </c>
      <c r="AC148" s="125">
        <f t="shared" si="20"/>
        <v>0</v>
      </c>
      <c r="AD148" s="125">
        <f>Valores!$C$26</f>
        <v>567.06</v>
      </c>
      <c r="AE148" s="192">
        <v>0</v>
      </c>
      <c r="AF148" s="125">
        <f>ROUND(AE148*Valores!$C$2,2)</f>
        <v>0</v>
      </c>
      <c r="AG148" s="125">
        <f>ROUND(IF($F$4="NO",Valores!$C$63,Valores!$C$63/2),2)</f>
        <v>6482.98</v>
      </c>
      <c r="AH148" s="125">
        <f t="shared" si="23"/>
        <v>116857.12999999999</v>
      </c>
      <c r="AI148" s="125">
        <f>Valores!$C$31</f>
        <v>0</v>
      </c>
      <c r="AJ148" s="125">
        <f>Valores!$C$87</f>
        <v>0</v>
      </c>
      <c r="AK148" s="125">
        <f>Valores!C$38*B148</f>
        <v>30000</v>
      </c>
      <c r="AL148" s="125">
        <f>IF($F$3="NO",0,Valores!$C$56)</f>
        <v>170.34</v>
      </c>
      <c r="AM148" s="125">
        <f t="shared" si="21"/>
        <v>30170.34</v>
      </c>
      <c r="AN148" s="125">
        <f>AH148*Valores!$C$71</f>
        <v>-12854.2843</v>
      </c>
      <c r="AO148" s="125">
        <f>AH148*-Valores!$C$72</f>
        <v>0</v>
      </c>
      <c r="AP148" s="125">
        <f>AH148*Valores!$C$73</f>
        <v>-5258.570849999999</v>
      </c>
      <c r="AQ148" s="125">
        <f>Valores!$C$100</f>
        <v>-280.91</v>
      </c>
      <c r="AR148" s="125">
        <f>IF($F$5=0,Valores!$C$101,(Valores!$C$101+$F$5*(Valores!$C$101)))</f>
        <v>-385</v>
      </c>
      <c r="AS148" s="125">
        <f t="shared" si="24"/>
        <v>128248.70485</v>
      </c>
      <c r="AT148" s="125">
        <f t="shared" si="18"/>
        <v>-12854.2843</v>
      </c>
      <c r="AU148" s="125">
        <f>AH148*Valores!$C$74</f>
        <v>-3155.1425099999997</v>
      </c>
      <c r="AV148" s="125">
        <f>AH148*Valores!$C$75</f>
        <v>-350.57138999999995</v>
      </c>
      <c r="AW148" s="125">
        <f t="shared" si="22"/>
        <v>130667.4718</v>
      </c>
      <c r="AX148" s="126"/>
      <c r="AY148" s="126"/>
      <c r="AZ148" s="123" t="s">
        <v>8</v>
      </c>
    </row>
    <row r="149" spans="1:52" s="110" customFormat="1" ht="11.25" customHeight="1">
      <c r="A149" s="123" t="s">
        <v>388</v>
      </c>
      <c r="B149" s="123">
        <v>1</v>
      </c>
      <c r="C149" s="126">
        <v>142</v>
      </c>
      <c r="D149" s="124" t="s">
        <v>389</v>
      </c>
      <c r="E149" s="192">
        <v>1060</v>
      </c>
      <c r="F149" s="125">
        <f>ROUND(E149*Valores!$C$2,2)</f>
        <v>28748.47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7692.14</v>
      </c>
      <c r="N149" s="125">
        <f t="shared" si="19"/>
        <v>0</v>
      </c>
      <c r="O149" s="125">
        <f>Valores!$C$16</f>
        <v>23436.25</v>
      </c>
      <c r="P149" s="125">
        <f>Valores!$D$5</f>
        <v>13864.36</v>
      </c>
      <c r="Q149" s="125">
        <f>Valores!$C$22</f>
        <v>12369.22</v>
      </c>
      <c r="R149" s="125">
        <f>IF($F$4="NO",Valores!$C$44,Valores!$C$44/2)</f>
        <v>9631.44</v>
      </c>
      <c r="S149" s="125">
        <f>Valores!$C$19</f>
        <v>12901.01</v>
      </c>
      <c r="T149" s="125">
        <f t="shared" si="25"/>
        <v>12901.01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Valores!$C$94</f>
        <v>6318.76</v>
      </c>
      <c r="AA149" s="125">
        <f>Valores!$C$25</f>
        <v>567.06</v>
      </c>
      <c r="AB149" s="214">
        <v>0</v>
      </c>
      <c r="AC149" s="125">
        <f t="shared" si="20"/>
        <v>0</v>
      </c>
      <c r="AD149" s="125">
        <f>Valores!$C$26</f>
        <v>567.06</v>
      </c>
      <c r="AE149" s="192">
        <v>0</v>
      </c>
      <c r="AF149" s="125">
        <f>ROUND(AE149*Valores!$C$2,2)</f>
        <v>0</v>
      </c>
      <c r="AG149" s="125">
        <f>ROUND(IF($F$4="NO",Valores!$C$63,Valores!$C$63/2),2)</f>
        <v>6482.98</v>
      </c>
      <c r="AH149" s="125">
        <f t="shared" si="23"/>
        <v>122578.74999999999</v>
      </c>
      <c r="AI149" s="125">
        <f>Valores!$C$31</f>
        <v>0</v>
      </c>
      <c r="AJ149" s="125">
        <f>Valores!$C$87</f>
        <v>0</v>
      </c>
      <c r="AK149" s="125">
        <f>Valores!C$38*B149</f>
        <v>30000</v>
      </c>
      <c r="AL149" s="125">
        <f>IF($F$3="NO",0,Valores!$C$56)</f>
        <v>170.34</v>
      </c>
      <c r="AM149" s="125">
        <f t="shared" si="21"/>
        <v>30170.34</v>
      </c>
      <c r="AN149" s="125">
        <f>AH149*Valores!$C$71</f>
        <v>-13483.662499999999</v>
      </c>
      <c r="AO149" s="125">
        <f>AH149*-Valores!$C$72</f>
        <v>0</v>
      </c>
      <c r="AP149" s="125">
        <f>AH149*Valores!$C$73</f>
        <v>-5516.043749999999</v>
      </c>
      <c r="AQ149" s="125">
        <f>Valores!$C$100</f>
        <v>-280.91</v>
      </c>
      <c r="AR149" s="125">
        <f>IF($F$5=0,Valores!$C$101,(Valores!$C$101+$F$5*(Valores!$C$101)))</f>
        <v>-385</v>
      </c>
      <c r="AS149" s="125">
        <f t="shared" si="24"/>
        <v>133083.47374999998</v>
      </c>
      <c r="AT149" s="125">
        <f t="shared" si="18"/>
        <v>-13483.662499999999</v>
      </c>
      <c r="AU149" s="125">
        <f>AH149*Valores!$C$74</f>
        <v>-3309.6262499999993</v>
      </c>
      <c r="AV149" s="125">
        <f>AH149*Valores!$C$75</f>
        <v>-367.73625</v>
      </c>
      <c r="AW149" s="125">
        <f t="shared" si="22"/>
        <v>135588.065</v>
      </c>
      <c r="AX149" s="126"/>
      <c r="AY149" s="126"/>
      <c r="AZ149" s="123" t="s">
        <v>4</v>
      </c>
    </row>
    <row r="150" spans="1:52" s="110" customFormat="1" ht="11.25" customHeight="1">
      <c r="A150" s="123" t="s">
        <v>390</v>
      </c>
      <c r="B150" s="123">
        <v>1</v>
      </c>
      <c r="C150" s="126">
        <v>143</v>
      </c>
      <c r="D150" s="124" t="s">
        <v>391</v>
      </c>
      <c r="E150" s="192">
        <v>1278</v>
      </c>
      <c r="F150" s="125">
        <f>ROUND(E150*Valores!$C$2,2)</f>
        <v>34660.89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8559.22</v>
      </c>
      <c r="N150" s="125">
        <f t="shared" si="19"/>
        <v>0</v>
      </c>
      <c r="O150" s="125">
        <f>Valores!$C$16</f>
        <v>23436.25</v>
      </c>
      <c r="P150" s="125">
        <f>Valores!$D$5</f>
        <v>13864.36</v>
      </c>
      <c r="Q150" s="125">
        <f>Valores!$C$22</f>
        <v>12369.22</v>
      </c>
      <c r="R150" s="125">
        <f>IF($F$4="NO",Valores!$C$44,Valores!$C$44/2)</f>
        <v>9631.44</v>
      </c>
      <c r="S150" s="125">
        <f>Valores!$C$20</f>
        <v>12769.11</v>
      </c>
      <c r="T150" s="125">
        <f t="shared" si="25"/>
        <v>12769.11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Valores!$C$94</f>
        <v>6318.76</v>
      </c>
      <c r="AA150" s="125">
        <f>Valores!$C$25</f>
        <v>567.06</v>
      </c>
      <c r="AB150" s="214">
        <v>0</v>
      </c>
      <c r="AC150" s="125">
        <f t="shared" si="20"/>
        <v>0</v>
      </c>
      <c r="AD150" s="125">
        <f>Valores!$C$26</f>
        <v>567.06</v>
      </c>
      <c r="AE150" s="192">
        <v>0</v>
      </c>
      <c r="AF150" s="125">
        <f>ROUND(AE150*Valores!$C$2,2)</f>
        <v>0</v>
      </c>
      <c r="AG150" s="125">
        <f>ROUND(IF($F$4="NO",Valores!$C$63,Valores!$C$63/2),2)</f>
        <v>6482.98</v>
      </c>
      <c r="AH150" s="125">
        <f t="shared" si="23"/>
        <v>129226.34999999999</v>
      </c>
      <c r="AI150" s="125">
        <f>Valores!$C$31</f>
        <v>0</v>
      </c>
      <c r="AJ150" s="125">
        <f>Valores!$C$87</f>
        <v>0</v>
      </c>
      <c r="AK150" s="125">
        <f>Valores!C$38*B150</f>
        <v>30000</v>
      </c>
      <c r="AL150" s="125">
        <f>IF($F$3="NO",0,Valores!$C$56)</f>
        <v>170.34</v>
      </c>
      <c r="AM150" s="125">
        <f t="shared" si="21"/>
        <v>30170.34</v>
      </c>
      <c r="AN150" s="125">
        <f>AH150*Valores!$C$71</f>
        <v>-14214.8985</v>
      </c>
      <c r="AO150" s="125">
        <f>AH150*-Valores!$C$72</f>
        <v>0</v>
      </c>
      <c r="AP150" s="125">
        <f>AH150*Valores!$C$73</f>
        <v>-5815.18575</v>
      </c>
      <c r="AQ150" s="125">
        <f>Valores!$C$100</f>
        <v>-280.91</v>
      </c>
      <c r="AR150" s="125">
        <f>IF($F$5=0,Valores!$C$101,(Valores!$C$101+$F$5*(Valores!$C$101)))</f>
        <v>-385</v>
      </c>
      <c r="AS150" s="125">
        <f t="shared" si="24"/>
        <v>138700.69574999998</v>
      </c>
      <c r="AT150" s="125">
        <f t="shared" si="18"/>
        <v>-14214.8985</v>
      </c>
      <c r="AU150" s="125">
        <f>AH150*Valores!$C$74</f>
        <v>-3489.11145</v>
      </c>
      <c r="AV150" s="125">
        <f>AH150*Valores!$C$75</f>
        <v>-387.67904999999996</v>
      </c>
      <c r="AW150" s="125">
        <f t="shared" si="22"/>
        <v>141305.001</v>
      </c>
      <c r="AX150" s="126"/>
      <c r="AY150" s="126">
        <v>22</v>
      </c>
      <c r="AZ150" s="123" t="s">
        <v>4</v>
      </c>
    </row>
    <row r="151" spans="1:52" s="110" customFormat="1" ht="11.25" customHeight="1">
      <c r="A151" s="123" t="s">
        <v>392</v>
      </c>
      <c r="B151" s="123">
        <v>1</v>
      </c>
      <c r="C151" s="126">
        <v>144</v>
      </c>
      <c r="D151" s="124" t="s">
        <v>393</v>
      </c>
      <c r="E151" s="192">
        <v>1278</v>
      </c>
      <c r="F151" s="125">
        <f>ROUND(E151*Valores!$C$2,2)</f>
        <v>34660.89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8579</v>
      </c>
      <c r="N151" s="125">
        <f t="shared" si="19"/>
        <v>0</v>
      </c>
      <c r="O151" s="125">
        <f>Valores!$C$16</f>
        <v>23436.25</v>
      </c>
      <c r="P151" s="125">
        <f>Valores!$D$5</f>
        <v>13864.36</v>
      </c>
      <c r="Q151" s="125">
        <f>Valores!$C$22</f>
        <v>12369.22</v>
      </c>
      <c r="R151" s="125">
        <f>IF($F$4="NO",Valores!$C$44,Valores!$C$44/2)</f>
        <v>9631.44</v>
      </c>
      <c r="S151" s="125">
        <f>Valores!$C$19</f>
        <v>12901.01</v>
      </c>
      <c r="T151" s="125">
        <f t="shared" si="25"/>
        <v>12901.01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Valores!$C$94</f>
        <v>6318.76</v>
      </c>
      <c r="AA151" s="125">
        <f>Valores!$C$25</f>
        <v>567.06</v>
      </c>
      <c r="AB151" s="214">
        <v>0</v>
      </c>
      <c r="AC151" s="125">
        <f t="shared" si="20"/>
        <v>0</v>
      </c>
      <c r="AD151" s="125">
        <f>Valores!$C$26</f>
        <v>567.06</v>
      </c>
      <c r="AE151" s="192">
        <v>0</v>
      </c>
      <c r="AF151" s="125">
        <f>ROUND(AE151*Valores!$C$2,2)</f>
        <v>0</v>
      </c>
      <c r="AG151" s="125">
        <f>ROUND(IF($F$4="NO",Valores!$C$63,Valores!$C$63/2),2)</f>
        <v>6482.98</v>
      </c>
      <c r="AH151" s="125">
        <f t="shared" si="23"/>
        <v>129378.02999999998</v>
      </c>
      <c r="AI151" s="125">
        <f>Valores!$C$31</f>
        <v>0</v>
      </c>
      <c r="AJ151" s="125">
        <f>Valores!$C$87</f>
        <v>0</v>
      </c>
      <c r="AK151" s="125">
        <f>Valores!C$38*B151</f>
        <v>30000</v>
      </c>
      <c r="AL151" s="125">
        <f>IF($F$3="NO",0,Valores!$C$56)</f>
        <v>170.34</v>
      </c>
      <c r="AM151" s="125">
        <f t="shared" si="21"/>
        <v>30170.34</v>
      </c>
      <c r="AN151" s="125">
        <f>AH151*Valores!$C$71</f>
        <v>-14231.583299999998</v>
      </c>
      <c r="AO151" s="125">
        <f>AH151*-Valores!$C$72</f>
        <v>0</v>
      </c>
      <c r="AP151" s="125">
        <f>AH151*Valores!$C$73</f>
        <v>-5822.011349999999</v>
      </c>
      <c r="AQ151" s="125">
        <f>Valores!$C$100</f>
        <v>-280.91</v>
      </c>
      <c r="AR151" s="125">
        <f>IF($F$5=0,Valores!$C$101,(Valores!$C$101+$F$5*(Valores!$C$101)))</f>
        <v>-385</v>
      </c>
      <c r="AS151" s="125">
        <f t="shared" si="24"/>
        <v>138828.86534999998</v>
      </c>
      <c r="AT151" s="125">
        <f t="shared" si="18"/>
        <v>-14231.583299999998</v>
      </c>
      <c r="AU151" s="125">
        <f>AH151*Valores!$C$74</f>
        <v>-3493.2068099999997</v>
      </c>
      <c r="AV151" s="125">
        <f>AH151*Valores!$C$75</f>
        <v>-388.13408999999996</v>
      </c>
      <c r="AW151" s="125">
        <f t="shared" si="22"/>
        <v>141435.4458</v>
      </c>
      <c r="AX151" s="126"/>
      <c r="AY151" s="126">
        <v>25</v>
      </c>
      <c r="AZ151" s="123" t="s">
        <v>4</v>
      </c>
    </row>
    <row r="152" spans="1:52" s="110" customFormat="1" ht="11.25" customHeight="1">
      <c r="A152" s="123" t="s">
        <v>394</v>
      </c>
      <c r="B152" s="123">
        <v>1</v>
      </c>
      <c r="C152" s="126">
        <v>145</v>
      </c>
      <c r="D152" s="124" t="s">
        <v>395</v>
      </c>
      <c r="E152" s="192">
        <v>1065</v>
      </c>
      <c r="F152" s="125">
        <f>ROUND(E152*Valores!$C$2,2)</f>
        <v>28884.08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7631.08</v>
      </c>
      <c r="N152" s="125">
        <f t="shared" si="19"/>
        <v>0</v>
      </c>
      <c r="O152" s="125">
        <f>Valores!$C$16</f>
        <v>23436.25</v>
      </c>
      <c r="P152" s="125">
        <f>Valores!$D$5</f>
        <v>13864.36</v>
      </c>
      <c r="Q152" s="125">
        <f>Valores!$C$23</f>
        <v>11512.45</v>
      </c>
      <c r="R152" s="125">
        <f>IF($F$4="NO",Valores!$C$43,Valores!$C$43/2)</f>
        <v>9088.77</v>
      </c>
      <c r="S152" s="125">
        <f>Valores!$C$19</f>
        <v>12901.01</v>
      </c>
      <c r="T152" s="125">
        <f t="shared" si="25"/>
        <v>12901.01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Valores!$C$94</f>
        <v>6318.76</v>
      </c>
      <c r="AA152" s="125">
        <f>Valores!$C$25</f>
        <v>567.06</v>
      </c>
      <c r="AB152" s="214">
        <v>0</v>
      </c>
      <c r="AC152" s="125">
        <f t="shared" si="20"/>
        <v>0</v>
      </c>
      <c r="AD152" s="125">
        <f>Valores!$C$26</f>
        <v>567.06</v>
      </c>
      <c r="AE152" s="192">
        <v>0</v>
      </c>
      <c r="AF152" s="125">
        <f>ROUND(AE152*Valores!$C$2,2)</f>
        <v>0</v>
      </c>
      <c r="AG152" s="125">
        <f>ROUND(IF($F$4="NO",Valores!$C$63,Valores!$C$63/2),2)</f>
        <v>6482.98</v>
      </c>
      <c r="AH152" s="125">
        <f t="shared" si="23"/>
        <v>121253.85999999999</v>
      </c>
      <c r="AI152" s="125">
        <f>Valores!$C$31</f>
        <v>0</v>
      </c>
      <c r="AJ152" s="125">
        <f>Valores!$C$87</f>
        <v>0</v>
      </c>
      <c r="AK152" s="125">
        <f>Valores!C$38*B152</f>
        <v>30000</v>
      </c>
      <c r="AL152" s="125">
        <f>IF($F$3="NO",0,Valores!$C$56)</f>
        <v>170.34</v>
      </c>
      <c r="AM152" s="125">
        <f t="shared" si="21"/>
        <v>30170.34</v>
      </c>
      <c r="AN152" s="125">
        <f>AH152*Valores!$C$71</f>
        <v>-13337.924599999998</v>
      </c>
      <c r="AO152" s="125">
        <f>AH152*-Valores!$C$72</f>
        <v>0</v>
      </c>
      <c r="AP152" s="125">
        <f>AH152*Valores!$C$73</f>
        <v>-5456.423699999999</v>
      </c>
      <c r="AQ152" s="125">
        <f>Valores!$C$100</f>
        <v>-280.91</v>
      </c>
      <c r="AR152" s="125">
        <f>IF($F$5=0,Valores!$C$101,(Valores!$C$101+$F$5*(Valores!$C$101)))</f>
        <v>-385</v>
      </c>
      <c r="AS152" s="125">
        <f t="shared" si="24"/>
        <v>131963.9417</v>
      </c>
      <c r="AT152" s="125">
        <f t="shared" si="18"/>
        <v>-13337.924599999998</v>
      </c>
      <c r="AU152" s="125">
        <f>AH152*Valores!$C$74</f>
        <v>-3273.8542199999997</v>
      </c>
      <c r="AV152" s="125">
        <f>AH152*Valores!$C$75</f>
        <v>-363.76158</v>
      </c>
      <c r="AW152" s="125">
        <f t="shared" si="22"/>
        <v>134448.65959999998</v>
      </c>
      <c r="AX152" s="126"/>
      <c r="AY152" s="126">
        <v>25</v>
      </c>
      <c r="AZ152" s="123" t="s">
        <v>4</v>
      </c>
    </row>
    <row r="153" spans="1:52" s="110" customFormat="1" ht="11.25" customHeight="1">
      <c r="A153" s="123" t="s">
        <v>396</v>
      </c>
      <c r="B153" s="123">
        <v>1</v>
      </c>
      <c r="C153" s="126">
        <v>146</v>
      </c>
      <c r="D153" s="124" t="s">
        <v>397</v>
      </c>
      <c r="E153" s="192">
        <v>947</v>
      </c>
      <c r="F153" s="125">
        <f>ROUND(E153*Valores!$C$2,2)</f>
        <v>25683.78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7151.03</v>
      </c>
      <c r="N153" s="125">
        <f t="shared" si="19"/>
        <v>0</v>
      </c>
      <c r="O153" s="125">
        <f>Valores!$C$16</f>
        <v>23436.25</v>
      </c>
      <c r="P153" s="125">
        <f>Valores!$D$5</f>
        <v>13864.36</v>
      </c>
      <c r="Q153" s="125">
        <f>Valores!$C$23</f>
        <v>11512.45</v>
      </c>
      <c r="R153" s="125">
        <f>IF($F$4="NO",Valores!$C$43,Valores!$C$43/2)</f>
        <v>9088.77</v>
      </c>
      <c r="S153" s="125">
        <f>Valores!$C$19</f>
        <v>12901.01</v>
      </c>
      <c r="T153" s="125">
        <f t="shared" si="25"/>
        <v>12901.01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Valores!$C$94</f>
        <v>6318.76</v>
      </c>
      <c r="AA153" s="125">
        <f>Valores!$C$25</f>
        <v>567.06</v>
      </c>
      <c r="AB153" s="214">
        <v>0</v>
      </c>
      <c r="AC153" s="125">
        <f t="shared" si="20"/>
        <v>0</v>
      </c>
      <c r="AD153" s="125">
        <f>Valores!$C$26</f>
        <v>567.06</v>
      </c>
      <c r="AE153" s="192">
        <v>0</v>
      </c>
      <c r="AF153" s="125">
        <f>ROUND(AE153*Valores!$C$2,2)</f>
        <v>0</v>
      </c>
      <c r="AG153" s="125">
        <f>ROUND(IF($F$4="NO",Valores!$C$63,Valores!$C$63/2),2)</f>
        <v>6482.98</v>
      </c>
      <c r="AH153" s="125">
        <f t="shared" si="23"/>
        <v>117573.50999999998</v>
      </c>
      <c r="AI153" s="125">
        <f>Valores!$C$31</f>
        <v>0</v>
      </c>
      <c r="AJ153" s="125">
        <f>Valores!$C$87</f>
        <v>0</v>
      </c>
      <c r="AK153" s="125">
        <f>Valores!C$38*B153</f>
        <v>30000</v>
      </c>
      <c r="AL153" s="125">
        <f>IF($F$3="NO",0,Valores!$C$56)</f>
        <v>170.34</v>
      </c>
      <c r="AM153" s="125">
        <f t="shared" si="21"/>
        <v>30170.34</v>
      </c>
      <c r="AN153" s="125">
        <f>AH153*Valores!$C$71</f>
        <v>-12933.086099999999</v>
      </c>
      <c r="AO153" s="125">
        <f>AH153*-Valores!$C$72</f>
        <v>0</v>
      </c>
      <c r="AP153" s="125">
        <f>AH153*Valores!$C$73</f>
        <v>-5290.8079499999985</v>
      </c>
      <c r="AQ153" s="125">
        <f>Valores!$C$100</f>
        <v>-280.91</v>
      </c>
      <c r="AR153" s="125">
        <f>IF($F$5=0,Valores!$C$101,(Valores!$C$101+$F$5*(Valores!$C$101)))</f>
        <v>-385</v>
      </c>
      <c r="AS153" s="125">
        <f t="shared" si="24"/>
        <v>128854.04594999999</v>
      </c>
      <c r="AT153" s="125">
        <f t="shared" si="18"/>
        <v>-12933.086099999999</v>
      </c>
      <c r="AU153" s="125">
        <f>AH153*Valores!$C$74</f>
        <v>-3174.4847699999996</v>
      </c>
      <c r="AV153" s="125">
        <f>AH153*Valores!$C$75</f>
        <v>-352.72052999999994</v>
      </c>
      <c r="AW153" s="125">
        <f t="shared" si="22"/>
        <v>131283.5586</v>
      </c>
      <c r="AX153" s="126"/>
      <c r="AY153" s="126">
        <v>22</v>
      </c>
      <c r="AZ153" s="123" t="s">
        <v>4</v>
      </c>
    </row>
    <row r="154" spans="1:52" s="110" customFormat="1" ht="11.25" customHeight="1">
      <c r="A154" s="123" t="s">
        <v>398</v>
      </c>
      <c r="B154" s="123">
        <v>1</v>
      </c>
      <c r="C154" s="126">
        <v>147</v>
      </c>
      <c r="D154" s="124" t="s">
        <v>399</v>
      </c>
      <c r="E154" s="192">
        <v>1800</v>
      </c>
      <c r="F154" s="125">
        <f>ROUND(E154*Valores!$C$2,2)</f>
        <v>48818.16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11431.95</v>
      </c>
      <c r="N154" s="125">
        <f t="shared" si="19"/>
        <v>0</v>
      </c>
      <c r="O154" s="125">
        <f>Valores!$C$8</f>
        <v>29851.25</v>
      </c>
      <c r="P154" s="125">
        <f>Valores!$D$5</f>
        <v>13864.36</v>
      </c>
      <c r="Q154" s="125">
        <f>Valores!$C$22</f>
        <v>12369.22</v>
      </c>
      <c r="R154" s="125">
        <f>IF($F$4="NO",Valores!$C$47,Valores!$C$47/2)</f>
        <v>14493.86</v>
      </c>
      <c r="S154" s="125">
        <f>Valores!$C$19</f>
        <v>12901.01</v>
      </c>
      <c r="T154" s="125">
        <f t="shared" si="25"/>
        <v>12901.01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Valores!$C$96</f>
        <v>12637.52</v>
      </c>
      <c r="AA154" s="125">
        <f>Valores!$C$25</f>
        <v>567.06</v>
      </c>
      <c r="AB154" s="214">
        <v>0</v>
      </c>
      <c r="AC154" s="125">
        <f t="shared" si="20"/>
        <v>0</v>
      </c>
      <c r="AD154" s="125">
        <f>Valores!$C$26</f>
        <v>567.06</v>
      </c>
      <c r="AE154" s="192">
        <v>0</v>
      </c>
      <c r="AF154" s="125">
        <f>ROUND(AE154*Valores!$C$2,2)</f>
        <v>0</v>
      </c>
      <c r="AG154" s="125">
        <f>ROUND(IF($F$4="NO",Valores!$C$63,Valores!$C$63/2),2)</f>
        <v>6482.98</v>
      </c>
      <c r="AH154" s="125">
        <f t="shared" si="23"/>
        <v>163984.43</v>
      </c>
      <c r="AI154" s="125">
        <f>Valores!$C$31</f>
        <v>0</v>
      </c>
      <c r="AJ154" s="125">
        <f>Valores!$C$89</f>
        <v>0</v>
      </c>
      <c r="AK154" s="125">
        <f>Valores!C$38*B154</f>
        <v>30000</v>
      </c>
      <c r="AL154" s="125">
        <f>IF($F$3="NO",0,Valores!$C$56)</f>
        <v>170.34</v>
      </c>
      <c r="AM154" s="125">
        <f t="shared" si="21"/>
        <v>30170.34</v>
      </c>
      <c r="AN154" s="125">
        <f>AH154*Valores!$C$71</f>
        <v>-18038.2873</v>
      </c>
      <c r="AO154" s="125">
        <f>AH154*-Valores!$C$72</f>
        <v>0</v>
      </c>
      <c r="AP154" s="125">
        <f>AH154*Valores!$C$73</f>
        <v>-7379.299349999999</v>
      </c>
      <c r="AQ154" s="125">
        <f>Valores!$C$100</f>
        <v>-280.91</v>
      </c>
      <c r="AR154" s="125">
        <f>IF($F$5=0,Valores!$C$101,(Valores!$C$101+$F$5*(Valores!$C$101)))</f>
        <v>-385</v>
      </c>
      <c r="AS154" s="125">
        <f t="shared" si="24"/>
        <v>168071.27335</v>
      </c>
      <c r="AT154" s="125">
        <f t="shared" si="18"/>
        <v>-18038.2873</v>
      </c>
      <c r="AU154" s="125">
        <f>AH154*Valores!$C$74</f>
        <v>-4427.57961</v>
      </c>
      <c r="AV154" s="125">
        <f>AH154*Valores!$C$75</f>
        <v>-491.95329</v>
      </c>
      <c r="AW154" s="125">
        <f t="shared" si="22"/>
        <v>171196.9498</v>
      </c>
      <c r="AX154" s="126"/>
      <c r="AY154" s="126"/>
      <c r="AZ154" s="123" t="s">
        <v>4</v>
      </c>
    </row>
    <row r="155" spans="1:52" s="110" customFormat="1" ht="11.25" customHeight="1">
      <c r="A155" s="123" t="s">
        <v>400</v>
      </c>
      <c r="B155" s="123">
        <v>1</v>
      </c>
      <c r="C155" s="126">
        <v>148</v>
      </c>
      <c r="D155" s="124" t="s">
        <v>401</v>
      </c>
      <c r="E155" s="192">
        <v>1278</v>
      </c>
      <c r="F155" s="125">
        <f>ROUND(E155*Valores!$C$2,2)</f>
        <v>34660.89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8579</v>
      </c>
      <c r="N155" s="125">
        <f t="shared" si="19"/>
        <v>0</v>
      </c>
      <c r="O155" s="125">
        <f>Valores!$C$8</f>
        <v>29851.25</v>
      </c>
      <c r="P155" s="125">
        <f>Valores!$D$5</f>
        <v>13864.36</v>
      </c>
      <c r="Q155" s="125">
        <f>Valores!$C$22</f>
        <v>12369.22</v>
      </c>
      <c r="R155" s="125">
        <f>IF($F$4="NO",Valores!$C$44,Valores!$C$44/2)</f>
        <v>9631.44</v>
      </c>
      <c r="S155" s="125">
        <f>Valores!$C$19</f>
        <v>12901.01</v>
      </c>
      <c r="T155" s="125">
        <f t="shared" si="25"/>
        <v>12901.01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Valores!$C$94</f>
        <v>6318.76</v>
      </c>
      <c r="AA155" s="125">
        <f>Valores!$C$25</f>
        <v>567.06</v>
      </c>
      <c r="AB155" s="214">
        <v>0</v>
      </c>
      <c r="AC155" s="125">
        <f t="shared" si="20"/>
        <v>0</v>
      </c>
      <c r="AD155" s="125">
        <f>Valores!$C$26</f>
        <v>567.06</v>
      </c>
      <c r="AE155" s="192">
        <v>0</v>
      </c>
      <c r="AF155" s="125">
        <f>ROUND(AE155*Valores!$C$2,2)</f>
        <v>0</v>
      </c>
      <c r="AG155" s="125">
        <f>ROUND(IF($F$4="NO",Valores!$C$63,Valores!$C$63/2),2)</f>
        <v>6482.98</v>
      </c>
      <c r="AH155" s="125">
        <f t="shared" si="23"/>
        <v>135793.03</v>
      </c>
      <c r="AI155" s="125">
        <f>Valores!$C$31</f>
        <v>0</v>
      </c>
      <c r="AJ155" s="125">
        <f>Valores!$C$87</f>
        <v>0</v>
      </c>
      <c r="AK155" s="125">
        <f>Valores!C$38*B155</f>
        <v>30000</v>
      </c>
      <c r="AL155" s="125">
        <f>IF($F$3="NO",0,Valores!$C$56)</f>
        <v>170.34</v>
      </c>
      <c r="AM155" s="125">
        <f t="shared" si="21"/>
        <v>30170.34</v>
      </c>
      <c r="AN155" s="125">
        <f>AH155*Valores!$C$71</f>
        <v>-14937.2333</v>
      </c>
      <c r="AO155" s="125">
        <f>AH155*-Valores!$C$72</f>
        <v>0</v>
      </c>
      <c r="AP155" s="125">
        <f>AH155*Valores!$C$73</f>
        <v>-6110.68635</v>
      </c>
      <c r="AQ155" s="125">
        <f>Valores!$C$100</f>
        <v>-280.91</v>
      </c>
      <c r="AR155" s="125">
        <f>IF($F$5=0,Valores!$C$101,(Valores!$C$101+$F$5*(Valores!$C$101)))</f>
        <v>-385</v>
      </c>
      <c r="AS155" s="125">
        <f t="shared" si="24"/>
        <v>144249.54035</v>
      </c>
      <c r="AT155" s="125">
        <f t="shared" si="18"/>
        <v>-14937.2333</v>
      </c>
      <c r="AU155" s="125">
        <f>AH155*Valores!$C$74</f>
        <v>-3666.41181</v>
      </c>
      <c r="AV155" s="125">
        <f>AH155*Valores!$C$75</f>
        <v>-407.37909</v>
      </c>
      <c r="AW155" s="125">
        <f t="shared" si="22"/>
        <v>146952.3458</v>
      </c>
      <c r="AX155" s="126"/>
      <c r="AY155" s="126">
        <v>27</v>
      </c>
      <c r="AZ155" s="123" t="s">
        <v>4</v>
      </c>
    </row>
    <row r="156" spans="1:52" s="110" customFormat="1" ht="11.25" customHeight="1">
      <c r="A156" s="123" t="s">
        <v>402</v>
      </c>
      <c r="B156" s="123">
        <v>1</v>
      </c>
      <c r="C156" s="126">
        <v>149</v>
      </c>
      <c r="D156" s="124" t="s">
        <v>403</v>
      </c>
      <c r="E156" s="192">
        <v>1214</v>
      </c>
      <c r="F156" s="125">
        <f>ROUND(E156*Valores!$C$2,2)</f>
        <v>32925.14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8318.64</v>
      </c>
      <c r="N156" s="125">
        <f t="shared" si="19"/>
        <v>0</v>
      </c>
      <c r="O156" s="125">
        <f>Valores!$C$16</f>
        <v>23436.25</v>
      </c>
      <c r="P156" s="125">
        <f>Valores!$D$5</f>
        <v>13864.36</v>
      </c>
      <c r="Q156" s="125">
        <f>Valores!$C$22</f>
        <v>12369.22</v>
      </c>
      <c r="R156" s="125">
        <f>IF($F$4="NO",Valores!$C$44,Valores!$C$44/2)</f>
        <v>9631.44</v>
      </c>
      <c r="S156" s="125">
        <f>Valores!$C$19</f>
        <v>12901.01</v>
      </c>
      <c r="T156" s="125">
        <f t="shared" si="25"/>
        <v>12901.01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Valores!$C$94</f>
        <v>6318.76</v>
      </c>
      <c r="AA156" s="125">
        <f>Valores!$C$25</f>
        <v>567.06</v>
      </c>
      <c r="AB156" s="214">
        <v>0</v>
      </c>
      <c r="AC156" s="125">
        <f t="shared" si="20"/>
        <v>0</v>
      </c>
      <c r="AD156" s="125">
        <f>Valores!$C$26</f>
        <v>567.06</v>
      </c>
      <c r="AE156" s="192">
        <v>0</v>
      </c>
      <c r="AF156" s="125">
        <f>ROUND(AE156*Valores!$C$2,2)</f>
        <v>0</v>
      </c>
      <c r="AG156" s="125">
        <f>ROUND(IF($F$4="NO",Valores!$C$63,Valores!$C$63/2),2)</f>
        <v>6482.98</v>
      </c>
      <c r="AH156" s="125">
        <f t="shared" si="23"/>
        <v>127381.91999999998</v>
      </c>
      <c r="AI156" s="125">
        <f>Valores!$C$31</f>
        <v>0</v>
      </c>
      <c r="AJ156" s="125">
        <f>Valores!$C$87</f>
        <v>0</v>
      </c>
      <c r="AK156" s="125">
        <f>Valores!C$38*B156</f>
        <v>30000</v>
      </c>
      <c r="AL156" s="125">
        <f>IF($F$3="NO",0,Valores!$C$56)</f>
        <v>170.34</v>
      </c>
      <c r="AM156" s="125">
        <f t="shared" si="21"/>
        <v>30170.34</v>
      </c>
      <c r="AN156" s="125">
        <f>AH156*Valores!$C$71</f>
        <v>-14012.011199999999</v>
      </c>
      <c r="AO156" s="125">
        <f>AH156*-Valores!$C$72</f>
        <v>0</v>
      </c>
      <c r="AP156" s="125">
        <f>AH156*Valores!$C$73</f>
        <v>-5732.186399999999</v>
      </c>
      <c r="AQ156" s="125">
        <f>Valores!$C$100</f>
        <v>-280.91</v>
      </c>
      <c r="AR156" s="125">
        <f>IF($F$5=0,Valores!$C$101,(Valores!$C$101+$F$5*(Valores!$C$101)))</f>
        <v>-385</v>
      </c>
      <c r="AS156" s="125">
        <f t="shared" si="24"/>
        <v>137142.1524</v>
      </c>
      <c r="AT156" s="125">
        <f t="shared" si="18"/>
        <v>-14012.011199999999</v>
      </c>
      <c r="AU156" s="125">
        <f>AH156*Valores!$C$74</f>
        <v>-3439.3118399999994</v>
      </c>
      <c r="AV156" s="125">
        <f>AH156*Valores!$C$75</f>
        <v>-382.14575999999994</v>
      </c>
      <c r="AW156" s="125">
        <f t="shared" si="22"/>
        <v>139718.79119999998</v>
      </c>
      <c r="AX156" s="126"/>
      <c r="AY156" s="126"/>
      <c r="AZ156" s="123" t="s">
        <v>4</v>
      </c>
    </row>
    <row r="157" spans="1:52" s="110" customFormat="1" ht="11.25" customHeight="1">
      <c r="A157" s="123" t="s">
        <v>404</v>
      </c>
      <c r="B157" s="123">
        <v>1</v>
      </c>
      <c r="C157" s="126">
        <v>150</v>
      </c>
      <c r="D157" s="124" t="s">
        <v>405</v>
      </c>
      <c r="E157" s="192">
        <f>1106+78</f>
        <v>1184</v>
      </c>
      <c r="F157" s="125">
        <f>ROUND(E157*Valores!$C$2,2)</f>
        <v>32111.5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8176.81</v>
      </c>
      <c r="N157" s="125">
        <f t="shared" si="19"/>
        <v>0</v>
      </c>
      <c r="O157" s="125">
        <f>Valores!$C$16</f>
        <v>23436.25</v>
      </c>
      <c r="P157" s="125">
        <f>Valores!$D$5</f>
        <v>13864.36</v>
      </c>
      <c r="Q157" s="125">
        <v>0</v>
      </c>
      <c r="R157" s="125">
        <f>IF($F$4="NO",Valores!$C$44,Valores!$C$44/2)</f>
        <v>9631.44</v>
      </c>
      <c r="S157" s="125">
        <f>Valores!$C$20</f>
        <v>12769.11</v>
      </c>
      <c r="T157" s="125">
        <f t="shared" si="25"/>
        <v>12769.11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Valores!$C$94</f>
        <v>6318.76</v>
      </c>
      <c r="AA157" s="125">
        <f>Valores!$C$25</f>
        <v>567.06</v>
      </c>
      <c r="AB157" s="214">
        <v>0</v>
      </c>
      <c r="AC157" s="125">
        <f t="shared" si="20"/>
        <v>0</v>
      </c>
      <c r="AD157" s="125">
        <f>Valores!$C$26</f>
        <v>567.06</v>
      </c>
      <c r="AE157" s="192">
        <v>0</v>
      </c>
      <c r="AF157" s="125">
        <f>ROUND(AE157*Valores!$C$2,2)</f>
        <v>0</v>
      </c>
      <c r="AG157" s="125">
        <f>ROUND(IF($F$4="NO",Valores!$C$63,Valores!$C$63/2),2)</f>
        <v>6482.98</v>
      </c>
      <c r="AH157" s="125">
        <f t="shared" si="23"/>
        <v>113925.32999999999</v>
      </c>
      <c r="AI157" s="125">
        <f>Valores!$C$31</f>
        <v>0</v>
      </c>
      <c r="AJ157" s="125">
        <f>Valores!$C$87</f>
        <v>0</v>
      </c>
      <c r="AK157" s="125">
        <f>Valores!C$38*B157</f>
        <v>30000</v>
      </c>
      <c r="AL157" s="125">
        <f>IF($F$3="NO",0,Valores!$C$56)</f>
        <v>170.34</v>
      </c>
      <c r="AM157" s="125">
        <f t="shared" si="21"/>
        <v>30170.34</v>
      </c>
      <c r="AN157" s="125">
        <f>AH157*Valores!$C$71</f>
        <v>-12531.786299999998</v>
      </c>
      <c r="AO157" s="125">
        <f>AH157*-Valores!$C$72</f>
        <v>0</v>
      </c>
      <c r="AP157" s="125">
        <f>AH157*Valores!$C$73</f>
        <v>-5126.63985</v>
      </c>
      <c r="AQ157" s="125">
        <f>Valores!$C$100</f>
        <v>-280.91</v>
      </c>
      <c r="AR157" s="125">
        <f>IF($F$5=0,Valores!$C$101,(Valores!$C$101+$F$5*(Valores!$C$101)))</f>
        <v>-385</v>
      </c>
      <c r="AS157" s="125">
        <f t="shared" si="24"/>
        <v>125771.33385</v>
      </c>
      <c r="AT157" s="125">
        <f t="shared" si="18"/>
        <v>-12531.786299999998</v>
      </c>
      <c r="AU157" s="125">
        <f>AH157*Valores!$C$74</f>
        <v>-3075.9839099999995</v>
      </c>
      <c r="AV157" s="125">
        <f>AH157*Valores!$C$75</f>
        <v>-341.77599</v>
      </c>
      <c r="AW157" s="125">
        <f t="shared" si="22"/>
        <v>128146.12379999999</v>
      </c>
      <c r="AX157" s="126"/>
      <c r="AY157" s="126"/>
      <c r="AZ157" s="123" t="s">
        <v>8</v>
      </c>
    </row>
    <row r="158" spans="1:52" s="110" customFormat="1" ht="11.25" customHeight="1">
      <c r="A158" s="123" t="s">
        <v>406</v>
      </c>
      <c r="B158" s="123">
        <v>1</v>
      </c>
      <c r="C158" s="126">
        <v>151</v>
      </c>
      <c r="D158" s="124" t="s">
        <v>407</v>
      </c>
      <c r="E158" s="192">
        <v>971</v>
      </c>
      <c r="F158" s="125">
        <f>ROUND(E158*Valores!$C$2,2)</f>
        <v>26334.69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7248.67</v>
      </c>
      <c r="N158" s="125">
        <f t="shared" si="19"/>
        <v>0</v>
      </c>
      <c r="O158" s="125">
        <f>Valores!$C$16</f>
        <v>23436.25</v>
      </c>
      <c r="P158" s="125">
        <f>Valores!$D$5</f>
        <v>13864.36</v>
      </c>
      <c r="Q158" s="125">
        <f>Valores!$C$23</f>
        <v>11512.45</v>
      </c>
      <c r="R158" s="125">
        <f>IF($F$4="NO",Valores!$C$43,Valores!$C$43/2)</f>
        <v>9088.77</v>
      </c>
      <c r="S158" s="125">
        <f>Valores!$C$19</f>
        <v>12901.01</v>
      </c>
      <c r="T158" s="125">
        <f t="shared" si="25"/>
        <v>12901.01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Valores!$C$94</f>
        <v>6318.76</v>
      </c>
      <c r="AA158" s="125">
        <f>Valores!$C$25</f>
        <v>567.06</v>
      </c>
      <c r="AB158" s="214">
        <v>0</v>
      </c>
      <c r="AC158" s="125">
        <f t="shared" si="20"/>
        <v>0</v>
      </c>
      <c r="AD158" s="125">
        <f>Valores!$C$25</f>
        <v>567.06</v>
      </c>
      <c r="AE158" s="192">
        <v>0</v>
      </c>
      <c r="AF158" s="125">
        <f>ROUND(AE158*Valores!$C$2,2)</f>
        <v>0</v>
      </c>
      <c r="AG158" s="125">
        <f>ROUND(IF($F$4="NO",Valores!$C$63,Valores!$C$63/2),2)</f>
        <v>6482.98</v>
      </c>
      <c r="AH158" s="125">
        <f t="shared" si="23"/>
        <v>118322.05999999998</v>
      </c>
      <c r="AI158" s="125">
        <f>Valores!$C$31</f>
        <v>0</v>
      </c>
      <c r="AJ158" s="125">
        <f>Valores!$C$87</f>
        <v>0</v>
      </c>
      <c r="AK158" s="125">
        <f>Valores!C$38*B158</f>
        <v>30000</v>
      </c>
      <c r="AL158" s="125">
        <f>(IF($F$3="NO",0,Valores!$C$58))</f>
        <v>155.18</v>
      </c>
      <c r="AM158" s="125">
        <f t="shared" si="21"/>
        <v>30155.18</v>
      </c>
      <c r="AN158" s="125">
        <f>AH158*Valores!$C$71</f>
        <v>-13015.426599999999</v>
      </c>
      <c r="AO158" s="125">
        <f>AH158*-Valores!$C$72</f>
        <v>0</v>
      </c>
      <c r="AP158" s="125">
        <f>AH158*Valores!$C$73</f>
        <v>-5324.492699999999</v>
      </c>
      <c r="AQ158" s="125">
        <f>Valores!$C$100</f>
        <v>-280.91</v>
      </c>
      <c r="AR158" s="125">
        <f>IF($F$5=0,Valores!$C$101,(Valores!$C$101+$F$5*(Valores!$C$101)))</f>
        <v>-385</v>
      </c>
      <c r="AS158" s="125">
        <f t="shared" si="24"/>
        <v>129471.41069999998</v>
      </c>
      <c r="AT158" s="125">
        <f t="shared" si="18"/>
        <v>-13015.426599999999</v>
      </c>
      <c r="AU158" s="125">
        <f>AH158*Valores!$C$74</f>
        <v>-3194.6956199999995</v>
      </c>
      <c r="AV158" s="125">
        <f>AH158*Valores!$C$75</f>
        <v>-354.96617999999995</v>
      </c>
      <c r="AW158" s="125">
        <f t="shared" si="22"/>
        <v>131912.15159999998</v>
      </c>
      <c r="AX158" s="126">
        <v>12</v>
      </c>
      <c r="AY158" s="126">
        <v>12</v>
      </c>
      <c r="AZ158" s="123" t="s">
        <v>4</v>
      </c>
    </row>
    <row r="159" spans="1:52" s="110" customFormat="1" ht="11.25" customHeight="1">
      <c r="A159" s="123" t="s">
        <v>406</v>
      </c>
      <c r="B159" s="123">
        <v>1</v>
      </c>
      <c r="C159" s="126">
        <v>152</v>
      </c>
      <c r="D159" s="124" t="s">
        <v>408</v>
      </c>
      <c r="E159" s="192">
        <v>971</v>
      </c>
      <c r="F159" s="125">
        <f>ROUND(E159*Valores!$C$2,2)</f>
        <v>26334.69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9686.71</v>
      </c>
      <c r="N159" s="125">
        <f t="shared" si="19"/>
        <v>0</v>
      </c>
      <c r="O159" s="125">
        <f>Valores!$C$16</f>
        <v>23436.25</v>
      </c>
      <c r="P159" s="125">
        <f>Valores!$D$5</f>
        <v>13864.36</v>
      </c>
      <c r="Q159" s="125">
        <f>Valores!$C$23</f>
        <v>11512.45</v>
      </c>
      <c r="R159" s="125">
        <f>IF($F$4="NO",Valores!$C$47,Valores!$C$47/2)</f>
        <v>14493.86</v>
      </c>
      <c r="S159" s="125">
        <f>Valores!$C$19</f>
        <v>12901.01</v>
      </c>
      <c r="T159" s="125">
        <f t="shared" si="25"/>
        <v>12901.01</v>
      </c>
      <c r="U159" s="125">
        <v>0</v>
      </c>
      <c r="V159" s="125">
        <v>0</v>
      </c>
      <c r="W159" s="192">
        <v>400</v>
      </c>
      <c r="X159" s="125">
        <f>ROUND(W159*Valores!$C$2,2)</f>
        <v>10848.48</v>
      </c>
      <c r="Y159" s="125">
        <f>ROUND(SUM(J159,H159,F159,R159)*Valores!$C$3,2)</f>
        <v>6124.28</v>
      </c>
      <c r="Z159" s="125">
        <f>Valores!$C$94</f>
        <v>6318.76</v>
      </c>
      <c r="AA159" s="125">
        <f>Valores!$C$25</f>
        <v>567.06</v>
      </c>
      <c r="AB159" s="214">
        <v>0</v>
      </c>
      <c r="AC159" s="125">
        <f t="shared" si="20"/>
        <v>0</v>
      </c>
      <c r="AD159" s="125">
        <f>Valores!$C$25</f>
        <v>567.06</v>
      </c>
      <c r="AE159" s="192">
        <v>94</v>
      </c>
      <c r="AF159" s="125">
        <f>ROUND(AE159*Valores!$C$2,2)</f>
        <v>2549.39</v>
      </c>
      <c r="AG159" s="125">
        <f>ROUND(IF($F$4="NO",Valores!$C$63,Valores!$C$63/2),2)</f>
        <v>6482.98</v>
      </c>
      <c r="AH159" s="125">
        <f t="shared" si="23"/>
        <v>145687.34</v>
      </c>
      <c r="AI159" s="125">
        <f>Valores!$C$31</f>
        <v>0</v>
      </c>
      <c r="AJ159" s="125">
        <f>Valores!$C$87</f>
        <v>0</v>
      </c>
      <c r="AK159" s="125">
        <f>Valores!C$38*B159</f>
        <v>30000</v>
      </c>
      <c r="AL159" s="125">
        <f>(IF($F$3="NO",0,Valores!$C$58))</f>
        <v>155.18</v>
      </c>
      <c r="AM159" s="125">
        <f t="shared" si="21"/>
        <v>30155.18</v>
      </c>
      <c r="AN159" s="125">
        <f>AH159*Valores!$C$71</f>
        <v>-16025.607399999999</v>
      </c>
      <c r="AO159" s="125">
        <f>AH159*-Valores!$C$72</f>
        <v>0</v>
      </c>
      <c r="AP159" s="125">
        <f>AH159*Valores!$C$73</f>
        <v>-6555.9303</v>
      </c>
      <c r="AQ159" s="125">
        <f>Valores!$C$100</f>
        <v>-280.91</v>
      </c>
      <c r="AR159" s="125">
        <f>IF($F$5=0,Valores!$C$101,(Valores!$C$101+$F$5*(Valores!$C$101)))</f>
        <v>-385</v>
      </c>
      <c r="AS159" s="125">
        <f t="shared" si="24"/>
        <v>152595.0723</v>
      </c>
      <c r="AT159" s="125">
        <f t="shared" si="18"/>
        <v>-16025.607399999999</v>
      </c>
      <c r="AU159" s="125">
        <f>AH159*Valores!$C$74</f>
        <v>-3933.55818</v>
      </c>
      <c r="AV159" s="125">
        <f>AH159*Valores!$C$75</f>
        <v>-437.06202</v>
      </c>
      <c r="AW159" s="125">
        <f t="shared" si="22"/>
        <v>155446.29239999998</v>
      </c>
      <c r="AX159" s="126">
        <v>12</v>
      </c>
      <c r="AY159" s="126">
        <v>18</v>
      </c>
      <c r="AZ159" s="123" t="s">
        <v>4</v>
      </c>
    </row>
    <row r="160" spans="1:52" s="110" customFormat="1" ht="11.25" customHeight="1">
      <c r="A160" s="123" t="s">
        <v>409</v>
      </c>
      <c r="B160" s="123">
        <v>1</v>
      </c>
      <c r="C160" s="126">
        <v>153</v>
      </c>
      <c r="D160" s="124" t="s">
        <v>410</v>
      </c>
      <c r="E160" s="192">
        <v>810</v>
      </c>
      <c r="F160" s="125">
        <f>ROUND(E160*Valores!$C$2,2)</f>
        <v>21968.17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6573.91</v>
      </c>
      <c r="N160" s="125">
        <f t="shared" si="19"/>
        <v>0</v>
      </c>
      <c r="O160" s="125">
        <f>Valores!$C$16</f>
        <v>23436.25</v>
      </c>
      <c r="P160" s="125">
        <f>Valores!$D$5</f>
        <v>13864.36</v>
      </c>
      <c r="Q160" s="125">
        <f>Valores!$C$23</f>
        <v>11512.45</v>
      </c>
      <c r="R160" s="125">
        <f>IF($F$4="NO",Valores!$C$43,Valores!$C$43/2)</f>
        <v>9088.77</v>
      </c>
      <c r="S160" s="125">
        <f>Valores!$C$20</f>
        <v>12769.11</v>
      </c>
      <c r="T160" s="125">
        <f t="shared" si="25"/>
        <v>12769.11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Valores!$C$94</f>
        <v>6318.76</v>
      </c>
      <c r="AA160" s="125">
        <f>Valores!$C$25</f>
        <v>567.06</v>
      </c>
      <c r="AB160" s="214">
        <v>0</v>
      </c>
      <c r="AC160" s="125">
        <f t="shared" si="20"/>
        <v>0</v>
      </c>
      <c r="AD160" s="125">
        <f>Valores!$C$26</f>
        <v>567.06</v>
      </c>
      <c r="AE160" s="192">
        <v>0</v>
      </c>
      <c r="AF160" s="125">
        <f>ROUND(AE160*Valores!$C$2,2)</f>
        <v>0</v>
      </c>
      <c r="AG160" s="125">
        <f>ROUND(IF($F$4="NO",Valores!$C$63,Valores!$C$63/2),2)</f>
        <v>6482.98</v>
      </c>
      <c r="AH160" s="125">
        <f t="shared" si="23"/>
        <v>113148.87999999999</v>
      </c>
      <c r="AI160" s="125">
        <f>Valores!$C$31</f>
        <v>0</v>
      </c>
      <c r="AJ160" s="125">
        <f>Valores!$C$87</f>
        <v>0</v>
      </c>
      <c r="AK160" s="125">
        <f>Valores!C$38*B160</f>
        <v>30000</v>
      </c>
      <c r="AL160" s="125">
        <f>IF($F$3="NO",0,Valores!$C$56)</f>
        <v>170.34</v>
      </c>
      <c r="AM160" s="125">
        <f t="shared" si="21"/>
        <v>30170.34</v>
      </c>
      <c r="AN160" s="125">
        <f>AH160*Valores!$C$71</f>
        <v>-12446.376799999998</v>
      </c>
      <c r="AO160" s="125">
        <f>AH160*-Valores!$C$72</f>
        <v>0</v>
      </c>
      <c r="AP160" s="125">
        <f>AH160*Valores!$C$73</f>
        <v>-5091.699599999999</v>
      </c>
      <c r="AQ160" s="125">
        <f>Valores!$C$100</f>
        <v>-280.91</v>
      </c>
      <c r="AR160" s="125">
        <f>IF($F$5=0,Valores!$C$101,(Valores!$C$101+$F$5*(Valores!$C$101)))</f>
        <v>-385</v>
      </c>
      <c r="AS160" s="125">
        <f t="shared" si="24"/>
        <v>125115.23359999999</v>
      </c>
      <c r="AT160" s="125">
        <f t="shared" si="18"/>
        <v>-12446.376799999998</v>
      </c>
      <c r="AU160" s="125">
        <f>AH160*Valores!$C$74</f>
        <v>-3055.0197599999997</v>
      </c>
      <c r="AV160" s="125">
        <f>AH160*Valores!$C$75</f>
        <v>-339.44664</v>
      </c>
      <c r="AW160" s="125">
        <f t="shared" si="22"/>
        <v>127478.3768</v>
      </c>
      <c r="AX160" s="126"/>
      <c r="AY160" s="126"/>
      <c r="AZ160" s="123" t="s">
        <v>4</v>
      </c>
    </row>
    <row r="161" spans="1:52" s="110" customFormat="1" ht="11.25" customHeight="1">
      <c r="A161" s="123" t="s">
        <v>411</v>
      </c>
      <c r="B161" s="123">
        <v>1</v>
      </c>
      <c r="C161" s="126">
        <v>154</v>
      </c>
      <c r="D161" s="124" t="s">
        <v>412</v>
      </c>
      <c r="E161" s="192">
        <v>1065</v>
      </c>
      <c r="F161" s="125">
        <f>ROUND(E161*Valores!$C$2,2)</f>
        <v>28884.08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7631.08</v>
      </c>
      <c r="N161" s="125">
        <f t="shared" si="19"/>
        <v>0</v>
      </c>
      <c r="O161" s="125">
        <f>Valores!$C$16</f>
        <v>23436.25</v>
      </c>
      <c r="P161" s="125">
        <f>Valores!$D$5</f>
        <v>13864.36</v>
      </c>
      <c r="Q161" s="125">
        <f>Valores!$C$23</f>
        <v>11512.45</v>
      </c>
      <c r="R161" s="125">
        <f>IF($F$4="NO",Valores!$C$43,Valores!$C$43/2)</f>
        <v>9088.77</v>
      </c>
      <c r="S161" s="125">
        <f>Valores!$C$19</f>
        <v>12901.01</v>
      </c>
      <c r="T161" s="125">
        <f t="shared" si="25"/>
        <v>12901.01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Valores!$C$94</f>
        <v>6318.76</v>
      </c>
      <c r="AA161" s="125">
        <f>Valores!$C$25</f>
        <v>567.06</v>
      </c>
      <c r="AB161" s="214">
        <v>0</v>
      </c>
      <c r="AC161" s="125">
        <f t="shared" si="20"/>
        <v>0</v>
      </c>
      <c r="AD161" s="125">
        <f>Valores!$C$26</f>
        <v>567.06</v>
      </c>
      <c r="AE161" s="192">
        <v>0</v>
      </c>
      <c r="AF161" s="125">
        <f>ROUND(AE161*Valores!$C$2,2)</f>
        <v>0</v>
      </c>
      <c r="AG161" s="125">
        <f>ROUND(IF($F$4="NO",Valores!$C$63,Valores!$C$63/2),2)</f>
        <v>6482.98</v>
      </c>
      <c r="AH161" s="125">
        <f t="shared" si="23"/>
        <v>121253.85999999999</v>
      </c>
      <c r="AI161" s="125">
        <f>Valores!$C$31</f>
        <v>0</v>
      </c>
      <c r="AJ161" s="125">
        <f>Valores!$C$87</f>
        <v>0</v>
      </c>
      <c r="AK161" s="125">
        <f>Valores!C$38*B161</f>
        <v>30000</v>
      </c>
      <c r="AL161" s="125">
        <f>IF($F$3="NO",0,Valores!$C$56)</f>
        <v>170.34</v>
      </c>
      <c r="AM161" s="125">
        <f t="shared" si="21"/>
        <v>30170.34</v>
      </c>
      <c r="AN161" s="125">
        <f>AH161*Valores!$C$71</f>
        <v>-13337.924599999998</v>
      </c>
      <c r="AO161" s="125">
        <f>AH161*-Valores!$C$72</f>
        <v>0</v>
      </c>
      <c r="AP161" s="125">
        <f>AH161*Valores!$C$73</f>
        <v>-5456.423699999999</v>
      </c>
      <c r="AQ161" s="125">
        <f>Valores!$C$100</f>
        <v>-280.91</v>
      </c>
      <c r="AR161" s="125">
        <f>IF($F$5=0,Valores!$C$101,(Valores!$C$101+$F$5*(Valores!$C$101)))</f>
        <v>-385</v>
      </c>
      <c r="AS161" s="125">
        <f t="shared" si="24"/>
        <v>131963.9417</v>
      </c>
      <c r="AT161" s="125">
        <f t="shared" si="18"/>
        <v>-13337.924599999998</v>
      </c>
      <c r="AU161" s="125">
        <f>AH161*Valores!$C$74</f>
        <v>-3273.8542199999997</v>
      </c>
      <c r="AV161" s="125">
        <f>AH161*Valores!$C$75</f>
        <v>-363.76158</v>
      </c>
      <c r="AW161" s="125">
        <f t="shared" si="22"/>
        <v>134448.65959999998</v>
      </c>
      <c r="AX161" s="126"/>
      <c r="AY161" s="126">
        <v>27</v>
      </c>
      <c r="AZ161" s="123" t="s">
        <v>4</v>
      </c>
    </row>
    <row r="162" spans="1:52" s="110" customFormat="1" ht="11.25" customHeight="1">
      <c r="A162" s="123" t="s">
        <v>411</v>
      </c>
      <c r="B162" s="123">
        <v>1</v>
      </c>
      <c r="C162" s="126">
        <v>155</v>
      </c>
      <c r="D162" s="124" t="s">
        <v>413</v>
      </c>
      <c r="E162" s="192">
        <v>1065</v>
      </c>
      <c r="F162" s="125">
        <f>ROUND(E162*Valores!$C$2,2)</f>
        <v>28884.08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7631.08</v>
      </c>
      <c r="N162" s="125">
        <f t="shared" si="19"/>
        <v>0</v>
      </c>
      <c r="O162" s="125">
        <f>Valores!$C$16</f>
        <v>23436.25</v>
      </c>
      <c r="P162" s="125">
        <f>Valores!$D$5</f>
        <v>13864.36</v>
      </c>
      <c r="Q162" s="125">
        <f>Valores!$C$23</f>
        <v>11512.45</v>
      </c>
      <c r="R162" s="125">
        <f>IF($F$4="NO",Valores!$C$43,Valores!$C$43/2)</f>
        <v>9088.77</v>
      </c>
      <c r="S162" s="125">
        <f>Valores!$C$19</f>
        <v>12901.01</v>
      </c>
      <c r="T162" s="125">
        <f t="shared" si="25"/>
        <v>12901.01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Valores!$C$94</f>
        <v>6318.76</v>
      </c>
      <c r="AA162" s="125">
        <f>Valores!$C$25</f>
        <v>567.06</v>
      </c>
      <c r="AB162" s="214">
        <v>0</v>
      </c>
      <c r="AC162" s="125">
        <f t="shared" si="20"/>
        <v>0</v>
      </c>
      <c r="AD162" s="125">
        <f>Valores!$C$26</f>
        <v>567.06</v>
      </c>
      <c r="AE162" s="192">
        <v>94</v>
      </c>
      <c r="AF162" s="125">
        <f>ROUND(AE162*Valores!$C$2,2)</f>
        <v>2549.39</v>
      </c>
      <c r="AG162" s="125">
        <f>ROUND(IF($F$4="NO",Valores!$C$63,Valores!$C$63/2),2)</f>
        <v>6482.98</v>
      </c>
      <c r="AH162" s="125">
        <f t="shared" si="23"/>
        <v>123803.24999999999</v>
      </c>
      <c r="AI162" s="125">
        <f>Valores!$C$31</f>
        <v>0</v>
      </c>
      <c r="AJ162" s="125">
        <f>Valores!$C$87</f>
        <v>0</v>
      </c>
      <c r="AK162" s="125">
        <f>Valores!C$38*B162</f>
        <v>30000</v>
      </c>
      <c r="AL162" s="125">
        <f>IF($F$3="NO",0,Valores!$C$56)</f>
        <v>170.34</v>
      </c>
      <c r="AM162" s="125">
        <f t="shared" si="21"/>
        <v>30170.34</v>
      </c>
      <c r="AN162" s="125">
        <f>AH162*Valores!$C$71</f>
        <v>-13618.357499999998</v>
      </c>
      <c r="AO162" s="125">
        <f>AH162*-Valores!$C$72</f>
        <v>0</v>
      </c>
      <c r="AP162" s="125">
        <f>AH162*Valores!$C$73</f>
        <v>-5571.146249999999</v>
      </c>
      <c r="AQ162" s="125">
        <f>Valores!$C$100</f>
        <v>-280.91</v>
      </c>
      <c r="AR162" s="125">
        <f>IF($F$5=0,Valores!$C$101,(Valores!$C$101+$F$5*(Valores!$C$101)))</f>
        <v>-385</v>
      </c>
      <c r="AS162" s="125">
        <f t="shared" si="24"/>
        <v>134118.17625</v>
      </c>
      <c r="AT162" s="125">
        <f t="shared" si="18"/>
        <v>-13618.357499999998</v>
      </c>
      <c r="AU162" s="125">
        <f>AH162*Valores!$C$74</f>
        <v>-3342.6877499999996</v>
      </c>
      <c r="AV162" s="125">
        <f>AH162*Valores!$C$75</f>
        <v>-371.40975</v>
      </c>
      <c r="AW162" s="125">
        <f t="shared" si="22"/>
        <v>136641.135</v>
      </c>
      <c r="AX162" s="126"/>
      <c r="AY162" s="126">
        <v>27</v>
      </c>
      <c r="AZ162" s="123" t="s">
        <v>4</v>
      </c>
    </row>
    <row r="163" spans="1:52" s="110" customFormat="1" ht="11.25" customHeight="1">
      <c r="A163" s="123" t="s">
        <v>414</v>
      </c>
      <c r="B163" s="123">
        <v>1</v>
      </c>
      <c r="C163" s="126">
        <v>156</v>
      </c>
      <c r="D163" s="124" t="s">
        <v>415</v>
      </c>
      <c r="E163" s="192">
        <v>98</v>
      </c>
      <c r="F163" s="125">
        <f>ROUND(E163*Valores!$C$2,2)</f>
        <v>2657.88</v>
      </c>
      <c r="G163" s="192">
        <v>2686</v>
      </c>
      <c r="H163" s="125">
        <f>ROUND(G163*Valores!$C$2,2)</f>
        <v>72847.54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18282.77</v>
      </c>
      <c r="N163" s="125">
        <f t="shared" si="19"/>
        <v>0</v>
      </c>
      <c r="O163" s="125">
        <f>Valores!$C$8</f>
        <v>29851.25</v>
      </c>
      <c r="P163" s="125">
        <f>Valores!$D$5</f>
        <v>13864.36</v>
      </c>
      <c r="Q163" s="125">
        <f>Valores!$C$22</f>
        <v>12369.22</v>
      </c>
      <c r="R163" s="125">
        <f>IF($F$4="NO",Valores!$C$47,Valores!$C$47/2)</f>
        <v>14493.86</v>
      </c>
      <c r="S163" s="125">
        <f>Valores!$C$19</f>
        <v>12901.01</v>
      </c>
      <c r="T163" s="125">
        <f t="shared" si="25"/>
        <v>12901.01</v>
      </c>
      <c r="U163" s="125">
        <v>0</v>
      </c>
      <c r="V163" s="125">
        <v>0</v>
      </c>
      <c r="W163" s="192">
        <v>700</v>
      </c>
      <c r="X163" s="125">
        <f>ROUND(W163*Valores!$C$2,2)</f>
        <v>18984.84</v>
      </c>
      <c r="Y163" s="125">
        <f>ROUND(SUM(J163,H163,F163,R163)*Valores!$C$3,2)</f>
        <v>13499.89</v>
      </c>
      <c r="Z163" s="125">
        <f>Valores!$C$96</f>
        <v>12637.52</v>
      </c>
      <c r="AA163" s="125">
        <f>Valores!$C$25</f>
        <v>567.06</v>
      </c>
      <c r="AB163" s="214">
        <v>0</v>
      </c>
      <c r="AC163" s="125">
        <f t="shared" si="20"/>
        <v>0</v>
      </c>
      <c r="AD163" s="125">
        <f>Valores!$C$26</f>
        <v>567.06</v>
      </c>
      <c r="AE163" s="192">
        <v>94</v>
      </c>
      <c r="AF163" s="125">
        <f>ROUND(AE163*Valores!$C$2,2)</f>
        <v>2549.39</v>
      </c>
      <c r="AG163" s="125">
        <f>ROUND(IF($F$4="NO",Valores!$C$63,Valores!$C$63/2),2)</f>
        <v>6482.98</v>
      </c>
      <c r="AH163" s="125">
        <f t="shared" si="23"/>
        <v>232556.63</v>
      </c>
      <c r="AI163" s="125">
        <f>Valores!$C$31</f>
        <v>0</v>
      </c>
      <c r="AJ163" s="125">
        <f>Valores!$C$89</f>
        <v>0</v>
      </c>
      <c r="AK163" s="125">
        <f>Valores!C$38*B163</f>
        <v>30000</v>
      </c>
      <c r="AL163" s="125">
        <f>IF($F$3="NO",0,224.5)</f>
        <v>224.5</v>
      </c>
      <c r="AM163" s="125">
        <f t="shared" si="21"/>
        <v>30224.5</v>
      </c>
      <c r="AN163" s="125">
        <f>AH163*Valores!$C$71</f>
        <v>-25581.2293</v>
      </c>
      <c r="AO163" s="125">
        <f>AH163*-Valores!$C$72</f>
        <v>0</v>
      </c>
      <c r="AP163" s="125">
        <f>AH163*Valores!$C$73</f>
        <v>-10465.04835</v>
      </c>
      <c r="AQ163" s="125">
        <f>Valores!$C$100</f>
        <v>-280.91</v>
      </c>
      <c r="AR163" s="125">
        <f>IF($F$5=0,Valores!$C$101,(Valores!$C$101+$F$5*(Valores!$C$101)))</f>
        <v>-385</v>
      </c>
      <c r="AS163" s="125">
        <f t="shared" si="24"/>
        <v>226068.94235</v>
      </c>
      <c r="AT163" s="125">
        <f t="shared" si="18"/>
        <v>-25581.2293</v>
      </c>
      <c r="AU163" s="125">
        <f>AH163*Valores!$C$74</f>
        <v>-6279.02901</v>
      </c>
      <c r="AV163" s="125">
        <f>AH163*Valores!$C$75</f>
        <v>-697.66989</v>
      </c>
      <c r="AW163" s="125">
        <f t="shared" si="22"/>
        <v>230223.2018</v>
      </c>
      <c r="AX163" s="126"/>
      <c r="AY163" s="126">
        <v>45</v>
      </c>
      <c r="AZ163" s="123" t="s">
        <v>4</v>
      </c>
    </row>
    <row r="164" spans="1:52" s="110" customFormat="1" ht="11.25" customHeight="1">
      <c r="A164" s="123" t="s">
        <v>416</v>
      </c>
      <c r="B164" s="123">
        <v>1</v>
      </c>
      <c r="C164" s="126">
        <v>157</v>
      </c>
      <c r="D164" s="124" t="s">
        <v>417</v>
      </c>
      <c r="E164" s="192">
        <v>93</v>
      </c>
      <c r="F164" s="125">
        <f>ROUND(E164*Valores!$C$2,2)</f>
        <v>2522.27</v>
      </c>
      <c r="G164" s="192">
        <v>2547</v>
      </c>
      <c r="H164" s="125">
        <f>ROUND(G164*Valores!$C$2,2)</f>
        <v>69077.7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17696.95</v>
      </c>
      <c r="N164" s="125">
        <f t="shared" si="19"/>
        <v>0</v>
      </c>
      <c r="O164" s="125">
        <f>Valores!$C$16</f>
        <v>23436.25</v>
      </c>
      <c r="P164" s="125">
        <f>Valores!$D$5</f>
        <v>13864.36</v>
      </c>
      <c r="Q164" s="125">
        <f>Valores!$C$22</f>
        <v>12369.22</v>
      </c>
      <c r="R164" s="125">
        <f>IF($F$4="NO",Valores!$C$47,Valores!$C$47/2)</f>
        <v>14493.86</v>
      </c>
      <c r="S164" s="125">
        <f>Valores!$C$19</f>
        <v>12901.01</v>
      </c>
      <c r="T164" s="125">
        <f t="shared" si="25"/>
        <v>12901.01</v>
      </c>
      <c r="U164" s="125">
        <v>0</v>
      </c>
      <c r="V164" s="125">
        <v>0</v>
      </c>
      <c r="W164" s="192">
        <v>700</v>
      </c>
      <c r="X164" s="125">
        <f>ROUND(W164*Valores!$C$2,2)</f>
        <v>18984.84</v>
      </c>
      <c r="Y164" s="125">
        <f>ROUND(SUM(J164,H164,F164,R164)*Valores!$C$3,2)</f>
        <v>12914.07</v>
      </c>
      <c r="Z164" s="125">
        <f>Valores!$C$96</f>
        <v>12637.52</v>
      </c>
      <c r="AA164" s="125">
        <f>Valores!$C$25</f>
        <v>567.06</v>
      </c>
      <c r="AB164" s="214">
        <v>0</v>
      </c>
      <c r="AC164" s="125">
        <f t="shared" si="20"/>
        <v>0</v>
      </c>
      <c r="AD164" s="125">
        <f>Valores!$C$26</f>
        <v>567.06</v>
      </c>
      <c r="AE164" s="192">
        <v>94</v>
      </c>
      <c r="AF164" s="125">
        <f>ROUND(AE164*Valores!$C$2,2)</f>
        <v>2549.39</v>
      </c>
      <c r="AG164" s="125">
        <f>ROUND(IF($F$4="NO",Valores!$C$63,Valores!$C$63/2),2)</f>
        <v>6482.98</v>
      </c>
      <c r="AH164" s="125">
        <f t="shared" si="23"/>
        <v>221064.54</v>
      </c>
      <c r="AI164" s="125">
        <f>Valores!$C$31</f>
        <v>0</v>
      </c>
      <c r="AJ164" s="125">
        <f>Valores!$C$89</f>
        <v>0</v>
      </c>
      <c r="AK164" s="125">
        <f>Valores!C$38*B164</f>
        <v>30000</v>
      </c>
      <c r="AL164" s="125">
        <f>IF($F$3="NO",0,224.5)</f>
        <v>224.5</v>
      </c>
      <c r="AM164" s="125">
        <f t="shared" si="21"/>
        <v>30224.5</v>
      </c>
      <c r="AN164" s="125">
        <f>AH164*Valores!$C$71</f>
        <v>-24317.099400000003</v>
      </c>
      <c r="AO164" s="125">
        <f>AH164*-Valores!$C$72</f>
        <v>0</v>
      </c>
      <c r="AP164" s="125">
        <f>AH164*Valores!$C$73</f>
        <v>-9947.9043</v>
      </c>
      <c r="AQ164" s="125">
        <f>Valores!$C$100</f>
        <v>-280.91</v>
      </c>
      <c r="AR164" s="125">
        <f>IF($F$5=0,Valores!$C$101,(Valores!$C$101+$F$5*(Valores!$C$101)))</f>
        <v>-385</v>
      </c>
      <c r="AS164" s="125">
        <f t="shared" si="24"/>
        <v>216358.1263</v>
      </c>
      <c r="AT164" s="125">
        <f t="shared" si="18"/>
        <v>-24317.099400000003</v>
      </c>
      <c r="AU164" s="125">
        <f>AH164*Valores!$C$74</f>
        <v>-5968.74258</v>
      </c>
      <c r="AV164" s="125">
        <f>AH164*Valores!$C$75</f>
        <v>-663.19362</v>
      </c>
      <c r="AW164" s="125">
        <f t="shared" si="22"/>
        <v>220340.0044</v>
      </c>
      <c r="AX164" s="126"/>
      <c r="AY164" s="126">
        <v>45</v>
      </c>
      <c r="AZ164" s="123" t="s">
        <v>4</v>
      </c>
    </row>
    <row r="165" spans="1:52" s="110" customFormat="1" ht="11.25" customHeight="1">
      <c r="A165" s="123" t="s">
        <v>418</v>
      </c>
      <c r="B165" s="123">
        <v>1</v>
      </c>
      <c r="C165" s="126">
        <v>158</v>
      </c>
      <c r="D165" s="124" t="s">
        <v>419</v>
      </c>
      <c r="E165" s="192">
        <v>89</v>
      </c>
      <c r="F165" s="125">
        <f>ROUND(E165*Valores!$C$2,2)</f>
        <v>2413.79</v>
      </c>
      <c r="G165" s="192">
        <v>2251</v>
      </c>
      <c r="H165" s="125">
        <f>ROUND(G165*Valores!$C$2,2)</f>
        <v>61049.82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16476.5</v>
      </c>
      <c r="N165" s="125">
        <f t="shared" si="19"/>
        <v>0</v>
      </c>
      <c r="O165" s="125">
        <f>Valores!$C$16</f>
        <v>23436.25</v>
      </c>
      <c r="P165" s="125">
        <f>Valores!$D$5</f>
        <v>13864.36</v>
      </c>
      <c r="Q165" s="125">
        <f>Valores!$C$22</f>
        <v>12369.22</v>
      </c>
      <c r="R165" s="125">
        <f>IF($F$4="NO",Valores!$C$47,Valores!$C$47/2)</f>
        <v>14493.86</v>
      </c>
      <c r="S165" s="125">
        <f>Valores!$C$19</f>
        <v>12901.01</v>
      </c>
      <c r="T165" s="125">
        <f t="shared" si="25"/>
        <v>12901.01</v>
      </c>
      <c r="U165" s="125">
        <v>0</v>
      </c>
      <c r="V165" s="125">
        <v>0</v>
      </c>
      <c r="W165" s="192">
        <v>700</v>
      </c>
      <c r="X165" s="125">
        <f>ROUND(W165*Valores!$C$2,2)</f>
        <v>18984.84</v>
      </c>
      <c r="Y165" s="125">
        <f>ROUND(SUM(J165,H165,F165,R165)*Valores!$C$3,2)</f>
        <v>11693.62</v>
      </c>
      <c r="Z165" s="125">
        <f>Valores!$C$96</f>
        <v>12637.52</v>
      </c>
      <c r="AA165" s="125">
        <f>Valores!$C$25</f>
        <v>567.06</v>
      </c>
      <c r="AB165" s="214">
        <v>0</v>
      </c>
      <c r="AC165" s="125">
        <f t="shared" si="20"/>
        <v>0</v>
      </c>
      <c r="AD165" s="125">
        <f>Valores!$C$26</f>
        <v>567.06</v>
      </c>
      <c r="AE165" s="192">
        <v>94</v>
      </c>
      <c r="AF165" s="125">
        <f>ROUND(AE165*Valores!$C$2,2)</f>
        <v>2549.39</v>
      </c>
      <c r="AG165" s="125">
        <f>ROUND(IF($F$4="NO",Valores!$C$63,Valores!$C$63/2),2)</f>
        <v>6482.98</v>
      </c>
      <c r="AH165" s="125">
        <f t="shared" si="23"/>
        <v>210487.28</v>
      </c>
      <c r="AI165" s="125">
        <f>Valores!$C$31</f>
        <v>0</v>
      </c>
      <c r="AJ165" s="125">
        <f>Valores!$C$89</f>
        <v>0</v>
      </c>
      <c r="AK165" s="125">
        <f>Valores!C$38*B165</f>
        <v>30000</v>
      </c>
      <c r="AL165" s="125">
        <f>IF($F$3="NO",0,224.5)</f>
        <v>224.5</v>
      </c>
      <c r="AM165" s="125">
        <f t="shared" si="21"/>
        <v>30224.5</v>
      </c>
      <c r="AN165" s="125">
        <f>AH165*Valores!$C$71</f>
        <v>-23153.6008</v>
      </c>
      <c r="AO165" s="125">
        <f>AH165*-Valores!$C$72</f>
        <v>0</v>
      </c>
      <c r="AP165" s="125">
        <f>AH165*Valores!$C$73</f>
        <v>-9471.927599999999</v>
      </c>
      <c r="AQ165" s="125">
        <f>Valores!$C$100</f>
        <v>-280.91</v>
      </c>
      <c r="AR165" s="125">
        <f>IF($F$5=0,Valores!$C$101,(Valores!$C$101+$F$5*(Valores!$C$101)))</f>
        <v>-385</v>
      </c>
      <c r="AS165" s="125">
        <f t="shared" si="24"/>
        <v>207420.34159999999</v>
      </c>
      <c r="AT165" s="125">
        <f t="shared" si="18"/>
        <v>-23153.6008</v>
      </c>
      <c r="AU165" s="125">
        <f>AH165*Valores!$C$74</f>
        <v>-5683.15656</v>
      </c>
      <c r="AV165" s="125">
        <f>AH165*Valores!$C$75</f>
        <v>-631.46184</v>
      </c>
      <c r="AW165" s="125">
        <f t="shared" si="22"/>
        <v>211243.5608</v>
      </c>
      <c r="AX165" s="126"/>
      <c r="AY165" s="126">
        <v>45</v>
      </c>
      <c r="AZ165" s="123" t="s">
        <v>4</v>
      </c>
    </row>
    <row r="166" spans="1:52" s="110" customFormat="1" ht="11.25" customHeight="1">
      <c r="A166" s="123" t="s">
        <v>420</v>
      </c>
      <c r="B166" s="123">
        <v>1</v>
      </c>
      <c r="C166" s="126">
        <v>159</v>
      </c>
      <c r="D166" s="124" t="s">
        <v>421</v>
      </c>
      <c r="E166" s="192">
        <v>83</v>
      </c>
      <c r="F166" s="125">
        <f>ROUND(E166*Valores!$C$2,2)</f>
        <v>2251.06</v>
      </c>
      <c r="G166" s="192">
        <v>2352</v>
      </c>
      <c r="H166" s="125">
        <f>ROUND(G166*Valores!$C$2,2)</f>
        <v>63789.06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16862.97</v>
      </c>
      <c r="N166" s="125">
        <f t="shared" si="19"/>
        <v>0</v>
      </c>
      <c r="O166" s="125">
        <f>Valores!$C$16</f>
        <v>23436.25</v>
      </c>
      <c r="P166" s="125">
        <f>Valores!$D$5</f>
        <v>13864.36</v>
      </c>
      <c r="Q166" s="125">
        <v>0</v>
      </c>
      <c r="R166" s="125">
        <f>IF($F$4="NO",Valores!$C$47,Valores!$C$47/2)</f>
        <v>14493.86</v>
      </c>
      <c r="S166" s="125">
        <f>Valores!$C$19</f>
        <v>12901.01</v>
      </c>
      <c r="T166" s="125">
        <f t="shared" si="25"/>
        <v>12901.01</v>
      </c>
      <c r="U166" s="125">
        <v>0</v>
      </c>
      <c r="V166" s="125">
        <v>0</v>
      </c>
      <c r="W166" s="192">
        <v>700</v>
      </c>
      <c r="X166" s="125">
        <f>ROUND(W166*Valores!$C$2,2)</f>
        <v>18984.84</v>
      </c>
      <c r="Y166" s="125">
        <f>ROUND(SUM(J166,H166,F166,R166)*Valores!$C$3,2)</f>
        <v>12080.1</v>
      </c>
      <c r="Z166" s="125">
        <f>Valores!$C$96</f>
        <v>12637.52</v>
      </c>
      <c r="AA166" s="125">
        <f>Valores!$C$25</f>
        <v>567.06</v>
      </c>
      <c r="AB166" s="214">
        <v>0</v>
      </c>
      <c r="AC166" s="125">
        <f t="shared" si="20"/>
        <v>0</v>
      </c>
      <c r="AD166" s="125">
        <f>Valores!$C$26</f>
        <v>567.06</v>
      </c>
      <c r="AE166" s="192">
        <v>94</v>
      </c>
      <c r="AF166" s="125">
        <f>ROUND(AE166*Valores!$C$2,2)</f>
        <v>2549.39</v>
      </c>
      <c r="AG166" s="125">
        <f>ROUND(IF($F$4="NO",Valores!$C$63,Valores!$C$63/2),2)</f>
        <v>6482.98</v>
      </c>
      <c r="AH166" s="125">
        <f t="shared" si="23"/>
        <v>201467.52000000002</v>
      </c>
      <c r="AI166" s="125">
        <f>Valores!$C$31</f>
        <v>0</v>
      </c>
      <c r="AJ166" s="125">
        <f>Valores!$C$89</f>
        <v>0</v>
      </c>
      <c r="AK166" s="125">
        <f>Valores!C$38*B166</f>
        <v>30000</v>
      </c>
      <c r="AL166" s="125">
        <v>0</v>
      </c>
      <c r="AM166" s="125">
        <f t="shared" si="21"/>
        <v>30000</v>
      </c>
      <c r="AN166" s="125">
        <f>AH166*Valores!$C$71</f>
        <v>-22161.427200000002</v>
      </c>
      <c r="AO166" s="125">
        <f>AH166*-Valores!$C$72</f>
        <v>0</v>
      </c>
      <c r="AP166" s="125">
        <f>AH166*Valores!$C$73</f>
        <v>-9066.038400000001</v>
      </c>
      <c r="AQ166" s="125">
        <f>Valores!$C$100</f>
        <v>-280.91</v>
      </c>
      <c r="AR166" s="125">
        <f>IF($F$5=0,Valores!$C$101,(Valores!$C$101+$F$5*(Valores!$C$101)))</f>
        <v>-385</v>
      </c>
      <c r="AS166" s="125">
        <f t="shared" si="24"/>
        <v>199574.14440000002</v>
      </c>
      <c r="AT166" s="125">
        <f t="shared" si="18"/>
        <v>-22161.427200000002</v>
      </c>
      <c r="AU166" s="125">
        <f>AH166*Valores!$C$74</f>
        <v>-5439.62304</v>
      </c>
      <c r="AV166" s="125">
        <f>AH166*Valores!$C$75</f>
        <v>-604.4025600000001</v>
      </c>
      <c r="AW166" s="125">
        <f t="shared" si="22"/>
        <v>203262.06720000002</v>
      </c>
      <c r="AX166" s="126"/>
      <c r="AY166" s="126">
        <v>45</v>
      </c>
      <c r="AZ166" s="123" t="s">
        <v>8</v>
      </c>
    </row>
    <row r="167" spans="1:52" s="110" customFormat="1" ht="11.25" customHeight="1">
      <c r="A167" s="123" t="s">
        <v>422</v>
      </c>
      <c r="B167" s="123">
        <v>1</v>
      </c>
      <c r="C167" s="126">
        <v>160</v>
      </c>
      <c r="D167" s="124" t="s">
        <v>423</v>
      </c>
      <c r="E167" s="192">
        <v>83</v>
      </c>
      <c r="F167" s="125">
        <f>ROUND(E167*Valores!$C$2,2)</f>
        <v>2251.06</v>
      </c>
      <c r="G167" s="192">
        <v>2092</v>
      </c>
      <c r="H167" s="125">
        <f>ROUND(G167*Valores!$C$2,2)</f>
        <v>56737.55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15805.25</v>
      </c>
      <c r="N167" s="125">
        <f t="shared" si="19"/>
        <v>0</v>
      </c>
      <c r="O167" s="125">
        <f>Valores!$C$16</f>
        <v>23436.25</v>
      </c>
      <c r="P167" s="125">
        <f>Valores!$D$5</f>
        <v>13864.36</v>
      </c>
      <c r="Q167" s="125">
        <v>0</v>
      </c>
      <c r="R167" s="125">
        <f>IF($F$4="NO",Valores!$C$47,Valores!$C$47/2)</f>
        <v>14493.86</v>
      </c>
      <c r="S167" s="125">
        <f>Valores!$C$19</f>
        <v>12901.01</v>
      </c>
      <c r="T167" s="125">
        <f t="shared" si="25"/>
        <v>12901.01</v>
      </c>
      <c r="U167" s="125">
        <v>0</v>
      </c>
      <c r="V167" s="125">
        <v>0</v>
      </c>
      <c r="W167" s="192">
        <v>700</v>
      </c>
      <c r="X167" s="125">
        <f>ROUND(W167*Valores!$C$2,2)</f>
        <v>18984.84</v>
      </c>
      <c r="Y167" s="125">
        <f>ROUND(SUM(J167,H167,F167,R167)*Valores!$C$3,2)</f>
        <v>11022.37</v>
      </c>
      <c r="Z167" s="125">
        <f>Valores!$C$96</f>
        <v>12637.52</v>
      </c>
      <c r="AA167" s="125">
        <f>Valores!$C$25</f>
        <v>567.06</v>
      </c>
      <c r="AB167" s="214">
        <v>0</v>
      </c>
      <c r="AC167" s="125">
        <f t="shared" si="20"/>
        <v>0</v>
      </c>
      <c r="AD167" s="125">
        <f>Valores!$C$26</f>
        <v>567.06</v>
      </c>
      <c r="AE167" s="192">
        <v>94</v>
      </c>
      <c r="AF167" s="125">
        <f>ROUND(AE167*Valores!$C$2,2)</f>
        <v>2549.39</v>
      </c>
      <c r="AG167" s="125">
        <f>ROUND(IF($F$4="NO",Valores!$C$63,Valores!$C$63/2),2)</f>
        <v>6482.98</v>
      </c>
      <c r="AH167" s="125">
        <f t="shared" si="23"/>
        <v>192300.56</v>
      </c>
      <c r="AI167" s="125">
        <f>Valores!$C$31</f>
        <v>0</v>
      </c>
      <c r="AJ167" s="125">
        <f>Valores!$C$89</f>
        <v>0</v>
      </c>
      <c r="AK167" s="125">
        <f>Valores!C$38*B167</f>
        <v>30000</v>
      </c>
      <c r="AL167" s="125">
        <v>0</v>
      </c>
      <c r="AM167" s="125">
        <f t="shared" si="21"/>
        <v>30000</v>
      </c>
      <c r="AN167" s="125">
        <f>AH167*Valores!$C$71</f>
        <v>-21153.0616</v>
      </c>
      <c r="AO167" s="125">
        <f>AH167*-Valores!$C$72</f>
        <v>0</v>
      </c>
      <c r="AP167" s="125">
        <f>AH167*Valores!$C$73</f>
        <v>-8653.5252</v>
      </c>
      <c r="AQ167" s="125">
        <f>Valores!$C$100</f>
        <v>-280.91</v>
      </c>
      <c r="AR167" s="125">
        <f>IF($F$5=0,Valores!$C$101,(Valores!$C$101+$F$5*(Valores!$C$101)))</f>
        <v>-385</v>
      </c>
      <c r="AS167" s="125">
        <f t="shared" si="24"/>
        <v>191828.0632</v>
      </c>
      <c r="AT167" s="125">
        <f t="shared" si="18"/>
        <v>-21153.0616</v>
      </c>
      <c r="AU167" s="125">
        <f>AH167*Valores!$C$74</f>
        <v>-5192.1151199999995</v>
      </c>
      <c r="AV167" s="125">
        <f>AH167*Valores!$C$75</f>
        <v>-576.90168</v>
      </c>
      <c r="AW167" s="125">
        <f t="shared" si="22"/>
        <v>195378.4816</v>
      </c>
      <c r="AX167" s="126"/>
      <c r="AY167" s="126">
        <v>45</v>
      </c>
      <c r="AZ167" s="123" t="s">
        <v>8</v>
      </c>
    </row>
    <row r="168" spans="1:52" s="110" customFormat="1" ht="11.25" customHeight="1">
      <c r="A168" s="123" t="s">
        <v>424</v>
      </c>
      <c r="B168" s="123">
        <v>1</v>
      </c>
      <c r="C168" s="126">
        <v>161</v>
      </c>
      <c r="D168" s="124" t="s">
        <v>425</v>
      </c>
      <c r="E168" s="192">
        <v>82</v>
      </c>
      <c r="F168" s="125">
        <f>ROUND(E168*Valores!$C$2,2)</f>
        <v>2223.94</v>
      </c>
      <c r="G168" s="192">
        <v>1941</v>
      </c>
      <c r="H168" s="125">
        <f>ROUND(G168*Valores!$C$2,2)</f>
        <v>52642.25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15186.89</v>
      </c>
      <c r="N168" s="125">
        <f t="shared" si="19"/>
        <v>0</v>
      </c>
      <c r="O168" s="125">
        <f>Valores!$C$16</f>
        <v>23436.25</v>
      </c>
      <c r="P168" s="125">
        <f>Valores!$D$5</f>
        <v>13864.36</v>
      </c>
      <c r="Q168" s="125">
        <v>0</v>
      </c>
      <c r="R168" s="125">
        <f>IF($F$4="NO",Valores!$C$47,Valores!$C$47/2)</f>
        <v>14493.86</v>
      </c>
      <c r="S168" s="125">
        <f>Valores!$C$19</f>
        <v>12901.01</v>
      </c>
      <c r="T168" s="125">
        <f t="shared" si="25"/>
        <v>12901.01</v>
      </c>
      <c r="U168" s="125">
        <v>0</v>
      </c>
      <c r="V168" s="125">
        <v>0</v>
      </c>
      <c r="W168" s="192">
        <v>700</v>
      </c>
      <c r="X168" s="125">
        <f>ROUND(W168*Valores!$C$2,2)</f>
        <v>18984.84</v>
      </c>
      <c r="Y168" s="125">
        <f>ROUND(SUM(J168,H168,F168,R168)*Valores!$C$3,2)</f>
        <v>10404.01</v>
      </c>
      <c r="Z168" s="125">
        <f>Valores!$C$96</f>
        <v>12637.52</v>
      </c>
      <c r="AA168" s="125">
        <f>Valores!$C$25</f>
        <v>567.06</v>
      </c>
      <c r="AB168" s="214">
        <v>0</v>
      </c>
      <c r="AC168" s="125">
        <f t="shared" si="20"/>
        <v>0</v>
      </c>
      <c r="AD168" s="125">
        <f>Valores!$C$26</f>
        <v>567.06</v>
      </c>
      <c r="AE168" s="192">
        <v>94</v>
      </c>
      <c r="AF168" s="125">
        <f>ROUND(AE168*Valores!$C$2,2)</f>
        <v>2549.39</v>
      </c>
      <c r="AG168" s="125">
        <f>ROUND(IF($F$4="NO",Valores!$C$63,Valores!$C$63/2),2)</f>
        <v>6482.98</v>
      </c>
      <c r="AH168" s="125">
        <f t="shared" si="23"/>
        <v>186941.42</v>
      </c>
      <c r="AI168" s="125">
        <f>Valores!$C$31</f>
        <v>0</v>
      </c>
      <c r="AJ168" s="125">
        <f>Valores!$C$89</f>
        <v>0</v>
      </c>
      <c r="AK168" s="125">
        <f>Valores!C$38*B168</f>
        <v>30000</v>
      </c>
      <c r="AL168" s="125">
        <v>0</v>
      </c>
      <c r="AM168" s="125">
        <f t="shared" si="21"/>
        <v>30000</v>
      </c>
      <c r="AN168" s="125">
        <f>AH168*Valores!$C$71</f>
        <v>-20563.556200000003</v>
      </c>
      <c r="AO168" s="125">
        <f>AH168*-Valores!$C$72</f>
        <v>0</v>
      </c>
      <c r="AP168" s="125">
        <f>AH168*Valores!$C$73</f>
        <v>-8412.3639</v>
      </c>
      <c r="AQ168" s="125">
        <f>Valores!$C$100</f>
        <v>-280.91</v>
      </c>
      <c r="AR168" s="125">
        <f>IF($F$5=0,Valores!$C$101,(Valores!$C$101+$F$5*(Valores!$C$101)))</f>
        <v>-385</v>
      </c>
      <c r="AS168" s="125">
        <f t="shared" si="24"/>
        <v>187299.58990000002</v>
      </c>
      <c r="AT168" s="125">
        <f t="shared" si="18"/>
        <v>-20563.556200000003</v>
      </c>
      <c r="AU168" s="125">
        <f>AH168*Valores!$C$74</f>
        <v>-5047.41834</v>
      </c>
      <c r="AV168" s="125">
        <f>AH168*Valores!$C$75</f>
        <v>-560.8242600000001</v>
      </c>
      <c r="AW168" s="125">
        <f t="shared" si="22"/>
        <v>190769.6212</v>
      </c>
      <c r="AX168" s="126"/>
      <c r="AY168" s="126">
        <v>45</v>
      </c>
      <c r="AZ168" s="123" t="s">
        <v>8</v>
      </c>
    </row>
    <row r="169" spans="1:52" s="110" customFormat="1" ht="11.25" customHeight="1">
      <c r="A169" s="123" t="s">
        <v>426</v>
      </c>
      <c r="B169" s="123">
        <v>1</v>
      </c>
      <c r="C169" s="126">
        <v>162</v>
      </c>
      <c r="D169" s="124" t="s">
        <v>427</v>
      </c>
      <c r="E169" s="192">
        <v>79</v>
      </c>
      <c r="F169" s="125">
        <f>ROUND(E169*Valores!$C$2,2)</f>
        <v>2142.57</v>
      </c>
      <c r="G169" s="192">
        <v>2161</v>
      </c>
      <c r="H169" s="125">
        <f>ROUND(G169*Valores!$C$2,2)</f>
        <v>58608.91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16069.68</v>
      </c>
      <c r="N169" s="125">
        <f t="shared" si="19"/>
        <v>0</v>
      </c>
      <c r="O169" s="125">
        <f>Valores!$C$16</f>
        <v>23436.25</v>
      </c>
      <c r="P169" s="125">
        <f>Valores!$D$5</f>
        <v>13864.36</v>
      </c>
      <c r="Q169" s="125">
        <v>0</v>
      </c>
      <c r="R169" s="125">
        <f>IF($F$4="NO",Valores!$C$47,Valores!$C$47/2)</f>
        <v>14493.86</v>
      </c>
      <c r="S169" s="125">
        <f>Valores!$C$19</f>
        <v>12901.01</v>
      </c>
      <c r="T169" s="125">
        <f t="shared" si="25"/>
        <v>12901.01</v>
      </c>
      <c r="U169" s="125">
        <v>0</v>
      </c>
      <c r="V169" s="125">
        <v>0</v>
      </c>
      <c r="W169" s="192">
        <v>700</v>
      </c>
      <c r="X169" s="125">
        <f>ROUND(W169*Valores!$C$2,2)</f>
        <v>18984.84</v>
      </c>
      <c r="Y169" s="125">
        <f>ROUND(SUM(J169,H169,F169,R169)*Valores!$C$3,2)</f>
        <v>11286.8</v>
      </c>
      <c r="Z169" s="125">
        <f>Valores!$C$96</f>
        <v>12637.52</v>
      </c>
      <c r="AA169" s="125">
        <f>Valores!$C$25</f>
        <v>567.06</v>
      </c>
      <c r="AB169" s="214">
        <v>0</v>
      </c>
      <c r="AC169" s="125">
        <f t="shared" si="20"/>
        <v>0</v>
      </c>
      <c r="AD169" s="125">
        <f>Valores!$C$26</f>
        <v>567.06</v>
      </c>
      <c r="AE169" s="192">
        <v>94</v>
      </c>
      <c r="AF169" s="125">
        <f>ROUND(AE169*Valores!$C$2,2)</f>
        <v>2549.39</v>
      </c>
      <c r="AG169" s="125">
        <f>ROUND(IF($F$4="NO",Valores!$C$63,Valores!$C$63/2),2)</f>
        <v>6482.98</v>
      </c>
      <c r="AH169" s="125">
        <f t="shared" si="23"/>
        <v>194592.29</v>
      </c>
      <c r="AI169" s="125">
        <f>Valores!$C$31</f>
        <v>0</v>
      </c>
      <c r="AJ169" s="125">
        <f>Valores!$C$89</f>
        <v>0</v>
      </c>
      <c r="AK169" s="125">
        <f>Valores!C$38*B169</f>
        <v>30000</v>
      </c>
      <c r="AL169" s="125">
        <v>0</v>
      </c>
      <c r="AM169" s="125">
        <f t="shared" si="21"/>
        <v>30000</v>
      </c>
      <c r="AN169" s="125">
        <f>AH169*Valores!$C$71</f>
        <v>-21405.1519</v>
      </c>
      <c r="AO169" s="125">
        <f>AH169*-Valores!$C$72</f>
        <v>0</v>
      </c>
      <c r="AP169" s="125">
        <f>AH169*Valores!$C$73</f>
        <v>-8756.65305</v>
      </c>
      <c r="AQ169" s="125">
        <f>Valores!$C$100</f>
        <v>-280.91</v>
      </c>
      <c r="AR169" s="125">
        <f>IF($F$5=0,Valores!$C$101,(Valores!$C$101+$F$5*(Valores!$C$101)))</f>
        <v>-385</v>
      </c>
      <c r="AS169" s="125">
        <f t="shared" si="24"/>
        <v>193764.57505</v>
      </c>
      <c r="AT169" s="125">
        <f t="shared" si="18"/>
        <v>-21405.1519</v>
      </c>
      <c r="AU169" s="125">
        <f>AH169*Valores!$C$74</f>
        <v>-5253.99183</v>
      </c>
      <c r="AV169" s="125">
        <f>AH169*Valores!$C$75</f>
        <v>-583.77687</v>
      </c>
      <c r="AW169" s="125">
        <f t="shared" si="22"/>
        <v>197349.3694</v>
      </c>
      <c r="AX169" s="126"/>
      <c r="AY169" s="126">
        <v>45</v>
      </c>
      <c r="AZ169" s="123" t="s">
        <v>8</v>
      </c>
    </row>
    <row r="170" spans="1:52" s="110" customFormat="1" ht="11.25" customHeight="1">
      <c r="A170" s="123" t="s">
        <v>428</v>
      </c>
      <c r="B170" s="123">
        <v>1</v>
      </c>
      <c r="C170" s="126">
        <v>163</v>
      </c>
      <c r="D170" s="124" t="s">
        <v>429</v>
      </c>
      <c r="E170" s="192">
        <v>98</v>
      </c>
      <c r="F170" s="125">
        <f>ROUND(E170*Valores!$C$2,2)</f>
        <v>2657.88</v>
      </c>
      <c r="G170" s="192">
        <v>2686</v>
      </c>
      <c r="H170" s="125">
        <f>ROUND(G170*Valores!$C$2,2)</f>
        <v>72847.54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18282.77</v>
      </c>
      <c r="N170" s="125">
        <f t="shared" si="19"/>
        <v>0</v>
      </c>
      <c r="O170" s="125">
        <f>Valores!$C$16</f>
        <v>23436.25</v>
      </c>
      <c r="P170" s="125">
        <f>Valores!$D$5</f>
        <v>13864.36</v>
      </c>
      <c r="Q170" s="125">
        <v>0</v>
      </c>
      <c r="R170" s="125">
        <f>IF($F$4="NO",Valores!$C$47,Valores!$C$47/2)</f>
        <v>14493.86</v>
      </c>
      <c r="S170" s="125">
        <f>Valores!$C$19</f>
        <v>12901.01</v>
      </c>
      <c r="T170" s="125">
        <f t="shared" si="25"/>
        <v>12901.01</v>
      </c>
      <c r="U170" s="125">
        <v>0</v>
      </c>
      <c r="V170" s="125">
        <v>0</v>
      </c>
      <c r="W170" s="192">
        <v>700</v>
      </c>
      <c r="X170" s="125">
        <f>ROUND(W170*Valores!$C$2,2)</f>
        <v>18984.84</v>
      </c>
      <c r="Y170" s="125">
        <f>ROUND(SUM(J170,H170,F170,R170)*Valores!$C$3,2)</f>
        <v>13499.89</v>
      </c>
      <c r="Z170" s="125">
        <f>Valores!$C$96</f>
        <v>12637.52</v>
      </c>
      <c r="AA170" s="125">
        <f>Valores!$C$25</f>
        <v>567.06</v>
      </c>
      <c r="AB170" s="214">
        <v>0</v>
      </c>
      <c r="AC170" s="125">
        <f t="shared" si="20"/>
        <v>0</v>
      </c>
      <c r="AD170" s="125">
        <f>Valores!$C$26</f>
        <v>567.06</v>
      </c>
      <c r="AE170" s="192">
        <v>0</v>
      </c>
      <c r="AF170" s="125">
        <f>ROUND(AE170*Valores!$C$2,2)</f>
        <v>0</v>
      </c>
      <c r="AG170" s="125">
        <f>ROUND(IF($F$4="NO",Valores!$C$63,Valores!$C$63/2),2)</f>
        <v>6482.98</v>
      </c>
      <c r="AH170" s="125">
        <f t="shared" si="23"/>
        <v>211223.01999999996</v>
      </c>
      <c r="AI170" s="125">
        <f>Valores!$C$31</f>
        <v>0</v>
      </c>
      <c r="AJ170" s="125">
        <f>Valores!$C$89</f>
        <v>0</v>
      </c>
      <c r="AK170" s="125">
        <f>Valores!C$38*B170</f>
        <v>30000</v>
      </c>
      <c r="AL170" s="125">
        <v>0</v>
      </c>
      <c r="AM170" s="125">
        <f t="shared" si="21"/>
        <v>30000</v>
      </c>
      <c r="AN170" s="125">
        <f>AH170*Valores!$C$71</f>
        <v>-23234.532199999994</v>
      </c>
      <c r="AO170" s="125">
        <f>AH170*-Valores!$C$72</f>
        <v>0</v>
      </c>
      <c r="AP170" s="125">
        <f>AH170*Valores!$C$73</f>
        <v>-9505.035899999997</v>
      </c>
      <c r="AQ170" s="125">
        <f>Valores!$C$100</f>
        <v>-280.91</v>
      </c>
      <c r="AR170" s="125">
        <f>IF($F$5=0,Valores!$C$101,(Valores!$C$101+$F$5*(Valores!$C$101)))</f>
        <v>-385</v>
      </c>
      <c r="AS170" s="125">
        <f t="shared" si="24"/>
        <v>207817.54189999998</v>
      </c>
      <c r="AT170" s="125">
        <f t="shared" si="18"/>
        <v>-23234.532199999994</v>
      </c>
      <c r="AU170" s="125">
        <f>AH170*Valores!$C$74</f>
        <v>-5703.021539999999</v>
      </c>
      <c r="AV170" s="125">
        <f>AH170*Valores!$C$75</f>
        <v>-633.66906</v>
      </c>
      <c r="AW170" s="125">
        <f t="shared" si="22"/>
        <v>211651.79719999997</v>
      </c>
      <c r="AX170" s="126"/>
      <c r="AY170" s="126"/>
      <c r="AZ170" s="123" t="s">
        <v>8</v>
      </c>
    </row>
    <row r="171" spans="1:52" s="110" customFormat="1" ht="11.25" customHeight="1">
      <c r="A171" s="123" t="s">
        <v>430</v>
      </c>
      <c r="B171" s="123">
        <v>1</v>
      </c>
      <c r="C171" s="126">
        <v>164</v>
      </c>
      <c r="D171" s="124" t="s">
        <v>431</v>
      </c>
      <c r="E171" s="192">
        <v>93</v>
      </c>
      <c r="F171" s="125">
        <f>ROUND(E171*Valores!$C$2,2)</f>
        <v>2522.27</v>
      </c>
      <c r="G171" s="192">
        <v>2547</v>
      </c>
      <c r="H171" s="125">
        <f>ROUND(G171*Valores!$C$2,2)</f>
        <v>69077.7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17696.95</v>
      </c>
      <c r="N171" s="125">
        <f t="shared" si="19"/>
        <v>0</v>
      </c>
      <c r="O171" s="125">
        <f>Valores!$C$16</f>
        <v>23436.25</v>
      </c>
      <c r="P171" s="125">
        <f>Valores!$D$5</f>
        <v>13864.36</v>
      </c>
      <c r="Q171" s="125">
        <v>0</v>
      </c>
      <c r="R171" s="125">
        <f>IF($F$4="NO",Valores!$C$47,Valores!$C$47/2)</f>
        <v>14493.86</v>
      </c>
      <c r="S171" s="125">
        <f>Valores!$C$19</f>
        <v>12901.01</v>
      </c>
      <c r="T171" s="125">
        <f t="shared" si="25"/>
        <v>12901.01</v>
      </c>
      <c r="U171" s="125">
        <v>0</v>
      </c>
      <c r="V171" s="125">
        <v>0</v>
      </c>
      <c r="W171" s="192">
        <v>700</v>
      </c>
      <c r="X171" s="125">
        <f>ROUND(W171*Valores!$C$2,2)</f>
        <v>18984.84</v>
      </c>
      <c r="Y171" s="125">
        <f>ROUND(SUM(J171,H171,F171,R171)*Valores!$C$3,2)</f>
        <v>12914.07</v>
      </c>
      <c r="Z171" s="125">
        <f>Valores!$C$96</f>
        <v>12637.52</v>
      </c>
      <c r="AA171" s="125">
        <f>Valores!$C$25</f>
        <v>567.06</v>
      </c>
      <c r="AB171" s="214">
        <v>0</v>
      </c>
      <c r="AC171" s="125">
        <f t="shared" si="20"/>
        <v>0</v>
      </c>
      <c r="AD171" s="125">
        <f>Valores!$C$26</f>
        <v>567.06</v>
      </c>
      <c r="AE171" s="192">
        <v>0</v>
      </c>
      <c r="AF171" s="125">
        <f>ROUND(AE171*Valores!$C$2,2)</f>
        <v>0</v>
      </c>
      <c r="AG171" s="125">
        <f>ROUND(IF($F$4="NO",Valores!$C$63,Valores!$C$63/2),2)</f>
        <v>6482.98</v>
      </c>
      <c r="AH171" s="125">
        <f t="shared" si="23"/>
        <v>206145.93000000002</v>
      </c>
      <c r="AI171" s="125">
        <f>Valores!$C$31</f>
        <v>0</v>
      </c>
      <c r="AJ171" s="125">
        <f>Valores!$C$89</f>
        <v>0</v>
      </c>
      <c r="AK171" s="125">
        <f>Valores!C$38*B171</f>
        <v>30000</v>
      </c>
      <c r="AL171" s="125">
        <v>0</v>
      </c>
      <c r="AM171" s="125">
        <f t="shared" si="21"/>
        <v>30000</v>
      </c>
      <c r="AN171" s="125">
        <f>AH171*Valores!$C$71</f>
        <v>-22676.052300000003</v>
      </c>
      <c r="AO171" s="125">
        <f>AH171*-Valores!$C$72</f>
        <v>0</v>
      </c>
      <c r="AP171" s="125">
        <f>AH171*Valores!$C$73</f>
        <v>-9276.566850000001</v>
      </c>
      <c r="AQ171" s="125">
        <f>Valores!$C$100</f>
        <v>-280.91</v>
      </c>
      <c r="AR171" s="125">
        <f>IF($F$5=0,Valores!$C$101,(Valores!$C$101+$F$5*(Valores!$C$101)))</f>
        <v>-385</v>
      </c>
      <c r="AS171" s="125">
        <f t="shared" si="24"/>
        <v>203527.40085</v>
      </c>
      <c r="AT171" s="125">
        <f t="shared" si="18"/>
        <v>-22676.052300000003</v>
      </c>
      <c r="AU171" s="125">
        <f>AH171*Valores!$C$74</f>
        <v>-5565.9401100000005</v>
      </c>
      <c r="AV171" s="125">
        <f>AH171*Valores!$C$75</f>
        <v>-618.4377900000001</v>
      </c>
      <c r="AW171" s="125">
        <f t="shared" si="22"/>
        <v>207285.49980000002</v>
      </c>
      <c r="AX171" s="126"/>
      <c r="AY171" s="126"/>
      <c r="AZ171" s="123" t="s">
        <v>4</v>
      </c>
    </row>
    <row r="172" spans="1:52" s="110" customFormat="1" ht="11.25" customHeight="1">
      <c r="A172" s="123" t="s">
        <v>432</v>
      </c>
      <c r="B172" s="123">
        <v>1</v>
      </c>
      <c r="C172" s="126">
        <v>165</v>
      </c>
      <c r="D172" s="124" t="s">
        <v>433</v>
      </c>
      <c r="E172" s="192">
        <v>1278</v>
      </c>
      <c r="F172" s="125">
        <f>ROUND(E172*Valores!$C$2,2)</f>
        <v>34660.89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12969.73</v>
      </c>
      <c r="N172" s="125">
        <f t="shared" si="19"/>
        <v>0</v>
      </c>
      <c r="O172" s="125">
        <f>Valores!$C$16</f>
        <v>23436.25</v>
      </c>
      <c r="P172" s="125">
        <f>Valores!$D$5</f>
        <v>13864.36</v>
      </c>
      <c r="Q172" s="125">
        <v>0</v>
      </c>
      <c r="R172" s="125">
        <f>IF($F$4="NO",Valores!$C$47,Valores!$C$47/2)</f>
        <v>14493.86</v>
      </c>
      <c r="S172" s="125">
        <f>Valores!$C$19</f>
        <v>12901.01</v>
      </c>
      <c r="T172" s="125">
        <f t="shared" si="25"/>
        <v>12901.01</v>
      </c>
      <c r="U172" s="125">
        <v>0</v>
      </c>
      <c r="V172" s="125">
        <v>0</v>
      </c>
      <c r="W172" s="192">
        <v>900</v>
      </c>
      <c r="X172" s="125">
        <f>ROUND(W172*Valores!$C$2,2)</f>
        <v>24409.08</v>
      </c>
      <c r="Y172" s="125">
        <f>ROUND(SUM(J172,H172,F172,R172)*Valores!$C$3,2)</f>
        <v>7373.21</v>
      </c>
      <c r="Z172" s="125">
        <f>Valores!$C$96</f>
        <v>12637.52</v>
      </c>
      <c r="AA172" s="125">
        <f>Valores!$C$25</f>
        <v>567.06</v>
      </c>
      <c r="AB172" s="214">
        <v>0</v>
      </c>
      <c r="AC172" s="125">
        <f t="shared" si="20"/>
        <v>0</v>
      </c>
      <c r="AD172" s="125">
        <f>Valores!$C$26</f>
        <v>567.06</v>
      </c>
      <c r="AE172" s="192">
        <v>94</v>
      </c>
      <c r="AF172" s="125">
        <f>ROUND(AE172*Valores!$C$2,2)</f>
        <v>2549.39</v>
      </c>
      <c r="AG172" s="125">
        <f>ROUND(IF($F$4="NO",Valores!$C$63,Valores!$C$63/2),2)</f>
        <v>6482.98</v>
      </c>
      <c r="AH172" s="125">
        <f t="shared" si="23"/>
        <v>166912.4</v>
      </c>
      <c r="AI172" s="125">
        <f>Valores!$C$31</f>
        <v>0</v>
      </c>
      <c r="AJ172" s="125">
        <f>Valores!$C$89</f>
        <v>0</v>
      </c>
      <c r="AK172" s="125">
        <f>Valores!C$38*B172</f>
        <v>30000</v>
      </c>
      <c r="AL172" s="125">
        <f>IF($F$3="NO",0,Valores!$C$55)</f>
        <v>327.6</v>
      </c>
      <c r="AM172" s="125">
        <f t="shared" si="21"/>
        <v>30327.6</v>
      </c>
      <c r="AN172" s="125">
        <f>AH172*Valores!$C$71</f>
        <v>-18360.363999999998</v>
      </c>
      <c r="AO172" s="125">
        <f>AH172*-Valores!$C$72</f>
        <v>0</v>
      </c>
      <c r="AP172" s="125">
        <f>AH172*Valores!$C$73</f>
        <v>-7511.057999999999</v>
      </c>
      <c r="AQ172" s="125">
        <f>Valores!$C$100</f>
        <v>-280.91</v>
      </c>
      <c r="AR172" s="125">
        <f>IF($F$5=0,Valores!$C$101,(Valores!$C$101+$F$5*(Valores!$C$101)))</f>
        <v>-385</v>
      </c>
      <c r="AS172" s="125">
        <f t="shared" si="24"/>
        <v>170702.668</v>
      </c>
      <c r="AT172" s="125">
        <f t="shared" si="18"/>
        <v>-18360.363999999998</v>
      </c>
      <c r="AU172" s="125">
        <f>AH172*Valores!$C$74</f>
        <v>-4506.6348</v>
      </c>
      <c r="AV172" s="125">
        <f>AH172*Valores!$C$75</f>
        <v>-500.7372</v>
      </c>
      <c r="AW172" s="125">
        <f t="shared" si="22"/>
        <v>173872.264</v>
      </c>
      <c r="AX172" s="126"/>
      <c r="AY172" s="126">
        <v>36</v>
      </c>
      <c r="AZ172" s="123" t="s">
        <v>4</v>
      </c>
    </row>
    <row r="173" spans="1:52" s="110" customFormat="1" ht="11.25" customHeight="1">
      <c r="A173" s="123" t="s">
        <v>434</v>
      </c>
      <c r="B173" s="123">
        <v>1</v>
      </c>
      <c r="C173" s="126">
        <v>166</v>
      </c>
      <c r="D173" s="124" t="s">
        <v>435</v>
      </c>
      <c r="E173" s="192">
        <v>217</v>
      </c>
      <c r="F173" s="125">
        <f>ROUND(E173*Valores!$C$2,2)</f>
        <v>5885.3</v>
      </c>
      <c r="G173" s="192">
        <f>2245</f>
        <v>2245</v>
      </c>
      <c r="H173" s="125">
        <f>ROUND(G173*Valores!$C$2,2)</f>
        <v>60887.09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35257.56</v>
      </c>
      <c r="M173" s="125">
        <f>ROUND(IF($H$2=0,IF(AND(A173&lt;&gt;"13-930",A173&lt;&gt;"13-940"),(SUM(F173,H173,J173,L173,X173,T173,R173)*Valores!$C$4),0),0),2)</f>
        <v>19413.72</v>
      </c>
      <c r="N173" s="125">
        <f t="shared" si="19"/>
        <v>0</v>
      </c>
      <c r="O173" s="125">
        <f>Valores!$C$9</f>
        <v>29939.09</v>
      </c>
      <c r="P173" s="125">
        <f>Valores!$D$5</f>
        <v>13864.36</v>
      </c>
      <c r="Q173" s="125">
        <f>Valores!$C$22</f>
        <v>12369.22</v>
      </c>
      <c r="R173" s="125">
        <f>IF($F$4="NO",Valores!$C$47,Valores!$C$47/2)</f>
        <v>14493.86</v>
      </c>
      <c r="S173" s="125">
        <f>Valores!$C$19</f>
        <v>12901.01</v>
      </c>
      <c r="T173" s="125">
        <f t="shared" si="25"/>
        <v>12901.01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Valores!$C$96</f>
        <v>12637.52</v>
      </c>
      <c r="AA173" s="125">
        <f>Valores!$C$25</f>
        <v>567.06</v>
      </c>
      <c r="AB173" s="214">
        <v>0</v>
      </c>
      <c r="AC173" s="125">
        <f t="shared" si="20"/>
        <v>0</v>
      </c>
      <c r="AD173" s="125">
        <f>Valores!$C$26</f>
        <v>567.06</v>
      </c>
      <c r="AE173" s="192">
        <v>0</v>
      </c>
      <c r="AF173" s="125">
        <f>ROUND(AE173*Valores!$C$2,2)</f>
        <v>0</v>
      </c>
      <c r="AG173" s="125">
        <f>ROUND(IF($F$4="NO",Valores!$C$63,Valores!$C$63/2),2)</f>
        <v>6482.98</v>
      </c>
      <c r="AH173" s="125">
        <f t="shared" si="23"/>
        <v>225265.83000000002</v>
      </c>
      <c r="AI173" s="125">
        <f>Valores!$C$31</f>
        <v>0</v>
      </c>
      <c r="AJ173" s="125">
        <f>Valores!$C$89</f>
        <v>0</v>
      </c>
      <c r="AK173" s="125">
        <f>Valores!C$38*B173</f>
        <v>30000</v>
      </c>
      <c r="AL173" s="125">
        <f>IF($F$3="NO",0,Valores!$C$55)</f>
        <v>327.6</v>
      </c>
      <c r="AM173" s="125">
        <f t="shared" si="21"/>
        <v>30327.6</v>
      </c>
      <c r="AN173" s="125">
        <f>AH173*Valores!$C$71</f>
        <v>-24779.2413</v>
      </c>
      <c r="AO173" s="125">
        <f>AH173*-Valores!$C$72</f>
        <v>0</v>
      </c>
      <c r="AP173" s="125">
        <f>AH173*Valores!$C$73</f>
        <v>-10136.96235</v>
      </c>
      <c r="AQ173" s="125">
        <f>Valores!$C$100</f>
        <v>-280.91</v>
      </c>
      <c r="AR173" s="125">
        <f>IF($F$5=0,Valores!$C$101,(Valores!$C$101+$F$5*(Valores!$C$101)))</f>
        <v>-385</v>
      </c>
      <c r="AS173" s="125">
        <f t="shared" si="24"/>
        <v>220011.31635</v>
      </c>
      <c r="AT173" s="125">
        <f t="shared" si="18"/>
        <v>-24779.2413</v>
      </c>
      <c r="AU173" s="125">
        <f>AH173*Valores!$C$74</f>
        <v>-6082.17741</v>
      </c>
      <c r="AV173" s="125">
        <f>AH173*Valores!$C$75</f>
        <v>-675.79749</v>
      </c>
      <c r="AW173" s="125">
        <f t="shared" si="22"/>
        <v>224056.21380000003</v>
      </c>
      <c r="AX173" s="126"/>
      <c r="AY173" s="126">
        <v>45</v>
      </c>
      <c r="AZ173" s="123" t="s">
        <v>4</v>
      </c>
    </row>
    <row r="174" spans="1:52" s="110" customFormat="1" ht="11.25" customHeight="1">
      <c r="A174" s="123" t="s">
        <v>436</v>
      </c>
      <c r="B174" s="123">
        <v>1</v>
      </c>
      <c r="C174" s="126">
        <v>167</v>
      </c>
      <c r="D174" s="124" t="s">
        <v>437</v>
      </c>
      <c r="E174" s="192">
        <v>185</v>
      </c>
      <c r="F174" s="125">
        <f>ROUND(E174*Valores!$C$2,2)</f>
        <v>5017.42</v>
      </c>
      <c r="G174" s="192">
        <f>1835</f>
        <v>1835</v>
      </c>
      <c r="H174" s="125">
        <f>ROUND(G174*Valores!$C$2,2)</f>
        <v>49767.4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35257.56</v>
      </c>
      <c r="M174" s="125">
        <f>ROUND(IF($H$2=0,IF(AND(A174&lt;&gt;"13-930",A174&lt;&gt;"13-940"),(SUM(F174,H174,J174,L174,X174,T174,R174)*Valores!$C$4),0),0),2)</f>
        <v>17615.59</v>
      </c>
      <c r="N174" s="125">
        <f t="shared" si="19"/>
        <v>0</v>
      </c>
      <c r="O174" s="125">
        <f>Valores!$C$9</f>
        <v>29939.09</v>
      </c>
      <c r="P174" s="125">
        <f>Valores!$D$5</f>
        <v>13864.36</v>
      </c>
      <c r="Q174" s="125">
        <f>Valores!$C$22</f>
        <v>12369.22</v>
      </c>
      <c r="R174" s="125">
        <f>IF($F$4="NO",Valores!$C$47,Valores!$C$47/2)</f>
        <v>14493.86</v>
      </c>
      <c r="S174" s="125">
        <f>Valores!$C$19</f>
        <v>12901.01</v>
      </c>
      <c r="T174" s="125">
        <f t="shared" si="25"/>
        <v>12901.01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Valores!$C$96</f>
        <v>12637.52</v>
      </c>
      <c r="AA174" s="125">
        <f>Valores!$C$25</f>
        <v>567.06</v>
      </c>
      <c r="AB174" s="214">
        <v>0</v>
      </c>
      <c r="AC174" s="125">
        <f t="shared" si="20"/>
        <v>0</v>
      </c>
      <c r="AD174" s="125">
        <f>Valores!$C$26</f>
        <v>567.06</v>
      </c>
      <c r="AE174" s="192">
        <v>0</v>
      </c>
      <c r="AF174" s="125">
        <f>ROUND(AE174*Valores!$C$2,2)</f>
        <v>0</v>
      </c>
      <c r="AG174" s="125">
        <f>ROUND(IF($F$4="NO",Valores!$C$63,Valores!$C$63/2),2)</f>
        <v>6482.98</v>
      </c>
      <c r="AH174" s="125">
        <f t="shared" si="23"/>
        <v>211480.13</v>
      </c>
      <c r="AI174" s="125">
        <f>Valores!$C$31</f>
        <v>0</v>
      </c>
      <c r="AJ174" s="125">
        <f>Valores!$C$89</f>
        <v>0</v>
      </c>
      <c r="AK174" s="125">
        <f>Valores!C$38*B174</f>
        <v>30000</v>
      </c>
      <c r="AL174" s="125">
        <f>IF($F$3="NO",0,Valores!$C$55)</f>
        <v>327.6</v>
      </c>
      <c r="AM174" s="125">
        <f t="shared" si="21"/>
        <v>30327.6</v>
      </c>
      <c r="AN174" s="125">
        <f>AH174*Valores!$C$71</f>
        <v>-23262.814300000002</v>
      </c>
      <c r="AO174" s="125">
        <f>AH174*-Valores!$C$72</f>
        <v>0</v>
      </c>
      <c r="AP174" s="125">
        <f>AH174*Valores!$C$73</f>
        <v>-9516.60585</v>
      </c>
      <c r="AQ174" s="125">
        <f>Valores!$C$100</f>
        <v>-280.91</v>
      </c>
      <c r="AR174" s="125">
        <f>IF($F$5=0,Valores!$C$101,(Valores!$C$101+$F$5*(Valores!$C$101)))</f>
        <v>-385</v>
      </c>
      <c r="AS174" s="125">
        <f t="shared" si="24"/>
        <v>208362.39985</v>
      </c>
      <c r="AT174" s="125">
        <f t="shared" si="18"/>
        <v>-23262.814300000002</v>
      </c>
      <c r="AU174" s="125">
        <f>AH174*Valores!$C$74</f>
        <v>-5709.9635100000005</v>
      </c>
      <c r="AV174" s="125">
        <f>AH174*Valores!$C$75</f>
        <v>-634.44039</v>
      </c>
      <c r="AW174" s="125">
        <f t="shared" si="22"/>
        <v>212200.5118</v>
      </c>
      <c r="AX174" s="126"/>
      <c r="AY174" s="126">
        <v>45</v>
      </c>
      <c r="AZ174" s="123" t="s">
        <v>4</v>
      </c>
    </row>
    <row r="175" spans="1:52" s="110" customFormat="1" ht="11.25" customHeight="1">
      <c r="A175" s="123" t="s">
        <v>438</v>
      </c>
      <c r="B175" s="123">
        <v>1</v>
      </c>
      <c r="C175" s="126">
        <v>168</v>
      </c>
      <c r="D175" s="124" t="s">
        <v>439</v>
      </c>
      <c r="E175" s="192">
        <v>160</v>
      </c>
      <c r="F175" s="125">
        <f>ROUND(E175*Valores!$C$2,2)</f>
        <v>4339.39</v>
      </c>
      <c r="G175" s="192">
        <f>1484</f>
        <v>1484</v>
      </c>
      <c r="H175" s="125">
        <f>ROUND(G175*Valores!$C$2,2)</f>
        <v>40247.86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35257.56</v>
      </c>
      <c r="M175" s="125">
        <f>ROUND(IF($H$2=0,IF(AND(A175&lt;&gt;"13-930",A175&lt;&gt;"13-940"),(SUM(F175,H175,J175,L175,X175,T175,R175)*Valores!$C$4),0),0),2)</f>
        <v>16085.95</v>
      </c>
      <c r="N175" s="125">
        <f t="shared" si="19"/>
        <v>0</v>
      </c>
      <c r="O175" s="125">
        <f>Valores!$C$9</f>
        <v>29939.09</v>
      </c>
      <c r="P175" s="125">
        <f>Valores!$D$5</f>
        <v>13864.36</v>
      </c>
      <c r="Q175" s="125">
        <f>Valores!$C$22</f>
        <v>12369.22</v>
      </c>
      <c r="R175" s="125">
        <f>IF($F$4="NO",Valores!$C$47,Valores!$C$47/2)</f>
        <v>14493.86</v>
      </c>
      <c r="S175" s="125">
        <f>Valores!$C$19</f>
        <v>12901.01</v>
      </c>
      <c r="T175" s="125">
        <f t="shared" si="25"/>
        <v>12901.01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Valores!$C$96</f>
        <v>12637.52</v>
      </c>
      <c r="AA175" s="125">
        <f>Valores!$C$25</f>
        <v>567.06</v>
      </c>
      <c r="AB175" s="214">
        <v>0</v>
      </c>
      <c r="AC175" s="125">
        <f t="shared" si="20"/>
        <v>0</v>
      </c>
      <c r="AD175" s="125">
        <f>Valores!$C$26</f>
        <v>567.06</v>
      </c>
      <c r="AE175" s="192">
        <v>0</v>
      </c>
      <c r="AF175" s="125">
        <f>ROUND(AE175*Valores!$C$2,2)</f>
        <v>0</v>
      </c>
      <c r="AG175" s="125">
        <f>ROUND(IF($F$4="NO",Valores!$C$63,Valores!$C$63/2),2)</f>
        <v>6482.98</v>
      </c>
      <c r="AH175" s="125">
        <f t="shared" si="23"/>
        <v>199752.91999999998</v>
      </c>
      <c r="AI175" s="125">
        <f>Valores!$C$31</f>
        <v>0</v>
      </c>
      <c r="AJ175" s="125">
        <f>Valores!$C$89</f>
        <v>0</v>
      </c>
      <c r="AK175" s="125">
        <f>Valores!C$38*B175</f>
        <v>30000</v>
      </c>
      <c r="AL175" s="125">
        <f>IF($F$3="NO",0,Valores!$C$55)</f>
        <v>327.6</v>
      </c>
      <c r="AM175" s="125">
        <f t="shared" si="21"/>
        <v>30327.6</v>
      </c>
      <c r="AN175" s="125">
        <f>AH175*Valores!$C$71</f>
        <v>-21972.8212</v>
      </c>
      <c r="AO175" s="125">
        <f>AH175*-Valores!$C$72</f>
        <v>0</v>
      </c>
      <c r="AP175" s="125">
        <f>AH175*Valores!$C$73</f>
        <v>-8988.881399999998</v>
      </c>
      <c r="AQ175" s="125">
        <f>Valores!$C$100</f>
        <v>-280.91</v>
      </c>
      <c r="AR175" s="125">
        <f>IF($F$5=0,Valores!$C$101,(Valores!$C$101+$F$5*(Valores!$C$101)))</f>
        <v>-385</v>
      </c>
      <c r="AS175" s="125">
        <f t="shared" si="24"/>
        <v>198452.9074</v>
      </c>
      <c r="AT175" s="125">
        <f t="shared" si="18"/>
        <v>-21972.8212</v>
      </c>
      <c r="AU175" s="125">
        <f>AH175*Valores!$C$74</f>
        <v>-5393.328839999999</v>
      </c>
      <c r="AV175" s="125">
        <f>AH175*Valores!$C$75</f>
        <v>-599.2587599999999</v>
      </c>
      <c r="AW175" s="125">
        <f t="shared" si="22"/>
        <v>202115.11119999998</v>
      </c>
      <c r="AX175" s="126"/>
      <c r="AY175" s="126">
        <v>45</v>
      </c>
      <c r="AZ175" s="123" t="s">
        <v>4</v>
      </c>
    </row>
    <row r="176" spans="1:52" s="110" customFormat="1" ht="11.25" customHeight="1">
      <c r="A176" s="123" t="s">
        <v>440</v>
      </c>
      <c r="B176" s="123">
        <v>1</v>
      </c>
      <c r="C176" s="126">
        <v>169</v>
      </c>
      <c r="D176" s="124" t="s">
        <v>441</v>
      </c>
      <c r="E176" s="192">
        <v>178</v>
      </c>
      <c r="F176" s="125">
        <f>ROUND(E176*Valores!$C$2,2)</f>
        <v>4827.57</v>
      </c>
      <c r="G176" s="192">
        <f>1842</f>
        <v>1842</v>
      </c>
      <c r="H176" s="125">
        <f>ROUND(G176*Valores!$C$2,2)</f>
        <v>49957.25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35257.56</v>
      </c>
      <c r="M176" s="125">
        <f>ROUND(IF($H$2=0,IF(AND(A176&lt;&gt;"13-930",A176&lt;&gt;"13-940"),(SUM(F176,H176,J176,L176,X176,T176,R176)*Valores!$C$4),0),0),2)</f>
        <v>17615.59</v>
      </c>
      <c r="N176" s="125">
        <f t="shared" si="19"/>
        <v>0</v>
      </c>
      <c r="O176" s="125">
        <f>Valores!$C$9</f>
        <v>29939.09</v>
      </c>
      <c r="P176" s="125">
        <f>Valores!$D$5</f>
        <v>13864.36</v>
      </c>
      <c r="Q176" s="125">
        <f>Valores!$C$22</f>
        <v>12369.22</v>
      </c>
      <c r="R176" s="125">
        <f>IF($F$4="NO",Valores!$C$47,Valores!$C$47/2)</f>
        <v>14493.86</v>
      </c>
      <c r="S176" s="125">
        <f>Valores!$C$19</f>
        <v>12901.01</v>
      </c>
      <c r="T176" s="125">
        <f t="shared" si="25"/>
        <v>12901.01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Valores!$C$96</f>
        <v>12637.52</v>
      </c>
      <c r="AA176" s="125">
        <f>Valores!$C$25</f>
        <v>567.06</v>
      </c>
      <c r="AB176" s="214">
        <v>0</v>
      </c>
      <c r="AC176" s="125">
        <f t="shared" si="20"/>
        <v>0</v>
      </c>
      <c r="AD176" s="125">
        <f>Valores!$C$26</f>
        <v>567.06</v>
      </c>
      <c r="AE176" s="192">
        <v>0</v>
      </c>
      <c r="AF176" s="125">
        <f>ROUND(AE176*Valores!$C$2,2)</f>
        <v>0</v>
      </c>
      <c r="AG176" s="125">
        <f>ROUND(IF($F$4="NO",Valores!$C$63,Valores!$C$63/2),2)</f>
        <v>6482.98</v>
      </c>
      <c r="AH176" s="125">
        <f t="shared" si="23"/>
        <v>211480.13</v>
      </c>
      <c r="AI176" s="125">
        <f>Valores!$C$31</f>
        <v>0</v>
      </c>
      <c r="AJ176" s="125">
        <f>Valores!$C$89</f>
        <v>0</v>
      </c>
      <c r="AK176" s="125">
        <f>Valores!C$38*B176</f>
        <v>30000</v>
      </c>
      <c r="AL176" s="125">
        <f>IF($F$3="NO",0,Valores!$C$55)</f>
        <v>327.6</v>
      </c>
      <c r="AM176" s="125">
        <f t="shared" si="21"/>
        <v>30327.6</v>
      </c>
      <c r="AN176" s="125">
        <f>AH176*Valores!$C$71</f>
        <v>-23262.814300000002</v>
      </c>
      <c r="AO176" s="125">
        <f>AH176*-Valores!$C$72</f>
        <v>0</v>
      </c>
      <c r="AP176" s="125">
        <f>AH176*Valores!$C$73</f>
        <v>-9516.60585</v>
      </c>
      <c r="AQ176" s="125">
        <f>Valores!$C$100</f>
        <v>-280.91</v>
      </c>
      <c r="AR176" s="125">
        <f>IF($F$5=0,Valores!$C$101,(Valores!$C$101+$F$5*(Valores!$C$101)))</f>
        <v>-385</v>
      </c>
      <c r="AS176" s="125">
        <f t="shared" si="24"/>
        <v>208362.39985</v>
      </c>
      <c r="AT176" s="125">
        <f t="shared" si="18"/>
        <v>-23262.814300000002</v>
      </c>
      <c r="AU176" s="125">
        <f>AH176*Valores!$C$74</f>
        <v>-5709.9635100000005</v>
      </c>
      <c r="AV176" s="125">
        <f>AH176*Valores!$C$75</f>
        <v>-634.44039</v>
      </c>
      <c r="AW176" s="125">
        <f t="shared" si="22"/>
        <v>212200.5118</v>
      </c>
      <c r="AX176" s="126"/>
      <c r="AY176" s="126">
        <v>45</v>
      </c>
      <c r="AZ176" s="123" t="s">
        <v>4</v>
      </c>
    </row>
    <row r="177" spans="1:52" s="110" customFormat="1" ht="11.25" customHeight="1">
      <c r="A177" s="123" t="s">
        <v>442</v>
      </c>
      <c r="B177" s="123">
        <v>1</v>
      </c>
      <c r="C177" s="126">
        <v>170</v>
      </c>
      <c r="D177" s="124" t="s">
        <v>443</v>
      </c>
      <c r="E177" s="192">
        <v>1278</v>
      </c>
      <c r="F177" s="125">
        <f>ROUND(E177*Valores!$C$2,2)</f>
        <v>34660.89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32545.44</v>
      </c>
      <c r="M177" s="125">
        <f>ROUND(IF($H$2=0,IF(AND(A177&lt;&gt;"13-930",A177&lt;&gt;"13-940"),(SUM(F177,H177,J177,L177,X177,T177,R177)*Valores!$C$4),0),0),2)</f>
        <v>14190.18</v>
      </c>
      <c r="N177" s="125">
        <f t="shared" si="19"/>
        <v>0</v>
      </c>
      <c r="O177" s="125">
        <f>Valores!$C$16</f>
        <v>23436.25</v>
      </c>
      <c r="P177" s="125">
        <f>Valores!$D$5</f>
        <v>13864.36</v>
      </c>
      <c r="Q177" s="125">
        <f>Valores!$C$22</f>
        <v>12369.22</v>
      </c>
      <c r="R177" s="125">
        <f>IF($F$4="NO",Valores!$C$47,Valores!$C$47/2)</f>
        <v>14493.86</v>
      </c>
      <c r="S177" s="125">
        <f>Valores!$C$19</f>
        <v>12901.01</v>
      </c>
      <c r="T177" s="125">
        <f t="shared" si="25"/>
        <v>12901.01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Valores!$C$96</f>
        <v>12637.52</v>
      </c>
      <c r="AA177" s="125">
        <f>Valores!$C$25</f>
        <v>567.06</v>
      </c>
      <c r="AB177" s="214">
        <v>0</v>
      </c>
      <c r="AC177" s="125">
        <f t="shared" si="20"/>
        <v>0</v>
      </c>
      <c r="AD177" s="125">
        <f>Valores!$C$26</f>
        <v>567.06</v>
      </c>
      <c r="AE177" s="192">
        <v>0</v>
      </c>
      <c r="AF177" s="125">
        <f>ROUND(AE177*Valores!$C$2,2)</f>
        <v>0</v>
      </c>
      <c r="AG177" s="125">
        <f>ROUND(IF($F$4="NO",Valores!$C$63,Valores!$C$63/2),2)</f>
        <v>6482.98</v>
      </c>
      <c r="AH177" s="125">
        <f t="shared" si="23"/>
        <v>178715.83000000002</v>
      </c>
      <c r="AI177" s="125">
        <f>Valores!$C$31</f>
        <v>0</v>
      </c>
      <c r="AJ177" s="125">
        <f>Valores!$C$89</f>
        <v>0</v>
      </c>
      <c r="AK177" s="125">
        <f>Valores!C$38*B177</f>
        <v>30000</v>
      </c>
      <c r="AL177" s="125">
        <f>IF($F$3="NO",0,Valores!$C$55)</f>
        <v>327.6</v>
      </c>
      <c r="AM177" s="125">
        <f t="shared" si="21"/>
        <v>30327.6</v>
      </c>
      <c r="AN177" s="125">
        <f>AH177*Valores!$C$71</f>
        <v>-19658.7413</v>
      </c>
      <c r="AO177" s="125">
        <f>AH177*-Valores!$C$72</f>
        <v>0</v>
      </c>
      <c r="AP177" s="125">
        <f>AH177*Valores!$C$73</f>
        <v>-8042.212350000001</v>
      </c>
      <c r="AQ177" s="125">
        <f>Valores!$C$100</f>
        <v>-280.91</v>
      </c>
      <c r="AR177" s="125">
        <f>IF($F$5=0,Valores!$C$101,(Valores!$C$101+$F$5*(Valores!$C$101)))</f>
        <v>-385</v>
      </c>
      <c r="AS177" s="125">
        <f t="shared" si="24"/>
        <v>180676.56635</v>
      </c>
      <c r="AT177" s="125">
        <f t="shared" si="18"/>
        <v>-19658.7413</v>
      </c>
      <c r="AU177" s="125">
        <f>AH177*Valores!$C$74</f>
        <v>-4825.327410000001</v>
      </c>
      <c r="AV177" s="125">
        <f>AH177*Valores!$C$75</f>
        <v>-536.1474900000001</v>
      </c>
      <c r="AW177" s="125">
        <f t="shared" si="22"/>
        <v>184023.21380000003</v>
      </c>
      <c r="AX177" s="126"/>
      <c r="AY177" s="126"/>
      <c r="AZ177" s="123" t="s">
        <v>4</v>
      </c>
    </row>
    <row r="178" spans="1:52" s="110" customFormat="1" ht="11.25" customHeight="1">
      <c r="A178" s="123" t="s">
        <v>444</v>
      </c>
      <c r="B178" s="123">
        <v>1</v>
      </c>
      <c r="C178" s="126">
        <v>171</v>
      </c>
      <c r="D178" s="124" t="s">
        <v>445</v>
      </c>
      <c r="E178" s="192">
        <v>971</v>
      </c>
      <c r="F178" s="125">
        <f>ROUND(E178*Valores!$C$2,2)</f>
        <v>26334.69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17899.99</v>
      </c>
      <c r="M178" s="125">
        <f>ROUND(IF($H$2=0,IF(AND(A178&lt;&gt;"13-930",A178&lt;&gt;"13-940"),(SUM(F178,H178,J178,L178,X178,T178,R178)*Valores!$C$4),0),0),2)</f>
        <v>10744.43</v>
      </c>
      <c r="N178" s="125">
        <f t="shared" si="19"/>
        <v>0</v>
      </c>
      <c r="O178" s="125">
        <f>Valores!$C$16</f>
        <v>23436.25</v>
      </c>
      <c r="P178" s="125">
        <f>Valores!$D$5</f>
        <v>13864.36</v>
      </c>
      <c r="Q178" s="125">
        <f>Valores!$C$22</f>
        <v>12369.22</v>
      </c>
      <c r="R178" s="125">
        <f>IF($F$4="NO",Valores!$C$47,Valores!$C$47/2)</f>
        <v>14493.86</v>
      </c>
      <c r="S178" s="125">
        <f>Valores!$C$19</f>
        <v>12901.01</v>
      </c>
      <c r="T178" s="125">
        <f t="shared" si="25"/>
        <v>12901.01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Valores!$C$96</f>
        <v>12637.52</v>
      </c>
      <c r="AA178" s="125">
        <f>Valores!$C$25</f>
        <v>567.06</v>
      </c>
      <c r="AB178" s="214">
        <v>0</v>
      </c>
      <c r="AC178" s="125">
        <f t="shared" si="20"/>
        <v>0</v>
      </c>
      <c r="AD178" s="125">
        <f>Valores!$C$26</f>
        <v>567.06</v>
      </c>
      <c r="AE178" s="192">
        <v>0</v>
      </c>
      <c r="AF178" s="125">
        <f>ROUND(AE178*Valores!$C$2,2)</f>
        <v>0</v>
      </c>
      <c r="AG178" s="125">
        <f>ROUND(IF($F$4="NO",Valores!$C$63,Valores!$C$63/2),2)</f>
        <v>6482.98</v>
      </c>
      <c r="AH178" s="125">
        <f t="shared" si="23"/>
        <v>152298.43</v>
      </c>
      <c r="AI178" s="125">
        <f>Valores!$C$31</f>
        <v>0</v>
      </c>
      <c r="AJ178" s="125">
        <f>Valores!$C$89</f>
        <v>0</v>
      </c>
      <c r="AK178" s="125">
        <f>Valores!C$38*B178</f>
        <v>30000</v>
      </c>
      <c r="AL178" s="125">
        <f>IF($F$3="NO",0,Valores!$C$55)</f>
        <v>327.6</v>
      </c>
      <c r="AM178" s="125">
        <f t="shared" si="21"/>
        <v>30327.6</v>
      </c>
      <c r="AN178" s="125">
        <f>AH178*Valores!$C$71</f>
        <v>-16752.8273</v>
      </c>
      <c r="AO178" s="125">
        <f>AH178*-Valores!$C$72</f>
        <v>0</v>
      </c>
      <c r="AP178" s="125">
        <f>AH178*Valores!$C$73</f>
        <v>-6853.429349999999</v>
      </c>
      <c r="AQ178" s="125">
        <f>Valores!$C$100</f>
        <v>-280.91</v>
      </c>
      <c r="AR178" s="125">
        <f>IF($F$5=0,Valores!$C$101,(Valores!$C$101+$F$5*(Valores!$C$101)))</f>
        <v>-385</v>
      </c>
      <c r="AS178" s="125">
        <f t="shared" si="24"/>
        <v>158353.86335</v>
      </c>
      <c r="AT178" s="125">
        <f t="shared" si="18"/>
        <v>-16752.8273</v>
      </c>
      <c r="AU178" s="125">
        <f>AH178*Valores!$C$74</f>
        <v>-4112.05761</v>
      </c>
      <c r="AV178" s="125">
        <f>AH178*Valores!$C$75</f>
        <v>-456.89529</v>
      </c>
      <c r="AW178" s="125">
        <f t="shared" si="22"/>
        <v>161304.2498</v>
      </c>
      <c r="AX178" s="126"/>
      <c r="AY178" s="126">
        <v>18</v>
      </c>
      <c r="AZ178" s="123" t="s">
        <v>4</v>
      </c>
    </row>
    <row r="179" spans="1:52" s="110" customFormat="1" ht="11.25" customHeight="1">
      <c r="A179" s="123" t="s">
        <v>446</v>
      </c>
      <c r="B179" s="123">
        <v>1</v>
      </c>
      <c r="C179" s="126">
        <v>172</v>
      </c>
      <c r="D179" s="124" t="s">
        <v>447</v>
      </c>
      <c r="E179" s="192">
        <v>213</v>
      </c>
      <c r="F179" s="125">
        <f>ROUND(E179*Valores!$C$2,2)</f>
        <v>5776.82</v>
      </c>
      <c r="G179" s="192">
        <f>1835</f>
        <v>1835</v>
      </c>
      <c r="H179" s="125">
        <f>ROUND(G179*Valores!$C$2,2)</f>
        <v>49767.4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35257.56</v>
      </c>
      <c r="M179" s="125">
        <f>ROUND(IF($H$2=0,IF(AND(A179&lt;&gt;"13-930",A179&lt;&gt;"13-940"),(SUM(F179,H179,J179,L179,X179,T179,R179)*Valores!$C$4),0),0),2)</f>
        <v>17729.5</v>
      </c>
      <c r="N179" s="125">
        <f t="shared" si="19"/>
        <v>0</v>
      </c>
      <c r="O179" s="125">
        <f>Valores!$C$9</f>
        <v>29939.09</v>
      </c>
      <c r="P179" s="125">
        <f>Valores!$D$5</f>
        <v>13864.36</v>
      </c>
      <c r="Q179" s="125">
        <f>Valores!$C$22</f>
        <v>12369.22</v>
      </c>
      <c r="R179" s="125">
        <f>IF($F$4="NO",Valores!$C$47,Valores!$C$47/2)</f>
        <v>14493.86</v>
      </c>
      <c r="S179" s="125">
        <f>Valores!$C$19</f>
        <v>12901.01</v>
      </c>
      <c r="T179" s="125">
        <f t="shared" si="25"/>
        <v>12901.01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Valores!$C$96</f>
        <v>12637.52</v>
      </c>
      <c r="AA179" s="125">
        <f>Valores!$C$25</f>
        <v>567.06</v>
      </c>
      <c r="AB179" s="214">
        <v>0</v>
      </c>
      <c r="AC179" s="125">
        <f t="shared" si="20"/>
        <v>0</v>
      </c>
      <c r="AD179" s="125">
        <f>Valores!$C$26</f>
        <v>567.06</v>
      </c>
      <c r="AE179" s="192">
        <v>0</v>
      </c>
      <c r="AF179" s="125">
        <f>ROUND(AE179*Valores!$C$2,2)</f>
        <v>0</v>
      </c>
      <c r="AG179" s="125">
        <f>ROUND(IF($F$4="NO",Valores!$C$63,Valores!$C$63/2),2)</f>
        <v>6482.98</v>
      </c>
      <c r="AH179" s="125">
        <f t="shared" si="23"/>
        <v>212353.44</v>
      </c>
      <c r="AI179" s="125">
        <f>Valores!$C$31</f>
        <v>0</v>
      </c>
      <c r="AJ179" s="125">
        <f>Valores!$C$89</f>
        <v>0</v>
      </c>
      <c r="AK179" s="125">
        <f>Valores!C$38*B179</f>
        <v>30000</v>
      </c>
      <c r="AL179" s="125">
        <f>IF($F$3="NO",0,Valores!$C$55)</f>
        <v>327.6</v>
      </c>
      <c r="AM179" s="125">
        <f t="shared" si="21"/>
        <v>30327.6</v>
      </c>
      <c r="AN179" s="125">
        <f>AH179*Valores!$C$71</f>
        <v>-23358.8784</v>
      </c>
      <c r="AO179" s="125">
        <f>AH179*-Valores!$C$72</f>
        <v>0</v>
      </c>
      <c r="AP179" s="125">
        <f>AH179*Valores!$C$73</f>
        <v>-9555.9048</v>
      </c>
      <c r="AQ179" s="125">
        <f>Valores!$C$100</f>
        <v>-280.91</v>
      </c>
      <c r="AR179" s="125">
        <f>IF($F$5=0,Valores!$C$101,(Valores!$C$101+$F$5*(Valores!$C$101)))</f>
        <v>-385</v>
      </c>
      <c r="AS179" s="125">
        <f t="shared" si="24"/>
        <v>209100.3468</v>
      </c>
      <c r="AT179" s="125">
        <f t="shared" si="18"/>
        <v>-23358.8784</v>
      </c>
      <c r="AU179" s="125">
        <f>AH179*Valores!$C$74</f>
        <v>-5733.54288</v>
      </c>
      <c r="AV179" s="125">
        <f>AH179*Valores!$C$75</f>
        <v>-637.06032</v>
      </c>
      <c r="AW179" s="125">
        <f t="shared" si="22"/>
        <v>212951.5584</v>
      </c>
      <c r="AX179" s="126"/>
      <c r="AY179" s="126">
        <v>45</v>
      </c>
      <c r="AZ179" s="123" t="s">
        <v>4</v>
      </c>
    </row>
    <row r="180" spans="1:52" s="110" customFormat="1" ht="11.25" customHeight="1">
      <c r="A180" s="123" t="s">
        <v>448</v>
      </c>
      <c r="B180" s="123">
        <v>1</v>
      </c>
      <c r="C180" s="126">
        <v>173</v>
      </c>
      <c r="D180" s="124" t="s">
        <v>449</v>
      </c>
      <c r="E180" s="192">
        <v>185</v>
      </c>
      <c r="F180" s="125">
        <f>ROUND(E180*Valores!$C$2,2)</f>
        <v>5017.42</v>
      </c>
      <c r="G180" s="192">
        <f>1835</f>
        <v>1835</v>
      </c>
      <c r="H180" s="125">
        <f>ROUND(G180*Valores!$C$2,2)</f>
        <v>49767.4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35257.56</v>
      </c>
      <c r="M180" s="125">
        <f>ROUND(IF($H$2=0,IF(AND(A180&lt;&gt;"13-930",A180&lt;&gt;"13-940"),(SUM(F180,H180,J180,L180,X180,T180,R180)*Valores!$C$4),0),0),2)</f>
        <v>17615.59</v>
      </c>
      <c r="N180" s="125">
        <f t="shared" si="19"/>
        <v>0</v>
      </c>
      <c r="O180" s="125">
        <f>Valores!$C$9</f>
        <v>29939.09</v>
      </c>
      <c r="P180" s="125">
        <f>Valores!$D$5</f>
        <v>13864.36</v>
      </c>
      <c r="Q180" s="125">
        <f>Valores!$C$22</f>
        <v>12369.22</v>
      </c>
      <c r="R180" s="125">
        <f>IF($F$4="NO",Valores!$C$47,Valores!$C$47/2)</f>
        <v>14493.86</v>
      </c>
      <c r="S180" s="125">
        <f>Valores!$C$19</f>
        <v>12901.01</v>
      </c>
      <c r="T180" s="125">
        <f t="shared" si="25"/>
        <v>12901.01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Valores!$C$96</f>
        <v>12637.52</v>
      </c>
      <c r="AA180" s="125">
        <f>Valores!$C$25</f>
        <v>567.06</v>
      </c>
      <c r="AB180" s="214">
        <v>0</v>
      </c>
      <c r="AC180" s="125">
        <f t="shared" si="20"/>
        <v>0</v>
      </c>
      <c r="AD180" s="125">
        <f>Valores!$C$26</f>
        <v>567.06</v>
      </c>
      <c r="AE180" s="192">
        <v>0</v>
      </c>
      <c r="AF180" s="125">
        <f>ROUND(AE180*Valores!$C$2,2)</f>
        <v>0</v>
      </c>
      <c r="AG180" s="125">
        <f>ROUND(IF($F$4="NO",Valores!$C$63,Valores!$C$63/2),2)</f>
        <v>6482.98</v>
      </c>
      <c r="AH180" s="125">
        <f t="shared" si="23"/>
        <v>211480.13</v>
      </c>
      <c r="AI180" s="125">
        <f>Valores!$C$31</f>
        <v>0</v>
      </c>
      <c r="AJ180" s="125">
        <f>Valores!$C$89</f>
        <v>0</v>
      </c>
      <c r="AK180" s="125">
        <f>Valores!C$38*B180</f>
        <v>30000</v>
      </c>
      <c r="AL180" s="125">
        <f>IF($F$3="NO",0,Valores!$C$55)</f>
        <v>327.6</v>
      </c>
      <c r="AM180" s="125">
        <f t="shared" si="21"/>
        <v>30327.6</v>
      </c>
      <c r="AN180" s="125">
        <f>AH180*Valores!$C$71</f>
        <v>-23262.814300000002</v>
      </c>
      <c r="AO180" s="125">
        <f>AH180*-Valores!$C$72</f>
        <v>0</v>
      </c>
      <c r="AP180" s="125">
        <f>AH180*Valores!$C$73</f>
        <v>-9516.60585</v>
      </c>
      <c r="AQ180" s="125">
        <f>Valores!$C$100</f>
        <v>-280.91</v>
      </c>
      <c r="AR180" s="125">
        <f>IF($F$5=0,Valores!$C$101,(Valores!$C$101+$F$5*(Valores!$C$101)))</f>
        <v>-385</v>
      </c>
      <c r="AS180" s="125">
        <f t="shared" si="24"/>
        <v>208362.39985</v>
      </c>
      <c r="AT180" s="125">
        <f t="shared" si="18"/>
        <v>-23262.814300000002</v>
      </c>
      <c r="AU180" s="125">
        <f>AH180*Valores!$C$74</f>
        <v>-5709.9635100000005</v>
      </c>
      <c r="AV180" s="125">
        <f>AH180*Valores!$C$75</f>
        <v>-634.44039</v>
      </c>
      <c r="AW180" s="125">
        <f t="shared" si="22"/>
        <v>212200.5118</v>
      </c>
      <c r="AX180" s="126"/>
      <c r="AY180" s="126">
        <v>45</v>
      </c>
      <c r="AZ180" s="123" t="s">
        <v>4</v>
      </c>
    </row>
    <row r="181" spans="1:52" s="110" customFormat="1" ht="11.25" customHeight="1">
      <c r="A181" s="123" t="s">
        <v>450</v>
      </c>
      <c r="B181" s="123">
        <v>1</v>
      </c>
      <c r="C181" s="126">
        <v>174</v>
      </c>
      <c r="D181" s="124" t="s">
        <v>451</v>
      </c>
      <c r="E181" s="192">
        <v>160</v>
      </c>
      <c r="F181" s="125">
        <f>ROUND(E181*Valores!$C$2,2)</f>
        <v>4339.39</v>
      </c>
      <c r="G181" s="192">
        <f>1484</f>
        <v>1484</v>
      </c>
      <c r="H181" s="125">
        <f>ROUND(G181*Valores!$C$2,2)</f>
        <v>40247.86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35257.56</v>
      </c>
      <c r="M181" s="125">
        <f>ROUND(IF($H$2=0,IF(AND(A181&lt;&gt;"13-930",A181&lt;&gt;"13-940"),(SUM(F181,H181,J181,L181,X181,T181,R181)*Valores!$C$4),0),0),2)</f>
        <v>16085.95</v>
      </c>
      <c r="N181" s="125">
        <f t="shared" si="19"/>
        <v>0</v>
      </c>
      <c r="O181" s="125">
        <f>Valores!$C$9</f>
        <v>29939.09</v>
      </c>
      <c r="P181" s="125">
        <f>Valores!$D$5</f>
        <v>13864.36</v>
      </c>
      <c r="Q181" s="125">
        <f>Valores!$C$22</f>
        <v>12369.22</v>
      </c>
      <c r="R181" s="125">
        <f>IF($F$4="NO",Valores!$C$47,Valores!$C$47/2)</f>
        <v>14493.86</v>
      </c>
      <c r="S181" s="125">
        <f>Valores!$C$19</f>
        <v>12901.01</v>
      </c>
      <c r="T181" s="125">
        <f t="shared" si="25"/>
        <v>12901.01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Valores!$C$96</f>
        <v>12637.52</v>
      </c>
      <c r="AA181" s="125">
        <f>Valores!$C$25</f>
        <v>567.06</v>
      </c>
      <c r="AB181" s="214">
        <v>0</v>
      </c>
      <c r="AC181" s="125">
        <f t="shared" si="20"/>
        <v>0</v>
      </c>
      <c r="AD181" s="125">
        <f>Valores!$C$26</f>
        <v>567.06</v>
      </c>
      <c r="AE181" s="192">
        <v>0</v>
      </c>
      <c r="AF181" s="125">
        <f>ROUND(AE181*Valores!$C$2,2)</f>
        <v>0</v>
      </c>
      <c r="AG181" s="125">
        <f>ROUND(IF($F$4="NO",Valores!$C$63,Valores!$C$63/2),2)</f>
        <v>6482.98</v>
      </c>
      <c r="AH181" s="125">
        <f t="shared" si="23"/>
        <v>199752.91999999998</v>
      </c>
      <c r="AI181" s="125">
        <f>Valores!$C$31</f>
        <v>0</v>
      </c>
      <c r="AJ181" s="125">
        <f>Valores!$C$89</f>
        <v>0</v>
      </c>
      <c r="AK181" s="125">
        <f>Valores!C$38*B181</f>
        <v>30000</v>
      </c>
      <c r="AL181" s="125">
        <f>IF($F$3="NO",0,Valores!$C$55)</f>
        <v>327.6</v>
      </c>
      <c r="AM181" s="125">
        <f t="shared" si="21"/>
        <v>30327.6</v>
      </c>
      <c r="AN181" s="125">
        <f>AH181*Valores!$C$71</f>
        <v>-21972.8212</v>
      </c>
      <c r="AO181" s="125">
        <f>AH181*-Valores!$C$72</f>
        <v>0</v>
      </c>
      <c r="AP181" s="125">
        <f>AH181*Valores!$C$73</f>
        <v>-8988.881399999998</v>
      </c>
      <c r="AQ181" s="125">
        <f>Valores!$C$100</f>
        <v>-280.91</v>
      </c>
      <c r="AR181" s="125">
        <f>IF($F$5=0,Valores!$C$101,(Valores!$C$101+$F$5*(Valores!$C$101)))</f>
        <v>-385</v>
      </c>
      <c r="AS181" s="125">
        <f t="shared" si="24"/>
        <v>198452.9074</v>
      </c>
      <c r="AT181" s="125">
        <f t="shared" si="18"/>
        <v>-21972.8212</v>
      </c>
      <c r="AU181" s="125">
        <f>AH181*Valores!$C$74</f>
        <v>-5393.328839999999</v>
      </c>
      <c r="AV181" s="125">
        <f>AH181*Valores!$C$75</f>
        <v>-599.2587599999999</v>
      </c>
      <c r="AW181" s="125">
        <f t="shared" si="22"/>
        <v>202115.11119999998</v>
      </c>
      <c r="AX181" s="126"/>
      <c r="AY181" s="126">
        <v>45</v>
      </c>
      <c r="AZ181" s="123" t="s">
        <v>4</v>
      </c>
    </row>
    <row r="182" spans="1:52" s="110" customFormat="1" ht="11.25" customHeight="1">
      <c r="A182" s="123" t="s">
        <v>452</v>
      </c>
      <c r="B182" s="123">
        <v>1</v>
      </c>
      <c r="C182" s="126">
        <v>175</v>
      </c>
      <c r="D182" s="124" t="s">
        <v>453</v>
      </c>
      <c r="E182" s="192">
        <v>1278</v>
      </c>
      <c r="F182" s="125">
        <f>ROUND(E182*Valores!$C$2,2)</f>
        <v>34660.89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32545.44</v>
      </c>
      <c r="M182" s="125">
        <f>ROUND(IF($H$2=0,IF(AND(A182&lt;&gt;"13-930",A182&lt;&gt;"13-940"),(SUM(F182,H182,J182,L182,X182,T182,R182)*Valores!$C$4),0),0),2)</f>
        <v>14190.18</v>
      </c>
      <c r="N182" s="125">
        <f t="shared" si="19"/>
        <v>0</v>
      </c>
      <c r="O182" s="125">
        <f>Valores!$C$16</f>
        <v>23436.25</v>
      </c>
      <c r="P182" s="125">
        <f>Valores!$D$5</f>
        <v>13864.36</v>
      </c>
      <c r="Q182" s="125">
        <f>Valores!$C$22</f>
        <v>12369.22</v>
      </c>
      <c r="R182" s="125">
        <f>IF($F$4="NO",Valores!$C$47,Valores!$C$47/2)</f>
        <v>14493.86</v>
      </c>
      <c r="S182" s="125">
        <f>Valores!$C$19</f>
        <v>12901.01</v>
      </c>
      <c r="T182" s="125">
        <f t="shared" si="25"/>
        <v>12901.01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Valores!$C$96</f>
        <v>12637.52</v>
      </c>
      <c r="AA182" s="125">
        <f>Valores!$C$25</f>
        <v>567.06</v>
      </c>
      <c r="AB182" s="214">
        <v>0</v>
      </c>
      <c r="AC182" s="125">
        <f t="shared" si="20"/>
        <v>0</v>
      </c>
      <c r="AD182" s="125">
        <f>Valores!$C$26</f>
        <v>567.06</v>
      </c>
      <c r="AE182" s="192">
        <v>0</v>
      </c>
      <c r="AF182" s="125">
        <f>ROUND(AE182*Valores!$C$2,2)</f>
        <v>0</v>
      </c>
      <c r="AG182" s="125">
        <f>ROUND(IF($F$4="NO",Valores!$C$63,Valores!$C$63/2),2)</f>
        <v>6482.98</v>
      </c>
      <c r="AH182" s="125">
        <f t="shared" si="23"/>
        <v>178715.83000000002</v>
      </c>
      <c r="AI182" s="125">
        <f>Valores!$C$31</f>
        <v>0</v>
      </c>
      <c r="AJ182" s="125">
        <f>Valores!$C$89</f>
        <v>0</v>
      </c>
      <c r="AK182" s="125">
        <f>Valores!C$38*B182</f>
        <v>30000</v>
      </c>
      <c r="AL182" s="125">
        <f>IF($F$3="NO",0,Valores!$C$55)</f>
        <v>327.6</v>
      </c>
      <c r="AM182" s="125">
        <f t="shared" si="21"/>
        <v>30327.6</v>
      </c>
      <c r="AN182" s="125">
        <f>AH182*Valores!$C$71</f>
        <v>-19658.7413</v>
      </c>
      <c r="AO182" s="125">
        <f>AH182*-Valores!$C$72</f>
        <v>0</v>
      </c>
      <c r="AP182" s="125">
        <f>AH182*Valores!$C$73</f>
        <v>-8042.212350000001</v>
      </c>
      <c r="AQ182" s="125">
        <f>Valores!$C$100</f>
        <v>-280.91</v>
      </c>
      <c r="AR182" s="125">
        <f>IF($F$5=0,Valores!$C$101,(Valores!$C$101+$F$5*(Valores!$C$101)))</f>
        <v>-385</v>
      </c>
      <c r="AS182" s="125">
        <f t="shared" si="24"/>
        <v>180676.56635</v>
      </c>
      <c r="AT182" s="125">
        <f t="shared" si="18"/>
        <v>-19658.7413</v>
      </c>
      <c r="AU182" s="125">
        <f>AH182*Valores!$C$74</f>
        <v>-4825.327410000001</v>
      </c>
      <c r="AV182" s="125">
        <f>AH182*Valores!$C$75</f>
        <v>-536.1474900000001</v>
      </c>
      <c r="AW182" s="125">
        <f t="shared" si="22"/>
        <v>184023.21380000003</v>
      </c>
      <c r="AX182" s="126"/>
      <c r="AY182" s="126"/>
      <c r="AZ182" s="123" t="s">
        <v>4</v>
      </c>
    </row>
    <row r="183" spans="1:52" s="110" customFormat="1" ht="11.25" customHeight="1">
      <c r="A183" s="123" t="s">
        <v>454</v>
      </c>
      <c r="B183" s="123">
        <v>1</v>
      </c>
      <c r="C183" s="126">
        <v>176</v>
      </c>
      <c r="D183" s="124" t="s">
        <v>455</v>
      </c>
      <c r="E183" s="192">
        <v>971</v>
      </c>
      <c r="F183" s="125">
        <f>ROUND(E183*Valores!$C$2,2)</f>
        <v>26334.69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17899.99</v>
      </c>
      <c r="M183" s="125">
        <f>ROUND(IF($H$2=0,IF(AND(A183&lt;&gt;"13-930",A183&lt;&gt;"13-940"),(SUM(F183,H183,J183,L183,X183,T183,R183)*Valores!$C$4),0),0),2)</f>
        <v>10744.43</v>
      </c>
      <c r="N183" s="125">
        <f t="shared" si="19"/>
        <v>0</v>
      </c>
      <c r="O183" s="125">
        <f>Valores!$C$16</f>
        <v>23436.25</v>
      </c>
      <c r="P183" s="125">
        <f>Valores!$D$5</f>
        <v>13864.36</v>
      </c>
      <c r="Q183" s="125">
        <f>Valores!$C$23</f>
        <v>11512.45</v>
      </c>
      <c r="R183" s="125">
        <f>IF($F$4="NO",Valores!$C$47,Valores!$C$47/2)</f>
        <v>14493.86</v>
      </c>
      <c r="S183" s="125">
        <f>Valores!$C$19</f>
        <v>12901.01</v>
      </c>
      <c r="T183" s="125">
        <f t="shared" si="25"/>
        <v>12901.01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Valores!$C$96</f>
        <v>12637.52</v>
      </c>
      <c r="AA183" s="125">
        <f>Valores!$C$25</f>
        <v>567.06</v>
      </c>
      <c r="AB183" s="214">
        <v>0</v>
      </c>
      <c r="AC183" s="125">
        <f t="shared" si="20"/>
        <v>0</v>
      </c>
      <c r="AD183" s="125">
        <f>Valores!$C$26</f>
        <v>567.06</v>
      </c>
      <c r="AE183" s="192">
        <v>0</v>
      </c>
      <c r="AF183" s="125">
        <f>ROUND(AE183*Valores!$C$2,2)</f>
        <v>0</v>
      </c>
      <c r="AG183" s="125">
        <f>ROUND(IF($F$4="NO",Valores!$C$63,Valores!$C$63/2),2)</f>
        <v>6482.98</v>
      </c>
      <c r="AH183" s="125">
        <f t="shared" si="23"/>
        <v>151441.66</v>
      </c>
      <c r="AI183" s="125">
        <f>Valores!$C$31</f>
        <v>0</v>
      </c>
      <c r="AJ183" s="125">
        <f>Valores!$C$89</f>
        <v>0</v>
      </c>
      <c r="AK183" s="125">
        <f>Valores!C$38*B183</f>
        <v>30000</v>
      </c>
      <c r="AL183" s="125">
        <f>IF($F$3="NO",0,Valores!$C$55)</f>
        <v>327.6</v>
      </c>
      <c r="AM183" s="125">
        <f t="shared" si="21"/>
        <v>30327.6</v>
      </c>
      <c r="AN183" s="125">
        <f>AH183*Valores!$C$71</f>
        <v>-16658.5826</v>
      </c>
      <c r="AO183" s="125">
        <f>AH183*-Valores!$C$72</f>
        <v>0</v>
      </c>
      <c r="AP183" s="125">
        <f>AH183*Valores!$C$73</f>
        <v>-6814.8747</v>
      </c>
      <c r="AQ183" s="125">
        <f>Valores!$C$100</f>
        <v>-280.91</v>
      </c>
      <c r="AR183" s="125">
        <f>IF($F$5=0,Valores!$C$101,(Valores!$C$101+$F$5*(Valores!$C$101)))</f>
        <v>-385</v>
      </c>
      <c r="AS183" s="125">
        <f t="shared" si="24"/>
        <v>157629.8927</v>
      </c>
      <c r="AT183" s="125">
        <f t="shared" si="18"/>
        <v>-16658.5826</v>
      </c>
      <c r="AU183" s="125">
        <f>AH183*Valores!$C$74</f>
        <v>-4088.92482</v>
      </c>
      <c r="AV183" s="125">
        <f>AH183*Valores!$C$75</f>
        <v>-454.32498000000004</v>
      </c>
      <c r="AW183" s="125">
        <f t="shared" si="22"/>
        <v>160567.4276</v>
      </c>
      <c r="AX183" s="126"/>
      <c r="AY183" s="126">
        <v>18</v>
      </c>
      <c r="AZ183" s="123" t="s">
        <v>4</v>
      </c>
    </row>
    <row r="184" spans="1:52" s="110" customFormat="1" ht="11.25" customHeight="1">
      <c r="A184" s="123" t="s">
        <v>456</v>
      </c>
      <c r="B184" s="123">
        <v>1</v>
      </c>
      <c r="C184" s="126">
        <v>177</v>
      </c>
      <c r="D184" s="124" t="s">
        <v>457</v>
      </c>
      <c r="E184" s="192">
        <v>179</v>
      </c>
      <c r="F184" s="125">
        <f>ROUND(E184*Valores!$C$2,2)</f>
        <v>4854.69</v>
      </c>
      <c r="G184" s="192">
        <f>1323</f>
        <v>1323</v>
      </c>
      <c r="H184" s="125">
        <f>ROUND(G184*Valores!$C$2,2)</f>
        <v>35881.35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35257.56</v>
      </c>
      <c r="M184" s="125">
        <f>ROUND(IF($H$2=0,IF(AND(A184&lt;&gt;"13-930",A184&lt;&gt;"13-940"),(SUM(F184,H184,J184,L184,X184,T184,R184)*Valores!$C$4),0),0),2)</f>
        <v>15508.27</v>
      </c>
      <c r="N184" s="125">
        <f t="shared" si="19"/>
        <v>0</v>
      </c>
      <c r="O184" s="125">
        <f>Valores!$C$9</f>
        <v>29939.09</v>
      </c>
      <c r="P184" s="125">
        <f>Valores!$D$5</f>
        <v>13864.36</v>
      </c>
      <c r="Q184" s="125">
        <f>Valores!$C$22</f>
        <v>12369.22</v>
      </c>
      <c r="R184" s="125">
        <f>IF($F$4="NO",Valores!$C$47,Valores!$C$47/2)</f>
        <v>14493.86</v>
      </c>
      <c r="S184" s="125">
        <f>Valores!$C$19</f>
        <v>12901.01</v>
      </c>
      <c r="T184" s="125">
        <f t="shared" si="25"/>
        <v>12901.01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Valores!$C$96</f>
        <v>12637.52</v>
      </c>
      <c r="AA184" s="125">
        <f>Valores!$C$25</f>
        <v>567.06</v>
      </c>
      <c r="AB184" s="214">
        <v>0</v>
      </c>
      <c r="AC184" s="125">
        <f t="shared" si="20"/>
        <v>0</v>
      </c>
      <c r="AD184" s="125">
        <f>Valores!$C$26</f>
        <v>567.06</v>
      </c>
      <c r="AE184" s="192">
        <v>0</v>
      </c>
      <c r="AF184" s="125">
        <f>ROUND(AE184*Valores!$C$2,2)</f>
        <v>0</v>
      </c>
      <c r="AG184" s="125">
        <f>ROUND(IF($F$4="NO",Valores!$C$63,Valores!$C$63/2),2)</f>
        <v>6482.98</v>
      </c>
      <c r="AH184" s="125">
        <f t="shared" si="23"/>
        <v>195324.03000000003</v>
      </c>
      <c r="AI184" s="125">
        <f>Valores!$C$31</f>
        <v>0</v>
      </c>
      <c r="AJ184" s="125">
        <f>Valores!$C$89</f>
        <v>0</v>
      </c>
      <c r="AK184" s="125">
        <f>Valores!C$38*B184</f>
        <v>30000</v>
      </c>
      <c r="AL184" s="125">
        <v>0</v>
      </c>
      <c r="AM184" s="125">
        <f t="shared" si="21"/>
        <v>30000</v>
      </c>
      <c r="AN184" s="125">
        <f>AH184*Valores!$C$71</f>
        <v>-21485.643300000003</v>
      </c>
      <c r="AO184" s="125">
        <f>AH184*-Valores!$C$72</f>
        <v>0</v>
      </c>
      <c r="AP184" s="125">
        <f>AH184*Valores!$C$73</f>
        <v>-8789.58135</v>
      </c>
      <c r="AQ184" s="125">
        <f>Valores!$C$100</f>
        <v>-280.91</v>
      </c>
      <c r="AR184" s="125">
        <f>IF($F$5=0,Valores!$C$101,(Valores!$C$101+$F$5*(Valores!$C$101)))</f>
        <v>-385</v>
      </c>
      <c r="AS184" s="125">
        <f t="shared" si="24"/>
        <v>194382.89535000004</v>
      </c>
      <c r="AT184" s="125">
        <f t="shared" si="18"/>
        <v>-21485.643300000003</v>
      </c>
      <c r="AU184" s="125">
        <f>AH184*Valores!$C$74</f>
        <v>-5273.748810000001</v>
      </c>
      <c r="AV184" s="125">
        <f>AH184*Valores!$C$75</f>
        <v>-585.9720900000001</v>
      </c>
      <c r="AW184" s="125">
        <f t="shared" si="22"/>
        <v>197978.66580000002</v>
      </c>
      <c r="AX184" s="126"/>
      <c r="AY184" s="126">
        <v>45</v>
      </c>
      <c r="AZ184" s="123" t="s">
        <v>4</v>
      </c>
    </row>
    <row r="185" spans="1:52" s="110" customFormat="1" ht="11.25" customHeight="1">
      <c r="A185" s="123" t="s">
        <v>458</v>
      </c>
      <c r="B185" s="123">
        <v>1</v>
      </c>
      <c r="C185" s="126">
        <v>178</v>
      </c>
      <c r="D185" s="124" t="s">
        <v>459</v>
      </c>
      <c r="E185" s="192">
        <v>64</v>
      </c>
      <c r="F185" s="125">
        <f>ROUND(E185*Valores!$C$2,2)</f>
        <v>1735.76</v>
      </c>
      <c r="G185" s="192">
        <v>1354</v>
      </c>
      <c r="H185" s="125">
        <f>ROUND(G185*Valores!$C$2,2)</f>
        <v>36722.1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32545.44</v>
      </c>
      <c r="M185" s="125">
        <f>ROUND(IF($H$2=0,IF(AND(A185&lt;&gt;"13-930",A185&lt;&gt;"13-940"),(SUM(F185,H185,J185,L185,X185,T185,R185)*Valores!$C$4),0),0),2)</f>
        <v>14739.94</v>
      </c>
      <c r="N185" s="125">
        <f t="shared" si="19"/>
        <v>0</v>
      </c>
      <c r="O185" s="125">
        <f>Valores!$C$14</f>
        <v>24936.25</v>
      </c>
      <c r="P185" s="125">
        <f>Valores!$D$5</f>
        <v>13864.36</v>
      </c>
      <c r="Q185" s="125">
        <v>0</v>
      </c>
      <c r="R185" s="125">
        <f>IF($F$4="NO",Valores!$C$47,Valores!$C$47/2)</f>
        <v>14493.86</v>
      </c>
      <c r="S185" s="125">
        <f>Valores!$C$20</f>
        <v>12769.11</v>
      </c>
      <c r="T185" s="125">
        <f t="shared" si="25"/>
        <v>12769.11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Valores!$C$96</f>
        <v>12637.52</v>
      </c>
      <c r="AA185" s="125">
        <f>Valores!$C$25</f>
        <v>567.06</v>
      </c>
      <c r="AB185" s="214">
        <v>0</v>
      </c>
      <c r="AC185" s="125">
        <f t="shared" si="20"/>
        <v>0</v>
      </c>
      <c r="AD185" s="125">
        <f>Valores!$C$26</f>
        <v>567.06</v>
      </c>
      <c r="AE185" s="192">
        <v>0</v>
      </c>
      <c r="AF185" s="125">
        <f>ROUND(AE185*Valores!$C$2,2)</f>
        <v>0</v>
      </c>
      <c r="AG185" s="125">
        <f>ROUND(IF($F$4="NO",Valores!$C$63,Valores!$C$63/2),2)</f>
        <v>6482.98</v>
      </c>
      <c r="AH185" s="125">
        <f t="shared" si="23"/>
        <v>172061.44</v>
      </c>
      <c r="AI185" s="125">
        <f>Valores!$C$31</f>
        <v>0</v>
      </c>
      <c r="AJ185" s="125">
        <f>Valores!$C$89</f>
        <v>0</v>
      </c>
      <c r="AK185" s="125">
        <f>Valores!C$38*B185</f>
        <v>30000</v>
      </c>
      <c r="AL185" s="125">
        <v>0</v>
      </c>
      <c r="AM185" s="125">
        <f t="shared" si="21"/>
        <v>30000</v>
      </c>
      <c r="AN185" s="125">
        <f>AH185*Valores!$C$71</f>
        <v>-18926.7584</v>
      </c>
      <c r="AO185" s="125">
        <f>AH185*-Valores!$C$72</f>
        <v>0</v>
      </c>
      <c r="AP185" s="125">
        <f>AH185*Valores!$C$73</f>
        <v>-7742.7648</v>
      </c>
      <c r="AQ185" s="125">
        <f>Valores!$C$100</f>
        <v>-280.91</v>
      </c>
      <c r="AR185" s="125">
        <f>IF($F$5=0,Valores!$C$101,(Valores!$C$101+$F$5*(Valores!$C$101)))</f>
        <v>-385</v>
      </c>
      <c r="AS185" s="125">
        <f t="shared" si="24"/>
        <v>174726.0068</v>
      </c>
      <c r="AT185" s="125">
        <f t="shared" si="18"/>
        <v>-18926.7584</v>
      </c>
      <c r="AU185" s="125">
        <f>AH185*Valores!$C$74</f>
        <v>-4645.65888</v>
      </c>
      <c r="AV185" s="125">
        <f>AH185*Valores!$C$75</f>
        <v>-516.1843200000001</v>
      </c>
      <c r="AW185" s="125">
        <f t="shared" si="22"/>
        <v>177972.8384</v>
      </c>
      <c r="AX185" s="126"/>
      <c r="AY185" s="126">
        <v>30</v>
      </c>
      <c r="AZ185" s="123" t="s">
        <v>8</v>
      </c>
    </row>
    <row r="186" spans="1:52" s="110" customFormat="1" ht="11.25" customHeight="1">
      <c r="A186" s="123" t="s">
        <v>460</v>
      </c>
      <c r="B186" s="123">
        <v>1</v>
      </c>
      <c r="C186" s="126">
        <v>179</v>
      </c>
      <c r="D186" s="124" t="s">
        <v>461</v>
      </c>
      <c r="E186" s="192">
        <v>55</v>
      </c>
      <c r="F186" s="125">
        <f>ROUND(E186*Valores!$C$2,2)</f>
        <v>1491.67</v>
      </c>
      <c r="G186" s="192">
        <v>1279</v>
      </c>
      <c r="H186" s="125">
        <f>ROUND(G186*Valores!$C$2,2)</f>
        <v>34688.01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32545.44</v>
      </c>
      <c r="M186" s="125">
        <f>ROUND(IF($H$2=0,IF(AND(A186&lt;&gt;"13-930",A186&lt;&gt;"13-940"),(SUM(F186,H186,J186,L186,X186,T186,R186)*Valores!$C$4),0),0),2)</f>
        <v>14418</v>
      </c>
      <c r="N186" s="125">
        <f t="shared" si="19"/>
        <v>0</v>
      </c>
      <c r="O186" s="125">
        <f>Valores!$C$16</f>
        <v>23436.25</v>
      </c>
      <c r="P186" s="125">
        <f>Valores!$D$5</f>
        <v>13864.36</v>
      </c>
      <c r="Q186" s="125">
        <v>0</v>
      </c>
      <c r="R186" s="125">
        <f>IF($F$4="NO",Valores!$C$47,Valores!$C$47/2)</f>
        <v>14493.86</v>
      </c>
      <c r="S186" s="125">
        <f>Valores!$C$19</f>
        <v>12901.01</v>
      </c>
      <c r="T186" s="125">
        <f t="shared" si="25"/>
        <v>12901.01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Valores!$C$96</f>
        <v>12637.52</v>
      </c>
      <c r="AA186" s="125">
        <f>Valores!$C$25</f>
        <v>567.06</v>
      </c>
      <c r="AB186" s="214">
        <v>0</v>
      </c>
      <c r="AC186" s="125">
        <f t="shared" si="20"/>
        <v>0</v>
      </c>
      <c r="AD186" s="125">
        <f>Valores!$C$26</f>
        <v>567.06</v>
      </c>
      <c r="AE186" s="192">
        <v>0</v>
      </c>
      <c r="AF186" s="125">
        <f>ROUND(AE186*Valores!$C$2,2)</f>
        <v>0</v>
      </c>
      <c r="AG186" s="125">
        <f>ROUND(IF($F$4="NO",Valores!$C$63,Valores!$C$63/2),2)</f>
        <v>6482.98</v>
      </c>
      <c r="AH186" s="125">
        <f t="shared" si="23"/>
        <v>168093.22</v>
      </c>
      <c r="AI186" s="125">
        <f>Valores!$C$31</f>
        <v>0</v>
      </c>
      <c r="AJ186" s="125">
        <f>Valores!$C$89</f>
        <v>0</v>
      </c>
      <c r="AK186" s="125">
        <f>Valores!C$38*B186</f>
        <v>30000</v>
      </c>
      <c r="AL186" s="125">
        <v>0</v>
      </c>
      <c r="AM186" s="125">
        <f t="shared" si="21"/>
        <v>30000</v>
      </c>
      <c r="AN186" s="125">
        <f>AH186*Valores!$C$71</f>
        <v>-18490.2542</v>
      </c>
      <c r="AO186" s="125">
        <f>AH186*-Valores!$C$72</f>
        <v>0</v>
      </c>
      <c r="AP186" s="125">
        <f>AH186*Valores!$C$73</f>
        <v>-7564.1948999999995</v>
      </c>
      <c r="AQ186" s="125">
        <f>Valores!$C$100</f>
        <v>-280.91</v>
      </c>
      <c r="AR186" s="125">
        <f>IF($F$5=0,Valores!$C$101,(Valores!$C$101+$F$5*(Valores!$C$101)))</f>
        <v>-385</v>
      </c>
      <c r="AS186" s="125">
        <f t="shared" si="24"/>
        <v>171372.8609</v>
      </c>
      <c r="AT186" s="125">
        <f t="shared" si="18"/>
        <v>-18490.2542</v>
      </c>
      <c r="AU186" s="125">
        <f>AH186*Valores!$C$74</f>
        <v>-4538.51694</v>
      </c>
      <c r="AV186" s="125">
        <f>AH186*Valores!$C$75</f>
        <v>-504.27966000000004</v>
      </c>
      <c r="AW186" s="125">
        <f t="shared" si="22"/>
        <v>174560.1692</v>
      </c>
      <c r="AX186" s="126"/>
      <c r="AY186" s="126">
        <v>30</v>
      </c>
      <c r="AZ186" s="123" t="s">
        <v>8</v>
      </c>
    </row>
    <row r="187" spans="1:52" s="110" customFormat="1" ht="11.25" customHeight="1">
      <c r="A187" s="123" t="s">
        <v>462</v>
      </c>
      <c r="B187" s="123">
        <v>1</v>
      </c>
      <c r="C187" s="126">
        <v>180</v>
      </c>
      <c r="D187" s="124" t="s">
        <v>463</v>
      </c>
      <c r="E187" s="192">
        <v>1027</v>
      </c>
      <c r="F187" s="125">
        <f>ROUND(E187*Valores!$C$2,2)</f>
        <v>27853.47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32545.44</v>
      </c>
      <c r="M187" s="125">
        <f>ROUND(IF($H$2=0,IF(AND(A187&lt;&gt;"13-930",A187&lt;&gt;"13-940"),(SUM(F187,H187,J187,L187,X187,T187,R187)*Valores!$C$4),0),0),2)</f>
        <v>13149.28</v>
      </c>
      <c r="N187" s="125">
        <f t="shared" si="19"/>
        <v>0</v>
      </c>
      <c r="O187" s="125">
        <f>Valores!$C$16</f>
        <v>23436.25</v>
      </c>
      <c r="P187" s="125">
        <f>Valores!$D$5</f>
        <v>13864.36</v>
      </c>
      <c r="Q187" s="125">
        <v>0</v>
      </c>
      <c r="R187" s="125">
        <f>IF($F$4="NO",Valores!$C$47,Valores!$C$47/2)</f>
        <v>14493.86</v>
      </c>
      <c r="S187" s="125">
        <f>Valores!$C$20</f>
        <v>12769.11</v>
      </c>
      <c r="T187" s="125">
        <f t="shared" si="25"/>
        <v>12769.11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Valores!$C$96</f>
        <v>12637.52</v>
      </c>
      <c r="AA187" s="125">
        <f>Valores!$C$25</f>
        <v>567.06</v>
      </c>
      <c r="AB187" s="214">
        <v>0</v>
      </c>
      <c r="AC187" s="125">
        <f t="shared" si="20"/>
        <v>0</v>
      </c>
      <c r="AD187" s="125">
        <f>Valores!$C$26</f>
        <v>567.06</v>
      </c>
      <c r="AE187" s="192">
        <v>0</v>
      </c>
      <c r="AF187" s="125">
        <f>ROUND(AE187*Valores!$C$2,2)</f>
        <v>0</v>
      </c>
      <c r="AG187" s="125">
        <f>ROUND(IF($F$4="NO",Valores!$C$63,Valores!$C$63/2),2)</f>
        <v>6482.98</v>
      </c>
      <c r="AH187" s="125">
        <f t="shared" si="23"/>
        <v>158366.39</v>
      </c>
      <c r="AI187" s="125">
        <f>Valores!$C$31</f>
        <v>0</v>
      </c>
      <c r="AJ187" s="125">
        <f>Valores!$C$89</f>
        <v>0</v>
      </c>
      <c r="AK187" s="125">
        <f>Valores!C$38*B187</f>
        <v>30000</v>
      </c>
      <c r="AL187" s="125">
        <v>0</v>
      </c>
      <c r="AM187" s="125">
        <f t="shared" si="21"/>
        <v>30000</v>
      </c>
      <c r="AN187" s="125">
        <f>AH187*Valores!$C$71</f>
        <v>-17420.302900000002</v>
      </c>
      <c r="AO187" s="125">
        <f>AH187*-Valores!$C$72</f>
        <v>0</v>
      </c>
      <c r="AP187" s="125">
        <f>AH187*Valores!$C$73</f>
        <v>-7126.487550000001</v>
      </c>
      <c r="AQ187" s="125">
        <f>Valores!$C$100</f>
        <v>-280.91</v>
      </c>
      <c r="AR187" s="125">
        <f>IF($F$5=0,Valores!$C$101,(Valores!$C$101+$F$5*(Valores!$C$101)))</f>
        <v>-385</v>
      </c>
      <c r="AS187" s="125">
        <f t="shared" si="24"/>
        <v>163153.68955</v>
      </c>
      <c r="AT187" s="125">
        <f t="shared" si="18"/>
        <v>-17420.302900000002</v>
      </c>
      <c r="AU187" s="125">
        <f>AH187*Valores!$C$74</f>
        <v>-4275.89253</v>
      </c>
      <c r="AV187" s="125">
        <f>AH187*Valores!$C$75</f>
        <v>-475.0991700000001</v>
      </c>
      <c r="AW187" s="125">
        <f t="shared" si="22"/>
        <v>166195.09540000002</v>
      </c>
      <c r="AX187" s="126"/>
      <c r="AY187" s="126">
        <v>30</v>
      </c>
      <c r="AZ187" s="123" t="s">
        <v>8</v>
      </c>
    </row>
    <row r="188" spans="1:52" s="110" customFormat="1" ht="11.25" customHeight="1">
      <c r="A188" s="123" t="s">
        <v>464</v>
      </c>
      <c r="B188" s="123">
        <v>1</v>
      </c>
      <c r="C188" s="126">
        <v>181</v>
      </c>
      <c r="D188" s="124" t="s">
        <v>465</v>
      </c>
      <c r="E188" s="192">
        <v>1278</v>
      </c>
      <c r="F188" s="125">
        <f>ROUND(E188*Valores!$C$2,2)</f>
        <v>34660.89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32545.44</v>
      </c>
      <c r="M188" s="125">
        <f>ROUND(IF($H$2=0,IF(AND(A188&lt;&gt;"13-930",A188&lt;&gt;"13-940"),(SUM(F188,H188,J188,L188,X188,T188,R188)*Valores!$C$4),0),0),2)</f>
        <v>14190.18</v>
      </c>
      <c r="N188" s="125">
        <f t="shared" si="19"/>
        <v>0</v>
      </c>
      <c r="O188" s="125">
        <f>Valores!$C$16</f>
        <v>23436.25</v>
      </c>
      <c r="P188" s="125">
        <f>Valores!$D$5</f>
        <v>13864.36</v>
      </c>
      <c r="Q188" s="125">
        <f>Valores!$C$22</f>
        <v>12369.22</v>
      </c>
      <c r="R188" s="125">
        <f>IF($F$4="NO",Valores!$C$47,Valores!$C$47/2)</f>
        <v>14493.86</v>
      </c>
      <c r="S188" s="125">
        <f>Valores!$C$19</f>
        <v>12901.01</v>
      </c>
      <c r="T188" s="125">
        <f t="shared" si="25"/>
        <v>12901.01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Valores!$C$96</f>
        <v>12637.52</v>
      </c>
      <c r="AA188" s="125">
        <f>Valores!$C$25</f>
        <v>567.06</v>
      </c>
      <c r="AB188" s="214">
        <v>0</v>
      </c>
      <c r="AC188" s="125">
        <f t="shared" si="20"/>
        <v>0</v>
      </c>
      <c r="AD188" s="125">
        <f>Valores!$C$26</f>
        <v>567.06</v>
      </c>
      <c r="AE188" s="192">
        <v>0</v>
      </c>
      <c r="AF188" s="125">
        <f>ROUND(AE188*Valores!$C$2,2)</f>
        <v>0</v>
      </c>
      <c r="AG188" s="125">
        <f>ROUND(IF($F$4="NO",Valores!$C$63,Valores!$C$63/2),2)</f>
        <v>6482.98</v>
      </c>
      <c r="AH188" s="125">
        <f t="shared" si="23"/>
        <v>178715.83000000002</v>
      </c>
      <c r="AI188" s="125">
        <f>Valores!$C$31</f>
        <v>0</v>
      </c>
      <c r="AJ188" s="125">
        <f>Valores!$C$89</f>
        <v>0</v>
      </c>
      <c r="AK188" s="125">
        <f>Valores!C$38*B188</f>
        <v>30000</v>
      </c>
      <c r="AL188" s="125">
        <f>IF($F$3="NO",0,Valores!$C$55)</f>
        <v>327.6</v>
      </c>
      <c r="AM188" s="125">
        <f t="shared" si="21"/>
        <v>30327.6</v>
      </c>
      <c r="AN188" s="125">
        <f>AH188*Valores!$C$71</f>
        <v>-19658.7413</v>
      </c>
      <c r="AO188" s="125">
        <f>AH188*-Valores!$C$72</f>
        <v>0</v>
      </c>
      <c r="AP188" s="125">
        <f>AH188*Valores!$C$73</f>
        <v>-8042.212350000001</v>
      </c>
      <c r="AQ188" s="125">
        <f>Valores!$C$100</f>
        <v>-280.91</v>
      </c>
      <c r="AR188" s="125">
        <f>IF($F$5=0,Valores!$C$101,(Valores!$C$101+$F$5*(Valores!$C$101)))</f>
        <v>-385</v>
      </c>
      <c r="AS188" s="125">
        <f t="shared" si="24"/>
        <v>180676.56635</v>
      </c>
      <c r="AT188" s="125">
        <f t="shared" si="18"/>
        <v>-19658.7413</v>
      </c>
      <c r="AU188" s="125">
        <f>AH188*Valores!$C$74</f>
        <v>-4825.327410000001</v>
      </c>
      <c r="AV188" s="125">
        <f>AH188*Valores!$C$75</f>
        <v>-536.1474900000001</v>
      </c>
      <c r="AW188" s="125">
        <f t="shared" si="22"/>
        <v>184023.21380000003</v>
      </c>
      <c r="AX188" s="126"/>
      <c r="AY188" s="126">
        <v>36</v>
      </c>
      <c r="AZ188" s="123" t="s">
        <v>4</v>
      </c>
    </row>
    <row r="189" spans="1:52" s="110" customFormat="1" ht="11.25" customHeight="1">
      <c r="A189" s="123" t="s">
        <v>466</v>
      </c>
      <c r="B189" s="123">
        <v>1</v>
      </c>
      <c r="C189" s="126">
        <v>182</v>
      </c>
      <c r="D189" s="124" t="s">
        <v>467</v>
      </c>
      <c r="E189" s="192">
        <v>1065</v>
      </c>
      <c r="F189" s="125">
        <f>ROUND(E189*Valores!$C$2,2)</f>
        <v>28884.08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16272.72</v>
      </c>
      <c r="M189" s="125">
        <f>ROUND(IF($H$2=0,IF(AND(A189&lt;&gt;"13-930",A189&lt;&gt;"13-940"),(SUM(F189,H189,J189,L189,X189,T189,R189)*Valores!$C$4),0),0),2)</f>
        <v>10882.75</v>
      </c>
      <c r="N189" s="125">
        <f t="shared" si="19"/>
        <v>0</v>
      </c>
      <c r="O189" s="125">
        <f>Valores!$C$16</f>
        <v>23436.25</v>
      </c>
      <c r="P189" s="125">
        <f>Valores!$D$5</f>
        <v>13864.36</v>
      </c>
      <c r="Q189" s="125">
        <v>0</v>
      </c>
      <c r="R189" s="125">
        <f>IF($F$4="NO",Valores!$C$47,Valores!$C$47/2)</f>
        <v>14493.86</v>
      </c>
      <c r="S189" s="125">
        <f>Valores!$C$19</f>
        <v>12901.01</v>
      </c>
      <c r="T189" s="125">
        <f t="shared" si="25"/>
        <v>12901.01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Valores!$C$96</f>
        <v>12637.52</v>
      </c>
      <c r="AA189" s="125">
        <f>Valores!$C$25</f>
        <v>567.06</v>
      </c>
      <c r="AB189" s="214">
        <v>0</v>
      </c>
      <c r="AC189" s="125">
        <f t="shared" si="20"/>
        <v>0</v>
      </c>
      <c r="AD189" s="125">
        <f>Valores!$C$26</f>
        <v>567.06</v>
      </c>
      <c r="AE189" s="192">
        <v>0</v>
      </c>
      <c r="AF189" s="125">
        <f>ROUND(AE189*Valores!$C$2,2)</f>
        <v>0</v>
      </c>
      <c r="AG189" s="125">
        <f>ROUND(IF($F$4="NO",Valores!$C$63,Valores!$C$63/2),2)</f>
        <v>6482.98</v>
      </c>
      <c r="AH189" s="125">
        <f t="shared" si="23"/>
        <v>140989.65</v>
      </c>
      <c r="AI189" s="125">
        <f>Valores!$C$31</f>
        <v>0</v>
      </c>
      <c r="AJ189" s="125">
        <f>Valores!$C$89</f>
        <v>0</v>
      </c>
      <c r="AK189" s="125">
        <f>Valores!C$38*B189</f>
        <v>30000</v>
      </c>
      <c r="AL189" s="125">
        <f>IF($F$3="NO",0,Valores!$C$55)</f>
        <v>327.6</v>
      </c>
      <c r="AM189" s="125">
        <f t="shared" si="21"/>
        <v>30327.6</v>
      </c>
      <c r="AN189" s="125">
        <f>AH189*Valores!$C$71</f>
        <v>-15508.861499999999</v>
      </c>
      <c r="AO189" s="125">
        <f>AH189*-Valores!$C$72</f>
        <v>0</v>
      </c>
      <c r="AP189" s="125">
        <f>AH189*Valores!$C$73</f>
        <v>-6344.53425</v>
      </c>
      <c r="AQ189" s="125">
        <f>Valores!$C$100</f>
        <v>-280.91</v>
      </c>
      <c r="AR189" s="125">
        <f>IF($F$5=0,Valores!$C$101,(Valores!$C$101+$F$5*(Valores!$C$101)))</f>
        <v>-385</v>
      </c>
      <c r="AS189" s="125">
        <f t="shared" si="24"/>
        <v>148797.94425</v>
      </c>
      <c r="AT189" s="125">
        <f t="shared" si="18"/>
        <v>-15508.861499999999</v>
      </c>
      <c r="AU189" s="125">
        <f>AH189*Valores!$C$74</f>
        <v>-3806.72055</v>
      </c>
      <c r="AV189" s="125">
        <f>AH189*Valores!$C$75</f>
        <v>-422.96895</v>
      </c>
      <c r="AW189" s="125">
        <f t="shared" si="22"/>
        <v>151578.699</v>
      </c>
      <c r="AX189" s="126"/>
      <c r="AY189" s="126"/>
      <c r="AZ189" s="123" t="s">
        <v>4</v>
      </c>
    </row>
    <row r="190" spans="1:52" s="110" customFormat="1" ht="12" customHeight="1">
      <c r="A190" s="123" t="s">
        <v>468</v>
      </c>
      <c r="B190" s="123">
        <v>1</v>
      </c>
      <c r="C190" s="126">
        <v>183</v>
      </c>
      <c r="D190" s="124" t="s">
        <v>469</v>
      </c>
      <c r="E190" s="192">
        <v>971</v>
      </c>
      <c r="F190" s="125">
        <f>ROUND(E190*Valores!$C$2,2)</f>
        <v>26334.69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17899.99</v>
      </c>
      <c r="M190" s="125">
        <f>ROUND(IF($H$2=0,IF(AND(A190&lt;&gt;"13-930",A190&lt;&gt;"13-940"),(SUM(F190,H190,J190,L190,X190,T190,R190)*Valores!$C$4),0),0),2)</f>
        <v>10015.07</v>
      </c>
      <c r="N190" s="125">
        <f t="shared" si="19"/>
        <v>0</v>
      </c>
      <c r="O190" s="125">
        <f>Valores!$C$16</f>
        <v>23436.25</v>
      </c>
      <c r="P190" s="125">
        <f>Valores!$D$5</f>
        <v>13864.36</v>
      </c>
      <c r="Q190" s="125">
        <f>Valores!$C$23</f>
        <v>11512.45</v>
      </c>
      <c r="R190" s="125">
        <f>IF($F$4="NO",Valores!$C$44,Valores!$C$44/2)</f>
        <v>9631.44</v>
      </c>
      <c r="S190" s="125">
        <f>Valores!$C$19</f>
        <v>12901.01</v>
      </c>
      <c r="T190" s="125">
        <f t="shared" si="25"/>
        <v>12901.01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Valores!$C$94</f>
        <v>6318.76</v>
      </c>
      <c r="AA190" s="125">
        <f>Valores!$C$25</f>
        <v>567.06</v>
      </c>
      <c r="AB190" s="214">
        <v>0</v>
      </c>
      <c r="AC190" s="125">
        <f t="shared" si="20"/>
        <v>0</v>
      </c>
      <c r="AD190" s="125">
        <f>Valores!$C$26</f>
        <v>567.06</v>
      </c>
      <c r="AE190" s="192">
        <v>0</v>
      </c>
      <c r="AF190" s="125">
        <f>ROUND(AE190*Valores!$C$2,2)</f>
        <v>0</v>
      </c>
      <c r="AG190" s="125">
        <f>ROUND(IF($F$4="NO",Valores!$C$63,Valores!$C$63/2),2)</f>
        <v>6482.98</v>
      </c>
      <c r="AH190" s="125">
        <f t="shared" si="23"/>
        <v>139531.12</v>
      </c>
      <c r="AI190" s="125">
        <f>Valores!$C$31</f>
        <v>0</v>
      </c>
      <c r="AJ190" s="125">
        <f>Valores!$C$87</f>
        <v>0</v>
      </c>
      <c r="AK190" s="125">
        <f>Valores!C$38*B190</f>
        <v>30000</v>
      </c>
      <c r="AL190" s="125">
        <v>0</v>
      </c>
      <c r="AM190" s="125">
        <f t="shared" si="21"/>
        <v>30000</v>
      </c>
      <c r="AN190" s="125">
        <f>AH190*Valores!$C$71</f>
        <v>-15348.4232</v>
      </c>
      <c r="AO190" s="125">
        <f>AH190*-Valores!$C$72</f>
        <v>0</v>
      </c>
      <c r="AP190" s="125">
        <f>AH190*Valores!$C$73</f>
        <v>-6278.9003999999995</v>
      </c>
      <c r="AQ190" s="125">
        <f>Valores!$C$100</f>
        <v>-280.91</v>
      </c>
      <c r="AR190" s="125">
        <f>IF($F$5=0,Valores!$C$101,(Valores!$C$101+$F$5*(Valores!$C$101)))</f>
        <v>-385</v>
      </c>
      <c r="AS190" s="125">
        <f t="shared" si="24"/>
        <v>147237.8864</v>
      </c>
      <c r="AT190" s="125">
        <f t="shared" si="18"/>
        <v>-15348.4232</v>
      </c>
      <c r="AU190" s="125">
        <f>AH190*Valores!$C$74</f>
        <v>-3767.34024</v>
      </c>
      <c r="AV190" s="125">
        <f>AH190*Valores!$C$75</f>
        <v>-418.59336</v>
      </c>
      <c r="AW190" s="125">
        <f t="shared" si="22"/>
        <v>149996.7632</v>
      </c>
      <c r="AX190" s="126"/>
      <c r="AY190" s="126">
        <v>18</v>
      </c>
      <c r="AZ190" s="123" t="s">
        <v>4</v>
      </c>
    </row>
    <row r="191" spans="1:52" s="110" customFormat="1" ht="11.25" customHeight="1">
      <c r="A191" s="123" t="s">
        <v>470</v>
      </c>
      <c r="B191" s="123">
        <v>1</v>
      </c>
      <c r="C191" s="126">
        <v>184</v>
      </c>
      <c r="D191" s="124" t="str">
        <f aca="true" t="shared" si="26" ref="D191:D226">CONCATENATE("Hora Cátedra Enseñanza Superior ",B191," hs")</f>
        <v>Hora Cátedra Enseñanza Superior 1 hs</v>
      </c>
      <c r="E191" s="192">
        <f aca="true" t="shared" si="27" ref="E191:E226">99*B191</f>
        <v>99</v>
      </c>
      <c r="F191" s="125">
        <f>ROUND(E191*Valores!$C$2,2)</f>
        <v>2685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518.81</v>
      </c>
      <c r="N191" s="125">
        <f t="shared" si="19"/>
        <v>0</v>
      </c>
      <c r="O191" s="125">
        <f>Valores!$C$7*B191</f>
        <v>919.76</v>
      </c>
      <c r="P191" s="125">
        <f>ROUND(IF(B191&lt;15,(Valores!$E$5*B191),Valores!$D$5),2)</f>
        <v>924.29</v>
      </c>
      <c r="Q191" s="125">
        <v>0</v>
      </c>
      <c r="R191" s="125">
        <f>IF($F$4="NO",Valores!$C$49*B191,Valores!$C$49*B191/2)</f>
        <v>484.48</v>
      </c>
      <c r="S191" s="125">
        <f>Valores!$C$18*B191</f>
        <v>289.28</v>
      </c>
      <c r="T191" s="125">
        <f t="shared" si="25"/>
        <v>289.28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IF(Valores!$C$97*B191&gt;Valores!$C$96,Valores!$C$96,Valores!$C$97*B191)</f>
        <v>279.94</v>
      </c>
      <c r="AA191" s="125">
        <f>IF((Valores!$C$28)*B191&gt;Valores!$F$28,Valores!$F$28,(Valores!$C$28)*B191)</f>
        <v>22.72</v>
      </c>
      <c r="AB191" s="214">
        <v>0</v>
      </c>
      <c r="AC191" s="125">
        <f t="shared" si="20"/>
        <v>0</v>
      </c>
      <c r="AD191" s="125">
        <f>IF(Valores!$C$29*B191&gt;Valores!$F$29,Valores!$F$29,Valores!$C$29*B191)</f>
        <v>18.92</v>
      </c>
      <c r="AE191" s="192">
        <v>0</v>
      </c>
      <c r="AF191" s="125">
        <f>ROUND(AE191*Valores!$C$2,2)</f>
        <v>0</v>
      </c>
      <c r="AG191" s="125">
        <f>IF($F$4="NO",IF(Valores!$D$63*'Escala Docente'!B191&gt;Valores!$F$63,Valores!$F$63,Valores!$D$63*'Escala Docente'!B191),IF(Valores!$D$63*'Escala Docente'!B191&gt;Valores!$F$63,Valores!$F$63,Valores!$D$63*'Escala Docente'!B191)/2)</f>
        <v>432.2</v>
      </c>
      <c r="AH191" s="125">
        <f t="shared" si="23"/>
        <v>6575.4</v>
      </c>
      <c r="AI191" s="125">
        <f>IF(Valores!$C$32*B191&gt;Valores!$F$32,Valores!$F$32,Valores!$C$32*B191)</f>
        <v>0</v>
      </c>
      <c r="AJ191" s="125">
        <f>IF(Valores!$C$90*B191&gt;Valores!$C$89,Valores!$C$89,Valores!$C$90*B191)</f>
        <v>0</v>
      </c>
      <c r="AK191" s="125">
        <f>IF(Valores!C$39*B191&gt;Valores!F$38,Valores!F$38,Valores!C$39*B191)</f>
        <v>1000</v>
      </c>
      <c r="AL191" s="125">
        <f>IF($F$3="NO",0,IF(Valores!$C$61*B191&gt;Valores!$F$61,Valores!$F$61,Valores!$C$61*B191))</f>
        <v>14.195</v>
      </c>
      <c r="AM191" s="125">
        <f t="shared" si="21"/>
        <v>1014.195</v>
      </c>
      <c r="AN191" s="125">
        <f>AH191*Valores!$C$71</f>
        <v>-723.294</v>
      </c>
      <c r="AO191" s="125">
        <f>AH191*-Valores!$C$72</f>
        <v>0</v>
      </c>
      <c r="AP191" s="125">
        <f>AH191*Valores!$C$73</f>
        <v>-295.893</v>
      </c>
      <c r="AQ191" s="125">
        <f>Valores!$C$100</f>
        <v>-280.91</v>
      </c>
      <c r="AR191" s="125">
        <f>IF($F$5=0,Valores!$C$101,(Valores!$C$101+$F$5*(Valores!$C$101)))</f>
        <v>-385</v>
      </c>
      <c r="AS191" s="125">
        <f t="shared" si="24"/>
        <v>5904.498</v>
      </c>
      <c r="AT191" s="125">
        <f t="shared" si="18"/>
        <v>-723.294</v>
      </c>
      <c r="AU191" s="125">
        <f>AH191*Valores!$C$74</f>
        <v>-177.5358</v>
      </c>
      <c r="AV191" s="125">
        <f>AH191*Valores!$C$75</f>
        <v>-19.7262</v>
      </c>
      <c r="AW191" s="125">
        <f t="shared" si="22"/>
        <v>6669.039</v>
      </c>
      <c r="AX191" s="126"/>
      <c r="AY191" s="126">
        <f aca="true" t="shared" si="28" ref="AY191:AY222">1*B191</f>
        <v>1</v>
      </c>
      <c r="AZ191" s="123" t="s">
        <v>4</v>
      </c>
    </row>
    <row r="192" spans="1:52" s="110" customFormat="1" ht="11.25" customHeight="1">
      <c r="A192" s="123" t="s">
        <v>470</v>
      </c>
      <c r="B192" s="123">
        <v>2</v>
      </c>
      <c r="C192" s="126">
        <v>185</v>
      </c>
      <c r="D192" s="124" t="str">
        <f t="shared" si="26"/>
        <v>Hora Cátedra Enseñanza Superior 2 hs</v>
      </c>
      <c r="E192" s="192">
        <f t="shared" si="27"/>
        <v>198</v>
      </c>
      <c r="F192" s="125">
        <f>ROUND(E192*Valores!$C$2,2)</f>
        <v>5370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1037.63</v>
      </c>
      <c r="N192" s="125">
        <f t="shared" si="19"/>
        <v>0</v>
      </c>
      <c r="O192" s="125">
        <f>Valores!$C$7*B192</f>
        <v>1839.52</v>
      </c>
      <c r="P192" s="125">
        <f>ROUND(IF(B192&lt;15,(Valores!$E$5*B192),Valores!$D$5),2)</f>
        <v>1848.58</v>
      </c>
      <c r="Q192" s="125">
        <v>0</v>
      </c>
      <c r="R192" s="125">
        <f>IF($F$4="NO",Valores!$C$49*B192,Valores!$C$49*B192/2)</f>
        <v>968.96</v>
      </c>
      <c r="S192" s="125">
        <f>Valores!$C$18*B192</f>
        <v>578.56</v>
      </c>
      <c r="T192" s="125">
        <f t="shared" si="25"/>
        <v>578.56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IF(Valores!$C$97*B192&gt;Valores!$C$96,Valores!$C$96,Valores!$C$97*B192)</f>
        <v>559.88</v>
      </c>
      <c r="AA192" s="125">
        <f>IF((Valores!$C$28)*B192&gt;Valores!$F$28,Valores!$F$28,(Valores!$C$28)*B192)</f>
        <v>45.44</v>
      </c>
      <c r="AB192" s="214">
        <v>0</v>
      </c>
      <c r="AC192" s="125">
        <f t="shared" si="20"/>
        <v>0</v>
      </c>
      <c r="AD192" s="125">
        <f>IF(Valores!$C$29*B192&gt;Valores!$F$29,Valores!$F$29,Valores!$C$29*B192)</f>
        <v>37.84</v>
      </c>
      <c r="AE192" s="192">
        <v>0</v>
      </c>
      <c r="AF192" s="125">
        <f>ROUND(AE192*Valores!$C$2,2)</f>
        <v>0</v>
      </c>
      <c r="AG192" s="125">
        <f>IF($F$4="NO",IF(Valores!$D$63*'Escala Docente'!B192&gt;Valores!$F$63,Valores!$F$63,Valores!$D$63*'Escala Docente'!B192),IF(Valores!$D$63*'Escala Docente'!B192&gt;Valores!$F$63,Valores!$F$63,Valores!$D$63*'Escala Docente'!B192)/2)</f>
        <v>864.4</v>
      </c>
      <c r="AH192" s="125">
        <f t="shared" si="23"/>
        <v>13150.809999999998</v>
      </c>
      <c r="AI192" s="125">
        <f>IF(Valores!$C$32*B192&gt;Valores!$F$32,Valores!$F$32,Valores!$C$32*B192)</f>
        <v>0</v>
      </c>
      <c r="AJ192" s="125">
        <f>IF(Valores!$C$90*B192&gt;Valores!$C$89,Valores!$C$89,Valores!$C$90*B192)</f>
        <v>0</v>
      </c>
      <c r="AK192" s="125">
        <f>IF(Valores!C$39*B192&gt;Valores!F$38,Valores!F$38,Valores!C$39*B192)</f>
        <v>2000</v>
      </c>
      <c r="AL192" s="125">
        <f>IF($F$3="NO",0,IF(Valores!$C$61*B192&gt;Valores!$F$61,Valores!$F$61,Valores!$C$61*B192))</f>
        <v>28.39</v>
      </c>
      <c r="AM192" s="125">
        <f t="shared" si="21"/>
        <v>2028.39</v>
      </c>
      <c r="AN192" s="125">
        <f>AH192*Valores!$C$71</f>
        <v>-1446.5890999999997</v>
      </c>
      <c r="AO192" s="125">
        <f>AH192*-Valores!$C$72</f>
        <v>0</v>
      </c>
      <c r="AP192" s="125">
        <f>AH192*Valores!$C$73</f>
        <v>-591.7864499999998</v>
      </c>
      <c r="AQ192" s="125">
        <f>Valores!$C$100</f>
        <v>-280.91</v>
      </c>
      <c r="AR192" s="125">
        <f>IF($F$5=0,Valores!$C$101,(Valores!$C$101+$F$5*(Valores!$C$101)))</f>
        <v>-385</v>
      </c>
      <c r="AS192" s="125">
        <f t="shared" si="24"/>
        <v>12474.914449999998</v>
      </c>
      <c r="AT192" s="125">
        <f t="shared" si="18"/>
        <v>-1446.5890999999997</v>
      </c>
      <c r="AU192" s="125">
        <f>AH192*Valores!$C$74</f>
        <v>-355.07186999999993</v>
      </c>
      <c r="AV192" s="125">
        <f>AH192*Valores!$C$75</f>
        <v>-39.45242999999999</v>
      </c>
      <c r="AW192" s="125">
        <f t="shared" si="22"/>
        <v>13338.086599999997</v>
      </c>
      <c r="AX192" s="126"/>
      <c r="AY192" s="126">
        <f t="shared" si="28"/>
        <v>2</v>
      </c>
      <c r="AZ192" s="123" t="s">
        <v>4</v>
      </c>
    </row>
    <row r="193" spans="1:52" s="110" customFormat="1" ht="11.25" customHeight="1">
      <c r="A193" s="123" t="s">
        <v>470</v>
      </c>
      <c r="B193" s="123">
        <v>3</v>
      </c>
      <c r="C193" s="126">
        <v>186</v>
      </c>
      <c r="D193" s="124" t="str">
        <f t="shared" si="26"/>
        <v>Hora Cátedra Enseñanza Superior 3 hs</v>
      </c>
      <c r="E193" s="192">
        <f t="shared" si="27"/>
        <v>297</v>
      </c>
      <c r="F193" s="125">
        <f>ROUND(E193*Valores!$C$2,2)</f>
        <v>8055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1556.44</v>
      </c>
      <c r="N193" s="125">
        <f t="shared" si="19"/>
        <v>0</v>
      </c>
      <c r="O193" s="125">
        <f>Valores!$C$7*B193</f>
        <v>2759.2799999999997</v>
      </c>
      <c r="P193" s="125">
        <f>ROUND(IF(B193&lt;15,(Valores!$E$5*B193),Valores!$D$5),2)</f>
        <v>2772.87</v>
      </c>
      <c r="Q193" s="125">
        <v>0</v>
      </c>
      <c r="R193" s="125">
        <f>IF($F$4="NO",Valores!$C$49*B193,Valores!$C$49*B193/2)</f>
        <v>1453.44</v>
      </c>
      <c r="S193" s="125">
        <f>Valores!$C$18*B193</f>
        <v>867.8399999999999</v>
      </c>
      <c r="T193" s="125">
        <f t="shared" si="25"/>
        <v>867.84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IF(Valores!$C$97*B193&gt;Valores!$C$96,Valores!$C$96,Valores!$C$97*B193)</f>
        <v>839.8199999999999</v>
      </c>
      <c r="AA193" s="125">
        <f>IF((Valores!$C$28)*B193&gt;Valores!$F$28,Valores!$F$28,(Valores!$C$28)*B193)</f>
        <v>68.16</v>
      </c>
      <c r="AB193" s="214">
        <v>0</v>
      </c>
      <c r="AC193" s="125">
        <f t="shared" si="20"/>
        <v>0</v>
      </c>
      <c r="AD193" s="125">
        <f>IF(Valores!$C$29*B193&gt;Valores!$F$29,Valores!$F$29,Valores!$C$29*B193)</f>
        <v>56.760000000000005</v>
      </c>
      <c r="AE193" s="192">
        <v>0</v>
      </c>
      <c r="AF193" s="125">
        <f>ROUND(AE193*Valores!$C$2,2)</f>
        <v>0</v>
      </c>
      <c r="AG193" s="125">
        <f>IF($F$4="NO",IF(Valores!$D$63*'Escala Docente'!B193&gt;Valores!$F$63,Valores!$F$63,Valores!$D$63*'Escala Docente'!B193),IF(Valores!$D$63*'Escala Docente'!B193&gt;Valores!$F$63,Valores!$F$63,Valores!$D$63*'Escala Docente'!B193)/2)</f>
        <v>1296.6</v>
      </c>
      <c r="AH193" s="125">
        <f t="shared" si="23"/>
        <v>19726.209999999995</v>
      </c>
      <c r="AI193" s="125">
        <f>IF(Valores!$C$32*B193&gt;Valores!$F$32,Valores!$F$32,Valores!$C$32*B193)</f>
        <v>0</v>
      </c>
      <c r="AJ193" s="125">
        <f>IF(Valores!$C$90*B193&gt;Valores!$C$89,Valores!$C$89,Valores!$C$90*B193)</f>
        <v>0</v>
      </c>
      <c r="AK193" s="125">
        <f>IF(Valores!C$39*B193&gt;Valores!F$38,Valores!F$38,Valores!C$39*B193)</f>
        <v>3000</v>
      </c>
      <c r="AL193" s="125">
        <f>IF($F$3="NO",0,IF(Valores!$C$61*B193&gt;Valores!$F$61,Valores!$F$61,Valores!$C$61*B193))</f>
        <v>42.585</v>
      </c>
      <c r="AM193" s="125">
        <f t="shared" si="21"/>
        <v>3042.585</v>
      </c>
      <c r="AN193" s="125">
        <f>AH193*Valores!$C$71</f>
        <v>-2169.8830999999996</v>
      </c>
      <c r="AO193" s="125">
        <f>AH193*-Valores!$C$72</f>
        <v>0</v>
      </c>
      <c r="AP193" s="125">
        <f>AH193*Valores!$C$73</f>
        <v>-887.6794499999997</v>
      </c>
      <c r="AQ193" s="125">
        <f>Valores!$C$100</f>
        <v>-280.91</v>
      </c>
      <c r="AR193" s="125">
        <f>IF($F$5=0,Valores!$C$101,(Valores!$C$101+$F$5*(Valores!$C$101)))</f>
        <v>-385</v>
      </c>
      <c r="AS193" s="125">
        <f t="shared" si="24"/>
        <v>19045.322449999996</v>
      </c>
      <c r="AT193" s="125">
        <f t="shared" si="18"/>
        <v>-2169.8830999999996</v>
      </c>
      <c r="AU193" s="125">
        <f>AH193*Valores!$C$74</f>
        <v>-532.6076699999999</v>
      </c>
      <c r="AV193" s="125">
        <f>AH193*Valores!$C$75</f>
        <v>-59.17862999999999</v>
      </c>
      <c r="AW193" s="125">
        <f t="shared" si="22"/>
        <v>20007.125599999996</v>
      </c>
      <c r="AX193" s="126"/>
      <c r="AY193" s="126">
        <f t="shared" si="28"/>
        <v>3</v>
      </c>
      <c r="AZ193" s="123" t="s">
        <v>4</v>
      </c>
    </row>
    <row r="194" spans="1:52" s="110" customFormat="1" ht="11.25" customHeight="1">
      <c r="A194" s="123" t="s">
        <v>470</v>
      </c>
      <c r="B194" s="123">
        <v>4</v>
      </c>
      <c r="C194" s="126">
        <v>187</v>
      </c>
      <c r="D194" s="124" t="str">
        <f t="shared" si="26"/>
        <v>Hora Cátedra Enseñanza Superior 4 hs</v>
      </c>
      <c r="E194" s="192">
        <f t="shared" si="27"/>
        <v>396</v>
      </c>
      <c r="F194" s="125">
        <f>ROUND(E194*Valores!$C$2,2)</f>
        <v>10740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2075.26</v>
      </c>
      <c r="N194" s="125">
        <f t="shared" si="19"/>
        <v>0</v>
      </c>
      <c r="O194" s="125">
        <f>Valores!$C$7*B194</f>
        <v>3679.04</v>
      </c>
      <c r="P194" s="125">
        <f>ROUND(IF(B194&lt;15,(Valores!$E$5*B194),Valores!$D$5),2)</f>
        <v>3697.16</v>
      </c>
      <c r="Q194" s="125">
        <v>0</v>
      </c>
      <c r="R194" s="125">
        <f>IF($F$4="NO",Valores!$C$49*B194,Valores!$C$49*B194/2)</f>
        <v>1937.92</v>
      </c>
      <c r="S194" s="125">
        <f>Valores!$C$18*B194</f>
        <v>1157.12</v>
      </c>
      <c r="T194" s="125">
        <f t="shared" si="25"/>
        <v>1157.12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IF(Valores!$C$97*B194&gt;Valores!$C$96,Valores!$C$96,Valores!$C$97*B194)</f>
        <v>1119.76</v>
      </c>
      <c r="AA194" s="125">
        <f>IF((Valores!$C$28)*B194&gt;Valores!$F$28,Valores!$F$28,(Valores!$C$28)*B194)</f>
        <v>90.88</v>
      </c>
      <c r="AB194" s="214">
        <v>0</v>
      </c>
      <c r="AC194" s="125">
        <f t="shared" si="20"/>
        <v>0</v>
      </c>
      <c r="AD194" s="125">
        <f>IF(Valores!$C$29*B194&gt;Valores!$F$29,Valores!$F$29,Valores!$C$29*B194)</f>
        <v>75.68</v>
      </c>
      <c r="AE194" s="192">
        <v>0</v>
      </c>
      <c r="AF194" s="125">
        <f>ROUND(AE194*Valores!$C$2,2)</f>
        <v>0</v>
      </c>
      <c r="AG194" s="125">
        <f>IF($F$4="NO",IF(Valores!$D$63*'Escala Docente'!B194&gt;Valores!$F$63,Valores!$F$63,Valores!$D$63*'Escala Docente'!B194),IF(Valores!$D$63*'Escala Docente'!B194&gt;Valores!$F$63,Valores!$F$63,Valores!$D$63*'Escala Docente'!B194)/2)</f>
        <v>1728.8</v>
      </c>
      <c r="AH194" s="125">
        <f t="shared" si="23"/>
        <v>26301.619999999995</v>
      </c>
      <c r="AI194" s="125">
        <f>IF(Valores!$C$32*B194&gt;Valores!$F$32,Valores!$F$32,Valores!$C$32*B194)</f>
        <v>0</v>
      </c>
      <c r="AJ194" s="125">
        <f>IF(Valores!$C$90*B194&gt;Valores!$C$89,Valores!$C$89,Valores!$C$90*B194)</f>
        <v>0</v>
      </c>
      <c r="AK194" s="125">
        <f>IF(Valores!C$39*B194&gt;Valores!F$38,Valores!F$38,Valores!C$39*B194)</f>
        <v>4000</v>
      </c>
      <c r="AL194" s="125">
        <f>IF($F$3="NO",0,IF(Valores!$C$61*B194&gt;Valores!$F$61,Valores!$F$61,Valores!$C$61*B194))</f>
        <v>56.78</v>
      </c>
      <c r="AM194" s="125">
        <f t="shared" si="21"/>
        <v>4056.78</v>
      </c>
      <c r="AN194" s="125">
        <f>AH194*Valores!$C$71</f>
        <v>-2893.1781999999994</v>
      </c>
      <c r="AO194" s="125">
        <f>AH194*-Valores!$C$72</f>
        <v>0</v>
      </c>
      <c r="AP194" s="125">
        <f>AH194*Valores!$C$73</f>
        <v>-1183.5728999999997</v>
      </c>
      <c r="AQ194" s="125">
        <f>Valores!$C$100</f>
        <v>-280.91</v>
      </c>
      <c r="AR194" s="125">
        <f>IF($F$5=0,Valores!$C$101,(Valores!$C$101+$F$5*(Valores!$C$101)))</f>
        <v>-385</v>
      </c>
      <c r="AS194" s="125">
        <f t="shared" si="24"/>
        <v>25615.738899999997</v>
      </c>
      <c r="AT194" s="125">
        <f t="shared" si="18"/>
        <v>-2893.1781999999994</v>
      </c>
      <c r="AU194" s="125">
        <f>AH194*Valores!$C$74</f>
        <v>-710.1437399999999</v>
      </c>
      <c r="AV194" s="125">
        <f>AH194*Valores!$C$75</f>
        <v>-78.90485999999999</v>
      </c>
      <c r="AW194" s="125">
        <f t="shared" si="22"/>
        <v>26676.173199999994</v>
      </c>
      <c r="AX194" s="126"/>
      <c r="AY194" s="126">
        <f t="shared" si="28"/>
        <v>4</v>
      </c>
      <c r="AZ194" s="123" t="s">
        <v>4</v>
      </c>
    </row>
    <row r="195" spans="1:52" s="110" customFormat="1" ht="11.25" customHeight="1">
      <c r="A195" s="123" t="s">
        <v>470</v>
      </c>
      <c r="B195" s="123">
        <v>5</v>
      </c>
      <c r="C195" s="126">
        <v>188</v>
      </c>
      <c r="D195" s="124" t="str">
        <f t="shared" si="26"/>
        <v>Hora Cátedra Enseñanza Superior 5 hs</v>
      </c>
      <c r="E195" s="192">
        <f t="shared" si="27"/>
        <v>495</v>
      </c>
      <c r="F195" s="125">
        <f>ROUND(E195*Valores!$C$2,2)</f>
        <v>13424.99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2594.07</v>
      </c>
      <c r="N195" s="125">
        <f t="shared" si="19"/>
        <v>0</v>
      </c>
      <c r="O195" s="125">
        <f>Valores!$C$7*B195</f>
        <v>4598.8</v>
      </c>
      <c r="P195" s="125">
        <f>ROUND(IF(B195&lt;15,(Valores!$E$5*B195),Valores!$D$5),2)</f>
        <v>4621.45</v>
      </c>
      <c r="Q195" s="125">
        <v>0</v>
      </c>
      <c r="R195" s="125">
        <f>IF($F$4="NO",Valores!$C$49*B195,Valores!$C$49*B195/2)</f>
        <v>2422.4</v>
      </c>
      <c r="S195" s="125">
        <f>Valores!$C$18*B195</f>
        <v>1446.3999999999999</v>
      </c>
      <c r="T195" s="125">
        <f t="shared" si="25"/>
        <v>1446.4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IF(Valores!$C$97*B195&gt;Valores!$C$96,Valores!$C$96,Valores!$C$97*B195)</f>
        <v>1399.7</v>
      </c>
      <c r="AA195" s="125">
        <f>IF((Valores!$C$28)*B195&gt;Valores!$F$28,Valores!$F$28,(Valores!$C$28)*B195)</f>
        <v>113.6</v>
      </c>
      <c r="AB195" s="214">
        <v>0</v>
      </c>
      <c r="AC195" s="125">
        <f t="shared" si="20"/>
        <v>0</v>
      </c>
      <c r="AD195" s="125">
        <f>IF(Valores!$C$29*B195&gt;Valores!$F$29,Valores!$F$29,Valores!$C$29*B195)</f>
        <v>94.60000000000001</v>
      </c>
      <c r="AE195" s="192">
        <v>0</v>
      </c>
      <c r="AF195" s="125">
        <f>ROUND(AE195*Valores!$C$2,2)</f>
        <v>0</v>
      </c>
      <c r="AG195" s="125">
        <f>IF($F$4="NO",IF(Valores!$D$63*'Escala Docente'!B195&gt;Valores!$F$63,Valores!$F$63,Valores!$D$63*'Escala Docente'!B195),IF(Valores!$D$63*'Escala Docente'!B195&gt;Valores!$F$63,Valores!$F$63,Valores!$D$63*'Escala Docente'!B195)/2)</f>
        <v>2161</v>
      </c>
      <c r="AH195" s="125">
        <f t="shared" si="23"/>
        <v>32877.01</v>
      </c>
      <c r="AI195" s="125">
        <f>IF(Valores!$C$32*B195&gt;Valores!$F$32,Valores!$F$32,Valores!$C$32*B195)</f>
        <v>0</v>
      </c>
      <c r="AJ195" s="125">
        <f>IF(Valores!$C$90*B195&gt;Valores!$C$89,Valores!$C$89,Valores!$C$90*B195)</f>
        <v>0</v>
      </c>
      <c r="AK195" s="125">
        <f>IF(Valores!C$39*B195&gt;Valores!F$38,Valores!F$38,Valores!C$39*B195)</f>
        <v>5000</v>
      </c>
      <c r="AL195" s="125">
        <f>IF($F$3="NO",0,IF(Valores!$C$61*B195&gt;Valores!$F$61,Valores!$F$61,Valores!$C$61*B195))</f>
        <v>70.975</v>
      </c>
      <c r="AM195" s="125">
        <f t="shared" si="21"/>
        <v>5070.975</v>
      </c>
      <c r="AN195" s="125">
        <f>AH195*Valores!$C$71</f>
        <v>-3616.4711</v>
      </c>
      <c r="AO195" s="125">
        <f>AH195*-Valores!$C$72</f>
        <v>0</v>
      </c>
      <c r="AP195" s="125">
        <f>AH195*Valores!$C$73</f>
        <v>-1479.4654500000001</v>
      </c>
      <c r="AQ195" s="125">
        <f>Valores!$C$100</f>
        <v>-280.91</v>
      </c>
      <c r="AR195" s="125">
        <f>IF($F$5=0,Valores!$C$101,(Valores!$C$101+$F$5*(Valores!$C$101)))</f>
        <v>-385</v>
      </c>
      <c r="AS195" s="125">
        <f t="shared" si="24"/>
        <v>32186.138450000002</v>
      </c>
      <c r="AT195" s="125">
        <f t="shared" si="18"/>
        <v>-3616.4711</v>
      </c>
      <c r="AU195" s="125">
        <f>AH195*Valores!$C$74</f>
        <v>-887.6792700000001</v>
      </c>
      <c r="AV195" s="125">
        <f>AH195*Valores!$C$75</f>
        <v>-98.63103000000001</v>
      </c>
      <c r="AW195" s="125">
        <f t="shared" si="22"/>
        <v>33345.2036</v>
      </c>
      <c r="AX195" s="126"/>
      <c r="AY195" s="126">
        <f t="shared" si="28"/>
        <v>5</v>
      </c>
      <c r="AZ195" s="123" t="s">
        <v>4</v>
      </c>
    </row>
    <row r="196" spans="1:52" s="110" customFormat="1" ht="11.25" customHeight="1">
      <c r="A196" s="123" t="s">
        <v>470</v>
      </c>
      <c r="B196" s="123">
        <v>6</v>
      </c>
      <c r="C196" s="126">
        <v>189</v>
      </c>
      <c r="D196" s="124" t="str">
        <f t="shared" si="26"/>
        <v>Hora Cátedra Enseñanza Superior 6 hs</v>
      </c>
      <c r="E196" s="192">
        <f t="shared" si="27"/>
        <v>594</v>
      </c>
      <c r="F196" s="125">
        <f>ROUND(E196*Valores!$C$2,2)</f>
        <v>16109.99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3112.88</v>
      </c>
      <c r="N196" s="125">
        <f t="shared" si="19"/>
        <v>0</v>
      </c>
      <c r="O196" s="125">
        <f>Valores!$C$7*B196</f>
        <v>5518.5599999999995</v>
      </c>
      <c r="P196" s="125">
        <f>ROUND(IF(B196&lt;15,(Valores!$E$5*B196),Valores!$D$5),2)</f>
        <v>5545.74</v>
      </c>
      <c r="Q196" s="125">
        <v>0</v>
      </c>
      <c r="R196" s="125">
        <f>IF($F$4="NO",Valores!$C$49*B196,Valores!$C$49*B196/2)</f>
        <v>2906.88</v>
      </c>
      <c r="S196" s="125">
        <f>Valores!$C$18*B196</f>
        <v>1735.6799999999998</v>
      </c>
      <c r="T196" s="125">
        <f t="shared" si="25"/>
        <v>1735.68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IF(Valores!$C$97*B196&gt;Valores!$C$96,Valores!$C$96,Valores!$C$97*B196)</f>
        <v>1679.6399999999999</v>
      </c>
      <c r="AA196" s="125">
        <f>IF((Valores!$C$28)*B196&gt;Valores!$F$28,Valores!$F$28,(Valores!$C$28)*B196)</f>
        <v>136.32</v>
      </c>
      <c r="AB196" s="214">
        <v>0</v>
      </c>
      <c r="AC196" s="125">
        <f t="shared" si="20"/>
        <v>0</v>
      </c>
      <c r="AD196" s="125">
        <f>IF(Valores!$C$29*B196&gt;Valores!$F$29,Valores!$F$29,Valores!$C$29*B196)</f>
        <v>113.52000000000001</v>
      </c>
      <c r="AE196" s="192">
        <v>0</v>
      </c>
      <c r="AF196" s="125">
        <f>ROUND(AE196*Valores!$C$2,2)</f>
        <v>0</v>
      </c>
      <c r="AG196" s="125">
        <f>IF($F$4="NO",IF(Valores!$D$63*'Escala Docente'!B196&gt;Valores!$F$63,Valores!$F$63,Valores!$D$63*'Escala Docente'!B196),IF(Valores!$D$63*'Escala Docente'!B196&gt;Valores!$F$63,Valores!$F$63,Valores!$D$63*'Escala Docente'!B196)/2)</f>
        <v>2593.2</v>
      </c>
      <c r="AH196" s="125">
        <f t="shared" si="23"/>
        <v>39452.40999999999</v>
      </c>
      <c r="AI196" s="125">
        <f>IF(Valores!$C$32*B196&gt;Valores!$F$32,Valores!$F$32,Valores!$C$32*B196)</f>
        <v>0</v>
      </c>
      <c r="AJ196" s="125">
        <f>IF(Valores!$C$90*B196&gt;Valores!$C$89,Valores!$C$89,Valores!$C$90*B196)</f>
        <v>0</v>
      </c>
      <c r="AK196" s="125">
        <f>IF(Valores!C$39*B196&gt;Valores!F$38,Valores!F$38,Valores!C$39*B196)</f>
        <v>6000</v>
      </c>
      <c r="AL196" s="125">
        <f>IF($F$3="NO",0,IF(Valores!$C$61*B196&gt;Valores!$F$61,Valores!$F$61,Valores!$C$61*B196))</f>
        <v>85.17</v>
      </c>
      <c r="AM196" s="125">
        <f t="shared" si="21"/>
        <v>6085.17</v>
      </c>
      <c r="AN196" s="125">
        <f>AH196*Valores!$C$71</f>
        <v>-4339.765099999999</v>
      </c>
      <c r="AO196" s="125">
        <f>AH196*-Valores!$C$72</f>
        <v>0</v>
      </c>
      <c r="AP196" s="125">
        <f>AH196*Valores!$C$73</f>
        <v>-1775.3584499999995</v>
      </c>
      <c r="AQ196" s="125">
        <f>Valores!$C$100</f>
        <v>-280.91</v>
      </c>
      <c r="AR196" s="125">
        <f>IF($F$5=0,Valores!$C$101,(Valores!$C$101+$F$5*(Valores!$C$101)))</f>
        <v>-385</v>
      </c>
      <c r="AS196" s="125">
        <f t="shared" si="24"/>
        <v>38756.546449999994</v>
      </c>
      <c r="AT196" s="125">
        <f t="shared" si="18"/>
        <v>-4339.765099999999</v>
      </c>
      <c r="AU196" s="125">
        <f>AH196*Valores!$C$74</f>
        <v>-1065.2150699999997</v>
      </c>
      <c r="AV196" s="125">
        <f>AH196*Valores!$C$75</f>
        <v>-118.35722999999997</v>
      </c>
      <c r="AW196" s="125">
        <f t="shared" si="22"/>
        <v>40014.24259999999</v>
      </c>
      <c r="AX196" s="126"/>
      <c r="AY196" s="126">
        <f t="shared" si="28"/>
        <v>6</v>
      </c>
      <c r="AZ196" s="123" t="s">
        <v>4</v>
      </c>
    </row>
    <row r="197" spans="1:52" s="110" customFormat="1" ht="11.25" customHeight="1">
      <c r="A197" s="123" t="s">
        <v>470</v>
      </c>
      <c r="B197" s="123">
        <v>7</v>
      </c>
      <c r="C197" s="126">
        <v>190</v>
      </c>
      <c r="D197" s="124" t="str">
        <f t="shared" si="26"/>
        <v>Hora Cátedra Enseñanza Superior 7 hs</v>
      </c>
      <c r="E197" s="192">
        <f t="shared" si="27"/>
        <v>693</v>
      </c>
      <c r="F197" s="125">
        <f>ROUND(E197*Valores!$C$2,2)</f>
        <v>18794.99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3631.7</v>
      </c>
      <c r="N197" s="125">
        <f t="shared" si="19"/>
        <v>0</v>
      </c>
      <c r="O197" s="125">
        <f>Valores!$C$7*B197</f>
        <v>6438.32</v>
      </c>
      <c r="P197" s="125">
        <f>ROUND(IF(B197&lt;15,(Valores!$E$5*B197),Valores!$D$5),2)</f>
        <v>6470.03</v>
      </c>
      <c r="Q197" s="125">
        <v>0</v>
      </c>
      <c r="R197" s="125">
        <f>IF($F$4="NO",Valores!$C$49*B197,Valores!$C$49*B197/2)</f>
        <v>3391.36</v>
      </c>
      <c r="S197" s="125">
        <f>Valores!$C$18*B197</f>
        <v>2024.9599999999998</v>
      </c>
      <c r="T197" s="125">
        <f t="shared" si="25"/>
        <v>2024.96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IF(Valores!$C$97*B197&gt;Valores!$C$96,Valores!$C$96,Valores!$C$97*B197)</f>
        <v>1959.58</v>
      </c>
      <c r="AA197" s="125">
        <f>IF((Valores!$C$28)*B197&gt;Valores!$F$28,Valores!$F$28,(Valores!$C$28)*B197)</f>
        <v>159.04</v>
      </c>
      <c r="AB197" s="214">
        <v>0</v>
      </c>
      <c r="AC197" s="125">
        <f t="shared" si="20"/>
        <v>0</v>
      </c>
      <c r="AD197" s="125">
        <f>IF(Valores!$C$29*B197&gt;Valores!$F$29,Valores!$F$29,Valores!$C$29*B197)</f>
        <v>132.44</v>
      </c>
      <c r="AE197" s="192">
        <v>0</v>
      </c>
      <c r="AF197" s="125">
        <f>ROUND(AE197*Valores!$C$2,2)</f>
        <v>0</v>
      </c>
      <c r="AG197" s="125">
        <f>IF($F$4="NO",IF(Valores!$D$63*'Escala Docente'!B197&gt;Valores!$F$63,Valores!$F$63,Valores!$D$63*'Escala Docente'!B197),IF(Valores!$D$63*'Escala Docente'!B197&gt;Valores!$F$63,Valores!$F$63,Valores!$D$63*'Escala Docente'!B197)/2)</f>
        <v>3025.4</v>
      </c>
      <c r="AH197" s="125">
        <f t="shared" si="23"/>
        <v>46027.82000000001</v>
      </c>
      <c r="AI197" s="125">
        <f>IF(Valores!$C$32*B197&gt;Valores!$F$32,Valores!$F$32,Valores!$C$32*B197)</f>
        <v>0</v>
      </c>
      <c r="AJ197" s="125">
        <f>IF(Valores!$C$90*B197&gt;Valores!$C$89,Valores!$C$89,Valores!$C$90*B197)</f>
        <v>0</v>
      </c>
      <c r="AK197" s="125">
        <f>IF(Valores!C$39*B197&gt;Valores!F$38,Valores!F$38,Valores!C$39*B197)</f>
        <v>7000</v>
      </c>
      <c r="AL197" s="125">
        <f>IF($F$3="NO",0,IF(Valores!$C$61*B197&gt;Valores!$F$61,Valores!$F$61,Valores!$C$61*B197))</f>
        <v>99.36500000000001</v>
      </c>
      <c r="AM197" s="125">
        <f t="shared" si="21"/>
        <v>7099.365</v>
      </c>
      <c r="AN197" s="125">
        <f>AH197*Valores!$C$71</f>
        <v>-5063.060200000001</v>
      </c>
      <c r="AO197" s="125">
        <f>AH197*-Valores!$C$72</f>
        <v>0</v>
      </c>
      <c r="AP197" s="125">
        <f>AH197*Valores!$C$73</f>
        <v>-2071.2519</v>
      </c>
      <c r="AQ197" s="125">
        <f>Valores!$C$100</f>
        <v>-280.91</v>
      </c>
      <c r="AR197" s="125">
        <f>IF($F$5=0,Valores!$C$101,(Valores!$C$101+$F$5*(Valores!$C$101)))</f>
        <v>-385</v>
      </c>
      <c r="AS197" s="125">
        <f t="shared" si="24"/>
        <v>45326.962900000006</v>
      </c>
      <c r="AT197" s="125">
        <f aca="true" t="shared" si="29" ref="AT197:AT260">AN197</f>
        <v>-5063.060200000001</v>
      </c>
      <c r="AU197" s="125">
        <f>AH197*Valores!$C$74</f>
        <v>-1242.75114</v>
      </c>
      <c r="AV197" s="125">
        <f>AH197*Valores!$C$75</f>
        <v>-138.08346000000003</v>
      </c>
      <c r="AW197" s="125">
        <f t="shared" si="22"/>
        <v>46683.2902</v>
      </c>
      <c r="AX197" s="126"/>
      <c r="AY197" s="126">
        <f t="shared" si="28"/>
        <v>7</v>
      </c>
      <c r="AZ197" s="123" t="s">
        <v>4</v>
      </c>
    </row>
    <row r="198" spans="1:52" s="110" customFormat="1" ht="11.25" customHeight="1">
      <c r="A198" s="123" t="s">
        <v>470</v>
      </c>
      <c r="B198" s="123">
        <v>8</v>
      </c>
      <c r="C198" s="126">
        <v>191</v>
      </c>
      <c r="D198" s="124" t="str">
        <f t="shared" si="26"/>
        <v>Hora Cátedra Enseñanza Superior 8 hs</v>
      </c>
      <c r="E198" s="192">
        <f t="shared" si="27"/>
        <v>792</v>
      </c>
      <c r="F198" s="125">
        <f>ROUND(E198*Valores!$C$2,2)</f>
        <v>21479.99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4150.51</v>
      </c>
      <c r="N198" s="125">
        <f t="shared" si="19"/>
        <v>0</v>
      </c>
      <c r="O198" s="125">
        <f>Valores!$C$7*B198</f>
        <v>7358.08</v>
      </c>
      <c r="P198" s="125">
        <f>ROUND(IF(B198&lt;15,(Valores!$E$5*B198),Valores!$D$5),2)</f>
        <v>7394.32</v>
      </c>
      <c r="Q198" s="125">
        <v>0</v>
      </c>
      <c r="R198" s="125">
        <f>IF($F$4="NO",Valores!$C$49*B198,Valores!$C$49*B198/2)</f>
        <v>3875.84</v>
      </c>
      <c r="S198" s="125">
        <f>Valores!$C$18*B198</f>
        <v>2314.24</v>
      </c>
      <c r="T198" s="125">
        <f t="shared" si="25"/>
        <v>2314.24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IF(Valores!$C$97*B198&gt;Valores!$C$96,Valores!$C$96,Valores!$C$97*B198)</f>
        <v>2239.52</v>
      </c>
      <c r="AA198" s="125">
        <f>IF((Valores!$C$28)*B198&gt;Valores!$F$28,Valores!$F$28,(Valores!$C$28)*B198)</f>
        <v>181.76</v>
      </c>
      <c r="AB198" s="214">
        <v>0</v>
      </c>
      <c r="AC198" s="125">
        <f t="shared" si="20"/>
        <v>0</v>
      </c>
      <c r="AD198" s="125">
        <f>IF(Valores!$C$29*B198&gt;Valores!$F$29,Valores!$F$29,Valores!$C$29*B198)</f>
        <v>151.36</v>
      </c>
      <c r="AE198" s="192">
        <v>0</v>
      </c>
      <c r="AF198" s="125">
        <f>ROUND(AE198*Valores!$C$2,2)</f>
        <v>0</v>
      </c>
      <c r="AG198" s="125">
        <f>IF($F$4="NO",IF(Valores!$D$63*'Escala Docente'!B198&gt;Valores!$F$63,Valores!$F$63,Valores!$D$63*'Escala Docente'!B198),IF(Valores!$D$63*'Escala Docente'!B198&gt;Valores!$F$63,Valores!$F$63,Valores!$D$63*'Escala Docente'!B198)/2)</f>
        <v>3457.6</v>
      </c>
      <c r="AH198" s="125">
        <f t="shared" si="23"/>
        <v>52603.22</v>
      </c>
      <c r="AI198" s="125">
        <f>IF(Valores!$C$32*B198&gt;Valores!$F$32,Valores!$F$32,Valores!$C$32*B198)</f>
        <v>0</v>
      </c>
      <c r="AJ198" s="125">
        <f>IF(Valores!$C$90*B198&gt;Valores!$C$89,Valores!$C$89,Valores!$C$90*B198)</f>
        <v>0</v>
      </c>
      <c r="AK198" s="125">
        <f>IF(Valores!C$39*B198&gt;Valores!F$38,Valores!F$38,Valores!C$39*B198)</f>
        <v>8000</v>
      </c>
      <c r="AL198" s="125">
        <f>IF($F$3="NO",0,IF(Valores!$C$61*B198&gt;Valores!$F$61,Valores!$F$61,Valores!$C$61*B198))</f>
        <v>113.56</v>
      </c>
      <c r="AM198" s="125">
        <f t="shared" si="21"/>
        <v>8113.56</v>
      </c>
      <c r="AN198" s="125">
        <f>AH198*Valores!$C$71</f>
        <v>-5786.3542</v>
      </c>
      <c r="AO198" s="125">
        <f>AH198*-Valores!$C$72</f>
        <v>0</v>
      </c>
      <c r="AP198" s="125">
        <f>AH198*Valores!$C$73</f>
        <v>-2367.1449</v>
      </c>
      <c r="AQ198" s="125">
        <f>Valores!$C$100</f>
        <v>-280.91</v>
      </c>
      <c r="AR198" s="125">
        <f>IF($F$5=0,Valores!$C$101,(Valores!$C$101+$F$5*(Valores!$C$101)))</f>
        <v>-385</v>
      </c>
      <c r="AS198" s="125">
        <f t="shared" si="24"/>
        <v>51897.3709</v>
      </c>
      <c r="AT198" s="125">
        <f t="shared" si="29"/>
        <v>-5786.3542</v>
      </c>
      <c r="AU198" s="125">
        <f>AH198*Valores!$C$74</f>
        <v>-1420.28694</v>
      </c>
      <c r="AV198" s="125">
        <f>AH198*Valores!$C$75</f>
        <v>-157.80966</v>
      </c>
      <c r="AW198" s="125">
        <f t="shared" si="22"/>
        <v>53352.3292</v>
      </c>
      <c r="AX198" s="126"/>
      <c r="AY198" s="126">
        <f t="shared" si="28"/>
        <v>8</v>
      </c>
      <c r="AZ198" s="123" t="s">
        <v>4</v>
      </c>
    </row>
    <row r="199" spans="1:52" s="110" customFormat="1" ht="11.25" customHeight="1">
      <c r="A199" s="123" t="s">
        <v>470</v>
      </c>
      <c r="B199" s="123">
        <v>9</v>
      </c>
      <c r="C199" s="126">
        <v>192</v>
      </c>
      <c r="D199" s="124" t="str">
        <f t="shared" si="26"/>
        <v>Hora Cátedra Enseñanza Superior 9 hs</v>
      </c>
      <c r="E199" s="192">
        <f t="shared" si="27"/>
        <v>891</v>
      </c>
      <c r="F199" s="125">
        <f>ROUND(E199*Valores!$C$2,2)</f>
        <v>24164.99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4669.32</v>
      </c>
      <c r="N199" s="125">
        <f t="shared" si="19"/>
        <v>0</v>
      </c>
      <c r="O199" s="125">
        <f>Valores!$C$7*B199</f>
        <v>8277.84</v>
      </c>
      <c r="P199" s="125">
        <f>ROUND(IF(B199&lt;15,(Valores!$E$5*B199),Valores!$D$5),2)</f>
        <v>8318.61</v>
      </c>
      <c r="Q199" s="125">
        <v>0</v>
      </c>
      <c r="R199" s="125">
        <f>IF($F$4="NO",Valores!$C$49*B199,Valores!$C$49*B199/2)</f>
        <v>4360.32</v>
      </c>
      <c r="S199" s="125">
        <f>Valores!$C$18*B199</f>
        <v>2603.5199999999995</v>
      </c>
      <c r="T199" s="125">
        <f t="shared" si="25"/>
        <v>2603.52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IF(Valores!$C$97*B199&gt;Valores!$C$96,Valores!$C$96,Valores!$C$97*B199)</f>
        <v>2519.46</v>
      </c>
      <c r="AA199" s="125">
        <f>IF((Valores!$C$28)*B199&gt;Valores!$F$28,Valores!$F$28,(Valores!$C$28)*B199)</f>
        <v>204.48</v>
      </c>
      <c r="AB199" s="214">
        <v>0</v>
      </c>
      <c r="AC199" s="125">
        <f t="shared" si="20"/>
        <v>0</v>
      </c>
      <c r="AD199" s="125">
        <f>IF(Valores!$C$29*B199&gt;Valores!$F$29,Valores!$F$29,Valores!$C$29*B199)</f>
        <v>170.28000000000003</v>
      </c>
      <c r="AE199" s="192">
        <v>0</v>
      </c>
      <c r="AF199" s="125">
        <f>ROUND(AE199*Valores!$C$2,2)</f>
        <v>0</v>
      </c>
      <c r="AG199" s="125">
        <f>IF($F$4="NO",IF(Valores!$D$63*'Escala Docente'!B199&gt;Valores!$F$63,Valores!$F$63,Valores!$D$63*'Escala Docente'!B199),IF(Valores!$D$63*'Escala Docente'!B199&gt;Valores!$F$63,Valores!$F$63,Valores!$D$63*'Escala Docente'!B199)/2)</f>
        <v>3889.7999999999997</v>
      </c>
      <c r="AH199" s="125">
        <f t="shared" si="23"/>
        <v>59178.62</v>
      </c>
      <c r="AI199" s="125">
        <f>IF(Valores!$C$32*B199&gt;Valores!$F$32,Valores!$F$32,Valores!$C$32*B199)</f>
        <v>0</v>
      </c>
      <c r="AJ199" s="125">
        <f>IF(Valores!$C$90*B199&gt;Valores!$C$89,Valores!$C$89,Valores!$C$90*B199)</f>
        <v>0</v>
      </c>
      <c r="AK199" s="125">
        <f>IF(Valores!C$39*B199&gt;Valores!F$38,Valores!F$38,Valores!C$39*B199)</f>
        <v>9000</v>
      </c>
      <c r="AL199" s="125">
        <f>IF($F$3="NO",0,IF(Valores!$C$61*B199&gt;Valores!$F$61,Valores!$F$61,Valores!$C$61*B199))</f>
        <v>127.755</v>
      </c>
      <c r="AM199" s="125">
        <f t="shared" si="21"/>
        <v>9127.755</v>
      </c>
      <c r="AN199" s="125">
        <f>AH199*Valores!$C$71</f>
        <v>-6509.6482000000005</v>
      </c>
      <c r="AO199" s="125">
        <f>AH199*-Valores!$C$72</f>
        <v>0</v>
      </c>
      <c r="AP199" s="125">
        <f>AH199*Valores!$C$73</f>
        <v>-2663.0379</v>
      </c>
      <c r="AQ199" s="125">
        <f>Valores!$C$100</f>
        <v>-280.91</v>
      </c>
      <c r="AR199" s="125">
        <f>IF($F$5=0,Valores!$C$101,(Valores!$C$101+$F$5*(Valores!$C$101)))</f>
        <v>-385</v>
      </c>
      <c r="AS199" s="125">
        <f t="shared" si="24"/>
        <v>58467.778900000005</v>
      </c>
      <c r="AT199" s="125">
        <f t="shared" si="29"/>
        <v>-6509.6482000000005</v>
      </c>
      <c r="AU199" s="125">
        <f>AH199*Valores!$C$74</f>
        <v>-1597.82274</v>
      </c>
      <c r="AV199" s="125">
        <f>AH199*Valores!$C$75</f>
        <v>-177.53586</v>
      </c>
      <c r="AW199" s="125">
        <f t="shared" si="22"/>
        <v>60021.3682</v>
      </c>
      <c r="AX199" s="126"/>
      <c r="AY199" s="126">
        <f t="shared" si="28"/>
        <v>9</v>
      </c>
      <c r="AZ199" s="123" t="s">
        <v>4</v>
      </c>
    </row>
    <row r="200" spans="1:52" s="110" customFormat="1" ht="11.25" customHeight="1">
      <c r="A200" s="123" t="s">
        <v>470</v>
      </c>
      <c r="B200" s="123">
        <v>10</v>
      </c>
      <c r="C200" s="126">
        <v>193</v>
      </c>
      <c r="D200" s="124" t="str">
        <f t="shared" si="26"/>
        <v>Hora Cátedra Enseñanza Superior 10 hs</v>
      </c>
      <c r="E200" s="192">
        <f t="shared" si="27"/>
        <v>990</v>
      </c>
      <c r="F200" s="125">
        <f>ROUND(E200*Valores!$C$2,2)</f>
        <v>26849.99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5188.14</v>
      </c>
      <c r="N200" s="125">
        <f aca="true" t="shared" si="30" ref="N200:N263">ROUND(SUM(F200,H200,J200,L200,X200,R200)*$H$2,2)</f>
        <v>0</v>
      </c>
      <c r="O200" s="125">
        <f>Valores!$C$7*B200</f>
        <v>9197.6</v>
      </c>
      <c r="P200" s="125">
        <f>ROUND(IF(B200&lt;15,(Valores!$E$5*B200),Valores!$D$5),2)</f>
        <v>9242.9</v>
      </c>
      <c r="Q200" s="125">
        <v>0</v>
      </c>
      <c r="R200" s="125">
        <f>IF($F$4="NO",Valores!$C$49*B200,Valores!$C$49*B200/2)</f>
        <v>4844.8</v>
      </c>
      <c r="S200" s="125">
        <f>Valores!$C$18*B200</f>
        <v>2892.7999999999997</v>
      </c>
      <c r="T200" s="125">
        <f t="shared" si="25"/>
        <v>2892.8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IF(Valores!$C$97*B200&gt;Valores!$C$96,Valores!$C$96,Valores!$C$97*B200)</f>
        <v>2799.4</v>
      </c>
      <c r="AA200" s="125">
        <f>IF((Valores!$C$28)*B200&gt;Valores!$F$28,Valores!$F$28,(Valores!$C$28)*B200)</f>
        <v>227.2</v>
      </c>
      <c r="AB200" s="214">
        <v>0</v>
      </c>
      <c r="AC200" s="125">
        <f aca="true" t="shared" si="31" ref="AC200:AC263">ROUND(SUM(F200,H200,J200,X200,R200)*AB200,2)</f>
        <v>0</v>
      </c>
      <c r="AD200" s="125">
        <f>IF(Valores!$C$29*B200&gt;Valores!$F$29,Valores!$F$29,Valores!$C$29*B200)</f>
        <v>189.20000000000002</v>
      </c>
      <c r="AE200" s="192">
        <v>0</v>
      </c>
      <c r="AF200" s="125">
        <f>ROUND(AE200*Valores!$C$2,2)</f>
        <v>0</v>
      </c>
      <c r="AG200" s="125">
        <f>IF($F$4="NO",IF(Valores!$D$63*'Escala Docente'!B200&gt;Valores!$F$63,Valores!$F$63,Valores!$D$63*'Escala Docente'!B200),IF(Valores!$D$63*'Escala Docente'!B200&gt;Valores!$F$63,Valores!$F$63,Valores!$D$63*'Escala Docente'!B200)/2)</f>
        <v>4322</v>
      </c>
      <c r="AH200" s="125">
        <f t="shared" si="23"/>
        <v>65754.03</v>
      </c>
      <c r="AI200" s="125">
        <f>IF(Valores!$C$32*B200&gt;Valores!$F$32,Valores!$F$32,Valores!$C$32*B200)</f>
        <v>0</v>
      </c>
      <c r="AJ200" s="125">
        <f>IF(Valores!$C$90*B200&gt;Valores!$C$89,Valores!$C$89,Valores!$C$90*B200)</f>
        <v>0</v>
      </c>
      <c r="AK200" s="125">
        <f>IF(Valores!C$39*B200&gt;Valores!F$38,Valores!F$38,Valores!C$39*B200)</f>
        <v>10000</v>
      </c>
      <c r="AL200" s="125">
        <f>IF($F$3="NO",0,IF(Valores!$C$61*B200&gt;Valores!$F$61,Valores!$F$61,Valores!$C$61*B200))</f>
        <v>141.95</v>
      </c>
      <c r="AM200" s="125">
        <f aca="true" t="shared" si="32" ref="AM200:AM263">SUM(AI200:AL200)</f>
        <v>10141.95</v>
      </c>
      <c r="AN200" s="125">
        <f>AH200*Valores!$C$71</f>
        <v>-7232.9433</v>
      </c>
      <c r="AO200" s="125">
        <f>AH200*-Valores!$C$72</f>
        <v>0</v>
      </c>
      <c r="AP200" s="125">
        <f>AH200*Valores!$C$73</f>
        <v>-2958.93135</v>
      </c>
      <c r="AQ200" s="125">
        <f>Valores!$C$100</f>
        <v>-280.91</v>
      </c>
      <c r="AR200" s="125">
        <f>IF($F$5=0,Valores!$C$101,(Valores!$C$101+$F$5*(Valores!$C$101)))</f>
        <v>-385</v>
      </c>
      <c r="AS200" s="125">
        <f t="shared" si="24"/>
        <v>65038.19535</v>
      </c>
      <c r="AT200" s="125">
        <f t="shared" si="29"/>
        <v>-7232.9433</v>
      </c>
      <c r="AU200" s="125">
        <f>AH200*Valores!$C$74</f>
        <v>-1775.35881</v>
      </c>
      <c r="AV200" s="125">
        <f>AH200*Valores!$C$75</f>
        <v>-197.26209</v>
      </c>
      <c r="AW200" s="125">
        <f aca="true" t="shared" si="33" ref="AW200:AW263">AH200+AM200+SUM(AT200:AV200)</f>
        <v>66690.41579999999</v>
      </c>
      <c r="AX200" s="126"/>
      <c r="AY200" s="126">
        <f t="shared" si="28"/>
        <v>10</v>
      </c>
      <c r="AZ200" s="123" t="s">
        <v>4</v>
      </c>
    </row>
    <row r="201" spans="1:52" s="110" customFormat="1" ht="11.25" customHeight="1">
      <c r="A201" s="123" t="s">
        <v>470</v>
      </c>
      <c r="B201" s="123">
        <v>11</v>
      </c>
      <c r="C201" s="126">
        <v>194</v>
      </c>
      <c r="D201" s="124" t="str">
        <f t="shared" si="26"/>
        <v>Hora Cátedra Enseñanza Superior 11 hs</v>
      </c>
      <c r="E201" s="192">
        <f t="shared" si="27"/>
        <v>1089</v>
      </c>
      <c r="F201" s="125">
        <f>ROUND(E201*Valores!$C$2,2)</f>
        <v>29534.99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5706.95</v>
      </c>
      <c r="N201" s="125">
        <f t="shared" si="30"/>
        <v>0</v>
      </c>
      <c r="O201" s="125">
        <f>Valores!$C$7*B201</f>
        <v>10117.36</v>
      </c>
      <c r="P201" s="125">
        <f>ROUND(IF(B201&lt;15,(Valores!$E$5*B201),Valores!$D$5),2)</f>
        <v>10167.19</v>
      </c>
      <c r="Q201" s="125">
        <v>0</v>
      </c>
      <c r="R201" s="125">
        <f>IF($F$4="NO",Valores!$C$49*B201,Valores!$C$49*B201/2)</f>
        <v>5329.280000000001</v>
      </c>
      <c r="S201" s="125">
        <f>Valores!$C$18*B201</f>
        <v>3182.08</v>
      </c>
      <c r="T201" s="125">
        <f t="shared" si="25"/>
        <v>3182.08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IF(Valores!$C$97*B201&gt;Valores!$C$96,Valores!$C$96,Valores!$C$97*B201)</f>
        <v>3079.34</v>
      </c>
      <c r="AA201" s="125">
        <f>IF((Valores!$C$28)*B201&gt;Valores!$F$28,Valores!$F$28,(Valores!$C$28)*B201)</f>
        <v>249.92</v>
      </c>
      <c r="AB201" s="214">
        <v>0</v>
      </c>
      <c r="AC201" s="125">
        <f t="shared" si="31"/>
        <v>0</v>
      </c>
      <c r="AD201" s="125">
        <f>IF(Valores!$C$29*B201&gt;Valores!$F$29,Valores!$F$29,Valores!$C$29*B201)</f>
        <v>208.12</v>
      </c>
      <c r="AE201" s="192">
        <v>0</v>
      </c>
      <c r="AF201" s="125">
        <f>ROUND(AE201*Valores!$C$2,2)</f>
        <v>0</v>
      </c>
      <c r="AG201" s="125">
        <f>IF($F$4="NO",IF(Valores!$D$63*'Escala Docente'!B201&gt;Valores!$F$63,Valores!$F$63,Valores!$D$63*'Escala Docente'!B201),IF(Valores!$D$63*'Escala Docente'!B201&gt;Valores!$F$63,Valores!$F$63,Valores!$D$63*'Escala Docente'!B201)/2)</f>
        <v>4754.2</v>
      </c>
      <c r="AH201" s="125">
        <f aca="true" t="shared" si="34" ref="AH201:AH264">SUM(F201,H201,J201,L201,M201,N201,O201,P201,Q201,R201,T201,U201,V201,X201,Y201,Z201,AA201,AC201,AD201,AF201,AG201)</f>
        <v>72329.43</v>
      </c>
      <c r="AI201" s="125">
        <f>IF(Valores!$C$32*B201&gt;Valores!$F$32,Valores!$F$32,Valores!$C$32*B201)</f>
        <v>0</v>
      </c>
      <c r="AJ201" s="125">
        <f>IF(Valores!$C$90*B201&gt;Valores!$C$89,Valores!$C$89,Valores!$C$90*B201)</f>
        <v>0</v>
      </c>
      <c r="AK201" s="125">
        <f>IF(Valores!C$39*B201&gt;Valores!F$38,Valores!F$38,Valores!C$39*B201)</f>
        <v>11000</v>
      </c>
      <c r="AL201" s="125">
        <f>IF($F$3="NO",0,IF(Valores!$C$61*B201&gt;Valores!$F$61,Valores!$F$61,Valores!$C$61*B201))</f>
        <v>156.145</v>
      </c>
      <c r="AM201" s="125">
        <f t="shared" si="32"/>
        <v>11156.145</v>
      </c>
      <c r="AN201" s="125">
        <f>AH201*Valores!$C$71</f>
        <v>-7956.237299999999</v>
      </c>
      <c r="AO201" s="125">
        <f>AH201*-Valores!$C$72</f>
        <v>0</v>
      </c>
      <c r="AP201" s="125">
        <f>AH201*Valores!$C$73</f>
        <v>-3254.8243499999994</v>
      </c>
      <c r="AQ201" s="125">
        <f>Valores!$C$100</f>
        <v>-280.91</v>
      </c>
      <c r="AR201" s="125">
        <f>IF($F$5=0,Valores!$C$101,(Valores!$C$101+$F$5*(Valores!$C$101)))</f>
        <v>-385</v>
      </c>
      <c r="AS201" s="125">
        <f aca="true" t="shared" si="35" ref="AS201:AS264">AH201+SUM(AM201:AR201)</f>
        <v>71608.60334999999</v>
      </c>
      <c r="AT201" s="125">
        <f t="shared" si="29"/>
        <v>-7956.237299999999</v>
      </c>
      <c r="AU201" s="125">
        <f>AH201*Valores!$C$74</f>
        <v>-1952.8946099999998</v>
      </c>
      <c r="AV201" s="125">
        <f>AH201*Valores!$C$75</f>
        <v>-216.98828999999998</v>
      </c>
      <c r="AW201" s="125">
        <f t="shared" si="33"/>
        <v>73359.4548</v>
      </c>
      <c r="AX201" s="126"/>
      <c r="AY201" s="126">
        <f t="shared" si="28"/>
        <v>11</v>
      </c>
      <c r="AZ201" s="123" t="s">
        <v>4</v>
      </c>
    </row>
    <row r="202" spans="1:52" s="110" customFormat="1" ht="11.25" customHeight="1">
      <c r="A202" s="123" t="s">
        <v>470</v>
      </c>
      <c r="B202" s="123">
        <v>12</v>
      </c>
      <c r="C202" s="126">
        <v>195</v>
      </c>
      <c r="D202" s="124" t="str">
        <f t="shared" si="26"/>
        <v>Hora Cátedra Enseñanza Superior 12 hs</v>
      </c>
      <c r="E202" s="192">
        <f t="shared" si="27"/>
        <v>1188</v>
      </c>
      <c r="F202" s="125">
        <f>ROUND(E202*Valores!$C$2,2)</f>
        <v>32219.99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6225.77</v>
      </c>
      <c r="N202" s="125">
        <f t="shared" si="30"/>
        <v>0</v>
      </c>
      <c r="O202" s="125">
        <f>Valores!$C$7*B202</f>
        <v>11037.119999999999</v>
      </c>
      <c r="P202" s="125">
        <f>ROUND(IF(B202&lt;15,(Valores!$E$5*B202),Valores!$D$5),2)</f>
        <v>11091.48</v>
      </c>
      <c r="Q202" s="125">
        <v>0</v>
      </c>
      <c r="R202" s="125">
        <f>IF($F$4="NO",Valores!$C$49*B202,Valores!$C$49*B202/2)</f>
        <v>5813.76</v>
      </c>
      <c r="S202" s="125">
        <f>Valores!$C$18*B202</f>
        <v>3471.3599999999997</v>
      </c>
      <c r="T202" s="125">
        <f t="shared" si="25"/>
        <v>3471.36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IF(Valores!$C$97*B202&gt;Valores!$C$96,Valores!$C$96,Valores!$C$97*B202)</f>
        <v>3359.2799999999997</v>
      </c>
      <c r="AA202" s="125">
        <f>IF((Valores!$C$28)*B202&gt;Valores!$F$28,Valores!$F$28,(Valores!$C$28)*B202)</f>
        <v>272.64</v>
      </c>
      <c r="AB202" s="214">
        <v>0</v>
      </c>
      <c r="AC202" s="125">
        <f t="shared" si="31"/>
        <v>0</v>
      </c>
      <c r="AD202" s="125">
        <f>IF(Valores!$C$29*B202&gt;Valores!$F$29,Valores!$F$29,Valores!$C$29*B202)</f>
        <v>227.04000000000002</v>
      </c>
      <c r="AE202" s="192">
        <v>0</v>
      </c>
      <c r="AF202" s="125">
        <f>ROUND(AE202*Valores!$C$2,2)</f>
        <v>0</v>
      </c>
      <c r="AG202" s="125">
        <f>IF($F$4="NO",IF(Valores!$D$63*'Escala Docente'!B202&gt;Valores!$F$63,Valores!$F$63,Valores!$D$63*'Escala Docente'!B202),IF(Valores!$D$63*'Escala Docente'!B202&gt;Valores!$F$63,Valores!$F$63,Valores!$D$63*'Escala Docente'!B202)/2)</f>
        <v>5186.4</v>
      </c>
      <c r="AH202" s="125">
        <f t="shared" si="34"/>
        <v>78904.83999999998</v>
      </c>
      <c r="AI202" s="125">
        <f>IF(Valores!$C$32*B202&gt;Valores!$F$32,Valores!$F$32,Valores!$C$32*B202)</f>
        <v>0</v>
      </c>
      <c r="AJ202" s="125">
        <f>IF(Valores!$C$90*B202&gt;Valores!$C$89,Valores!$C$89,Valores!$C$90*B202)</f>
        <v>0</v>
      </c>
      <c r="AK202" s="125">
        <f>IF(Valores!C$39*B202&gt;Valores!F$38,Valores!F$38,Valores!C$39*B202)</f>
        <v>12000</v>
      </c>
      <c r="AL202" s="125">
        <f>IF($F$3="NO",0,IF(Valores!$C$61*B202&gt;Valores!$F$61,Valores!$F$61,Valores!$C$61*B202))</f>
        <v>170.34</v>
      </c>
      <c r="AM202" s="125">
        <f t="shared" si="32"/>
        <v>12170.34</v>
      </c>
      <c r="AN202" s="125">
        <f>AH202*Valores!$C$71</f>
        <v>-8679.532399999998</v>
      </c>
      <c r="AO202" s="125">
        <f>AH202*-Valores!$C$72</f>
        <v>0</v>
      </c>
      <c r="AP202" s="125">
        <f>AH202*Valores!$C$73</f>
        <v>-3550.717799999999</v>
      </c>
      <c r="AQ202" s="125">
        <f>Valores!$C$100</f>
        <v>-280.91</v>
      </c>
      <c r="AR202" s="125">
        <f>IF($F$5=0,Valores!$C$101,(Valores!$C$101+$F$5*(Valores!$C$101)))</f>
        <v>-385</v>
      </c>
      <c r="AS202" s="125">
        <f t="shared" si="35"/>
        <v>78179.01979999998</v>
      </c>
      <c r="AT202" s="125">
        <f t="shared" si="29"/>
        <v>-8679.532399999998</v>
      </c>
      <c r="AU202" s="125">
        <f>AH202*Valores!$C$74</f>
        <v>-2130.4306799999995</v>
      </c>
      <c r="AV202" s="125">
        <f>AH202*Valores!$C$75</f>
        <v>-236.71451999999996</v>
      </c>
      <c r="AW202" s="125">
        <f t="shared" si="33"/>
        <v>80028.50239999998</v>
      </c>
      <c r="AX202" s="126"/>
      <c r="AY202" s="126">
        <f t="shared" si="28"/>
        <v>12</v>
      </c>
      <c r="AZ202" s="123" t="s">
        <v>4</v>
      </c>
    </row>
    <row r="203" spans="1:52" s="110" customFormat="1" ht="11.25" customHeight="1">
      <c r="A203" s="123" t="s">
        <v>470</v>
      </c>
      <c r="B203" s="123">
        <v>13</v>
      </c>
      <c r="C203" s="126">
        <v>196</v>
      </c>
      <c r="D203" s="124" t="str">
        <f t="shared" si="26"/>
        <v>Hora Cátedra Enseñanza Superior 13 hs</v>
      </c>
      <c r="E203" s="192">
        <f t="shared" si="27"/>
        <v>1287</v>
      </c>
      <c r="F203" s="125">
        <f>ROUND(E203*Valores!$C$2,2)</f>
        <v>34904.98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6744.58</v>
      </c>
      <c r="N203" s="125">
        <f t="shared" si="30"/>
        <v>0</v>
      </c>
      <c r="O203" s="125">
        <f>Valores!$C$7*B203</f>
        <v>11956.88</v>
      </c>
      <c r="P203" s="125">
        <f>ROUND(IF(B203&lt;15,(Valores!$E$5*B203),Valores!$D$5),2)</f>
        <v>12015.77</v>
      </c>
      <c r="Q203" s="125">
        <v>0</v>
      </c>
      <c r="R203" s="125">
        <f>IF($F$4="NO",Valores!$C$49*B203,Valores!$C$49*B203/2)</f>
        <v>6298.24</v>
      </c>
      <c r="S203" s="125">
        <f>Valores!$C$18*B203</f>
        <v>3760.6399999999994</v>
      </c>
      <c r="T203" s="125">
        <f aca="true" t="shared" si="36" ref="T203:T266">ROUND(S203*(1+$H$2),2)</f>
        <v>3760.64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IF(Valores!$C$97*B203&gt;Valores!$C$96,Valores!$C$96,Valores!$C$97*B203)</f>
        <v>3639.22</v>
      </c>
      <c r="AA203" s="125">
        <f>IF((Valores!$C$28)*B203&gt;Valores!$F$28,Valores!$F$28,(Valores!$C$28)*B203)</f>
        <v>295.36</v>
      </c>
      <c r="AB203" s="214">
        <v>0</v>
      </c>
      <c r="AC203" s="125">
        <f t="shared" si="31"/>
        <v>0</v>
      </c>
      <c r="AD203" s="125">
        <f>IF(Valores!$C$29*B203&gt;Valores!$F$29,Valores!$F$29,Valores!$C$29*B203)</f>
        <v>245.96000000000004</v>
      </c>
      <c r="AE203" s="192">
        <v>0</v>
      </c>
      <c r="AF203" s="125">
        <f>ROUND(AE203*Valores!$C$2,2)</f>
        <v>0</v>
      </c>
      <c r="AG203" s="125">
        <f>IF($F$4="NO",IF(Valores!$D$63*'Escala Docente'!B203&gt;Valores!$F$63,Valores!$F$63,Valores!$D$63*'Escala Docente'!B203),IF(Valores!$D$63*'Escala Docente'!B203&gt;Valores!$F$63,Valores!$F$63,Valores!$D$63*'Escala Docente'!B203)/2)</f>
        <v>5618.599999999999</v>
      </c>
      <c r="AH203" s="125">
        <f t="shared" si="34"/>
        <v>85480.23000000003</v>
      </c>
      <c r="AI203" s="125">
        <f>IF(Valores!$C$32*B203&gt;Valores!$F$32,Valores!$F$32,Valores!$C$32*B203)</f>
        <v>0</v>
      </c>
      <c r="AJ203" s="125">
        <f>IF(Valores!$C$90*B203&gt;Valores!$C$89,Valores!$C$89,Valores!$C$90*B203)</f>
        <v>0</v>
      </c>
      <c r="AK203" s="125">
        <f>IF(Valores!C$39*B203&gt;Valores!F$38,Valores!F$38,Valores!C$39*B203)</f>
        <v>13000</v>
      </c>
      <c r="AL203" s="125">
        <f>IF($F$3="NO",0,IF(Valores!$C$61*B203&gt;Valores!$F$61,Valores!$F$61,Valores!$C$61*B203))</f>
        <v>184.535</v>
      </c>
      <c r="AM203" s="125">
        <f t="shared" si="32"/>
        <v>13184.535</v>
      </c>
      <c r="AN203" s="125">
        <f>AH203*Valores!$C$71</f>
        <v>-9402.825300000002</v>
      </c>
      <c r="AO203" s="125">
        <f>AH203*-Valores!$C$72</f>
        <v>0</v>
      </c>
      <c r="AP203" s="125">
        <f>AH203*Valores!$C$73</f>
        <v>-3846.610350000001</v>
      </c>
      <c r="AQ203" s="125">
        <f>Valores!$C$100</f>
        <v>-280.91</v>
      </c>
      <c r="AR203" s="125">
        <f>IF($F$5=0,Valores!$C$101,(Valores!$C$101+$F$5*(Valores!$C$101)))</f>
        <v>-385</v>
      </c>
      <c r="AS203" s="125">
        <f t="shared" si="35"/>
        <v>84749.41935000003</v>
      </c>
      <c r="AT203" s="125">
        <f t="shared" si="29"/>
        <v>-9402.825300000002</v>
      </c>
      <c r="AU203" s="125">
        <f>AH203*Valores!$C$74</f>
        <v>-2307.9662100000005</v>
      </c>
      <c r="AV203" s="125">
        <f>AH203*Valores!$C$75</f>
        <v>-256.4406900000001</v>
      </c>
      <c r="AW203" s="125">
        <f t="shared" si="33"/>
        <v>86697.53280000003</v>
      </c>
      <c r="AX203" s="126"/>
      <c r="AY203" s="126">
        <f t="shared" si="28"/>
        <v>13</v>
      </c>
      <c r="AZ203" s="123" t="s">
        <v>4</v>
      </c>
    </row>
    <row r="204" spans="1:52" s="110" customFormat="1" ht="11.25" customHeight="1">
      <c r="A204" s="123" t="s">
        <v>470</v>
      </c>
      <c r="B204" s="123">
        <v>14</v>
      </c>
      <c r="C204" s="126">
        <v>197</v>
      </c>
      <c r="D204" s="124" t="str">
        <f t="shared" si="26"/>
        <v>Hora Cátedra Enseñanza Superior 14 hs</v>
      </c>
      <c r="E204" s="192">
        <f t="shared" si="27"/>
        <v>1386</v>
      </c>
      <c r="F204" s="125">
        <f>ROUND(E204*Valores!$C$2,2)</f>
        <v>37589.98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7263.39</v>
      </c>
      <c r="N204" s="125">
        <f t="shared" si="30"/>
        <v>0</v>
      </c>
      <c r="O204" s="125">
        <f>Valores!$C$7*B204</f>
        <v>12876.64</v>
      </c>
      <c r="P204" s="125">
        <f>ROUND(IF(B204&lt;15,(Valores!$E$5*B204),Valores!$D$5),2)</f>
        <v>12940.06</v>
      </c>
      <c r="Q204" s="125">
        <v>0</v>
      </c>
      <c r="R204" s="125">
        <f>IF($F$4="NO",Valores!$C$49*B204,Valores!$C$49*B204/2)</f>
        <v>6782.72</v>
      </c>
      <c r="S204" s="125">
        <f>Valores!$C$18*B204</f>
        <v>4049.9199999999996</v>
      </c>
      <c r="T204" s="125">
        <f t="shared" si="36"/>
        <v>4049.92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IF(Valores!$C$97*B204&gt;Valores!$C$96,Valores!$C$96,Valores!$C$97*B204)</f>
        <v>3919.16</v>
      </c>
      <c r="AA204" s="125">
        <f>IF((Valores!$C$28)*B204&gt;Valores!$F$28,Valores!$F$28,(Valores!$C$28)*B204)</f>
        <v>318.08</v>
      </c>
      <c r="AB204" s="214">
        <v>0</v>
      </c>
      <c r="AC204" s="125">
        <f t="shared" si="31"/>
        <v>0</v>
      </c>
      <c r="AD204" s="125">
        <f>IF(Valores!$C$29*B204&gt;Valores!$F$29,Valores!$F$29,Valores!$C$29*B204)</f>
        <v>264.88</v>
      </c>
      <c r="AE204" s="192">
        <v>0</v>
      </c>
      <c r="AF204" s="125">
        <f>ROUND(AE204*Valores!$C$2,2)</f>
        <v>0</v>
      </c>
      <c r="AG204" s="125">
        <f>IF($F$4="NO",IF(Valores!$D$63*'Escala Docente'!B204&gt;Valores!$F$63,Valores!$F$63,Valores!$D$63*'Escala Docente'!B204),IF(Valores!$D$63*'Escala Docente'!B204&gt;Valores!$F$63,Valores!$F$63,Valores!$D$63*'Escala Docente'!B204)/2)</f>
        <v>6050.8</v>
      </c>
      <c r="AH204" s="125">
        <f t="shared" si="34"/>
        <v>92055.63000000002</v>
      </c>
      <c r="AI204" s="125">
        <f>IF(Valores!$C$32*B204&gt;Valores!$F$32,Valores!$F$32,Valores!$C$32*B204)</f>
        <v>0</v>
      </c>
      <c r="AJ204" s="125">
        <f>IF(Valores!$C$90*B204&gt;Valores!$C$89,Valores!$C$89,Valores!$C$90*B204)</f>
        <v>0</v>
      </c>
      <c r="AK204" s="125">
        <f>IF(Valores!C$39*B204&gt;Valores!F$38,Valores!F$38,Valores!C$39*B204)</f>
        <v>14000</v>
      </c>
      <c r="AL204" s="125">
        <f>IF($F$3="NO",0,IF(Valores!$C$61*B204&gt;Valores!$F$61,Valores!$F$61,Valores!$C$61*B204))</f>
        <v>198.73000000000002</v>
      </c>
      <c r="AM204" s="125">
        <f t="shared" si="32"/>
        <v>14198.73</v>
      </c>
      <c r="AN204" s="125">
        <f>AH204*Valores!$C$71</f>
        <v>-10126.119300000002</v>
      </c>
      <c r="AO204" s="125">
        <f>AH204*-Valores!$C$72</f>
        <v>0</v>
      </c>
      <c r="AP204" s="125">
        <f>AH204*Valores!$C$73</f>
        <v>-4142.503350000001</v>
      </c>
      <c r="AQ204" s="125">
        <f>Valores!$C$100</f>
        <v>-280.91</v>
      </c>
      <c r="AR204" s="125">
        <f>IF($F$5=0,Valores!$C$101,(Valores!$C$101+$F$5*(Valores!$C$101)))</f>
        <v>-385</v>
      </c>
      <c r="AS204" s="125">
        <f t="shared" si="35"/>
        <v>91319.82735000002</v>
      </c>
      <c r="AT204" s="125">
        <f t="shared" si="29"/>
        <v>-10126.119300000002</v>
      </c>
      <c r="AU204" s="125">
        <f>AH204*Valores!$C$74</f>
        <v>-2485.5020100000006</v>
      </c>
      <c r="AV204" s="125">
        <f>AH204*Valores!$C$75</f>
        <v>-276.1668900000001</v>
      </c>
      <c r="AW204" s="125">
        <f t="shared" si="33"/>
        <v>93366.5718</v>
      </c>
      <c r="AX204" s="126"/>
      <c r="AY204" s="126">
        <f t="shared" si="28"/>
        <v>14</v>
      </c>
      <c r="AZ204" s="123" t="s">
        <v>4</v>
      </c>
    </row>
    <row r="205" spans="1:52" s="110" customFormat="1" ht="11.25" customHeight="1">
      <c r="A205" s="123" t="s">
        <v>470</v>
      </c>
      <c r="B205" s="123">
        <v>15</v>
      </c>
      <c r="C205" s="126">
        <v>198</v>
      </c>
      <c r="D205" s="124" t="str">
        <f t="shared" si="26"/>
        <v>Hora Cátedra Enseñanza Superior 15 hs</v>
      </c>
      <c r="E205" s="192">
        <f t="shared" si="27"/>
        <v>1485</v>
      </c>
      <c r="F205" s="125">
        <f>ROUND(E205*Valores!$C$2,2)</f>
        <v>40274.98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7782.21</v>
      </c>
      <c r="N205" s="125">
        <f t="shared" si="30"/>
        <v>0</v>
      </c>
      <c r="O205" s="125">
        <f>Valores!$C$7*B205</f>
        <v>13796.4</v>
      </c>
      <c r="P205" s="125">
        <f>ROUND(IF(B205&lt;15,(Valores!$E$5*B205),Valores!$D$5),2)</f>
        <v>13864.36</v>
      </c>
      <c r="Q205" s="125">
        <v>0</v>
      </c>
      <c r="R205" s="125">
        <f>IF($F$4="NO",Valores!$C$49*B205,Valores!$C$49*B205/2)</f>
        <v>7267.200000000001</v>
      </c>
      <c r="S205" s="125">
        <f>Valores!$C$18*B205</f>
        <v>4339.2</v>
      </c>
      <c r="T205" s="125">
        <f t="shared" si="36"/>
        <v>4339.2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IF(Valores!$C$97*B205&gt;Valores!$C$96,Valores!$C$96,Valores!$C$97*B205)</f>
        <v>4199.1</v>
      </c>
      <c r="AA205" s="125">
        <f>IF((Valores!$C$28)*B205&gt;Valores!$F$28,Valores!$F$28,(Valores!$C$28)*B205)</f>
        <v>340.79999999999995</v>
      </c>
      <c r="AB205" s="214">
        <v>0</v>
      </c>
      <c r="AC205" s="125">
        <f t="shared" si="31"/>
        <v>0</v>
      </c>
      <c r="AD205" s="125">
        <f>IF(Valores!$C$29*B205&gt;Valores!$F$29,Valores!$F$29,Valores!$C$29*B205)</f>
        <v>283.8</v>
      </c>
      <c r="AE205" s="192">
        <v>0</v>
      </c>
      <c r="AF205" s="125">
        <f>ROUND(AE205*Valores!$C$2,2)</f>
        <v>0</v>
      </c>
      <c r="AG205" s="125">
        <f>IF($F$4="NO",IF(Valores!$D$63*'Escala Docente'!B205&gt;Valores!$F$63,Valores!$F$63,Valores!$D$63*'Escala Docente'!B205),IF(Valores!$D$63*'Escala Docente'!B205&gt;Valores!$F$63,Valores!$F$63,Valores!$D$63*'Escala Docente'!B205)/2)</f>
        <v>6483</v>
      </c>
      <c r="AH205" s="125">
        <f t="shared" si="34"/>
        <v>98631.05000000002</v>
      </c>
      <c r="AI205" s="125">
        <f>IF(Valores!$C$32*B205&gt;Valores!$F$32,Valores!$F$32,Valores!$C$32*B205)</f>
        <v>0</v>
      </c>
      <c r="AJ205" s="125">
        <f>IF(Valores!$C$90*B205&gt;Valores!$C$89,Valores!$C$89,Valores!$C$90*B205)</f>
        <v>0</v>
      </c>
      <c r="AK205" s="125">
        <f>IF(Valores!C$39*B205&gt;Valores!F$38,Valores!F$38,Valores!C$39*B205)</f>
        <v>15000</v>
      </c>
      <c r="AL205" s="125">
        <f>IF($F$3="NO",0,IF(Valores!$C$61*B205&gt;Valores!$F$61,Valores!$F$61,Valores!$C$61*B205))</f>
        <v>212.925</v>
      </c>
      <c r="AM205" s="125">
        <f t="shared" si="32"/>
        <v>15212.925</v>
      </c>
      <c r="AN205" s="125">
        <f>AH205*Valores!$C$71</f>
        <v>-10849.415500000003</v>
      </c>
      <c r="AO205" s="125">
        <f>AH205*-Valores!$C$72</f>
        <v>0</v>
      </c>
      <c r="AP205" s="125">
        <f>AH205*Valores!$C$73</f>
        <v>-4438.397250000001</v>
      </c>
      <c r="AQ205" s="125">
        <f>Valores!$C$100</f>
        <v>-280.91</v>
      </c>
      <c r="AR205" s="125">
        <f>IF($F$5=0,Valores!$C$101,(Valores!$C$101+$F$5*(Valores!$C$101)))</f>
        <v>-385</v>
      </c>
      <c r="AS205" s="125">
        <f t="shared" si="35"/>
        <v>97890.25225000002</v>
      </c>
      <c r="AT205" s="125">
        <f t="shared" si="29"/>
        <v>-10849.415500000003</v>
      </c>
      <c r="AU205" s="125">
        <f>AH205*Valores!$C$74</f>
        <v>-2663.0383500000003</v>
      </c>
      <c r="AV205" s="125">
        <f>AH205*Valores!$C$75</f>
        <v>-295.89315000000005</v>
      </c>
      <c r="AW205" s="125">
        <f t="shared" si="33"/>
        <v>100035.62800000001</v>
      </c>
      <c r="AX205" s="126"/>
      <c r="AY205" s="126">
        <f t="shared" si="28"/>
        <v>15</v>
      </c>
      <c r="AZ205" s="123" t="s">
        <v>4</v>
      </c>
    </row>
    <row r="206" spans="1:52" s="110" customFormat="1" ht="11.25" customHeight="1">
      <c r="A206" s="123" t="s">
        <v>470</v>
      </c>
      <c r="B206" s="123">
        <v>16</v>
      </c>
      <c r="C206" s="126">
        <v>199</v>
      </c>
      <c r="D206" s="124" t="str">
        <f t="shared" si="26"/>
        <v>Hora Cátedra Enseñanza Superior 16 hs</v>
      </c>
      <c r="E206" s="192">
        <f t="shared" si="27"/>
        <v>1584</v>
      </c>
      <c r="F206" s="125">
        <f>ROUND(E206*Valores!$C$2,2)</f>
        <v>42959.98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8301.02</v>
      </c>
      <c r="N206" s="125">
        <f t="shared" si="30"/>
        <v>0</v>
      </c>
      <c r="O206" s="125">
        <f>Valores!$C$7*B206</f>
        <v>14716.16</v>
      </c>
      <c r="P206" s="125">
        <f>ROUND(IF(B206&lt;15,(Valores!$E$5*B206),Valores!$D$5),2)</f>
        <v>13864.36</v>
      </c>
      <c r="Q206" s="125">
        <v>0</v>
      </c>
      <c r="R206" s="125">
        <f>IF($F$4="NO",Valores!$C$49*B206,Valores!$C$49*B206/2)</f>
        <v>7751.68</v>
      </c>
      <c r="S206" s="125">
        <f>Valores!$C$18*B206</f>
        <v>4628.48</v>
      </c>
      <c r="T206" s="125">
        <f t="shared" si="36"/>
        <v>4628.48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IF(Valores!$C$97*B206&gt;Valores!$C$96,Valores!$C$96,Valores!$C$97*B206)</f>
        <v>4479.04</v>
      </c>
      <c r="AA206" s="125">
        <f>IF((Valores!$C$28)*B206&gt;Valores!$F$28,Valores!$F$28,(Valores!$C$28)*B206)</f>
        <v>363.52</v>
      </c>
      <c r="AB206" s="214">
        <v>0</v>
      </c>
      <c r="AC206" s="125">
        <f t="shared" si="31"/>
        <v>0</v>
      </c>
      <c r="AD206" s="125">
        <f>IF(Valores!$C$29*B206&gt;Valores!$F$29,Valores!$F$29,Valores!$C$29*B206)</f>
        <v>302.72</v>
      </c>
      <c r="AE206" s="192">
        <v>0</v>
      </c>
      <c r="AF206" s="125">
        <f>ROUND(AE206*Valores!$C$2,2)</f>
        <v>0</v>
      </c>
      <c r="AG206" s="125">
        <f>IF($F$4="NO",IF(Valores!$D$63*'Escala Docente'!B206&gt;Valores!$F$63,Valores!$F$63,Valores!$D$63*'Escala Docente'!B206),IF(Valores!$D$63*'Escala Docente'!B206&gt;Valores!$F$63,Valores!$F$63,Valores!$D$63*'Escala Docente'!B206)/2)</f>
        <v>6915.2</v>
      </c>
      <c r="AH206" s="125">
        <f t="shared" si="34"/>
        <v>104282.16</v>
      </c>
      <c r="AI206" s="125">
        <f>IF(Valores!$C$32*B206&gt;Valores!$F$32,Valores!$F$32,Valores!$C$32*B206)</f>
        <v>0</v>
      </c>
      <c r="AJ206" s="125">
        <f>IF(Valores!$C$90*B206&gt;Valores!$C$89,Valores!$C$89,Valores!$C$90*B206)</f>
        <v>0</v>
      </c>
      <c r="AK206" s="125">
        <f>IF(Valores!C$39*B206&gt;Valores!F$38,Valores!F$38,Valores!C$39*B206)</f>
        <v>16000</v>
      </c>
      <c r="AL206" s="125">
        <f>IF($F$3="NO",0,IF(Valores!$C$61*B206&gt;Valores!$F$61,Valores!$F$61,Valores!$C$61*B206))</f>
        <v>227.12</v>
      </c>
      <c r="AM206" s="125">
        <f t="shared" si="32"/>
        <v>16227.12</v>
      </c>
      <c r="AN206" s="125">
        <f>AH206*Valores!$C$71</f>
        <v>-11471.0376</v>
      </c>
      <c r="AO206" s="125">
        <f>AH206*-Valores!$C$72</f>
        <v>0</v>
      </c>
      <c r="AP206" s="125">
        <f>AH206*Valores!$C$73</f>
        <v>-4692.6972</v>
      </c>
      <c r="AQ206" s="125">
        <f>Valores!$C$100</f>
        <v>-280.91</v>
      </c>
      <c r="AR206" s="125">
        <f>IF($F$5=0,Valores!$C$101,(Valores!$C$101+$F$5*(Valores!$C$101)))</f>
        <v>-385</v>
      </c>
      <c r="AS206" s="125">
        <f t="shared" si="35"/>
        <v>103679.6352</v>
      </c>
      <c r="AT206" s="125">
        <f t="shared" si="29"/>
        <v>-11471.0376</v>
      </c>
      <c r="AU206" s="125">
        <f>AH206*Valores!$C$74</f>
        <v>-2815.61832</v>
      </c>
      <c r="AV206" s="125">
        <f>AH206*Valores!$C$75</f>
        <v>-312.84648000000004</v>
      </c>
      <c r="AW206" s="125">
        <f t="shared" si="33"/>
        <v>105909.7776</v>
      </c>
      <c r="AX206" s="126"/>
      <c r="AY206" s="126">
        <f t="shared" si="28"/>
        <v>16</v>
      </c>
      <c r="AZ206" s="123" t="s">
        <v>4</v>
      </c>
    </row>
    <row r="207" spans="1:52" s="110" customFormat="1" ht="11.25" customHeight="1">
      <c r="A207" s="123" t="s">
        <v>470</v>
      </c>
      <c r="B207" s="123">
        <v>17</v>
      </c>
      <c r="C207" s="126">
        <v>200</v>
      </c>
      <c r="D207" s="124" t="str">
        <f t="shared" si="26"/>
        <v>Hora Cátedra Enseñanza Superior 17 hs</v>
      </c>
      <c r="E207" s="192">
        <f t="shared" si="27"/>
        <v>1683</v>
      </c>
      <c r="F207" s="125">
        <f>ROUND(E207*Valores!$C$2,2)</f>
        <v>45644.98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8819.84</v>
      </c>
      <c r="N207" s="125">
        <f t="shared" si="30"/>
        <v>0</v>
      </c>
      <c r="O207" s="125">
        <f>Valores!$C$7*B207</f>
        <v>15635.92</v>
      </c>
      <c r="P207" s="125">
        <f>ROUND(IF(B207&lt;15,(Valores!$E$5*B207),Valores!$D$5),2)</f>
        <v>13864.36</v>
      </c>
      <c r="Q207" s="125">
        <v>0</v>
      </c>
      <c r="R207" s="125">
        <f>IF($F$4="NO",Valores!$C$49*B207,Valores!$C$49*B207/2)</f>
        <v>8236.16</v>
      </c>
      <c r="S207" s="125">
        <f>Valores!$C$18*B207</f>
        <v>4917.759999999999</v>
      </c>
      <c r="T207" s="125">
        <f t="shared" si="36"/>
        <v>4917.76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IF(Valores!$C$97*B207&gt;Valores!$C$96,Valores!$C$96,Valores!$C$97*B207)</f>
        <v>4758.98</v>
      </c>
      <c r="AA207" s="125">
        <f>IF((Valores!$C$28)*B207&gt;Valores!$F$28,Valores!$F$28,(Valores!$C$28)*B207)</f>
        <v>386.24</v>
      </c>
      <c r="AB207" s="214">
        <v>0</v>
      </c>
      <c r="AC207" s="125">
        <f t="shared" si="31"/>
        <v>0</v>
      </c>
      <c r="AD207" s="125">
        <f>IF(Valores!$C$29*B207&gt;Valores!$F$29,Valores!$F$29,Valores!$C$29*B207)</f>
        <v>321.64000000000004</v>
      </c>
      <c r="AE207" s="192">
        <v>0</v>
      </c>
      <c r="AF207" s="125">
        <f>ROUND(AE207*Valores!$C$2,2)</f>
        <v>0</v>
      </c>
      <c r="AG207" s="125">
        <f>IF($F$4="NO",IF(Valores!$D$63*'Escala Docente'!B207&gt;Valores!$F$63,Valores!$F$63,Valores!$D$63*'Escala Docente'!B207),IF(Valores!$D$63*'Escala Docente'!B207&gt;Valores!$F$63,Valores!$F$63,Valores!$D$63*'Escala Docente'!B207)/2)</f>
        <v>7347.4</v>
      </c>
      <c r="AH207" s="125">
        <f t="shared" si="34"/>
        <v>109933.28</v>
      </c>
      <c r="AI207" s="125">
        <f>IF(Valores!$C$32*B207&gt;Valores!$F$32,Valores!$F$32,Valores!$C$32*B207)</f>
        <v>0</v>
      </c>
      <c r="AJ207" s="125">
        <f>IF(Valores!$C$90*B207&gt;Valores!$C$89,Valores!$C$89,Valores!$C$90*B207)</f>
        <v>0</v>
      </c>
      <c r="AK207" s="125">
        <f>IF(Valores!C$39*B207&gt;Valores!F$38,Valores!F$38,Valores!C$39*B207)</f>
        <v>17000</v>
      </c>
      <c r="AL207" s="125">
        <f>IF($F$3="NO",0,IF(Valores!$C$61*B207&gt;Valores!$F$61,Valores!$F$61,Valores!$C$61*B207))</f>
        <v>241.315</v>
      </c>
      <c r="AM207" s="125">
        <f t="shared" si="32"/>
        <v>17241.315</v>
      </c>
      <c r="AN207" s="125">
        <f>AH207*Valores!$C$71</f>
        <v>-12092.6608</v>
      </c>
      <c r="AO207" s="125">
        <f>AH207*-Valores!$C$72</f>
        <v>0</v>
      </c>
      <c r="AP207" s="125">
        <f>AH207*Valores!$C$73</f>
        <v>-4946.9976</v>
      </c>
      <c r="AQ207" s="125">
        <f>Valores!$C$100</f>
        <v>-280.91</v>
      </c>
      <c r="AR207" s="125">
        <f>IF($F$5=0,Valores!$C$101,(Valores!$C$101+$F$5*(Valores!$C$101)))</f>
        <v>-385</v>
      </c>
      <c r="AS207" s="125">
        <f t="shared" si="35"/>
        <v>109469.0266</v>
      </c>
      <c r="AT207" s="125">
        <f t="shared" si="29"/>
        <v>-12092.6608</v>
      </c>
      <c r="AU207" s="125">
        <f>AH207*Valores!$C$74</f>
        <v>-2968.19856</v>
      </c>
      <c r="AV207" s="125">
        <f>AH207*Valores!$C$75</f>
        <v>-329.79984</v>
      </c>
      <c r="AW207" s="125">
        <f t="shared" si="33"/>
        <v>111783.9358</v>
      </c>
      <c r="AX207" s="126"/>
      <c r="AY207" s="126">
        <f t="shared" si="28"/>
        <v>17</v>
      </c>
      <c r="AZ207" s="123" t="s">
        <v>4</v>
      </c>
    </row>
    <row r="208" spans="1:52" s="110" customFormat="1" ht="11.25" customHeight="1">
      <c r="A208" s="123" t="s">
        <v>470</v>
      </c>
      <c r="B208" s="123">
        <v>18</v>
      </c>
      <c r="C208" s="126">
        <v>201</v>
      </c>
      <c r="D208" s="124" t="str">
        <f t="shared" si="26"/>
        <v>Hora Cátedra Enseñanza Superior 18 hs</v>
      </c>
      <c r="E208" s="192">
        <f t="shared" si="27"/>
        <v>1782</v>
      </c>
      <c r="F208" s="125">
        <f>ROUND(E208*Valores!$C$2,2)</f>
        <v>48329.98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9338.65</v>
      </c>
      <c r="N208" s="125">
        <f t="shared" si="30"/>
        <v>0</v>
      </c>
      <c r="O208" s="125">
        <f>Valores!$C$7*B208</f>
        <v>16555.68</v>
      </c>
      <c r="P208" s="125">
        <f>ROUND(IF(B208&lt;15,(Valores!$E$5*B208),Valores!$D$5),2)</f>
        <v>13864.36</v>
      </c>
      <c r="Q208" s="125">
        <v>0</v>
      </c>
      <c r="R208" s="125">
        <f>IF($F$4="NO",Valores!$C$49*B208,Valores!$C$49*B208/2)</f>
        <v>8720.64</v>
      </c>
      <c r="S208" s="125">
        <f>Valores!$C$18*B208</f>
        <v>5207.039999999999</v>
      </c>
      <c r="T208" s="125">
        <f t="shared" si="36"/>
        <v>5207.04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IF(Valores!$C$97*B208&gt;Valores!$C$96,Valores!$C$96,Valores!$C$97*B208)</f>
        <v>5038.92</v>
      </c>
      <c r="AA208" s="125">
        <f>IF((Valores!$C$28)*B208&gt;Valores!$F$28,Valores!$F$28,(Valores!$C$28)*B208)</f>
        <v>408.96</v>
      </c>
      <c r="AB208" s="214">
        <v>0</v>
      </c>
      <c r="AC208" s="125">
        <f t="shared" si="31"/>
        <v>0</v>
      </c>
      <c r="AD208" s="125">
        <f>IF(Valores!$C$29*B208&gt;Valores!$F$29,Valores!$F$29,Valores!$C$29*B208)</f>
        <v>340.56000000000006</v>
      </c>
      <c r="AE208" s="192">
        <v>0</v>
      </c>
      <c r="AF208" s="125">
        <f>ROUND(AE208*Valores!$C$2,2)</f>
        <v>0</v>
      </c>
      <c r="AG208" s="125">
        <f>IF($F$4="NO",IF(Valores!$D$63*'Escala Docente'!B208&gt;Valores!$F$63,Valores!$F$63,Valores!$D$63*'Escala Docente'!B208),IF(Valores!$D$63*'Escala Docente'!B208&gt;Valores!$F$63,Valores!$F$63,Valores!$D$63*'Escala Docente'!B208)/2)</f>
        <v>7779.599999999999</v>
      </c>
      <c r="AH208" s="125">
        <f t="shared" si="34"/>
        <v>115584.39</v>
      </c>
      <c r="AI208" s="125">
        <f>IF(Valores!$C$32*B208&gt;Valores!$F$32,Valores!$F$32,Valores!$C$32*B208)</f>
        <v>0</v>
      </c>
      <c r="AJ208" s="125">
        <f>IF(Valores!$C$90*B208&gt;Valores!$C$89,Valores!$C$89,Valores!$C$90*B208)</f>
        <v>0</v>
      </c>
      <c r="AK208" s="125">
        <f>IF(Valores!C$39*B208&gt;Valores!F$38,Valores!F$38,Valores!C$39*B208)</f>
        <v>18000</v>
      </c>
      <c r="AL208" s="125">
        <f>IF($F$3="NO",0,IF(Valores!$C$61*B208&gt;Valores!$F$61,Valores!$F$61,Valores!$C$61*B208))</f>
        <v>255.51</v>
      </c>
      <c r="AM208" s="125">
        <f t="shared" si="32"/>
        <v>18255.51</v>
      </c>
      <c r="AN208" s="125">
        <f>AH208*Valores!$C$71</f>
        <v>-12714.2829</v>
      </c>
      <c r="AO208" s="125">
        <f>AH208*-Valores!$C$72</f>
        <v>0</v>
      </c>
      <c r="AP208" s="125">
        <f>AH208*Valores!$C$73</f>
        <v>-5201.29755</v>
      </c>
      <c r="AQ208" s="125">
        <f>Valores!$C$100</f>
        <v>-280.91</v>
      </c>
      <c r="AR208" s="125">
        <f>IF($F$5=0,Valores!$C$101,(Valores!$C$101+$F$5*(Valores!$C$101)))</f>
        <v>-385</v>
      </c>
      <c r="AS208" s="125">
        <f t="shared" si="35"/>
        <v>115258.40955</v>
      </c>
      <c r="AT208" s="125">
        <f t="shared" si="29"/>
        <v>-12714.2829</v>
      </c>
      <c r="AU208" s="125">
        <f>AH208*Valores!$C$74</f>
        <v>-3120.77853</v>
      </c>
      <c r="AV208" s="125">
        <f>AH208*Valores!$C$75</f>
        <v>-346.75317</v>
      </c>
      <c r="AW208" s="125">
        <f t="shared" si="33"/>
        <v>117658.0854</v>
      </c>
      <c r="AX208" s="126"/>
      <c r="AY208" s="126">
        <f t="shared" si="28"/>
        <v>18</v>
      </c>
      <c r="AZ208" s="123" t="s">
        <v>4</v>
      </c>
    </row>
    <row r="209" spans="1:52" s="110" customFormat="1" ht="11.25" customHeight="1">
      <c r="A209" s="123" t="s">
        <v>470</v>
      </c>
      <c r="B209" s="123">
        <v>19</v>
      </c>
      <c r="C209" s="126">
        <v>202</v>
      </c>
      <c r="D209" s="124" t="str">
        <f t="shared" si="26"/>
        <v>Hora Cátedra Enseñanza Superior 19 hs</v>
      </c>
      <c r="E209" s="192">
        <f t="shared" si="27"/>
        <v>1881</v>
      </c>
      <c r="F209" s="125">
        <f>ROUND(E209*Valores!$C$2,2)</f>
        <v>51014.98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9857.46</v>
      </c>
      <c r="N209" s="125">
        <f t="shared" si="30"/>
        <v>0</v>
      </c>
      <c r="O209" s="125">
        <f>Valores!$C$7*B209</f>
        <v>17475.44</v>
      </c>
      <c r="P209" s="125">
        <f>ROUND(IF(B209&lt;15,(Valores!$E$5*B209),Valores!$D$5),2)</f>
        <v>13864.36</v>
      </c>
      <c r="Q209" s="125">
        <v>0</v>
      </c>
      <c r="R209" s="125">
        <f>IF($F$4="NO",Valores!$C$49*B209,Valores!$C$49*B209/2)</f>
        <v>9205.12</v>
      </c>
      <c r="S209" s="125">
        <f>Valores!$C$18*B209</f>
        <v>5496.32</v>
      </c>
      <c r="T209" s="125">
        <f t="shared" si="36"/>
        <v>5496.32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IF(Valores!$C$97*B209&gt;Valores!$C$96,Valores!$C$96,Valores!$C$97*B209)</f>
        <v>5318.86</v>
      </c>
      <c r="AA209" s="125">
        <f>IF((Valores!$C$28)*B209&gt;Valores!$F$28,Valores!$F$28,(Valores!$C$28)*B209)</f>
        <v>431.67999999999995</v>
      </c>
      <c r="AB209" s="214">
        <v>0</v>
      </c>
      <c r="AC209" s="125">
        <f t="shared" si="31"/>
        <v>0</v>
      </c>
      <c r="AD209" s="125">
        <f>IF(Valores!$C$29*B209&gt;Valores!$F$29,Valores!$F$29,Valores!$C$29*B209)</f>
        <v>359.48</v>
      </c>
      <c r="AE209" s="192">
        <v>0</v>
      </c>
      <c r="AF209" s="125">
        <f>ROUND(AE209*Valores!$C$2,2)</f>
        <v>0</v>
      </c>
      <c r="AG209" s="125">
        <f>IF($F$4="NO",IF(Valores!$D$63*'Escala Docente'!B209&gt;Valores!$F$63,Valores!$F$63,Valores!$D$63*'Escala Docente'!B209),IF(Valores!$D$63*'Escala Docente'!B209&gt;Valores!$F$63,Valores!$F$63,Valores!$D$63*'Escala Docente'!B209)/2)</f>
        <v>8211.8</v>
      </c>
      <c r="AH209" s="125">
        <f t="shared" si="34"/>
        <v>121235.49999999999</v>
      </c>
      <c r="AI209" s="125">
        <f>IF(Valores!$C$32*B209&gt;Valores!$F$32,Valores!$F$32,Valores!$C$32*B209)</f>
        <v>0</v>
      </c>
      <c r="AJ209" s="125">
        <f>IF(Valores!$C$90*B209&gt;Valores!$C$89,Valores!$C$89,Valores!$C$90*B209)</f>
        <v>0</v>
      </c>
      <c r="AK209" s="125">
        <f>IF(Valores!C$39*B209&gt;Valores!F$38,Valores!F$38,Valores!C$39*B209)</f>
        <v>19000</v>
      </c>
      <c r="AL209" s="125">
        <f>IF($F$3="NO",0,IF(Valores!$C$61*B209&gt;Valores!$F$61,Valores!$F$61,Valores!$C$61*B209))</f>
        <v>269.705</v>
      </c>
      <c r="AM209" s="125">
        <f t="shared" si="32"/>
        <v>19269.705</v>
      </c>
      <c r="AN209" s="125">
        <f>AH209*Valores!$C$71</f>
        <v>-13335.904999999999</v>
      </c>
      <c r="AO209" s="125">
        <f>AH209*-Valores!$C$72</f>
        <v>0</v>
      </c>
      <c r="AP209" s="125">
        <f>AH209*Valores!$C$73</f>
        <v>-5455.597499999999</v>
      </c>
      <c r="AQ209" s="125">
        <f>Valores!$C$100</f>
        <v>-280.91</v>
      </c>
      <c r="AR209" s="125">
        <f>IF($F$5=0,Valores!$C$101,(Valores!$C$101+$F$5*(Valores!$C$101)))</f>
        <v>-385</v>
      </c>
      <c r="AS209" s="125">
        <f t="shared" si="35"/>
        <v>121047.7925</v>
      </c>
      <c r="AT209" s="125">
        <f t="shared" si="29"/>
        <v>-13335.904999999999</v>
      </c>
      <c r="AU209" s="125">
        <f>AH209*Valores!$C$74</f>
        <v>-3273.3584999999994</v>
      </c>
      <c r="AV209" s="125">
        <f>AH209*Valores!$C$75</f>
        <v>-363.70649999999995</v>
      </c>
      <c r="AW209" s="125">
        <f t="shared" si="33"/>
        <v>123532.23499999999</v>
      </c>
      <c r="AX209" s="126"/>
      <c r="AY209" s="126">
        <f t="shared" si="28"/>
        <v>19</v>
      </c>
      <c r="AZ209" s="123" t="s">
        <v>4</v>
      </c>
    </row>
    <row r="210" spans="1:52" s="110" customFormat="1" ht="11.25" customHeight="1">
      <c r="A210" s="123" t="s">
        <v>470</v>
      </c>
      <c r="B210" s="123">
        <v>20</v>
      </c>
      <c r="C210" s="126">
        <v>203</v>
      </c>
      <c r="D210" s="124" t="str">
        <f t="shared" si="26"/>
        <v>Hora Cátedra Enseñanza Superior 20 hs</v>
      </c>
      <c r="E210" s="192">
        <f t="shared" si="27"/>
        <v>1980</v>
      </c>
      <c r="F210" s="125">
        <f>ROUND(E210*Valores!$C$2,2)</f>
        <v>53699.98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10376.28</v>
      </c>
      <c r="N210" s="125">
        <f t="shared" si="30"/>
        <v>0</v>
      </c>
      <c r="O210" s="125">
        <f>Valores!$C$7*B210</f>
        <v>18395.2</v>
      </c>
      <c r="P210" s="125">
        <f>ROUND(IF(B210&lt;15,(Valores!$E$5*B210),Valores!$D$5),2)</f>
        <v>13864.36</v>
      </c>
      <c r="Q210" s="125">
        <v>0</v>
      </c>
      <c r="R210" s="125">
        <f>IF($F$4="NO",Valores!$C$49*B210,Valores!$C$49*B210/2)</f>
        <v>9689.6</v>
      </c>
      <c r="S210" s="125">
        <f>Valores!$C$18*B210</f>
        <v>5785.599999999999</v>
      </c>
      <c r="T210" s="125">
        <f t="shared" si="36"/>
        <v>5785.6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IF(Valores!$C$97*B210&gt;Valores!$C$96,Valores!$C$96,Valores!$C$97*B210)</f>
        <v>5598.8</v>
      </c>
      <c r="AA210" s="125">
        <f>IF((Valores!$C$28)*B210&gt;Valores!$F$28,Valores!$F$28,(Valores!$C$28)*B210)</f>
        <v>454.4</v>
      </c>
      <c r="AB210" s="214">
        <v>0</v>
      </c>
      <c r="AC210" s="125">
        <f t="shared" si="31"/>
        <v>0</v>
      </c>
      <c r="AD210" s="125">
        <f>IF(Valores!$C$29*B210&gt;Valores!$F$29,Valores!$F$29,Valores!$C$29*B210)</f>
        <v>378.40000000000003</v>
      </c>
      <c r="AE210" s="192">
        <v>0</v>
      </c>
      <c r="AF210" s="125">
        <f>ROUND(AE210*Valores!$C$2,2)</f>
        <v>0</v>
      </c>
      <c r="AG210" s="125">
        <f>IF($F$4="NO",IF(Valores!$D$63*'Escala Docente'!B210&gt;Valores!$F$63,Valores!$F$63,Valores!$D$63*'Escala Docente'!B210),IF(Valores!$D$63*'Escala Docente'!B210&gt;Valores!$F$63,Valores!$F$63,Valores!$D$63*'Escala Docente'!B210)/2)</f>
        <v>8644</v>
      </c>
      <c r="AH210" s="125">
        <f t="shared" si="34"/>
        <v>126886.62000000001</v>
      </c>
      <c r="AI210" s="125">
        <f>IF(Valores!$C$32*B210&gt;Valores!$F$32,Valores!$F$32,Valores!$C$32*B210)</f>
        <v>0</v>
      </c>
      <c r="AJ210" s="125">
        <f>IF(Valores!$C$90*B210&gt;Valores!$C$89,Valores!$C$89,Valores!$C$90*B210)</f>
        <v>0</v>
      </c>
      <c r="AK210" s="125">
        <f>IF(Valores!C$39*B210&gt;Valores!F$38,Valores!F$38,Valores!C$39*B210)</f>
        <v>20000</v>
      </c>
      <c r="AL210" s="125">
        <f>IF($F$3="NO",0,IF(Valores!$C$61*B210&gt;Valores!$F$61,Valores!$F$61,Valores!$C$61*B210))</f>
        <v>283.9</v>
      </c>
      <c r="AM210" s="125">
        <f t="shared" si="32"/>
        <v>20283.9</v>
      </c>
      <c r="AN210" s="125">
        <f>AH210*Valores!$C$71</f>
        <v>-13957.5282</v>
      </c>
      <c r="AO210" s="125">
        <f>AH210*-Valores!$C$72</f>
        <v>0</v>
      </c>
      <c r="AP210" s="125">
        <f>AH210*Valores!$C$73</f>
        <v>-5709.8979</v>
      </c>
      <c r="AQ210" s="125">
        <f>Valores!$C$100</f>
        <v>-280.91</v>
      </c>
      <c r="AR210" s="125">
        <f>IF($F$5=0,Valores!$C$101,(Valores!$C$101+$F$5*(Valores!$C$101)))</f>
        <v>-385</v>
      </c>
      <c r="AS210" s="125">
        <f t="shared" si="35"/>
        <v>126837.1839</v>
      </c>
      <c r="AT210" s="125">
        <f t="shared" si="29"/>
        <v>-13957.5282</v>
      </c>
      <c r="AU210" s="125">
        <f>AH210*Valores!$C$74</f>
        <v>-3425.93874</v>
      </c>
      <c r="AV210" s="125">
        <f>AH210*Valores!$C$75</f>
        <v>-380.65986000000004</v>
      </c>
      <c r="AW210" s="125">
        <f t="shared" si="33"/>
        <v>129406.39320000002</v>
      </c>
      <c r="AX210" s="126"/>
      <c r="AY210" s="126">
        <f t="shared" si="28"/>
        <v>20</v>
      </c>
      <c r="AZ210" s="123" t="s">
        <v>4</v>
      </c>
    </row>
    <row r="211" spans="1:52" s="110" customFormat="1" ht="11.25" customHeight="1">
      <c r="A211" s="123" t="s">
        <v>470</v>
      </c>
      <c r="B211" s="123">
        <v>21</v>
      </c>
      <c r="C211" s="126">
        <v>204</v>
      </c>
      <c r="D211" s="124" t="str">
        <f t="shared" si="26"/>
        <v>Hora Cátedra Enseñanza Superior 21 hs</v>
      </c>
      <c r="E211" s="192">
        <f t="shared" si="27"/>
        <v>2079</v>
      </c>
      <c r="F211" s="125">
        <f>ROUND(E211*Valores!$C$2,2)</f>
        <v>56384.97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10895.09</v>
      </c>
      <c r="N211" s="125">
        <f t="shared" si="30"/>
        <v>0</v>
      </c>
      <c r="O211" s="125">
        <f>Valores!$C$7*B211</f>
        <v>19314.96</v>
      </c>
      <c r="P211" s="125">
        <f>ROUND(IF(B211&lt;15,(Valores!$E$5*B211),Valores!$D$5),2)</f>
        <v>13864.36</v>
      </c>
      <c r="Q211" s="125">
        <v>0</v>
      </c>
      <c r="R211" s="125">
        <f>IF($F$4="NO",Valores!$C$49*B211,Valores!$C$49*B211/2)</f>
        <v>10174.08</v>
      </c>
      <c r="S211" s="125">
        <f>Valores!$C$18*B211</f>
        <v>6074.879999999999</v>
      </c>
      <c r="T211" s="125">
        <f t="shared" si="36"/>
        <v>6074.88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IF(Valores!$C$97*B211&gt;Valores!$C$96,Valores!$C$96,Valores!$C$97*B211)</f>
        <v>5878.74</v>
      </c>
      <c r="AA211" s="125">
        <f>IF((Valores!$C$28)*B211&gt;Valores!$F$28,Valores!$F$28,(Valores!$C$28)*B211)</f>
        <v>477.12</v>
      </c>
      <c r="AB211" s="214">
        <v>0</v>
      </c>
      <c r="AC211" s="125">
        <f t="shared" si="31"/>
        <v>0</v>
      </c>
      <c r="AD211" s="125">
        <f>IF(Valores!$C$29*B211&gt;Valores!$F$29,Valores!$F$29,Valores!$C$29*B211)</f>
        <v>397.32000000000005</v>
      </c>
      <c r="AE211" s="192">
        <v>0</v>
      </c>
      <c r="AF211" s="125">
        <f>ROUND(AE211*Valores!$C$2,2)</f>
        <v>0</v>
      </c>
      <c r="AG211" s="125">
        <f>IF($F$4="NO",IF(Valores!$D$63*'Escala Docente'!B211&gt;Valores!$F$63,Valores!$F$63,Valores!$D$63*'Escala Docente'!B211),IF(Valores!$D$63*'Escala Docente'!B211&gt;Valores!$F$63,Valores!$F$63,Valores!$D$63*'Escala Docente'!B211)/2)</f>
        <v>9076.199999999999</v>
      </c>
      <c r="AH211" s="125">
        <f t="shared" si="34"/>
        <v>132537.72</v>
      </c>
      <c r="AI211" s="125">
        <f>IF(Valores!$C$32*B211&gt;Valores!$F$32,Valores!$F$32,Valores!$C$32*B211)</f>
        <v>0</v>
      </c>
      <c r="AJ211" s="125">
        <f>IF(Valores!$C$90*B211&gt;Valores!$C$89,Valores!$C$89,Valores!$C$90*B211)</f>
        <v>0</v>
      </c>
      <c r="AK211" s="125">
        <f>IF(Valores!C$39*B211&gt;Valores!F$38,Valores!F$38,Valores!C$39*B211)</f>
        <v>21000</v>
      </c>
      <c r="AL211" s="125">
        <f>IF($F$3="NO",0,IF(Valores!$C$61*B211&gt;Valores!$F$61,Valores!$F$61,Valores!$C$61*B211))</f>
        <v>298.095</v>
      </c>
      <c r="AM211" s="125">
        <f t="shared" si="32"/>
        <v>21298.095</v>
      </c>
      <c r="AN211" s="125">
        <f>AH211*Valores!$C$71</f>
        <v>-14579.1492</v>
      </c>
      <c r="AO211" s="125">
        <f>AH211*-Valores!$C$72</f>
        <v>0</v>
      </c>
      <c r="AP211" s="125">
        <f>AH211*Valores!$C$73</f>
        <v>-5964.1974</v>
      </c>
      <c r="AQ211" s="125">
        <f>Valores!$C$100</f>
        <v>-280.91</v>
      </c>
      <c r="AR211" s="125">
        <f>IF($F$5=0,Valores!$C$101,(Valores!$C$101+$F$5*(Valores!$C$101)))</f>
        <v>-385</v>
      </c>
      <c r="AS211" s="125">
        <f t="shared" si="35"/>
        <v>132626.5584</v>
      </c>
      <c r="AT211" s="125">
        <f t="shared" si="29"/>
        <v>-14579.1492</v>
      </c>
      <c r="AU211" s="125">
        <f>AH211*Valores!$C$74</f>
        <v>-3578.51844</v>
      </c>
      <c r="AV211" s="125">
        <f>AH211*Valores!$C$75</f>
        <v>-397.61316</v>
      </c>
      <c r="AW211" s="125">
        <f t="shared" si="33"/>
        <v>135280.5342</v>
      </c>
      <c r="AX211" s="126"/>
      <c r="AY211" s="126">
        <f t="shared" si="28"/>
        <v>21</v>
      </c>
      <c r="AZ211" s="123" t="s">
        <v>8</v>
      </c>
    </row>
    <row r="212" spans="1:52" s="110" customFormat="1" ht="11.25" customHeight="1">
      <c r="A212" s="123" t="s">
        <v>470</v>
      </c>
      <c r="B212" s="123">
        <v>22</v>
      </c>
      <c r="C212" s="126">
        <v>205</v>
      </c>
      <c r="D212" s="124" t="str">
        <f t="shared" si="26"/>
        <v>Hora Cátedra Enseñanza Superior 22 hs</v>
      </c>
      <c r="E212" s="192">
        <f t="shared" si="27"/>
        <v>2178</v>
      </c>
      <c r="F212" s="125">
        <f>ROUND(E212*Valores!$C$2,2)</f>
        <v>59069.97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11413.9</v>
      </c>
      <c r="N212" s="125">
        <f t="shared" si="30"/>
        <v>0</v>
      </c>
      <c r="O212" s="125">
        <f>Valores!$C$7*B212</f>
        <v>20234.72</v>
      </c>
      <c r="P212" s="125">
        <f>ROUND(IF(B212&lt;15,(Valores!$E$5*B212),Valores!$D$5),2)</f>
        <v>13864.36</v>
      </c>
      <c r="Q212" s="125">
        <v>0</v>
      </c>
      <c r="R212" s="125">
        <f>IF($F$4="NO",Valores!$C$49*B212,Valores!$C$49*B212/2)</f>
        <v>10658.560000000001</v>
      </c>
      <c r="S212" s="125">
        <f>Valores!$C$18*B212</f>
        <v>6364.16</v>
      </c>
      <c r="T212" s="125">
        <f t="shared" si="36"/>
        <v>6364.16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IF(Valores!$C$97*B212&gt;Valores!$C$96,Valores!$C$96,Valores!$C$97*B212)</f>
        <v>6158.68</v>
      </c>
      <c r="AA212" s="125">
        <f>IF((Valores!$C$28)*B212&gt;Valores!$F$28,Valores!$F$28,(Valores!$C$28)*B212)</f>
        <v>499.84</v>
      </c>
      <c r="AB212" s="214">
        <v>0</v>
      </c>
      <c r="AC212" s="125">
        <f t="shared" si="31"/>
        <v>0</v>
      </c>
      <c r="AD212" s="125">
        <f>IF(Valores!$C$29*B212&gt;Valores!$F$29,Valores!$F$29,Valores!$C$29*B212)</f>
        <v>416.24</v>
      </c>
      <c r="AE212" s="192">
        <v>0</v>
      </c>
      <c r="AF212" s="125">
        <f>ROUND(AE212*Valores!$C$2,2)</f>
        <v>0</v>
      </c>
      <c r="AG212" s="125">
        <f>IF($F$4="NO",IF(Valores!$D$63*'Escala Docente'!B212&gt;Valores!$F$63,Valores!$F$63,Valores!$D$63*'Escala Docente'!B212),IF(Valores!$D$63*'Escala Docente'!B212&gt;Valores!$F$63,Valores!$F$63,Valores!$D$63*'Escala Docente'!B212)/2)</f>
        <v>9508.4</v>
      </c>
      <c r="AH212" s="125">
        <f t="shared" si="34"/>
        <v>138188.83000000002</v>
      </c>
      <c r="AI212" s="125">
        <f>IF(Valores!$C$32*B212&gt;Valores!$F$32,Valores!$F$32,Valores!$C$32*B212)</f>
        <v>0</v>
      </c>
      <c r="AJ212" s="125">
        <f>IF(Valores!$C$90*B212&gt;Valores!$C$89,Valores!$C$89,Valores!$C$90*B212)</f>
        <v>0</v>
      </c>
      <c r="AK212" s="125">
        <f>IF(Valores!C$39*B212&gt;Valores!F$38,Valores!F$38,Valores!C$39*B212)</f>
        <v>22000</v>
      </c>
      <c r="AL212" s="125">
        <f>IF($F$3="NO",0,IF(Valores!$C$61*B212&gt;Valores!$F$61,Valores!$F$61,Valores!$C$61*B212))</f>
        <v>312.29</v>
      </c>
      <c r="AM212" s="125">
        <f t="shared" si="32"/>
        <v>22312.29</v>
      </c>
      <c r="AN212" s="125">
        <f>AH212*Valores!$C$71</f>
        <v>-15200.771300000002</v>
      </c>
      <c r="AO212" s="125">
        <f>AH212*-Valores!$C$72</f>
        <v>0</v>
      </c>
      <c r="AP212" s="125">
        <f>AH212*Valores!$C$73</f>
        <v>-6218.497350000001</v>
      </c>
      <c r="AQ212" s="125">
        <f>Valores!$C$100</f>
        <v>-280.91</v>
      </c>
      <c r="AR212" s="125">
        <f>IF($F$5=0,Valores!$C$101,(Valores!$C$101+$F$5*(Valores!$C$101)))</f>
        <v>-385</v>
      </c>
      <c r="AS212" s="125">
        <f t="shared" si="35"/>
        <v>138415.94135</v>
      </c>
      <c r="AT212" s="125">
        <f t="shared" si="29"/>
        <v>-15200.771300000002</v>
      </c>
      <c r="AU212" s="125">
        <f>AH212*Valores!$C$74</f>
        <v>-3731.0984100000005</v>
      </c>
      <c r="AV212" s="125">
        <f>AH212*Valores!$C$75</f>
        <v>-414.56649000000004</v>
      </c>
      <c r="AW212" s="125">
        <f t="shared" si="33"/>
        <v>141154.68380000003</v>
      </c>
      <c r="AX212" s="126"/>
      <c r="AY212" s="126">
        <f t="shared" si="28"/>
        <v>22</v>
      </c>
      <c r="AZ212" s="123" t="s">
        <v>4</v>
      </c>
    </row>
    <row r="213" spans="1:52" s="110" customFormat="1" ht="11.25" customHeight="1">
      <c r="A213" s="123" t="s">
        <v>470</v>
      </c>
      <c r="B213" s="123">
        <v>23</v>
      </c>
      <c r="C213" s="126">
        <v>206</v>
      </c>
      <c r="D213" s="124" t="str">
        <f t="shared" si="26"/>
        <v>Hora Cátedra Enseñanza Superior 23 hs</v>
      </c>
      <c r="E213" s="192">
        <f t="shared" si="27"/>
        <v>2277</v>
      </c>
      <c r="F213" s="125">
        <f>ROUND(E213*Valores!$C$2,2)</f>
        <v>61754.97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11932.72</v>
      </c>
      <c r="N213" s="125">
        <f t="shared" si="30"/>
        <v>0</v>
      </c>
      <c r="O213" s="125">
        <f>Valores!$C$7*B213</f>
        <v>21154.48</v>
      </c>
      <c r="P213" s="125">
        <f>ROUND(IF(B213&lt;15,(Valores!$E$5*B213),Valores!$D$5),2)</f>
        <v>13864.36</v>
      </c>
      <c r="Q213" s="125">
        <v>0</v>
      </c>
      <c r="R213" s="125">
        <f>IF($F$4="NO",Valores!$C$49*B213,Valores!$C$49*B213/2)</f>
        <v>11143.04</v>
      </c>
      <c r="S213" s="125">
        <f>Valores!$C$18*B213</f>
        <v>6653.44</v>
      </c>
      <c r="T213" s="125">
        <f t="shared" si="36"/>
        <v>6653.44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IF(Valores!$C$97*B213&gt;Valores!$C$96,Valores!$C$96,Valores!$C$97*B213)</f>
        <v>6438.62</v>
      </c>
      <c r="AA213" s="125">
        <f>IF((Valores!$C$28)*B213&gt;Valores!$F$28,Valores!$F$28,(Valores!$C$28)*B213)</f>
        <v>522.56</v>
      </c>
      <c r="AB213" s="214">
        <v>0</v>
      </c>
      <c r="AC213" s="125">
        <f t="shared" si="31"/>
        <v>0</v>
      </c>
      <c r="AD213" s="125">
        <f>IF(Valores!$C$29*B213&gt;Valores!$F$29,Valores!$F$29,Valores!$C$29*B213)</f>
        <v>435.16</v>
      </c>
      <c r="AE213" s="192">
        <v>0</v>
      </c>
      <c r="AF213" s="125">
        <f>ROUND(AE213*Valores!$C$2,2)</f>
        <v>0</v>
      </c>
      <c r="AG213" s="125">
        <f>IF($F$4="NO",IF(Valores!$D$63*'Escala Docente'!B213&gt;Valores!$F$63,Valores!$F$63,Valores!$D$63*'Escala Docente'!B213),IF(Valores!$D$63*'Escala Docente'!B213&gt;Valores!$F$63,Valores!$F$63,Valores!$D$63*'Escala Docente'!B213)/2)</f>
        <v>9940.6</v>
      </c>
      <c r="AH213" s="125">
        <f t="shared" si="34"/>
        <v>143839.95</v>
      </c>
      <c r="AI213" s="125">
        <f>IF(Valores!$C$32*B213&gt;Valores!$F$32,Valores!$F$32,Valores!$C$32*B213)</f>
        <v>0</v>
      </c>
      <c r="AJ213" s="125">
        <f>IF(Valores!$C$90*B213&gt;Valores!$C$89,Valores!$C$89,Valores!$C$90*B213)</f>
        <v>0</v>
      </c>
      <c r="AK213" s="125">
        <f>IF(Valores!C$39*B213&gt;Valores!F$38,Valores!F$38,Valores!C$39*B213)</f>
        <v>23000</v>
      </c>
      <c r="AL213" s="125">
        <f>IF($F$3="NO",0,IF(Valores!$C$61*B213&gt;Valores!$F$61,Valores!$F$61,Valores!$C$61*B213))</f>
        <v>326.485</v>
      </c>
      <c r="AM213" s="125">
        <f t="shared" si="32"/>
        <v>23326.485</v>
      </c>
      <c r="AN213" s="125">
        <f>AH213*Valores!$C$71</f>
        <v>-15822.394500000002</v>
      </c>
      <c r="AO213" s="125">
        <f>AH213*-Valores!$C$72</f>
        <v>0</v>
      </c>
      <c r="AP213" s="125">
        <f>AH213*Valores!$C$73</f>
        <v>-6472.797750000001</v>
      </c>
      <c r="AQ213" s="125">
        <f>Valores!$C$100</f>
        <v>-280.91</v>
      </c>
      <c r="AR213" s="125">
        <f>IF($F$5=0,Valores!$C$101,(Valores!$C$101+$F$5*(Valores!$C$101)))</f>
        <v>-385</v>
      </c>
      <c r="AS213" s="125">
        <f t="shared" si="35"/>
        <v>144205.33275</v>
      </c>
      <c r="AT213" s="125">
        <f t="shared" si="29"/>
        <v>-15822.394500000002</v>
      </c>
      <c r="AU213" s="125">
        <f>AH213*Valores!$C$74</f>
        <v>-3883.6786500000003</v>
      </c>
      <c r="AV213" s="125">
        <f>AH213*Valores!$C$75</f>
        <v>-431.51985</v>
      </c>
      <c r="AW213" s="125">
        <f t="shared" si="33"/>
        <v>147028.842</v>
      </c>
      <c r="AX213" s="126"/>
      <c r="AY213" s="126">
        <f t="shared" si="28"/>
        <v>23</v>
      </c>
      <c r="AZ213" s="123" t="s">
        <v>8</v>
      </c>
    </row>
    <row r="214" spans="1:52" s="110" customFormat="1" ht="11.25" customHeight="1">
      <c r="A214" s="123" t="s">
        <v>470</v>
      </c>
      <c r="B214" s="123">
        <v>24</v>
      </c>
      <c r="C214" s="126">
        <v>207</v>
      </c>
      <c r="D214" s="124" t="str">
        <f t="shared" si="26"/>
        <v>Hora Cátedra Enseñanza Superior 24 hs</v>
      </c>
      <c r="E214" s="192">
        <f t="shared" si="27"/>
        <v>2376</v>
      </c>
      <c r="F214" s="125">
        <f>ROUND(E214*Valores!$C$2,2)</f>
        <v>64439.97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12451.53</v>
      </c>
      <c r="N214" s="125">
        <f t="shared" si="30"/>
        <v>0</v>
      </c>
      <c r="O214" s="125">
        <f>Valores!$C$7*B214</f>
        <v>22074.239999999998</v>
      </c>
      <c r="P214" s="125">
        <f>ROUND(IF(B214&lt;15,(Valores!$E$5*B214),Valores!$D$5),2)</f>
        <v>13864.36</v>
      </c>
      <c r="Q214" s="125">
        <v>0</v>
      </c>
      <c r="R214" s="125">
        <f>IF($F$4="NO",Valores!$C$49*B214,Valores!$C$49*B214/2)</f>
        <v>11627.52</v>
      </c>
      <c r="S214" s="125">
        <f>Valores!$C$18*B214</f>
        <v>6942.719999999999</v>
      </c>
      <c r="T214" s="125">
        <f t="shared" si="36"/>
        <v>6942.72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IF(Valores!$C$97*B214&gt;Valores!$C$96,Valores!$C$96,Valores!$C$97*B214)</f>
        <v>6718.5599999999995</v>
      </c>
      <c r="AA214" s="125">
        <f>IF((Valores!$C$28)*B214&gt;Valores!$F$28,Valores!$F$28,(Valores!$C$28)*B214)</f>
        <v>545.28</v>
      </c>
      <c r="AB214" s="214">
        <v>0</v>
      </c>
      <c r="AC214" s="125">
        <f t="shared" si="31"/>
        <v>0</v>
      </c>
      <c r="AD214" s="125">
        <f>IF(Valores!$C$29*B214&gt;Valores!$F$29,Valores!$F$29,Valores!$C$29*B214)</f>
        <v>454.08000000000004</v>
      </c>
      <c r="AE214" s="192">
        <v>0</v>
      </c>
      <c r="AF214" s="125">
        <f>ROUND(AE214*Valores!$C$2,2)</f>
        <v>0</v>
      </c>
      <c r="AG214" s="125">
        <f>IF($F$4="NO",IF(Valores!$D$63*'Escala Docente'!B214&gt;Valores!$F$63,Valores!$F$63,Valores!$D$63*'Escala Docente'!B214),IF(Valores!$D$63*'Escala Docente'!B214&gt;Valores!$F$63,Valores!$F$63,Valores!$D$63*'Escala Docente'!B214)/2)</f>
        <v>10372.8</v>
      </c>
      <c r="AH214" s="125">
        <f t="shared" si="34"/>
        <v>149491.05999999997</v>
      </c>
      <c r="AI214" s="125">
        <f>IF(Valores!$C$32*B214&gt;Valores!$F$32,Valores!$F$32,Valores!$C$32*B214)</f>
        <v>0</v>
      </c>
      <c r="AJ214" s="125">
        <f>IF(Valores!$C$90*B214&gt;Valores!$C$89,Valores!$C$89,Valores!$C$90*B214)</f>
        <v>0</v>
      </c>
      <c r="AK214" s="125">
        <f>IF(Valores!C$39*B214&gt;Valores!F$38,Valores!F$38,Valores!C$39*B214)</f>
        <v>24000</v>
      </c>
      <c r="AL214" s="125">
        <f>IF($F$3="NO",0,IF(Valores!$C$61*B214&gt;Valores!$F$61,Valores!$F$61,Valores!$C$61*B214))</f>
        <v>327.6</v>
      </c>
      <c r="AM214" s="125">
        <f t="shared" si="32"/>
        <v>24327.6</v>
      </c>
      <c r="AN214" s="125">
        <f>AH214*Valores!$C$71</f>
        <v>-16444.016599999995</v>
      </c>
      <c r="AO214" s="125">
        <f>AH214*-Valores!$C$72</f>
        <v>0</v>
      </c>
      <c r="AP214" s="125">
        <f>AH214*Valores!$C$73</f>
        <v>-6727.097699999998</v>
      </c>
      <c r="AQ214" s="125">
        <f>Valores!$C$100</f>
        <v>-280.91</v>
      </c>
      <c r="AR214" s="125">
        <f>IF($F$5=0,Valores!$C$101,(Valores!$C$101+$F$5*(Valores!$C$101)))</f>
        <v>-385</v>
      </c>
      <c r="AS214" s="125">
        <f t="shared" si="35"/>
        <v>149981.63569999998</v>
      </c>
      <c r="AT214" s="125">
        <f t="shared" si="29"/>
        <v>-16444.016599999995</v>
      </c>
      <c r="AU214" s="125">
        <f>AH214*Valores!$C$74</f>
        <v>-4036.258619999999</v>
      </c>
      <c r="AV214" s="125">
        <f>AH214*Valores!$C$75</f>
        <v>-448.4731799999999</v>
      </c>
      <c r="AW214" s="125">
        <f t="shared" si="33"/>
        <v>152889.9116</v>
      </c>
      <c r="AX214" s="126"/>
      <c r="AY214" s="126">
        <f t="shared" si="28"/>
        <v>24</v>
      </c>
      <c r="AZ214" s="123" t="s">
        <v>8</v>
      </c>
    </row>
    <row r="215" spans="1:52" s="110" customFormat="1" ht="11.25" customHeight="1">
      <c r="A215" s="123" t="s">
        <v>470</v>
      </c>
      <c r="B215" s="123">
        <v>25</v>
      </c>
      <c r="C215" s="126">
        <v>208</v>
      </c>
      <c r="D215" s="124" t="str">
        <f t="shared" si="26"/>
        <v>Hora Cátedra Enseñanza Superior 25 hs</v>
      </c>
      <c r="E215" s="192">
        <f t="shared" si="27"/>
        <v>2475</v>
      </c>
      <c r="F215" s="125">
        <f>ROUND(E215*Valores!$C$2,2)</f>
        <v>67124.97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12970.35</v>
      </c>
      <c r="N215" s="125">
        <f t="shared" si="30"/>
        <v>0</v>
      </c>
      <c r="O215" s="125">
        <f>Valores!$C$7*B215</f>
        <v>22994</v>
      </c>
      <c r="P215" s="125">
        <f>ROUND(IF(B215&lt;15,(Valores!$E$5*B215),Valores!$D$5),2)</f>
        <v>13864.36</v>
      </c>
      <c r="Q215" s="125">
        <v>0</v>
      </c>
      <c r="R215" s="125">
        <f>IF($F$4="NO",Valores!$C$49*B215,Valores!$C$49*B215/2)</f>
        <v>12112</v>
      </c>
      <c r="S215" s="125">
        <f>Valores!$C$18*B215</f>
        <v>7231.999999999999</v>
      </c>
      <c r="T215" s="125">
        <f t="shared" si="36"/>
        <v>7232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IF(Valores!$C$97*B215&gt;Valores!$C$96,Valores!$C$96,Valores!$C$97*B215)</f>
        <v>6998.5</v>
      </c>
      <c r="AA215" s="125">
        <f>IF((Valores!$C$28)*B215&gt;Valores!$F$28,Valores!$F$28,(Valores!$C$28)*B215)</f>
        <v>568</v>
      </c>
      <c r="AB215" s="214">
        <v>0</v>
      </c>
      <c r="AC215" s="125">
        <f t="shared" si="31"/>
        <v>0</v>
      </c>
      <c r="AD215" s="125">
        <f>IF(Valores!$C$29*B215&gt;Valores!$F$29,Valores!$F$29,Valores!$C$29*B215)</f>
        <v>473.00000000000006</v>
      </c>
      <c r="AE215" s="192">
        <v>0</v>
      </c>
      <c r="AF215" s="125">
        <f>ROUND(AE215*Valores!$C$2,2)</f>
        <v>0</v>
      </c>
      <c r="AG215" s="125">
        <f>IF($F$4="NO",IF(Valores!$D$63*'Escala Docente'!B215&gt;Valores!$F$63,Valores!$F$63,Valores!$D$63*'Escala Docente'!B215),IF(Valores!$D$63*'Escala Docente'!B215&gt;Valores!$F$63,Valores!$F$63,Valores!$D$63*'Escala Docente'!B215)/2)</f>
        <v>10805</v>
      </c>
      <c r="AH215" s="125">
        <f t="shared" si="34"/>
        <v>155142.18</v>
      </c>
      <c r="AI215" s="125">
        <f>IF(Valores!$C$32*B215&gt;Valores!$F$32,Valores!$F$32,Valores!$C$32*B215)</f>
        <v>0</v>
      </c>
      <c r="AJ215" s="125">
        <f>IF(Valores!$C$90*B215&gt;Valores!$C$89,Valores!$C$89,Valores!$C$90*B215)</f>
        <v>0</v>
      </c>
      <c r="AK215" s="125">
        <f>IF(Valores!C$39*B215&gt;Valores!F$38,Valores!F$38,Valores!C$39*B215)</f>
        <v>25000</v>
      </c>
      <c r="AL215" s="125">
        <f>IF($F$3="NO",0,IF(Valores!$C$61*B215&gt;Valores!$F$61,Valores!$F$61,Valores!$C$61*B215))</f>
        <v>327.6</v>
      </c>
      <c r="AM215" s="125">
        <f t="shared" si="32"/>
        <v>25327.6</v>
      </c>
      <c r="AN215" s="125">
        <f>AH215*Valores!$C$71</f>
        <v>-17065.6398</v>
      </c>
      <c r="AO215" s="125">
        <f>AH215*-Valores!$C$72</f>
        <v>0</v>
      </c>
      <c r="AP215" s="125">
        <f>AH215*Valores!$C$73</f>
        <v>-6981.398099999999</v>
      </c>
      <c r="AQ215" s="125">
        <f>Valores!$C$100</f>
        <v>-280.91</v>
      </c>
      <c r="AR215" s="125">
        <f>IF($F$5=0,Valores!$C$101,(Valores!$C$101+$F$5*(Valores!$C$101)))</f>
        <v>-385</v>
      </c>
      <c r="AS215" s="125">
        <f t="shared" si="35"/>
        <v>155756.8321</v>
      </c>
      <c r="AT215" s="125">
        <f t="shared" si="29"/>
        <v>-17065.6398</v>
      </c>
      <c r="AU215" s="125">
        <f>AH215*Valores!$C$74</f>
        <v>-4188.83886</v>
      </c>
      <c r="AV215" s="125">
        <f>AH215*Valores!$C$75</f>
        <v>-465.42654</v>
      </c>
      <c r="AW215" s="125">
        <f t="shared" si="33"/>
        <v>158749.8748</v>
      </c>
      <c r="AX215" s="126"/>
      <c r="AY215" s="126">
        <f t="shared" si="28"/>
        <v>25</v>
      </c>
      <c r="AZ215" s="123" t="s">
        <v>4</v>
      </c>
    </row>
    <row r="216" spans="1:52" s="110" customFormat="1" ht="11.25" customHeight="1">
      <c r="A216" s="123" t="s">
        <v>470</v>
      </c>
      <c r="B216" s="123">
        <v>26</v>
      </c>
      <c r="C216" s="126">
        <v>209</v>
      </c>
      <c r="D216" s="124" t="str">
        <f t="shared" si="26"/>
        <v>Hora Cátedra Enseñanza Superior 26 hs</v>
      </c>
      <c r="E216" s="192">
        <f t="shared" si="27"/>
        <v>2574</v>
      </c>
      <c r="F216" s="125">
        <f>ROUND(E216*Valores!$C$2,2)</f>
        <v>69809.97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13489.16</v>
      </c>
      <c r="N216" s="125">
        <f t="shared" si="30"/>
        <v>0</v>
      </c>
      <c r="O216" s="125">
        <f>Valores!$C$7*B216</f>
        <v>23913.76</v>
      </c>
      <c r="P216" s="125">
        <f>ROUND(IF(B216&lt;15,(Valores!$E$5*B216),Valores!$D$5),2)</f>
        <v>13864.36</v>
      </c>
      <c r="Q216" s="125">
        <v>0</v>
      </c>
      <c r="R216" s="125">
        <f>IF($F$4="NO",Valores!$C$49*B216,Valores!$C$49*B216/2)</f>
        <v>12596.48</v>
      </c>
      <c r="S216" s="125">
        <f>Valores!$C$18*B216</f>
        <v>7521.279999999999</v>
      </c>
      <c r="T216" s="125">
        <f t="shared" si="36"/>
        <v>7521.28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IF(Valores!$C$97*B216&gt;Valores!$C$96,Valores!$C$96,Valores!$C$97*B216)</f>
        <v>7278.44</v>
      </c>
      <c r="AA216" s="125">
        <f>IF((Valores!$C$28)*B216&gt;Valores!$F$28,Valores!$F$28,(Valores!$C$28)*B216)</f>
        <v>590.72</v>
      </c>
      <c r="AB216" s="214">
        <v>0</v>
      </c>
      <c r="AC216" s="125">
        <f t="shared" si="31"/>
        <v>0</v>
      </c>
      <c r="AD216" s="125">
        <f>IF(Valores!$C$29*B216&gt;Valores!$F$29,Valores!$F$29,Valores!$C$29*B216)</f>
        <v>491.9200000000001</v>
      </c>
      <c r="AE216" s="192">
        <v>0</v>
      </c>
      <c r="AF216" s="125">
        <f>ROUND(AE216*Valores!$C$2,2)</f>
        <v>0</v>
      </c>
      <c r="AG216" s="125">
        <f>IF($F$4="NO",IF(Valores!$D$63*'Escala Docente'!B216&gt;Valores!$F$63,Valores!$F$63,Valores!$D$63*'Escala Docente'!B216),IF(Valores!$D$63*'Escala Docente'!B216&gt;Valores!$F$63,Valores!$F$63,Valores!$D$63*'Escala Docente'!B216)/2)</f>
        <v>11237.199999999999</v>
      </c>
      <c r="AH216" s="125">
        <f t="shared" si="34"/>
        <v>160793.29000000004</v>
      </c>
      <c r="AI216" s="125">
        <f>IF(Valores!$C$32*B216&gt;Valores!$F$32,Valores!$F$32,Valores!$C$32*B216)</f>
        <v>0</v>
      </c>
      <c r="AJ216" s="125">
        <f>IF(Valores!$C$90*B216&gt;Valores!$C$89,Valores!$C$89,Valores!$C$90*B216)</f>
        <v>0</v>
      </c>
      <c r="AK216" s="125">
        <f>IF(Valores!C$39*B216&gt;Valores!F$38,Valores!F$38,Valores!C$39*B216)</f>
        <v>26000</v>
      </c>
      <c r="AL216" s="125">
        <f>IF($F$3="NO",0,IF(Valores!$C$61*B216&gt;Valores!$F$61,Valores!$F$61,Valores!$C$61*B216))</f>
        <v>327.6</v>
      </c>
      <c r="AM216" s="125">
        <f t="shared" si="32"/>
        <v>26327.6</v>
      </c>
      <c r="AN216" s="125">
        <f>AH216*Valores!$C$71</f>
        <v>-17687.261900000005</v>
      </c>
      <c r="AO216" s="125">
        <f>AH216*-Valores!$C$72</f>
        <v>0</v>
      </c>
      <c r="AP216" s="125">
        <f>AH216*Valores!$C$73</f>
        <v>-7235.698050000002</v>
      </c>
      <c r="AQ216" s="125">
        <f>Valores!$C$100</f>
        <v>-280.91</v>
      </c>
      <c r="AR216" s="125">
        <f>IF($F$5=0,Valores!$C$101,(Valores!$C$101+$F$5*(Valores!$C$101)))</f>
        <v>-385</v>
      </c>
      <c r="AS216" s="125">
        <f t="shared" si="35"/>
        <v>161532.02005000002</v>
      </c>
      <c r="AT216" s="125">
        <f t="shared" si="29"/>
        <v>-17687.261900000005</v>
      </c>
      <c r="AU216" s="125">
        <f>AH216*Valores!$C$74</f>
        <v>-4341.4188300000005</v>
      </c>
      <c r="AV216" s="125">
        <f>AH216*Valores!$C$75</f>
        <v>-482.3798700000001</v>
      </c>
      <c r="AW216" s="125">
        <f t="shared" si="33"/>
        <v>164609.82940000005</v>
      </c>
      <c r="AX216" s="126"/>
      <c r="AY216" s="126">
        <f t="shared" si="28"/>
        <v>26</v>
      </c>
      <c r="AZ216" s="123" t="s">
        <v>8</v>
      </c>
    </row>
    <row r="217" spans="1:52" s="110" customFormat="1" ht="11.25" customHeight="1">
      <c r="A217" s="123" t="s">
        <v>470</v>
      </c>
      <c r="B217" s="123">
        <v>27</v>
      </c>
      <c r="C217" s="126">
        <v>210</v>
      </c>
      <c r="D217" s="124" t="str">
        <f t="shared" si="26"/>
        <v>Hora Cátedra Enseñanza Superior 27 hs</v>
      </c>
      <c r="E217" s="192">
        <f t="shared" si="27"/>
        <v>2673</v>
      </c>
      <c r="F217" s="125">
        <f>ROUND(E217*Valores!$C$2,2)</f>
        <v>72494.97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14007.97</v>
      </c>
      <c r="N217" s="125">
        <f t="shared" si="30"/>
        <v>0</v>
      </c>
      <c r="O217" s="125">
        <f>Valores!$C$7*B217</f>
        <v>24833.52</v>
      </c>
      <c r="P217" s="125">
        <f>ROUND(IF(B217&lt;15,(Valores!$E$5*B217),Valores!$D$5),2)</f>
        <v>13864.36</v>
      </c>
      <c r="Q217" s="125">
        <v>0</v>
      </c>
      <c r="R217" s="125">
        <f>IF($F$4="NO",Valores!$C$49*B217,Valores!$C$49*B217/2)</f>
        <v>13080.960000000001</v>
      </c>
      <c r="S217" s="125">
        <f>Valores!$C$18*B217</f>
        <v>7810.5599999999995</v>
      </c>
      <c r="T217" s="125">
        <f t="shared" si="36"/>
        <v>7810.56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IF(Valores!$C$97*B217&gt;Valores!$C$96,Valores!$C$96,Valores!$C$97*B217)</f>
        <v>7558.38</v>
      </c>
      <c r="AA217" s="125">
        <f>IF((Valores!$C$28)*B217&gt;Valores!$F$28,Valores!$F$28,(Valores!$C$28)*B217)</f>
        <v>613.4399999999999</v>
      </c>
      <c r="AB217" s="214">
        <v>0</v>
      </c>
      <c r="AC217" s="125">
        <f t="shared" si="31"/>
        <v>0</v>
      </c>
      <c r="AD217" s="125">
        <f>IF(Valores!$C$29*B217&gt;Valores!$F$29,Valores!$F$29,Valores!$C$29*B217)</f>
        <v>510.84000000000003</v>
      </c>
      <c r="AE217" s="192">
        <v>0</v>
      </c>
      <c r="AF217" s="125">
        <f>ROUND(AE217*Valores!$C$2,2)</f>
        <v>0</v>
      </c>
      <c r="AG217" s="125">
        <f>IF($F$4="NO",IF(Valores!$D$63*'Escala Docente'!B217&gt;Valores!$F$63,Valores!$F$63,Valores!$D$63*'Escala Docente'!B217),IF(Valores!$D$63*'Escala Docente'!B217&gt;Valores!$F$63,Valores!$F$63,Valores!$D$63*'Escala Docente'!B217)/2)</f>
        <v>11669.4</v>
      </c>
      <c r="AH217" s="125">
        <f t="shared" si="34"/>
        <v>166444.4</v>
      </c>
      <c r="AI217" s="125">
        <f>IF(Valores!$C$32*B217&gt;Valores!$F$32,Valores!$F$32,Valores!$C$32*B217)</f>
        <v>0</v>
      </c>
      <c r="AJ217" s="125">
        <f>IF(Valores!$C$90*B217&gt;Valores!$C$89,Valores!$C$89,Valores!$C$90*B217)</f>
        <v>0</v>
      </c>
      <c r="AK217" s="125">
        <f>IF(Valores!C$39*B217&gt;Valores!F$38,Valores!F$38,Valores!C$39*B217)</f>
        <v>27000</v>
      </c>
      <c r="AL217" s="125">
        <f>IF($F$3="NO",0,IF(Valores!$C$61*B217&gt;Valores!$F$61,Valores!$F$61,Valores!$C$61*B217))</f>
        <v>327.6</v>
      </c>
      <c r="AM217" s="125">
        <f t="shared" si="32"/>
        <v>27327.6</v>
      </c>
      <c r="AN217" s="125">
        <f>AH217*Valores!$C$71</f>
        <v>-18308.884</v>
      </c>
      <c r="AO217" s="125">
        <f>AH217*-Valores!$C$72</f>
        <v>0</v>
      </c>
      <c r="AP217" s="125">
        <f>AH217*Valores!$C$73</f>
        <v>-7489.998</v>
      </c>
      <c r="AQ217" s="125">
        <f>Valores!$C$100</f>
        <v>-280.91</v>
      </c>
      <c r="AR217" s="125">
        <f>IF($F$5=0,Valores!$C$101,(Valores!$C$101+$F$5*(Valores!$C$101)))</f>
        <v>-385</v>
      </c>
      <c r="AS217" s="125">
        <f t="shared" si="35"/>
        <v>167307.20799999998</v>
      </c>
      <c r="AT217" s="125">
        <f t="shared" si="29"/>
        <v>-18308.884</v>
      </c>
      <c r="AU217" s="125">
        <f>AH217*Valores!$C$74</f>
        <v>-4493.998799999999</v>
      </c>
      <c r="AV217" s="125">
        <f>AH217*Valores!$C$75</f>
        <v>-499.3332</v>
      </c>
      <c r="AW217" s="125">
        <f t="shared" si="33"/>
        <v>170469.78399999999</v>
      </c>
      <c r="AX217" s="126"/>
      <c r="AY217" s="126">
        <f t="shared" si="28"/>
        <v>27</v>
      </c>
      <c r="AZ217" s="123" t="s">
        <v>8</v>
      </c>
    </row>
    <row r="218" spans="1:52" s="110" customFormat="1" ht="11.25" customHeight="1">
      <c r="A218" s="123" t="s">
        <v>470</v>
      </c>
      <c r="B218" s="123">
        <v>28</v>
      </c>
      <c r="C218" s="126">
        <v>211</v>
      </c>
      <c r="D218" s="124" t="str">
        <f t="shared" si="26"/>
        <v>Hora Cátedra Enseñanza Superior 28 hs</v>
      </c>
      <c r="E218" s="192">
        <f t="shared" si="27"/>
        <v>2772</v>
      </c>
      <c r="F218" s="125">
        <f>ROUND(E218*Valores!$C$2,2)</f>
        <v>75179.97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14526.79</v>
      </c>
      <c r="N218" s="125">
        <f t="shared" si="30"/>
        <v>0</v>
      </c>
      <c r="O218" s="125">
        <f>Valores!$C$7*B218</f>
        <v>25753.28</v>
      </c>
      <c r="P218" s="125">
        <f>ROUND(IF(B218&lt;15,(Valores!$E$5*B218),Valores!$D$5),2)</f>
        <v>13864.36</v>
      </c>
      <c r="Q218" s="125">
        <v>0</v>
      </c>
      <c r="R218" s="125">
        <f>IF($F$4="NO",Valores!$C$49*B218,Valores!$C$49*B218/2)</f>
        <v>13565.44</v>
      </c>
      <c r="S218" s="125">
        <f>Valores!$C$18*B218</f>
        <v>8099.839999999999</v>
      </c>
      <c r="T218" s="125">
        <f t="shared" si="36"/>
        <v>8099.84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IF(Valores!$C$97*B218&gt;Valores!$C$96,Valores!$C$96,Valores!$C$97*B218)</f>
        <v>7838.32</v>
      </c>
      <c r="AA218" s="125">
        <f>IF((Valores!$C$28)*B218&gt;Valores!$F$28,Valores!$F$28,(Valores!$C$28)*B218)</f>
        <v>636.16</v>
      </c>
      <c r="AB218" s="214">
        <v>0</v>
      </c>
      <c r="AC218" s="125">
        <f t="shared" si="31"/>
        <v>0</v>
      </c>
      <c r="AD218" s="125">
        <f>IF(Valores!$C$29*B218&gt;Valores!$F$29,Valores!$F$29,Valores!$C$29*B218)</f>
        <v>529.76</v>
      </c>
      <c r="AE218" s="192">
        <v>0</v>
      </c>
      <c r="AF218" s="125">
        <f>ROUND(AE218*Valores!$C$2,2)</f>
        <v>0</v>
      </c>
      <c r="AG218" s="125">
        <f>IF($F$4="NO",IF(Valores!$D$63*'Escala Docente'!B218&gt;Valores!$F$63,Valores!$F$63,Valores!$D$63*'Escala Docente'!B218),IF(Valores!$D$63*'Escala Docente'!B218&gt;Valores!$F$63,Valores!$F$63,Valores!$D$63*'Escala Docente'!B218)/2)</f>
        <v>12101.6</v>
      </c>
      <c r="AH218" s="125">
        <f t="shared" si="34"/>
        <v>172095.52000000002</v>
      </c>
      <c r="AI218" s="125">
        <f>IF(Valores!$C$32*B218&gt;Valores!$F$32,Valores!$F$32,Valores!$C$32*B218)</f>
        <v>0</v>
      </c>
      <c r="AJ218" s="125">
        <f>IF(Valores!$C$90*B218&gt;Valores!$C$89,Valores!$C$89,Valores!$C$90*B218)</f>
        <v>0</v>
      </c>
      <c r="AK218" s="125">
        <f>IF(Valores!C$39*B218&gt;Valores!F$38,Valores!F$38,Valores!C$39*B218)</f>
        <v>28000</v>
      </c>
      <c r="AL218" s="125">
        <f>IF($F$3="NO",0,IF(Valores!$C$61*B218&gt;Valores!$F$61,Valores!$F$61,Valores!$C$61*B218))</f>
        <v>327.6</v>
      </c>
      <c r="AM218" s="125">
        <f t="shared" si="32"/>
        <v>28327.6</v>
      </c>
      <c r="AN218" s="125">
        <f>AH218*Valores!$C$71</f>
        <v>-18930.507200000004</v>
      </c>
      <c r="AO218" s="125">
        <f>AH218*-Valores!$C$72</f>
        <v>0</v>
      </c>
      <c r="AP218" s="125">
        <f>AH218*Valores!$C$73</f>
        <v>-7744.298400000001</v>
      </c>
      <c r="AQ218" s="125">
        <f>Valores!$C$100</f>
        <v>-280.91</v>
      </c>
      <c r="AR218" s="125">
        <f>IF($F$5=0,Valores!$C$101,(Valores!$C$101+$F$5*(Valores!$C$101)))</f>
        <v>-385</v>
      </c>
      <c r="AS218" s="125">
        <f t="shared" si="35"/>
        <v>173082.4044</v>
      </c>
      <c r="AT218" s="125">
        <f t="shared" si="29"/>
        <v>-18930.507200000004</v>
      </c>
      <c r="AU218" s="125">
        <f>AH218*Valores!$C$74</f>
        <v>-4646.5790400000005</v>
      </c>
      <c r="AV218" s="125">
        <f>AH218*Valores!$C$75</f>
        <v>-516.2865600000001</v>
      </c>
      <c r="AW218" s="125">
        <f t="shared" si="33"/>
        <v>176329.7472</v>
      </c>
      <c r="AX218" s="126"/>
      <c r="AY218" s="126">
        <f t="shared" si="28"/>
        <v>28</v>
      </c>
      <c r="AZ218" s="123" t="s">
        <v>8</v>
      </c>
    </row>
    <row r="219" spans="1:52" s="110" customFormat="1" ht="11.25" customHeight="1">
      <c r="A219" s="123" t="s">
        <v>470</v>
      </c>
      <c r="B219" s="123">
        <v>29</v>
      </c>
      <c r="C219" s="126">
        <v>212</v>
      </c>
      <c r="D219" s="124" t="str">
        <f t="shared" si="26"/>
        <v>Hora Cátedra Enseñanza Superior 29 hs</v>
      </c>
      <c r="E219" s="192">
        <f t="shared" si="27"/>
        <v>2871</v>
      </c>
      <c r="F219" s="125">
        <f>ROUND(E219*Valores!$C$2,2)</f>
        <v>77864.97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15045.6</v>
      </c>
      <c r="N219" s="125">
        <f t="shared" si="30"/>
        <v>0</v>
      </c>
      <c r="O219" s="125">
        <f>Valores!$C$7*B219</f>
        <v>26673.04</v>
      </c>
      <c r="P219" s="125">
        <f>ROUND(IF(B219&lt;15,(Valores!$E$5*B219),Valores!$D$5),2)</f>
        <v>13864.36</v>
      </c>
      <c r="Q219" s="125">
        <v>0</v>
      </c>
      <c r="R219" s="125">
        <f>IF($F$4="NO",Valores!$C$49*B219,Valores!$C$49*B219/2)</f>
        <v>14049.92</v>
      </c>
      <c r="S219" s="125">
        <f>Valores!$C$18*B219</f>
        <v>8389.119999999999</v>
      </c>
      <c r="T219" s="125">
        <f t="shared" si="36"/>
        <v>8389.12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IF(Valores!$C$97*B219&gt;Valores!$C$96,Valores!$C$96,Valores!$C$97*B219)</f>
        <v>8118.26</v>
      </c>
      <c r="AA219" s="125">
        <f>IF((Valores!$C$28)*B219&gt;Valores!$F$28,Valores!$F$28,(Valores!$C$28)*B219)</f>
        <v>658.88</v>
      </c>
      <c r="AB219" s="214">
        <v>0</v>
      </c>
      <c r="AC219" s="125">
        <f t="shared" si="31"/>
        <v>0</v>
      </c>
      <c r="AD219" s="125">
        <f>IF(Valores!$C$29*B219&gt;Valores!$F$29,Valores!$F$29,Valores!$C$29*B219)</f>
        <v>548.6800000000001</v>
      </c>
      <c r="AE219" s="192">
        <v>0</v>
      </c>
      <c r="AF219" s="125">
        <f>ROUND(AE219*Valores!$C$2,2)</f>
        <v>0</v>
      </c>
      <c r="AG219" s="125">
        <f>IF($F$4="NO",IF(Valores!$D$63*'Escala Docente'!B219&gt;Valores!$F$63,Valores!$F$63,Valores!$D$63*'Escala Docente'!B219),IF(Valores!$D$63*'Escala Docente'!B219&gt;Valores!$F$63,Valores!$F$63,Valores!$D$63*'Escala Docente'!B219)/2)</f>
        <v>12533.8</v>
      </c>
      <c r="AH219" s="125">
        <f t="shared" si="34"/>
        <v>177746.63000000003</v>
      </c>
      <c r="AI219" s="125">
        <f>IF(Valores!$C$32*B219&gt;Valores!$F$32,Valores!$F$32,Valores!$C$32*B219)</f>
        <v>0</v>
      </c>
      <c r="AJ219" s="125">
        <f>IF(Valores!$C$90*B219&gt;Valores!$C$89,Valores!$C$89,Valores!$C$90*B219)</f>
        <v>0</v>
      </c>
      <c r="AK219" s="125">
        <f>IF(Valores!C$39*B219&gt;Valores!F$38,Valores!F$38,Valores!C$39*B219)</f>
        <v>29000</v>
      </c>
      <c r="AL219" s="125">
        <f>IF($F$3="NO",0,IF(Valores!$C$61*B219&gt;Valores!$F$61,Valores!$F$61,Valores!$C$61*B219))</f>
        <v>327.6</v>
      </c>
      <c r="AM219" s="125">
        <f t="shared" si="32"/>
        <v>29327.6</v>
      </c>
      <c r="AN219" s="125">
        <f>AH219*Valores!$C$71</f>
        <v>-19552.129300000004</v>
      </c>
      <c r="AO219" s="125">
        <f>AH219*-Valores!$C$72</f>
        <v>0</v>
      </c>
      <c r="AP219" s="125">
        <f>AH219*Valores!$C$73</f>
        <v>-7998.598350000001</v>
      </c>
      <c r="AQ219" s="125">
        <f>Valores!$C$100</f>
        <v>-280.91</v>
      </c>
      <c r="AR219" s="125">
        <f>IF($F$5=0,Valores!$C$101,(Valores!$C$101+$F$5*(Valores!$C$101)))</f>
        <v>-385</v>
      </c>
      <c r="AS219" s="125">
        <f t="shared" si="35"/>
        <v>178857.59235000002</v>
      </c>
      <c r="AT219" s="125">
        <f t="shared" si="29"/>
        <v>-19552.129300000004</v>
      </c>
      <c r="AU219" s="125">
        <f>AH219*Valores!$C$74</f>
        <v>-4799.159010000001</v>
      </c>
      <c r="AV219" s="125">
        <f>AH219*Valores!$C$75</f>
        <v>-533.2398900000001</v>
      </c>
      <c r="AW219" s="125">
        <f t="shared" si="33"/>
        <v>182189.70180000004</v>
      </c>
      <c r="AX219" s="126"/>
      <c r="AY219" s="126">
        <f t="shared" si="28"/>
        <v>29</v>
      </c>
      <c r="AZ219" s="123" t="s">
        <v>8</v>
      </c>
    </row>
    <row r="220" spans="1:52" s="110" customFormat="1" ht="11.25" customHeight="1">
      <c r="A220" s="123" t="s">
        <v>470</v>
      </c>
      <c r="B220" s="123">
        <v>30</v>
      </c>
      <c r="C220" s="126">
        <v>213</v>
      </c>
      <c r="D220" s="124" t="str">
        <f t="shared" si="26"/>
        <v>Hora Cátedra Enseñanza Superior 30 hs</v>
      </c>
      <c r="E220" s="192">
        <f t="shared" si="27"/>
        <v>2970</v>
      </c>
      <c r="F220" s="125">
        <f>ROUND(E220*Valores!$C$2,2)</f>
        <v>80549.96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15564.41</v>
      </c>
      <c r="N220" s="125">
        <f t="shared" si="30"/>
        <v>0</v>
      </c>
      <c r="O220" s="125">
        <f>Valores!$C$7*B220</f>
        <v>27592.8</v>
      </c>
      <c r="P220" s="125">
        <f>ROUND(IF(B220&lt;15,(Valores!$E$5*B220),Valores!$D$5),2)</f>
        <v>13864.36</v>
      </c>
      <c r="Q220" s="125">
        <v>0</v>
      </c>
      <c r="R220" s="125">
        <f>IF($F$4="NO",Valores!$C$49*B220,Valores!$C$49*B220/2)</f>
        <v>14534.400000000001</v>
      </c>
      <c r="S220" s="125">
        <f>Valores!$C$18*B220</f>
        <v>8678.4</v>
      </c>
      <c r="T220" s="125">
        <f t="shared" si="36"/>
        <v>8678.4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IF(Valores!$C$97*B220&gt;Valores!$C$96,Valores!$C$96,Valores!$C$97*B220)</f>
        <v>8398.2</v>
      </c>
      <c r="AA220" s="125">
        <f>IF((Valores!$C$28)*B220&gt;Valores!$F$28,Valores!$F$28,(Valores!$C$28)*B220)</f>
        <v>681.5999999999999</v>
      </c>
      <c r="AB220" s="214">
        <v>0</v>
      </c>
      <c r="AC220" s="125">
        <f t="shared" si="31"/>
        <v>0</v>
      </c>
      <c r="AD220" s="125">
        <f>IF(Valores!$C$29*B220&gt;Valores!$F$29,Valores!$F$29,Valores!$C$29*B220)</f>
        <v>567.06</v>
      </c>
      <c r="AE220" s="192">
        <v>0</v>
      </c>
      <c r="AF220" s="125">
        <f>ROUND(AE220*Valores!$C$2,2)</f>
        <v>0</v>
      </c>
      <c r="AG220" s="125">
        <f>IF($F$4="NO",IF(Valores!$D$63*'Escala Docente'!B220&gt;Valores!$F$63,Valores!$F$63,Valores!$D$63*'Escala Docente'!B220),IF(Valores!$D$63*'Escala Docente'!B220&gt;Valores!$F$63,Valores!$F$63,Valores!$D$63*'Escala Docente'!B220)/2)</f>
        <v>12965.96</v>
      </c>
      <c r="AH220" s="125">
        <f t="shared" si="34"/>
        <v>183397.15000000002</v>
      </c>
      <c r="AI220" s="125">
        <f>IF(Valores!$C$32*B220&gt;Valores!$F$32,Valores!$F$32,Valores!$C$32*B220)</f>
        <v>0</v>
      </c>
      <c r="AJ220" s="125">
        <f>IF(Valores!$C$90*B220&gt;Valores!$C$89,Valores!$C$89,Valores!$C$90*B220)</f>
        <v>0</v>
      </c>
      <c r="AK220" s="125">
        <f>IF(Valores!C$39*B220&gt;Valores!F$38,Valores!F$38,Valores!C$39*B220)</f>
        <v>30000</v>
      </c>
      <c r="AL220" s="125">
        <f>IF($F$3="NO",0,IF(Valores!$C$61*B220&gt;Valores!$F$61,Valores!$F$61,Valores!$C$61*B220))</f>
        <v>327.6</v>
      </c>
      <c r="AM220" s="125">
        <f t="shared" si="32"/>
        <v>30327.6</v>
      </c>
      <c r="AN220" s="125">
        <f>AH220*Valores!$C$71</f>
        <v>-20173.686500000003</v>
      </c>
      <c r="AO220" s="125">
        <f>AH220*-Valores!$C$72</f>
        <v>0</v>
      </c>
      <c r="AP220" s="125">
        <f>AH220*Valores!$C$73</f>
        <v>-8252.87175</v>
      </c>
      <c r="AQ220" s="125">
        <f>Valores!$C$100</f>
        <v>-280.91</v>
      </c>
      <c r="AR220" s="125">
        <f>IF($F$5=0,Valores!$C$101,(Valores!$C$101+$F$5*(Valores!$C$101)))</f>
        <v>-385</v>
      </c>
      <c r="AS220" s="125">
        <f t="shared" si="35"/>
        <v>184632.28175000002</v>
      </c>
      <c r="AT220" s="125">
        <f t="shared" si="29"/>
        <v>-20173.686500000003</v>
      </c>
      <c r="AU220" s="125">
        <f>AH220*Valores!$C$74</f>
        <v>-4951.7230500000005</v>
      </c>
      <c r="AV220" s="125">
        <f>AH220*Valores!$C$75</f>
        <v>-550.19145</v>
      </c>
      <c r="AW220" s="125">
        <f t="shared" si="33"/>
        <v>188049.14900000003</v>
      </c>
      <c r="AX220" s="126"/>
      <c r="AY220" s="126">
        <f t="shared" si="28"/>
        <v>30</v>
      </c>
      <c r="AZ220" s="123" t="s">
        <v>4</v>
      </c>
    </row>
    <row r="221" spans="1:52" s="110" customFormat="1" ht="11.25" customHeight="1">
      <c r="A221" s="123" t="s">
        <v>470</v>
      </c>
      <c r="B221" s="123">
        <v>31</v>
      </c>
      <c r="C221" s="126">
        <v>214</v>
      </c>
      <c r="D221" s="124" t="str">
        <f t="shared" si="26"/>
        <v>Hora Cátedra Enseñanza Superior 31 hs</v>
      </c>
      <c r="E221" s="192">
        <f t="shared" si="27"/>
        <v>3069</v>
      </c>
      <c r="F221" s="125">
        <f>ROUND(E221*Valores!$C$2,2)</f>
        <v>83234.96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16083.23</v>
      </c>
      <c r="N221" s="125">
        <f t="shared" si="30"/>
        <v>0</v>
      </c>
      <c r="O221" s="125">
        <f>Valores!$C$7*B221</f>
        <v>28512.56</v>
      </c>
      <c r="P221" s="125">
        <f>ROUND(IF(B221&lt;15,(Valores!$E$5*B221),Valores!$D$5),2)</f>
        <v>13864.36</v>
      </c>
      <c r="Q221" s="125">
        <v>0</v>
      </c>
      <c r="R221" s="125">
        <f>IF($F$4="NO",Valores!$C$49*B221,Valores!$C$49*B221/2)</f>
        <v>15018.880000000001</v>
      </c>
      <c r="S221" s="125">
        <f>Valores!$C$18*B221</f>
        <v>8967.679999999998</v>
      </c>
      <c r="T221" s="125">
        <f t="shared" si="36"/>
        <v>8967.68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IF(Valores!$C$97*B221&gt;Valores!$C$96,Valores!$C$96,Valores!$C$97*B221)</f>
        <v>8678.14</v>
      </c>
      <c r="AA221" s="125">
        <f>IF((Valores!$C$28)*B221&gt;Valores!$F$28,Valores!$F$28,(Valores!$C$28)*B221)</f>
        <v>704.3199999999999</v>
      </c>
      <c r="AB221" s="214">
        <v>0</v>
      </c>
      <c r="AC221" s="125">
        <f t="shared" si="31"/>
        <v>0</v>
      </c>
      <c r="AD221" s="125">
        <f>IF(Valores!$C$29*B221&gt;Valores!$F$29,Valores!$F$29,Valores!$C$29*B221)</f>
        <v>567.06</v>
      </c>
      <c r="AE221" s="192">
        <v>0</v>
      </c>
      <c r="AF221" s="125">
        <f>ROUND(AE221*Valores!$C$2,2)</f>
        <v>0</v>
      </c>
      <c r="AG221" s="125">
        <f>IF($F$4="NO",IF(Valores!$D$63*'Escala Docente'!B221&gt;Valores!$F$63,Valores!$F$63,Valores!$D$63*'Escala Docente'!B221),IF(Valores!$D$63*'Escala Docente'!B221&gt;Valores!$F$63,Valores!$F$63,Valores!$D$63*'Escala Docente'!B221)/2)</f>
        <v>12965.96</v>
      </c>
      <c r="AH221" s="125">
        <f t="shared" si="34"/>
        <v>188597.15</v>
      </c>
      <c r="AI221" s="125">
        <f>IF(Valores!$C$32*B221&gt;Valores!$F$32,Valores!$F$32,Valores!$C$32*B221)</f>
        <v>0</v>
      </c>
      <c r="AJ221" s="125">
        <f>IF(Valores!$C$90*B221&gt;Valores!$C$89,Valores!$C$89,Valores!$C$90*B221)</f>
        <v>0</v>
      </c>
      <c r="AK221" s="125">
        <f>IF(Valores!C$39*B221&gt;Valores!F$38,Valores!F$38,Valores!C$39*B221)</f>
        <v>30000</v>
      </c>
      <c r="AL221" s="125">
        <f>IF($F$3="NO",0,IF(Valores!$C$61*B221&gt;Valores!$F$61,Valores!$F$61,Valores!$C$61*B221))</f>
        <v>327.6</v>
      </c>
      <c r="AM221" s="125">
        <f t="shared" si="32"/>
        <v>30327.6</v>
      </c>
      <c r="AN221" s="125">
        <f>AH221*Valores!$C$71</f>
        <v>-20745.6865</v>
      </c>
      <c r="AO221" s="125">
        <f>AH221*-Valores!$C$72</f>
        <v>0</v>
      </c>
      <c r="AP221" s="125">
        <f>AH221*Valores!$C$73</f>
        <v>-8486.87175</v>
      </c>
      <c r="AQ221" s="125">
        <f>Valores!$C$100</f>
        <v>-280.91</v>
      </c>
      <c r="AR221" s="125">
        <f>IF($F$5=0,Valores!$C$101,(Valores!$C$101+$F$5*(Valores!$C$101)))</f>
        <v>-385</v>
      </c>
      <c r="AS221" s="125">
        <f t="shared" si="35"/>
        <v>189026.28175</v>
      </c>
      <c r="AT221" s="125">
        <f t="shared" si="29"/>
        <v>-20745.6865</v>
      </c>
      <c r="AU221" s="125">
        <f>AH221*Valores!$C$74</f>
        <v>-5092.12305</v>
      </c>
      <c r="AV221" s="125">
        <f>AH221*Valores!$C$75</f>
        <v>-565.7914499999999</v>
      </c>
      <c r="AW221" s="125">
        <f t="shared" si="33"/>
        <v>192521.149</v>
      </c>
      <c r="AX221" s="126"/>
      <c r="AY221" s="126">
        <f t="shared" si="28"/>
        <v>31</v>
      </c>
      <c r="AZ221" s="123" t="s">
        <v>8</v>
      </c>
    </row>
    <row r="222" spans="1:52" s="110" customFormat="1" ht="11.25" customHeight="1">
      <c r="A222" s="123" t="s">
        <v>470</v>
      </c>
      <c r="B222" s="123">
        <v>32</v>
      </c>
      <c r="C222" s="126">
        <v>215</v>
      </c>
      <c r="D222" s="124" t="str">
        <f t="shared" si="26"/>
        <v>Hora Cátedra Enseñanza Superior 32 hs</v>
      </c>
      <c r="E222" s="192">
        <f t="shared" si="27"/>
        <v>3168</v>
      </c>
      <c r="F222" s="125">
        <f>ROUND(E222*Valores!$C$2,2)</f>
        <v>85919.96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16602.04</v>
      </c>
      <c r="N222" s="125">
        <f t="shared" si="30"/>
        <v>0</v>
      </c>
      <c r="O222" s="125">
        <f>Valores!$C$7*B222</f>
        <v>29432.32</v>
      </c>
      <c r="P222" s="125">
        <f>ROUND(IF(B222&lt;15,(Valores!$E$5*B222),Valores!$D$5),2)</f>
        <v>13864.36</v>
      </c>
      <c r="Q222" s="125">
        <v>0</v>
      </c>
      <c r="R222" s="125">
        <f>IF($F$4="NO",Valores!$C$49*B222,Valores!$C$49*B222/2)</f>
        <v>15503.36</v>
      </c>
      <c r="S222" s="125">
        <f>Valores!$C$18*B222</f>
        <v>9256.96</v>
      </c>
      <c r="T222" s="125">
        <f t="shared" si="36"/>
        <v>9256.96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IF(Valores!$C$97*B222&gt;Valores!$C$96,Valores!$C$96,Valores!$C$97*B222)</f>
        <v>8958.08</v>
      </c>
      <c r="AA222" s="125">
        <f>IF((Valores!$C$28)*B222&gt;Valores!$F$28,Valores!$F$28,(Valores!$C$28)*B222)</f>
        <v>727.04</v>
      </c>
      <c r="AB222" s="214">
        <v>0</v>
      </c>
      <c r="AC222" s="125">
        <f t="shared" si="31"/>
        <v>0</v>
      </c>
      <c r="AD222" s="125">
        <f>IF(Valores!$C$29*B222&gt;Valores!$F$29,Valores!$F$29,Valores!$C$29*B222)</f>
        <v>567.06</v>
      </c>
      <c r="AE222" s="192">
        <v>0</v>
      </c>
      <c r="AF222" s="125">
        <f>ROUND(AE222*Valores!$C$2,2)</f>
        <v>0</v>
      </c>
      <c r="AG222" s="125">
        <f>IF($F$4="NO",IF(Valores!$D$63*'Escala Docente'!B222&gt;Valores!$F$63,Valores!$F$63,Valores!$D$63*'Escala Docente'!B222),IF(Valores!$D$63*'Escala Docente'!B222&gt;Valores!$F$63,Valores!$F$63,Valores!$D$63*'Escala Docente'!B222)/2)</f>
        <v>12965.96</v>
      </c>
      <c r="AH222" s="125">
        <f t="shared" si="34"/>
        <v>193797.13999999996</v>
      </c>
      <c r="AI222" s="125">
        <f>IF(Valores!$C$32*B222&gt;Valores!$F$32,Valores!$F$32,Valores!$C$32*B222)</f>
        <v>0</v>
      </c>
      <c r="AJ222" s="125">
        <f>IF(Valores!$C$90*B222&gt;Valores!$C$89,Valores!$C$89,Valores!$C$90*B222)</f>
        <v>0</v>
      </c>
      <c r="AK222" s="125">
        <f>IF(Valores!C$39*B222&gt;Valores!F$38,Valores!F$38,Valores!C$39*B222)</f>
        <v>30000</v>
      </c>
      <c r="AL222" s="125">
        <f>IF($F$3="NO",0,IF(Valores!$C$61*B222&gt;Valores!$F$61,Valores!$F$61,Valores!$C$61*B222))</f>
        <v>327.6</v>
      </c>
      <c r="AM222" s="125">
        <f t="shared" si="32"/>
        <v>30327.6</v>
      </c>
      <c r="AN222" s="125">
        <f>AH222*Valores!$C$71</f>
        <v>-21317.685399999995</v>
      </c>
      <c r="AO222" s="125">
        <f>AH222*-Valores!$C$72</f>
        <v>0</v>
      </c>
      <c r="AP222" s="125">
        <f>AH222*Valores!$C$73</f>
        <v>-8720.871299999997</v>
      </c>
      <c r="AQ222" s="125">
        <f>Valores!$C$100</f>
        <v>-280.91</v>
      </c>
      <c r="AR222" s="125">
        <f>IF($F$5=0,Valores!$C$101,(Valores!$C$101+$F$5*(Valores!$C$101)))</f>
        <v>-385</v>
      </c>
      <c r="AS222" s="125">
        <f t="shared" si="35"/>
        <v>193420.27329999997</v>
      </c>
      <c r="AT222" s="125">
        <f t="shared" si="29"/>
        <v>-21317.685399999995</v>
      </c>
      <c r="AU222" s="125">
        <f>AH222*Valores!$C$74</f>
        <v>-5232.522779999998</v>
      </c>
      <c r="AV222" s="125">
        <f>AH222*Valores!$C$75</f>
        <v>-581.3914199999999</v>
      </c>
      <c r="AW222" s="125">
        <f t="shared" si="33"/>
        <v>196993.14039999997</v>
      </c>
      <c r="AX222" s="126"/>
      <c r="AY222" s="126">
        <f t="shared" si="28"/>
        <v>32</v>
      </c>
      <c r="AZ222" s="123" t="s">
        <v>8</v>
      </c>
    </row>
    <row r="223" spans="1:52" s="110" customFormat="1" ht="11.25" customHeight="1">
      <c r="A223" s="123" t="s">
        <v>470</v>
      </c>
      <c r="B223" s="123">
        <v>33</v>
      </c>
      <c r="C223" s="126">
        <v>216</v>
      </c>
      <c r="D223" s="124" t="str">
        <f t="shared" si="26"/>
        <v>Hora Cátedra Enseñanza Superior 33 hs</v>
      </c>
      <c r="E223" s="192">
        <f t="shared" si="27"/>
        <v>3267</v>
      </c>
      <c r="F223" s="125">
        <f>ROUND(E223*Valores!$C$2,2)</f>
        <v>88604.96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17120.86</v>
      </c>
      <c r="N223" s="125">
        <f t="shared" si="30"/>
        <v>0</v>
      </c>
      <c r="O223" s="125">
        <f>Valores!$C$7*B223</f>
        <v>30352.079999999998</v>
      </c>
      <c r="P223" s="125">
        <f>ROUND(IF(B223&lt;15,(Valores!$E$5*B223),Valores!$D$5),2)</f>
        <v>13864.36</v>
      </c>
      <c r="Q223" s="125">
        <v>0</v>
      </c>
      <c r="R223" s="125">
        <f>IF($F$4="NO",Valores!$C$49*B223,Valores!$C$49*B223/2)</f>
        <v>15987.84</v>
      </c>
      <c r="S223" s="125">
        <f>Valores!$C$18*B223</f>
        <v>9546.24</v>
      </c>
      <c r="T223" s="125">
        <f t="shared" si="36"/>
        <v>9546.24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IF(Valores!$C$97*B223&gt;Valores!$C$96,Valores!$C$96,Valores!$C$97*B223)</f>
        <v>9238.02</v>
      </c>
      <c r="AA223" s="125">
        <f>IF((Valores!$C$28)*B223&gt;Valores!$F$28,Valores!$F$28,(Valores!$C$28)*B223)</f>
        <v>749.76</v>
      </c>
      <c r="AB223" s="214">
        <v>0</v>
      </c>
      <c r="AC223" s="125">
        <f t="shared" si="31"/>
        <v>0</v>
      </c>
      <c r="AD223" s="125">
        <f>IF(Valores!$C$29*B223&gt;Valores!$F$29,Valores!$F$29,Valores!$C$29*B223)</f>
        <v>567.06</v>
      </c>
      <c r="AE223" s="192">
        <v>0</v>
      </c>
      <c r="AF223" s="125">
        <f>ROUND(AE223*Valores!$C$2,2)</f>
        <v>0</v>
      </c>
      <c r="AG223" s="125">
        <f>IF($F$4="NO",IF(Valores!$D$63*'Escala Docente'!B223&gt;Valores!$F$63,Valores!$F$63,Valores!$D$63*'Escala Docente'!B223),IF(Valores!$D$63*'Escala Docente'!B223&gt;Valores!$F$63,Valores!$F$63,Valores!$D$63*'Escala Docente'!B223)/2)</f>
        <v>12965.96</v>
      </c>
      <c r="AH223" s="125">
        <f t="shared" si="34"/>
        <v>198997.13999999998</v>
      </c>
      <c r="AI223" s="125">
        <f>IF(Valores!$C$32*B223&gt;Valores!$F$32,Valores!$F$32,Valores!$C$32*B223)</f>
        <v>0</v>
      </c>
      <c r="AJ223" s="125">
        <f>IF(Valores!$C$90*B223&gt;Valores!$C$89,Valores!$C$89,Valores!$C$90*B223)</f>
        <v>0</v>
      </c>
      <c r="AK223" s="125">
        <f>IF(Valores!C$39*B223&gt;Valores!F$38,Valores!F$38,Valores!C$39*B223)</f>
        <v>30000</v>
      </c>
      <c r="AL223" s="125">
        <f>IF($F$3="NO",0,IF(Valores!$C$61*B223&gt;Valores!$F$61,Valores!$F$61,Valores!$C$61*B223))</f>
        <v>327.6</v>
      </c>
      <c r="AM223" s="125">
        <f t="shared" si="32"/>
        <v>30327.6</v>
      </c>
      <c r="AN223" s="125">
        <f>AH223*Valores!$C$71</f>
        <v>-21889.6854</v>
      </c>
      <c r="AO223" s="125">
        <f>AH223*-Valores!$C$72</f>
        <v>0</v>
      </c>
      <c r="AP223" s="125">
        <f>AH223*Valores!$C$73</f>
        <v>-8954.871299999999</v>
      </c>
      <c r="AQ223" s="125">
        <f>Valores!$C$100</f>
        <v>-280.91</v>
      </c>
      <c r="AR223" s="125">
        <f>IF($F$5=0,Valores!$C$101,(Valores!$C$101+$F$5*(Valores!$C$101)))</f>
        <v>-385</v>
      </c>
      <c r="AS223" s="125">
        <f t="shared" si="35"/>
        <v>197814.27329999997</v>
      </c>
      <c r="AT223" s="125">
        <f t="shared" si="29"/>
        <v>-21889.6854</v>
      </c>
      <c r="AU223" s="125">
        <f>AH223*Valores!$C$74</f>
        <v>-5372.92278</v>
      </c>
      <c r="AV223" s="125">
        <f>AH223*Valores!$C$75</f>
        <v>-596.99142</v>
      </c>
      <c r="AW223" s="125">
        <f t="shared" si="33"/>
        <v>201465.1404</v>
      </c>
      <c r="AX223" s="126"/>
      <c r="AY223" s="126">
        <f aca="true" t="shared" si="37" ref="AY223:AY254">1*B223</f>
        <v>33</v>
      </c>
      <c r="AZ223" s="123" t="s">
        <v>8</v>
      </c>
    </row>
    <row r="224" spans="1:52" s="110" customFormat="1" ht="11.25" customHeight="1">
      <c r="A224" s="123" t="s">
        <v>470</v>
      </c>
      <c r="B224" s="123">
        <v>34</v>
      </c>
      <c r="C224" s="126">
        <v>217</v>
      </c>
      <c r="D224" s="124" t="str">
        <f t="shared" si="26"/>
        <v>Hora Cátedra Enseñanza Superior 34 hs</v>
      </c>
      <c r="E224" s="192">
        <f t="shared" si="27"/>
        <v>3366</v>
      </c>
      <c r="F224" s="125">
        <f>ROUND(E224*Valores!$C$2,2)</f>
        <v>91289.96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17639.67</v>
      </c>
      <c r="N224" s="125">
        <f t="shared" si="30"/>
        <v>0</v>
      </c>
      <c r="O224" s="125">
        <f>Valores!$C$7*B224</f>
        <v>31271.84</v>
      </c>
      <c r="P224" s="125">
        <f>ROUND(IF(B224&lt;15,(Valores!$E$5*B224),Valores!$D$5),2)</f>
        <v>13864.36</v>
      </c>
      <c r="Q224" s="125">
        <v>0</v>
      </c>
      <c r="R224" s="125">
        <f>IF($F$4="NO",Valores!$C$49*B224,Valores!$C$49*B224/2)</f>
        <v>16472.32</v>
      </c>
      <c r="S224" s="125">
        <f>Valores!$C$18*B224</f>
        <v>9835.519999999999</v>
      </c>
      <c r="T224" s="125">
        <f t="shared" si="36"/>
        <v>9835.52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IF(Valores!$C$97*B224&gt;Valores!$C$96,Valores!$C$96,Valores!$C$97*B224)</f>
        <v>9517.96</v>
      </c>
      <c r="AA224" s="125">
        <f>IF((Valores!$C$28)*B224&gt;Valores!$F$28,Valores!$F$28,(Valores!$C$28)*B224)</f>
        <v>772.48</v>
      </c>
      <c r="AB224" s="214">
        <v>0</v>
      </c>
      <c r="AC224" s="125">
        <f t="shared" si="31"/>
        <v>0</v>
      </c>
      <c r="AD224" s="125">
        <f>IF(Valores!$C$29*B224&gt;Valores!$F$29,Valores!$F$29,Valores!$C$29*B224)</f>
        <v>567.06</v>
      </c>
      <c r="AE224" s="192">
        <v>0</v>
      </c>
      <c r="AF224" s="125">
        <f>ROUND(AE224*Valores!$C$2,2)</f>
        <v>0</v>
      </c>
      <c r="AG224" s="125">
        <f>IF($F$4="NO",IF(Valores!$D$63*'Escala Docente'!B224&gt;Valores!$F$63,Valores!$F$63,Valores!$D$63*'Escala Docente'!B224),IF(Valores!$D$63*'Escala Docente'!B224&gt;Valores!$F$63,Valores!$F$63,Valores!$D$63*'Escala Docente'!B224)/2)</f>
        <v>12965.96</v>
      </c>
      <c r="AH224" s="125">
        <f t="shared" si="34"/>
        <v>204197.13</v>
      </c>
      <c r="AI224" s="125">
        <f>IF(Valores!$C$32*B224&gt;Valores!$F$32,Valores!$F$32,Valores!$C$32*B224)</f>
        <v>0</v>
      </c>
      <c r="AJ224" s="125">
        <f>IF(Valores!$C$90*B224&gt;Valores!$C$89,Valores!$C$89,Valores!$C$90*B224)</f>
        <v>0</v>
      </c>
      <c r="AK224" s="125">
        <f>IF(Valores!C$39*B224&gt;Valores!F$38,Valores!F$38,Valores!C$39*B224)</f>
        <v>30000</v>
      </c>
      <c r="AL224" s="125">
        <f>IF($F$3="NO",0,IF(Valores!$C$61*B224&gt;Valores!$F$61,Valores!$F$61,Valores!$C$61*B224))</f>
        <v>327.6</v>
      </c>
      <c r="AM224" s="125">
        <f t="shared" si="32"/>
        <v>30327.6</v>
      </c>
      <c r="AN224" s="125">
        <f>AH224*Valores!$C$71</f>
        <v>-22461.6843</v>
      </c>
      <c r="AO224" s="125">
        <f>AH224*-Valores!$C$72</f>
        <v>0</v>
      </c>
      <c r="AP224" s="125">
        <f>AH224*Valores!$C$73</f>
        <v>-9188.87085</v>
      </c>
      <c r="AQ224" s="125">
        <f>Valores!$C$100</f>
        <v>-280.91</v>
      </c>
      <c r="AR224" s="125">
        <f>IF($F$5=0,Valores!$C$101,(Valores!$C$101+$F$5*(Valores!$C$101)))</f>
        <v>-385</v>
      </c>
      <c r="AS224" s="125">
        <f t="shared" si="35"/>
        <v>202208.26485</v>
      </c>
      <c r="AT224" s="125">
        <f t="shared" si="29"/>
        <v>-22461.6843</v>
      </c>
      <c r="AU224" s="125">
        <f>AH224*Valores!$C$74</f>
        <v>-5513.32251</v>
      </c>
      <c r="AV224" s="125">
        <f>AH224*Valores!$C$75</f>
        <v>-612.59139</v>
      </c>
      <c r="AW224" s="125">
        <f t="shared" si="33"/>
        <v>205937.1318</v>
      </c>
      <c r="AX224" s="126"/>
      <c r="AY224" s="126">
        <f t="shared" si="37"/>
        <v>34</v>
      </c>
      <c r="AZ224" s="123" t="s">
        <v>8</v>
      </c>
    </row>
    <row r="225" spans="1:52" s="110" customFormat="1" ht="11.25" customHeight="1">
      <c r="A225" s="123" t="s">
        <v>470</v>
      </c>
      <c r="B225" s="123">
        <v>35</v>
      </c>
      <c r="C225" s="126">
        <v>218</v>
      </c>
      <c r="D225" s="124" t="str">
        <f t="shared" si="26"/>
        <v>Hora Cátedra Enseñanza Superior 35 hs</v>
      </c>
      <c r="E225" s="192">
        <f t="shared" si="27"/>
        <v>3465</v>
      </c>
      <c r="F225" s="125">
        <f>ROUND(E225*Valores!$C$2,2)</f>
        <v>93974.96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18158.48</v>
      </c>
      <c r="N225" s="125">
        <f t="shared" si="30"/>
        <v>0</v>
      </c>
      <c r="O225" s="125">
        <f>Valores!$C$7*B225</f>
        <v>32191.6</v>
      </c>
      <c r="P225" s="125">
        <f>ROUND(IF(B225&lt;15,(Valores!$E$5*B225),Valores!$D$5),2)</f>
        <v>13864.36</v>
      </c>
      <c r="Q225" s="125">
        <v>0</v>
      </c>
      <c r="R225" s="125">
        <f>IF($F$4="NO",Valores!$C$49*B225,Valores!$C$49*B225/2)</f>
        <v>16956.8</v>
      </c>
      <c r="S225" s="125">
        <f>Valores!$C$18*B225</f>
        <v>10124.8</v>
      </c>
      <c r="T225" s="125">
        <f t="shared" si="36"/>
        <v>10124.8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IF(Valores!$C$97*B225&gt;Valores!$C$96,Valores!$C$96,Valores!$C$97*B225)</f>
        <v>9797.9</v>
      </c>
      <c r="AA225" s="125">
        <f>IF((Valores!$C$28)*B225&gt;Valores!$F$28,Valores!$F$28,(Valores!$C$28)*B225)</f>
        <v>795.1999999999999</v>
      </c>
      <c r="AB225" s="214">
        <v>0</v>
      </c>
      <c r="AC225" s="125">
        <f t="shared" si="31"/>
        <v>0</v>
      </c>
      <c r="AD225" s="125">
        <f>IF(Valores!$C$29*B225&gt;Valores!$F$29,Valores!$F$29,Valores!$C$29*B225)</f>
        <v>567.06</v>
      </c>
      <c r="AE225" s="192">
        <v>0</v>
      </c>
      <c r="AF225" s="125">
        <f>ROUND(AE225*Valores!$C$2,2)</f>
        <v>0</v>
      </c>
      <c r="AG225" s="125">
        <f>IF($F$4="NO",IF(Valores!$D$63*'Escala Docente'!B225&gt;Valores!$F$63,Valores!$F$63,Valores!$D$63*'Escala Docente'!B225),IF(Valores!$D$63*'Escala Docente'!B225&gt;Valores!$F$63,Valores!$F$63,Valores!$D$63*'Escala Docente'!B225)/2)</f>
        <v>12965.96</v>
      </c>
      <c r="AH225" s="125">
        <f t="shared" si="34"/>
        <v>209397.12</v>
      </c>
      <c r="AI225" s="125">
        <f>IF(Valores!$C$32*B225&gt;Valores!$F$32,Valores!$F$32,Valores!$C$32*B225)</f>
        <v>0</v>
      </c>
      <c r="AJ225" s="125">
        <f>IF(Valores!$C$90*B225&gt;Valores!$C$89,Valores!$C$89,Valores!$C$90*B225)</f>
        <v>0</v>
      </c>
      <c r="AK225" s="125">
        <f>IF(Valores!C$39*B225&gt;Valores!F$38,Valores!F$38,Valores!C$39*B225)</f>
        <v>30000</v>
      </c>
      <c r="AL225" s="125">
        <f>IF($F$3="NO",0,IF(Valores!$C$61*B225&gt;Valores!$F$61,Valores!$F$61,Valores!$C$61*B225))</f>
        <v>327.6</v>
      </c>
      <c r="AM225" s="125">
        <f t="shared" si="32"/>
        <v>30327.6</v>
      </c>
      <c r="AN225" s="125">
        <f>AH225*Valores!$C$71</f>
        <v>-23033.6832</v>
      </c>
      <c r="AO225" s="125">
        <f>AH225*-Valores!$C$72</f>
        <v>0</v>
      </c>
      <c r="AP225" s="125">
        <f>AH225*Valores!$C$73</f>
        <v>-9422.8704</v>
      </c>
      <c r="AQ225" s="125">
        <f>Valores!$C$100</f>
        <v>-280.91</v>
      </c>
      <c r="AR225" s="125">
        <f>IF($F$5=0,Valores!$C$101,(Valores!$C$101+$F$5*(Valores!$C$101)))</f>
        <v>-385</v>
      </c>
      <c r="AS225" s="125">
        <f t="shared" si="35"/>
        <v>206602.25639999998</v>
      </c>
      <c r="AT225" s="125">
        <f t="shared" si="29"/>
        <v>-23033.6832</v>
      </c>
      <c r="AU225" s="125">
        <f>AH225*Valores!$C$74</f>
        <v>-5653.72224</v>
      </c>
      <c r="AV225" s="125">
        <f>AH225*Valores!$C$75</f>
        <v>-628.19136</v>
      </c>
      <c r="AW225" s="125">
        <f t="shared" si="33"/>
        <v>210409.1232</v>
      </c>
      <c r="AX225" s="126"/>
      <c r="AY225" s="126">
        <f t="shared" si="37"/>
        <v>35</v>
      </c>
      <c r="AZ225" s="123" t="s">
        <v>8</v>
      </c>
    </row>
    <row r="226" spans="1:52" s="110" customFormat="1" ht="11.25" customHeight="1">
      <c r="A226" s="123" t="s">
        <v>470</v>
      </c>
      <c r="B226" s="123">
        <v>36</v>
      </c>
      <c r="C226" s="126">
        <v>219</v>
      </c>
      <c r="D226" s="124" t="str">
        <f t="shared" si="26"/>
        <v>Hora Cátedra Enseñanza Superior 36 hs</v>
      </c>
      <c r="E226" s="192">
        <f t="shared" si="27"/>
        <v>3564</v>
      </c>
      <c r="F226" s="125">
        <f>ROUND(E226*Valores!$C$2,2)</f>
        <v>96659.96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18677.3</v>
      </c>
      <c r="N226" s="125">
        <f t="shared" si="30"/>
        <v>0</v>
      </c>
      <c r="O226" s="125">
        <f>Valores!$C$7*B226</f>
        <v>33111.36</v>
      </c>
      <c r="P226" s="125">
        <f>ROUND(IF(B226&lt;15,(Valores!$E$5*B226),Valores!$D$5),2)</f>
        <v>13864.36</v>
      </c>
      <c r="Q226" s="125">
        <v>0</v>
      </c>
      <c r="R226" s="125">
        <f>IF($F$4="NO",Valores!$C$49*B226,Valores!$C$49*B226/2)</f>
        <v>17441.28</v>
      </c>
      <c r="S226" s="125">
        <f>Valores!$C$18*B226</f>
        <v>10414.079999999998</v>
      </c>
      <c r="T226" s="125">
        <f t="shared" si="36"/>
        <v>10414.08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IF(Valores!$C$97*B226&gt;Valores!$C$96,Valores!$C$96,Valores!$C$97*B226)</f>
        <v>10077.84</v>
      </c>
      <c r="AA226" s="125">
        <f>IF((Valores!$C$28)*B226&gt;Valores!$F$28,Valores!$F$28,(Valores!$C$28)*B226)</f>
        <v>817.92</v>
      </c>
      <c r="AB226" s="214">
        <v>0</v>
      </c>
      <c r="AC226" s="125">
        <f t="shared" si="31"/>
        <v>0</v>
      </c>
      <c r="AD226" s="125">
        <f>IF(Valores!$C$29*B226&gt;Valores!$F$29,Valores!$F$29,Valores!$C$29*B226)</f>
        <v>567.06</v>
      </c>
      <c r="AE226" s="192">
        <v>0</v>
      </c>
      <c r="AF226" s="125">
        <f>ROUND(AE226*Valores!$C$2,2)</f>
        <v>0</v>
      </c>
      <c r="AG226" s="125">
        <f>IF($F$4="NO",IF(Valores!$D$63*'Escala Docente'!B226&gt;Valores!$F$63,Valores!$F$63,Valores!$D$63*'Escala Docente'!B226),IF(Valores!$D$63*'Escala Docente'!B226&gt;Valores!$F$63,Valores!$F$63,Valores!$D$63*'Escala Docente'!B226)/2)</f>
        <v>12965.96</v>
      </c>
      <c r="AH226" s="125">
        <f t="shared" si="34"/>
        <v>214597.11999999997</v>
      </c>
      <c r="AI226" s="125">
        <f>IF(Valores!$C$32*B226&gt;Valores!$F$32,Valores!$F$32,Valores!$C$32*B226)</f>
        <v>0</v>
      </c>
      <c r="AJ226" s="125">
        <f>IF(Valores!$C$90*B226&gt;Valores!$C$89,Valores!$C$89,Valores!$C$90*B226)</f>
        <v>0</v>
      </c>
      <c r="AK226" s="125">
        <f>IF(Valores!C$39*B226&gt;Valores!F$38,Valores!F$38,Valores!C$39*B226)</f>
        <v>30000</v>
      </c>
      <c r="AL226" s="125">
        <f>IF($F$3="NO",0,IF(Valores!$C$61*B226&gt;Valores!$F$61,Valores!$F$61,Valores!$C$61*B226))</f>
        <v>327.6</v>
      </c>
      <c r="AM226" s="125">
        <f t="shared" si="32"/>
        <v>30327.6</v>
      </c>
      <c r="AN226" s="125">
        <f>AH226*Valores!$C$71</f>
        <v>-23605.683199999996</v>
      </c>
      <c r="AO226" s="125">
        <f>AH226*-Valores!$C$72</f>
        <v>0</v>
      </c>
      <c r="AP226" s="125">
        <f>AH226*Valores!$C$73</f>
        <v>-9656.870399999998</v>
      </c>
      <c r="AQ226" s="125">
        <f>Valores!$C$100</f>
        <v>-280.91</v>
      </c>
      <c r="AR226" s="125">
        <f>IF($F$5=0,Valores!$C$101,(Valores!$C$101+$F$5*(Valores!$C$101)))</f>
        <v>-385</v>
      </c>
      <c r="AS226" s="125">
        <f t="shared" si="35"/>
        <v>210996.25639999998</v>
      </c>
      <c r="AT226" s="125">
        <f t="shared" si="29"/>
        <v>-23605.683199999996</v>
      </c>
      <c r="AU226" s="125">
        <f>AH226*Valores!$C$74</f>
        <v>-5794.122239999999</v>
      </c>
      <c r="AV226" s="125">
        <f>AH226*Valores!$C$75</f>
        <v>-643.7913599999999</v>
      </c>
      <c r="AW226" s="125">
        <f t="shared" si="33"/>
        <v>214881.12319999997</v>
      </c>
      <c r="AX226" s="126"/>
      <c r="AY226" s="126">
        <f t="shared" si="37"/>
        <v>36</v>
      </c>
      <c r="AZ226" s="123" t="s">
        <v>8</v>
      </c>
    </row>
    <row r="227" spans="1:52" s="110" customFormat="1" ht="11.25" customHeight="1">
      <c r="A227" s="123" t="s">
        <v>471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38" ref="E227:E258">79*B227</f>
        <v>79</v>
      </c>
      <c r="F227" s="125">
        <f>ROUND(E227*Valores!$C$2,2)</f>
        <v>2142.57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437.45</v>
      </c>
      <c r="N227" s="125">
        <f t="shared" si="30"/>
        <v>0</v>
      </c>
      <c r="O227" s="125">
        <f>Valores!$C$7*B227</f>
        <v>919.76</v>
      </c>
      <c r="P227" s="125">
        <f>ROUND(IF(B227&lt;15,(Valores!$E$5*B227),Valores!$D$5),2)</f>
        <v>924.29</v>
      </c>
      <c r="Q227" s="125">
        <v>0</v>
      </c>
      <c r="R227" s="125">
        <f>IF($F$4="NO",Valores!$C$49*B227,Valores!$C$49*B227/2)</f>
        <v>484.48</v>
      </c>
      <c r="S227" s="125">
        <f>Valores!$C$18*B227</f>
        <v>289.28</v>
      </c>
      <c r="T227" s="125">
        <f t="shared" si="36"/>
        <v>289.28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IF(Valores!$C$97*B227&gt;Valores!$C$96,Valores!$C$96,Valores!$C$97*B227)</f>
        <v>279.94</v>
      </c>
      <c r="AA227" s="125">
        <f>IF((Valores!$C$28)*B227&gt;Valores!$F$28,Valores!$F$28,(Valores!$C$28)*B227)</f>
        <v>22.72</v>
      </c>
      <c r="AB227" s="214">
        <v>0</v>
      </c>
      <c r="AC227" s="125">
        <f t="shared" si="31"/>
        <v>0</v>
      </c>
      <c r="AD227" s="125">
        <f>IF(Valores!$C$29*B227&gt;Valores!$F$29,Valores!$F$29,Valores!$C$29*B227)</f>
        <v>18.92</v>
      </c>
      <c r="AE227" s="192">
        <v>0</v>
      </c>
      <c r="AF227" s="125">
        <f>ROUND(AE227*Valores!$C$2,2)</f>
        <v>0</v>
      </c>
      <c r="AG227" s="125">
        <f>IF($F$4="NO",IF(Valores!$D$63*'Escala Docente'!B227&gt;Valores!$F$63,Valores!$F$63,Valores!$D$63*'Escala Docente'!B227),IF(Valores!$D$63*'Escala Docente'!B227&gt;Valores!$F$63,Valores!$F$63,Valores!$D$63*'Escala Docente'!B227)/2)</f>
        <v>432.2</v>
      </c>
      <c r="AH227" s="125">
        <f t="shared" si="34"/>
        <v>5951.609999999999</v>
      </c>
      <c r="AI227" s="125">
        <f>IF(Valores!$C$32*B227&gt;Valores!$F$32,Valores!$F$32,Valores!$C$32*B227)</f>
        <v>0</v>
      </c>
      <c r="AJ227" s="125">
        <f>IF(Valores!$C$90*B227&gt;Valores!$C$89,Valores!$C$89,Valores!$C$90*B227)</f>
        <v>0</v>
      </c>
      <c r="AK227" s="125">
        <f>IF(Valores!C$39*B227&gt;Valores!F$38,Valores!F$38,Valores!C$39*B227)</f>
        <v>1000</v>
      </c>
      <c r="AL227" s="125">
        <f>IF($F$3="NO",0,IF(Valores!$C$62*B227&gt;Valores!$F$62,Valores!$F$62,Valores!$C$62*B227))</f>
        <v>11.3559</v>
      </c>
      <c r="AM227" s="125">
        <f t="shared" si="32"/>
        <v>1011.3559</v>
      </c>
      <c r="AN227" s="125">
        <f>AH227*Valores!$C$71</f>
        <v>-654.6770999999999</v>
      </c>
      <c r="AO227" s="125">
        <f>AH227*-Valores!$C$72</f>
        <v>0</v>
      </c>
      <c r="AP227" s="125">
        <f>AH227*Valores!$C$73</f>
        <v>-267.82244999999995</v>
      </c>
      <c r="AQ227" s="125">
        <f>Valores!$C$100</f>
        <v>-280.91</v>
      </c>
      <c r="AR227" s="125">
        <f>IF($F$5=0,Valores!$C$101,(Valores!$C$101+$F$5*(Valores!$C$101)))</f>
        <v>-385</v>
      </c>
      <c r="AS227" s="125">
        <f t="shared" si="35"/>
        <v>5374.556349999999</v>
      </c>
      <c r="AT227" s="125">
        <f t="shared" si="29"/>
        <v>-654.6770999999999</v>
      </c>
      <c r="AU227" s="125">
        <f>AH227*Valores!$C$74</f>
        <v>-160.69346999999996</v>
      </c>
      <c r="AV227" s="125">
        <f>AH227*Valores!$C$75</f>
        <v>-17.854829999999996</v>
      </c>
      <c r="AW227" s="125">
        <f t="shared" si="33"/>
        <v>6129.7405</v>
      </c>
      <c r="AX227" s="126"/>
      <c r="AY227" s="126">
        <f t="shared" si="37"/>
        <v>1</v>
      </c>
      <c r="AZ227" s="123" t="s">
        <v>4</v>
      </c>
    </row>
    <row r="228" spans="1:52" s="110" customFormat="1" ht="11.25" customHeight="1">
      <c r="A228" s="123" t="s">
        <v>471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38"/>
        <v>79</v>
      </c>
      <c r="F228" s="125">
        <f>ROUND(E228*Valores!$C$2,2)</f>
        <v>2142.57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437.45</v>
      </c>
      <c r="N228" s="125">
        <f t="shared" si="30"/>
        <v>0</v>
      </c>
      <c r="O228" s="125">
        <f>Valores!$C$7*B228</f>
        <v>919.76</v>
      </c>
      <c r="P228" s="125">
        <f>ROUND(IF(B228&lt;15,(Valores!$E$5*B228),Valores!$D$5),2)</f>
        <v>924.29</v>
      </c>
      <c r="Q228" s="125">
        <v>0</v>
      </c>
      <c r="R228" s="125">
        <f>IF($F$4="NO",Valores!$C$49*B228,Valores!$C$49*B228/2)</f>
        <v>484.48</v>
      </c>
      <c r="S228" s="125">
        <f>Valores!$C$18*B228</f>
        <v>289.28</v>
      </c>
      <c r="T228" s="125">
        <f t="shared" si="36"/>
        <v>289.28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IF(Valores!$C$97*B228&gt;Valores!$C$96,Valores!$C$96,Valores!$C$97*B228)</f>
        <v>279.94</v>
      </c>
      <c r="AA228" s="125">
        <f>IF((Valores!$C$28)*B228&gt;Valores!$F$28,Valores!$F$28,(Valores!$C$28)*B228)</f>
        <v>22.72</v>
      </c>
      <c r="AB228" s="214">
        <v>0</v>
      </c>
      <c r="AC228" s="125">
        <f t="shared" si="31"/>
        <v>0</v>
      </c>
      <c r="AD228" s="125">
        <f>IF(Valores!$C$29*B228&gt;Valores!$F$29,Valores!$F$29,Valores!$C$29*B228)</f>
        <v>18.92</v>
      </c>
      <c r="AE228" s="192">
        <v>94</v>
      </c>
      <c r="AF228" s="125">
        <f>ROUND(AE228*Valores!$C$2,2)</f>
        <v>2549.39</v>
      </c>
      <c r="AG228" s="125">
        <f>IF($F$4="NO",IF(Valores!$D$63*'Escala Docente'!B228&gt;Valores!$F$63,Valores!$F$63,Valores!$D$63*'Escala Docente'!B228),IF(Valores!$D$63*'Escala Docente'!B228&gt;Valores!$F$63,Valores!$F$63,Valores!$D$63*'Escala Docente'!B228)/2)</f>
        <v>432.2</v>
      </c>
      <c r="AH228" s="125">
        <f t="shared" si="34"/>
        <v>8501</v>
      </c>
      <c r="AI228" s="125">
        <f>IF(Valores!$C$32*B228&gt;Valores!$F$32,Valores!$F$32,Valores!$C$32*B228)</f>
        <v>0</v>
      </c>
      <c r="AJ228" s="125">
        <f>IF(Valores!$C$90*B228&gt;Valores!$C$89,Valores!$C$89,Valores!$C$90*B228)</f>
        <v>0</v>
      </c>
      <c r="AK228" s="125">
        <f>IF(Valores!C$39*B228&gt;Valores!F$38,Valores!F$38,Valores!C$39*B228)</f>
        <v>1000</v>
      </c>
      <c r="AL228" s="125">
        <f>IF($F$3="NO",0,IF(Valores!$C$62*B228&gt;Valores!$F$62,Valores!$F$62,Valores!$C$62*B228))</f>
        <v>11.3559</v>
      </c>
      <c r="AM228" s="125">
        <f t="shared" si="32"/>
        <v>1011.3559</v>
      </c>
      <c r="AN228" s="125">
        <f>AH228*Valores!$C$71</f>
        <v>-935.11</v>
      </c>
      <c r="AO228" s="125">
        <f>AH228*-Valores!$C$72</f>
        <v>0</v>
      </c>
      <c r="AP228" s="125">
        <f>AH228*Valores!$C$73</f>
        <v>-382.54499999999996</v>
      </c>
      <c r="AQ228" s="125">
        <f>Valores!$C$100</f>
        <v>-280.91</v>
      </c>
      <c r="AR228" s="125">
        <f>IF($F$5=0,Valores!$C$101,(Valores!$C$101+$F$5*(Valores!$C$101)))</f>
        <v>-385</v>
      </c>
      <c r="AS228" s="125">
        <f t="shared" si="35"/>
        <v>7528.7909</v>
      </c>
      <c r="AT228" s="125">
        <f t="shared" si="29"/>
        <v>-935.11</v>
      </c>
      <c r="AU228" s="125">
        <f>AH228*Valores!$C$74</f>
        <v>-229.527</v>
      </c>
      <c r="AV228" s="125">
        <f>AH228*Valores!$C$75</f>
        <v>-25.503</v>
      </c>
      <c r="AW228" s="125">
        <f t="shared" si="33"/>
        <v>8322.215900000001</v>
      </c>
      <c r="AX228" s="126"/>
      <c r="AY228" s="126">
        <f t="shared" si="37"/>
        <v>1</v>
      </c>
      <c r="AZ228" s="123" t="s">
        <v>4</v>
      </c>
    </row>
    <row r="229" spans="1:52" s="110" customFormat="1" ht="11.25" customHeight="1">
      <c r="A229" s="123" t="s">
        <v>471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38"/>
        <v>158</v>
      </c>
      <c r="F229" s="125">
        <f>ROUND(E229*Valores!$C$2,2)</f>
        <v>4285.15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874.9</v>
      </c>
      <c r="N229" s="125">
        <f t="shared" si="30"/>
        <v>0</v>
      </c>
      <c r="O229" s="125">
        <f>Valores!$C$7*B229</f>
        <v>1839.52</v>
      </c>
      <c r="P229" s="125">
        <f>ROUND(IF(B229&lt;15,(Valores!$E$5*B229),Valores!$D$5),2)</f>
        <v>1848.58</v>
      </c>
      <c r="Q229" s="125">
        <v>0</v>
      </c>
      <c r="R229" s="125">
        <f>IF($F$4="NO",Valores!$C$49*B229,Valores!$C$49*B229/2)</f>
        <v>968.96</v>
      </c>
      <c r="S229" s="125">
        <f>Valores!$C$18*B229</f>
        <v>578.56</v>
      </c>
      <c r="T229" s="125">
        <f t="shared" si="36"/>
        <v>578.56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IF(Valores!$C$97*B229&gt;Valores!$C$96,Valores!$C$96,Valores!$C$97*B229)</f>
        <v>559.88</v>
      </c>
      <c r="AA229" s="125">
        <f>IF((Valores!$C$28)*B229&gt;Valores!$F$28,Valores!$F$28,(Valores!$C$28)*B229)</f>
        <v>45.44</v>
      </c>
      <c r="AB229" s="214">
        <v>0</v>
      </c>
      <c r="AC229" s="125">
        <f t="shared" si="31"/>
        <v>0</v>
      </c>
      <c r="AD229" s="125">
        <f>IF(Valores!$C$29*B229&gt;Valores!$F$29,Valores!$F$29,Valores!$C$29*B229)</f>
        <v>37.84</v>
      </c>
      <c r="AE229" s="192">
        <v>0</v>
      </c>
      <c r="AF229" s="125">
        <f>ROUND(AE229*Valores!$C$2,2)</f>
        <v>0</v>
      </c>
      <c r="AG229" s="125">
        <f>IF($F$4="NO",IF(Valores!$D$63*'Escala Docente'!B229&gt;Valores!$F$63,Valores!$F$63,Valores!$D$63*'Escala Docente'!B229),IF(Valores!$D$63*'Escala Docente'!B229&gt;Valores!$F$63,Valores!$F$63,Valores!$D$63*'Escala Docente'!B229)/2)</f>
        <v>864.4</v>
      </c>
      <c r="AH229" s="125">
        <f t="shared" si="34"/>
        <v>11903.23</v>
      </c>
      <c r="AI229" s="125">
        <f>IF(Valores!$C$32*B229&gt;Valores!$F$32,Valores!$F$32,Valores!$C$32*B229)</f>
        <v>0</v>
      </c>
      <c r="AJ229" s="125">
        <f>IF(Valores!$C$90*B229&gt;Valores!$C$89,Valores!$C$89,Valores!$C$90*B229)</f>
        <v>0</v>
      </c>
      <c r="AK229" s="125">
        <f>IF(Valores!C$39*B229&gt;Valores!F$38,Valores!F$38,Valores!C$39*B229)</f>
        <v>2000</v>
      </c>
      <c r="AL229" s="125">
        <f>IF($F$3="NO",0,IF(Valores!$C$62*B229&gt;Valores!$F$62,Valores!$F$62,Valores!$C$62*B229))</f>
        <v>22.7118</v>
      </c>
      <c r="AM229" s="125">
        <f t="shared" si="32"/>
        <v>2022.7118</v>
      </c>
      <c r="AN229" s="125">
        <f>AH229*Valores!$C$71</f>
        <v>-1309.3553</v>
      </c>
      <c r="AO229" s="125">
        <f>AH229*-Valores!$C$72</f>
        <v>0</v>
      </c>
      <c r="AP229" s="125">
        <f>AH229*Valores!$C$73</f>
        <v>-535.64535</v>
      </c>
      <c r="AQ229" s="125">
        <f>Valores!$C$100</f>
        <v>-280.91</v>
      </c>
      <c r="AR229" s="125">
        <f>IF($F$5=0,Valores!$C$101,(Valores!$C$101+$F$5*(Valores!$C$101)))</f>
        <v>-385</v>
      </c>
      <c r="AS229" s="125">
        <f t="shared" si="35"/>
        <v>11415.031149999999</v>
      </c>
      <c r="AT229" s="125">
        <f t="shared" si="29"/>
        <v>-1309.3553</v>
      </c>
      <c r="AU229" s="125">
        <f>AH229*Valores!$C$74</f>
        <v>-321.38721</v>
      </c>
      <c r="AV229" s="125">
        <f>AH229*Valores!$C$75</f>
        <v>-35.70969</v>
      </c>
      <c r="AW229" s="125">
        <f t="shared" si="33"/>
        <v>12259.4896</v>
      </c>
      <c r="AX229" s="126"/>
      <c r="AY229" s="126">
        <f t="shared" si="37"/>
        <v>2</v>
      </c>
      <c r="AZ229" s="123" t="s">
        <v>4</v>
      </c>
    </row>
    <row r="230" spans="1:52" s="110" customFormat="1" ht="11.25" customHeight="1">
      <c r="A230" s="123" t="s">
        <v>471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38"/>
        <v>158</v>
      </c>
      <c r="F230" s="125">
        <f>ROUND(E230*Valores!$C$2,2)</f>
        <v>4285.15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874.9</v>
      </c>
      <c r="N230" s="125">
        <f t="shared" si="30"/>
        <v>0</v>
      </c>
      <c r="O230" s="125">
        <f>Valores!$C$7*B230</f>
        <v>1839.52</v>
      </c>
      <c r="P230" s="125">
        <f>ROUND(IF(B230&lt;15,(Valores!$E$5*B230),Valores!$D$5),2)</f>
        <v>1848.58</v>
      </c>
      <c r="Q230" s="125">
        <v>0</v>
      </c>
      <c r="R230" s="125">
        <f>IF($F$4="NO",Valores!$C$49*B230,Valores!$C$49*B230/2)</f>
        <v>968.96</v>
      </c>
      <c r="S230" s="125">
        <f>Valores!$C$18*B230</f>
        <v>578.56</v>
      </c>
      <c r="T230" s="125">
        <f t="shared" si="36"/>
        <v>578.56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IF(Valores!$C$97*B230&gt;Valores!$C$96,Valores!$C$96,Valores!$C$97*B230)</f>
        <v>559.88</v>
      </c>
      <c r="AA230" s="125">
        <f>IF((Valores!$C$28)*B230&gt;Valores!$F$28,Valores!$F$28,(Valores!$C$28)*B230)</f>
        <v>45.44</v>
      </c>
      <c r="AB230" s="214">
        <v>0</v>
      </c>
      <c r="AC230" s="125">
        <f t="shared" si="31"/>
        <v>0</v>
      </c>
      <c r="AD230" s="125">
        <f>IF(Valores!$C$29*B230&gt;Valores!$F$29,Valores!$F$29,Valores!$C$29*B230)</f>
        <v>37.84</v>
      </c>
      <c r="AE230" s="192">
        <v>94</v>
      </c>
      <c r="AF230" s="125">
        <f>ROUND(AE230*Valores!$C$2,2)</f>
        <v>2549.39</v>
      </c>
      <c r="AG230" s="125">
        <f>IF($F$4="NO",IF(Valores!$D$63*'Escala Docente'!B230&gt;Valores!$F$63,Valores!$F$63,Valores!$D$63*'Escala Docente'!B230),IF(Valores!$D$63*'Escala Docente'!B230&gt;Valores!$F$63,Valores!$F$63,Valores!$D$63*'Escala Docente'!B230)/2)</f>
        <v>864.4</v>
      </c>
      <c r="AH230" s="125">
        <f t="shared" si="34"/>
        <v>14452.619999999999</v>
      </c>
      <c r="AI230" s="125">
        <f>IF(Valores!$C$32*B230&gt;Valores!$F$32,Valores!$F$32,Valores!$C$32*B230)</f>
        <v>0</v>
      </c>
      <c r="AJ230" s="125">
        <f>IF(Valores!$C$90*B230&gt;Valores!$C$89,Valores!$C$89,Valores!$C$90*B230)</f>
        <v>0</v>
      </c>
      <c r="AK230" s="125">
        <f>IF(Valores!C$39*B230&gt;Valores!F$38,Valores!F$38,Valores!C$39*B230)</f>
        <v>2000</v>
      </c>
      <c r="AL230" s="125">
        <f>IF($F$3="NO",0,IF(Valores!$C$62*B230&gt;Valores!$F$62,Valores!$F$62,Valores!$C$62*B230))</f>
        <v>22.7118</v>
      </c>
      <c r="AM230" s="125">
        <f t="shared" si="32"/>
        <v>2022.7118</v>
      </c>
      <c r="AN230" s="125">
        <f>AH230*Valores!$C$71</f>
        <v>-1589.7882</v>
      </c>
      <c r="AO230" s="125">
        <f>AH230*-Valores!$C$72</f>
        <v>0</v>
      </c>
      <c r="AP230" s="125">
        <f>AH230*Valores!$C$73</f>
        <v>-650.3679</v>
      </c>
      <c r="AQ230" s="125">
        <f>Valores!$C$100</f>
        <v>-280.91</v>
      </c>
      <c r="AR230" s="125">
        <f>IF($F$5=0,Valores!$C$101,(Valores!$C$101+$F$5*(Valores!$C$101)))</f>
        <v>-385</v>
      </c>
      <c r="AS230" s="125">
        <f t="shared" si="35"/>
        <v>13569.2657</v>
      </c>
      <c r="AT230" s="125">
        <f t="shared" si="29"/>
        <v>-1589.7882</v>
      </c>
      <c r="AU230" s="125">
        <f>AH230*Valores!$C$74</f>
        <v>-390.22074</v>
      </c>
      <c r="AV230" s="125">
        <f>AH230*Valores!$C$75</f>
        <v>-43.357859999999995</v>
      </c>
      <c r="AW230" s="125">
        <f t="shared" si="33"/>
        <v>14451.965</v>
      </c>
      <c r="AX230" s="126"/>
      <c r="AY230" s="126">
        <f t="shared" si="37"/>
        <v>2</v>
      </c>
      <c r="AZ230" s="123" t="s">
        <v>4</v>
      </c>
    </row>
    <row r="231" spans="1:52" s="110" customFormat="1" ht="11.25" customHeight="1">
      <c r="A231" s="123" t="s">
        <v>471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38"/>
        <v>237</v>
      </c>
      <c r="F231" s="125">
        <f>ROUND(E231*Valores!$C$2,2)</f>
        <v>6427.72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1312.35</v>
      </c>
      <c r="N231" s="125">
        <f t="shared" si="30"/>
        <v>0</v>
      </c>
      <c r="O231" s="125">
        <f>Valores!$C$7*B231</f>
        <v>2759.2799999999997</v>
      </c>
      <c r="P231" s="125">
        <f>ROUND(IF(B231&lt;15,(Valores!$E$5*B231),Valores!$D$5),2)</f>
        <v>2772.87</v>
      </c>
      <c r="Q231" s="125">
        <v>0</v>
      </c>
      <c r="R231" s="125">
        <f>IF($F$4="NO",Valores!$C$49*B231,Valores!$C$49*B231/2)</f>
        <v>1453.44</v>
      </c>
      <c r="S231" s="125">
        <f>Valores!$C$18*B231</f>
        <v>867.8399999999999</v>
      </c>
      <c r="T231" s="125">
        <f t="shared" si="36"/>
        <v>867.84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IF(Valores!$C$97*B231&gt;Valores!$C$96,Valores!$C$96,Valores!$C$97*B231)</f>
        <v>839.8199999999999</v>
      </c>
      <c r="AA231" s="125">
        <f>IF((Valores!$C$28)*B231&gt;Valores!$F$28,Valores!$F$28,(Valores!$C$28)*B231)</f>
        <v>68.16</v>
      </c>
      <c r="AB231" s="214">
        <v>0</v>
      </c>
      <c r="AC231" s="125">
        <f t="shared" si="31"/>
        <v>0</v>
      </c>
      <c r="AD231" s="125">
        <f>IF(Valores!$C$29*B231&gt;Valores!$F$29,Valores!$F$29,Valores!$C$29*B231)</f>
        <v>56.760000000000005</v>
      </c>
      <c r="AE231" s="192">
        <v>0</v>
      </c>
      <c r="AF231" s="125">
        <f>ROUND(AE231*Valores!$C$2,2)</f>
        <v>0</v>
      </c>
      <c r="AG231" s="125">
        <f>IF($F$4="NO",IF(Valores!$D$63*'Escala Docente'!B231&gt;Valores!$F$63,Valores!$F$63,Valores!$D$63*'Escala Docente'!B231),IF(Valores!$D$63*'Escala Docente'!B231&gt;Valores!$F$63,Valores!$F$63,Valores!$D$63*'Escala Docente'!B231)/2)</f>
        <v>1296.6</v>
      </c>
      <c r="AH231" s="125">
        <f t="shared" si="34"/>
        <v>17854.839999999997</v>
      </c>
      <c r="AI231" s="125">
        <f>IF(Valores!$C$32*B231&gt;Valores!$F$32,Valores!$F$32,Valores!$C$32*B231)</f>
        <v>0</v>
      </c>
      <c r="AJ231" s="125">
        <f>IF(Valores!$C$90*B231&gt;Valores!$C$89,Valores!$C$89,Valores!$C$90*B231)</f>
        <v>0</v>
      </c>
      <c r="AK231" s="125">
        <f>IF(Valores!C$39*B231&gt;Valores!F$38,Valores!F$38,Valores!C$39*B231)</f>
        <v>3000</v>
      </c>
      <c r="AL231" s="125">
        <f>IF($F$3="NO",0,IF(Valores!$C$62*B231&gt;Valores!$F$62,Valores!$F$62,Valores!$C$62*B231))</f>
        <v>34.0677</v>
      </c>
      <c r="AM231" s="125">
        <f t="shared" si="32"/>
        <v>3034.0677</v>
      </c>
      <c r="AN231" s="125">
        <f>AH231*Valores!$C$71</f>
        <v>-1964.0323999999996</v>
      </c>
      <c r="AO231" s="125">
        <f>AH231*-Valores!$C$72</f>
        <v>0</v>
      </c>
      <c r="AP231" s="125">
        <f>AH231*Valores!$C$73</f>
        <v>-803.4677999999998</v>
      </c>
      <c r="AQ231" s="125">
        <f>Valores!$C$100</f>
        <v>-280.91</v>
      </c>
      <c r="AR231" s="125">
        <f>IF($F$5=0,Valores!$C$101,(Valores!$C$101+$F$5*(Valores!$C$101)))</f>
        <v>-385</v>
      </c>
      <c r="AS231" s="125">
        <f t="shared" si="35"/>
        <v>17455.497499999998</v>
      </c>
      <c r="AT231" s="125">
        <f t="shared" si="29"/>
        <v>-1964.0323999999996</v>
      </c>
      <c r="AU231" s="125">
        <f>AH231*Valores!$C$74</f>
        <v>-482.0806799999999</v>
      </c>
      <c r="AV231" s="125">
        <f>AH231*Valores!$C$75</f>
        <v>-53.56451999999999</v>
      </c>
      <c r="AW231" s="125">
        <f t="shared" si="33"/>
        <v>18389.230099999997</v>
      </c>
      <c r="AX231" s="126"/>
      <c r="AY231" s="126">
        <f t="shared" si="37"/>
        <v>3</v>
      </c>
      <c r="AZ231" s="123" t="s">
        <v>4</v>
      </c>
    </row>
    <row r="232" spans="1:52" s="110" customFormat="1" ht="11.25" customHeight="1">
      <c r="A232" s="123" t="s">
        <v>471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38"/>
        <v>237</v>
      </c>
      <c r="F232" s="125">
        <f>ROUND(E232*Valores!$C$2,2)</f>
        <v>6427.72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1312.35</v>
      </c>
      <c r="N232" s="125">
        <f t="shared" si="30"/>
        <v>0</v>
      </c>
      <c r="O232" s="125">
        <f>Valores!$C$7*B232</f>
        <v>2759.2799999999997</v>
      </c>
      <c r="P232" s="125">
        <f>ROUND(IF(B232&lt;15,(Valores!$E$5*B232),Valores!$D$5),2)</f>
        <v>2772.87</v>
      </c>
      <c r="Q232" s="125">
        <v>0</v>
      </c>
      <c r="R232" s="125">
        <f>IF($F$4="NO",Valores!$C$49*B232,Valores!$C$49*B232/2)</f>
        <v>1453.44</v>
      </c>
      <c r="S232" s="125">
        <f>Valores!$C$18*B232</f>
        <v>867.8399999999999</v>
      </c>
      <c r="T232" s="125">
        <f t="shared" si="36"/>
        <v>867.84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IF(Valores!$C$97*B232&gt;Valores!$C$96,Valores!$C$96,Valores!$C$97*B232)</f>
        <v>839.8199999999999</v>
      </c>
      <c r="AA232" s="125">
        <f>IF((Valores!$C$28)*B232&gt;Valores!$F$28,Valores!$F$28,(Valores!$C$28)*B232)</f>
        <v>68.16</v>
      </c>
      <c r="AB232" s="214">
        <v>0</v>
      </c>
      <c r="AC232" s="125">
        <f t="shared" si="31"/>
        <v>0</v>
      </c>
      <c r="AD232" s="125">
        <f>IF(Valores!$C$29*B232&gt;Valores!$F$29,Valores!$F$29,Valores!$C$29*B232)</f>
        <v>56.760000000000005</v>
      </c>
      <c r="AE232" s="192">
        <v>94</v>
      </c>
      <c r="AF232" s="125">
        <f>ROUND(AE232*Valores!$C$2,2)</f>
        <v>2549.39</v>
      </c>
      <c r="AG232" s="125">
        <f>IF($F$4="NO",IF(Valores!$D$63*'Escala Docente'!B232&gt;Valores!$F$63,Valores!$F$63,Valores!$D$63*'Escala Docente'!B232),IF(Valores!$D$63*'Escala Docente'!B232&gt;Valores!$F$63,Valores!$F$63,Valores!$D$63*'Escala Docente'!B232)/2)</f>
        <v>1296.6</v>
      </c>
      <c r="AH232" s="125">
        <f t="shared" si="34"/>
        <v>20404.229999999996</v>
      </c>
      <c r="AI232" s="125">
        <f>IF(Valores!$C$32*B232&gt;Valores!$F$32,Valores!$F$32,Valores!$C$32*B232)</f>
        <v>0</v>
      </c>
      <c r="AJ232" s="125">
        <f>IF(Valores!$C$90*B232&gt;Valores!$C$89,Valores!$C$89,Valores!$C$90*B232)</f>
        <v>0</v>
      </c>
      <c r="AK232" s="125">
        <f>IF(Valores!C$39*B232&gt;Valores!F$38,Valores!F$38,Valores!C$39*B232)</f>
        <v>3000</v>
      </c>
      <c r="AL232" s="125">
        <f>IF($F$3="NO",0,IF(Valores!$C$62*B232&gt;Valores!$F$62,Valores!$F$62,Valores!$C$62*B232))</f>
        <v>34.0677</v>
      </c>
      <c r="AM232" s="125">
        <f t="shared" si="32"/>
        <v>3034.0677</v>
      </c>
      <c r="AN232" s="125">
        <f>AH232*Valores!$C$71</f>
        <v>-2244.4652999999994</v>
      </c>
      <c r="AO232" s="125">
        <f>AH232*-Valores!$C$72</f>
        <v>0</v>
      </c>
      <c r="AP232" s="125">
        <f>AH232*Valores!$C$73</f>
        <v>-918.1903499999997</v>
      </c>
      <c r="AQ232" s="125">
        <f>Valores!$C$100</f>
        <v>-280.91</v>
      </c>
      <c r="AR232" s="125">
        <f>IF($F$5=0,Valores!$C$101,(Valores!$C$101+$F$5*(Valores!$C$101)))</f>
        <v>-385</v>
      </c>
      <c r="AS232" s="125">
        <f t="shared" si="35"/>
        <v>19609.73205</v>
      </c>
      <c r="AT232" s="125">
        <f t="shared" si="29"/>
        <v>-2244.4652999999994</v>
      </c>
      <c r="AU232" s="125">
        <f>AH232*Valores!$C$74</f>
        <v>-550.9142099999999</v>
      </c>
      <c r="AV232" s="125">
        <f>AH232*Valores!$C$75</f>
        <v>-61.21268999999999</v>
      </c>
      <c r="AW232" s="125">
        <f t="shared" si="33"/>
        <v>20581.705499999996</v>
      </c>
      <c r="AX232" s="126"/>
      <c r="AY232" s="126">
        <f t="shared" si="37"/>
        <v>3</v>
      </c>
      <c r="AZ232" s="123" t="s">
        <v>4</v>
      </c>
    </row>
    <row r="233" spans="1:52" s="110" customFormat="1" ht="11.25" customHeight="1">
      <c r="A233" s="123" t="s">
        <v>471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38"/>
        <v>316</v>
      </c>
      <c r="F233" s="125">
        <f>ROUND(E233*Valores!$C$2,2)</f>
        <v>8570.3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1749.8</v>
      </c>
      <c r="N233" s="125">
        <f t="shared" si="30"/>
        <v>0</v>
      </c>
      <c r="O233" s="125">
        <f>Valores!$C$7*B233</f>
        <v>3679.04</v>
      </c>
      <c r="P233" s="125">
        <f>ROUND(IF(B233&lt;15,(Valores!$E$5*B233),Valores!$D$5),2)</f>
        <v>3697.16</v>
      </c>
      <c r="Q233" s="125">
        <v>0</v>
      </c>
      <c r="R233" s="125">
        <f>IF($F$4="NO",Valores!$C$49*B233,Valores!$C$49*B233/2)</f>
        <v>1937.92</v>
      </c>
      <c r="S233" s="125">
        <f>Valores!$C$18*B233</f>
        <v>1157.12</v>
      </c>
      <c r="T233" s="125">
        <f t="shared" si="36"/>
        <v>1157.12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IF(Valores!$C$97*B233&gt;Valores!$C$96,Valores!$C$96,Valores!$C$97*B233)</f>
        <v>1119.76</v>
      </c>
      <c r="AA233" s="125">
        <f>IF((Valores!$C$28)*B233&gt;Valores!$F$28,Valores!$F$28,(Valores!$C$28)*B233)</f>
        <v>90.88</v>
      </c>
      <c r="AB233" s="214">
        <v>0</v>
      </c>
      <c r="AC233" s="125">
        <f t="shared" si="31"/>
        <v>0</v>
      </c>
      <c r="AD233" s="125">
        <f>IF(Valores!$C$29*B233&gt;Valores!$F$29,Valores!$F$29,Valores!$C$29*B233)</f>
        <v>75.68</v>
      </c>
      <c r="AE233" s="192">
        <v>0</v>
      </c>
      <c r="AF233" s="125">
        <f>ROUND(AE233*Valores!$C$2,2)</f>
        <v>0</v>
      </c>
      <c r="AG233" s="125">
        <f>IF($F$4="NO",IF(Valores!$D$63*'Escala Docente'!B233&gt;Valores!$F$63,Valores!$F$63,Valores!$D$63*'Escala Docente'!B233),IF(Valores!$D$63*'Escala Docente'!B233&gt;Valores!$F$63,Valores!$F$63,Valores!$D$63*'Escala Docente'!B233)/2)</f>
        <v>1728.8</v>
      </c>
      <c r="AH233" s="125">
        <f t="shared" si="34"/>
        <v>23806.46</v>
      </c>
      <c r="AI233" s="125">
        <f>IF(Valores!$C$32*B233&gt;Valores!$F$32,Valores!$F$32,Valores!$C$32*B233)</f>
        <v>0</v>
      </c>
      <c r="AJ233" s="125">
        <f>IF(Valores!$C$90*B233&gt;Valores!$C$89,Valores!$C$89,Valores!$C$90*B233)</f>
        <v>0</v>
      </c>
      <c r="AK233" s="125">
        <f>IF(Valores!C$39*B233&gt;Valores!F$38,Valores!F$38,Valores!C$39*B233)</f>
        <v>4000</v>
      </c>
      <c r="AL233" s="125">
        <f>IF($F$3="NO",0,IF(Valores!$C$62*B233&gt;Valores!$F$62,Valores!$F$62,Valores!$C$62*B233))</f>
        <v>45.4236</v>
      </c>
      <c r="AM233" s="125">
        <f t="shared" si="32"/>
        <v>4045.4236</v>
      </c>
      <c r="AN233" s="125">
        <f>AH233*Valores!$C$71</f>
        <v>-2618.7106</v>
      </c>
      <c r="AO233" s="125">
        <f>AH233*-Valores!$C$72</f>
        <v>0</v>
      </c>
      <c r="AP233" s="125">
        <f>AH233*Valores!$C$73</f>
        <v>-1071.2907</v>
      </c>
      <c r="AQ233" s="125">
        <f>Valores!$C$100</f>
        <v>-280.91</v>
      </c>
      <c r="AR233" s="125">
        <f>IF($F$5=0,Valores!$C$101,(Valores!$C$101+$F$5*(Valores!$C$101)))</f>
        <v>-385</v>
      </c>
      <c r="AS233" s="125">
        <f t="shared" si="35"/>
        <v>23495.972299999998</v>
      </c>
      <c r="AT233" s="125">
        <f t="shared" si="29"/>
        <v>-2618.7106</v>
      </c>
      <c r="AU233" s="125">
        <f>AH233*Valores!$C$74</f>
        <v>-642.77442</v>
      </c>
      <c r="AV233" s="125">
        <f>AH233*Valores!$C$75</f>
        <v>-71.41938</v>
      </c>
      <c r="AW233" s="125">
        <f t="shared" si="33"/>
        <v>24518.9792</v>
      </c>
      <c r="AX233" s="126"/>
      <c r="AY233" s="126">
        <f t="shared" si="37"/>
        <v>4</v>
      </c>
      <c r="AZ233" s="123" t="s">
        <v>4</v>
      </c>
    </row>
    <row r="234" spans="1:52" s="110" customFormat="1" ht="11.25" customHeight="1">
      <c r="A234" s="123" t="s">
        <v>471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38"/>
        <v>316</v>
      </c>
      <c r="F234" s="125">
        <f>ROUND(E234*Valores!$C$2,2)</f>
        <v>8570.3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1749.8</v>
      </c>
      <c r="N234" s="125">
        <f t="shared" si="30"/>
        <v>0</v>
      </c>
      <c r="O234" s="125">
        <f>Valores!$C$7*B234</f>
        <v>3679.04</v>
      </c>
      <c r="P234" s="125">
        <f>ROUND(IF(B234&lt;15,(Valores!$E$5*B234),Valores!$D$5),2)</f>
        <v>3697.16</v>
      </c>
      <c r="Q234" s="125">
        <v>0</v>
      </c>
      <c r="R234" s="125">
        <f>IF($F$4="NO",Valores!$C$49*B234,Valores!$C$49*B234/2)</f>
        <v>1937.92</v>
      </c>
      <c r="S234" s="125">
        <f>Valores!$C$18*B234</f>
        <v>1157.12</v>
      </c>
      <c r="T234" s="125">
        <f t="shared" si="36"/>
        <v>1157.12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IF(Valores!$C$97*B234&gt;Valores!$C$96,Valores!$C$96,Valores!$C$97*B234)</f>
        <v>1119.76</v>
      </c>
      <c r="AA234" s="125">
        <f>IF((Valores!$C$28)*B234&gt;Valores!$F$28,Valores!$F$28,(Valores!$C$28)*B234)</f>
        <v>90.88</v>
      </c>
      <c r="AB234" s="214">
        <v>0</v>
      </c>
      <c r="AC234" s="125">
        <f t="shared" si="31"/>
        <v>0</v>
      </c>
      <c r="AD234" s="125">
        <f>IF(Valores!$C$29*B234&gt;Valores!$F$29,Valores!$F$29,Valores!$C$29*B234)</f>
        <v>75.68</v>
      </c>
      <c r="AE234" s="192">
        <v>94</v>
      </c>
      <c r="AF234" s="125">
        <f>ROUND(AE234*Valores!$C$2,2)</f>
        <v>2549.39</v>
      </c>
      <c r="AG234" s="125">
        <f>IF($F$4="NO",IF(Valores!$D$63*'Escala Docente'!B234&gt;Valores!$F$63,Valores!$F$63,Valores!$D$63*'Escala Docente'!B234),IF(Valores!$D$63*'Escala Docente'!B234&gt;Valores!$F$63,Valores!$F$63,Valores!$D$63*'Escala Docente'!B234)/2)</f>
        <v>1728.8</v>
      </c>
      <c r="AH234" s="125">
        <f t="shared" si="34"/>
        <v>26355.85</v>
      </c>
      <c r="AI234" s="125">
        <f>IF(Valores!$C$32*B234&gt;Valores!$F$32,Valores!$F$32,Valores!$C$32*B234)</f>
        <v>0</v>
      </c>
      <c r="AJ234" s="125">
        <f>IF(Valores!$C$90*B234&gt;Valores!$C$89,Valores!$C$89,Valores!$C$90*B234)</f>
        <v>0</v>
      </c>
      <c r="AK234" s="125">
        <f>IF(Valores!C$39*B234&gt;Valores!F$38,Valores!F$38,Valores!C$39*B234)</f>
        <v>4000</v>
      </c>
      <c r="AL234" s="125">
        <f>IF($F$3="NO",0,IF(Valores!$C$62*B234&gt;Valores!$F$62,Valores!$F$62,Valores!$C$62*B234))</f>
        <v>45.4236</v>
      </c>
      <c r="AM234" s="125">
        <f t="shared" si="32"/>
        <v>4045.4236</v>
      </c>
      <c r="AN234" s="125">
        <f>AH234*Valores!$C$71</f>
        <v>-2899.1434999999997</v>
      </c>
      <c r="AO234" s="125">
        <f>AH234*-Valores!$C$72</f>
        <v>0</v>
      </c>
      <c r="AP234" s="125">
        <f>AH234*Valores!$C$73</f>
        <v>-1186.01325</v>
      </c>
      <c r="AQ234" s="125">
        <f>Valores!$C$100</f>
        <v>-280.91</v>
      </c>
      <c r="AR234" s="125">
        <f>IF($F$5=0,Valores!$C$101,(Valores!$C$101+$F$5*(Valores!$C$101)))</f>
        <v>-385</v>
      </c>
      <c r="AS234" s="125">
        <f t="shared" si="35"/>
        <v>25650.20685</v>
      </c>
      <c r="AT234" s="125">
        <f t="shared" si="29"/>
        <v>-2899.1434999999997</v>
      </c>
      <c r="AU234" s="125">
        <f>AH234*Valores!$C$74</f>
        <v>-711.60795</v>
      </c>
      <c r="AV234" s="125">
        <f>AH234*Valores!$C$75</f>
        <v>-79.06755</v>
      </c>
      <c r="AW234" s="125">
        <f t="shared" si="33"/>
        <v>26711.4546</v>
      </c>
      <c r="AX234" s="126"/>
      <c r="AY234" s="126">
        <f t="shared" si="37"/>
        <v>4</v>
      </c>
      <c r="AZ234" s="123" t="s">
        <v>4</v>
      </c>
    </row>
    <row r="235" spans="1:52" s="110" customFormat="1" ht="11.25" customHeight="1">
      <c r="A235" s="123" t="s">
        <v>471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38"/>
        <v>395</v>
      </c>
      <c r="F235" s="125">
        <f>ROUND(E235*Valores!$C$2,2)</f>
        <v>10712.87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2187.25</v>
      </c>
      <c r="N235" s="125">
        <f t="shared" si="30"/>
        <v>0</v>
      </c>
      <c r="O235" s="125">
        <f>Valores!$C$7*B235</f>
        <v>4598.8</v>
      </c>
      <c r="P235" s="125">
        <f>ROUND(IF(B235&lt;15,(Valores!$E$5*B235),Valores!$D$5),2)</f>
        <v>4621.45</v>
      </c>
      <c r="Q235" s="125">
        <v>0</v>
      </c>
      <c r="R235" s="125">
        <f>IF($F$4="NO",Valores!$C$49*B235,Valores!$C$49*B235/2)</f>
        <v>2422.4</v>
      </c>
      <c r="S235" s="125">
        <f>Valores!$C$18*B235</f>
        <v>1446.3999999999999</v>
      </c>
      <c r="T235" s="125">
        <f t="shared" si="36"/>
        <v>1446.4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IF(Valores!$C$97*B235&gt;Valores!$C$96,Valores!$C$96,Valores!$C$97*B235)</f>
        <v>1399.7</v>
      </c>
      <c r="AA235" s="125">
        <f>IF((Valores!$C$28)*B235&gt;Valores!$F$28,Valores!$F$28,(Valores!$C$28)*B235)</f>
        <v>113.6</v>
      </c>
      <c r="AB235" s="214">
        <v>0</v>
      </c>
      <c r="AC235" s="125">
        <f t="shared" si="31"/>
        <v>0</v>
      </c>
      <c r="AD235" s="125">
        <f>IF(Valores!$C$29*B235&gt;Valores!$F$29,Valores!$F$29,Valores!$C$29*B235)</f>
        <v>94.60000000000001</v>
      </c>
      <c r="AE235" s="192">
        <v>0</v>
      </c>
      <c r="AF235" s="125">
        <f>ROUND(AE235*Valores!$C$2,2)</f>
        <v>0</v>
      </c>
      <c r="AG235" s="125">
        <f>IF($F$4="NO",IF(Valores!$D$63*'Escala Docente'!B235&gt;Valores!$F$63,Valores!$F$63,Valores!$D$63*'Escala Docente'!B235),IF(Valores!$D$63*'Escala Docente'!B235&gt;Valores!$F$63,Valores!$F$63,Valores!$D$63*'Escala Docente'!B235)/2)</f>
        <v>2161</v>
      </c>
      <c r="AH235" s="125">
        <f t="shared" si="34"/>
        <v>29758.070000000003</v>
      </c>
      <c r="AI235" s="125">
        <f>IF(Valores!$C$32*B235&gt;Valores!$F$32,Valores!$F$32,Valores!$C$32*B235)</f>
        <v>0</v>
      </c>
      <c r="AJ235" s="125">
        <f>IF(Valores!$C$90*B235&gt;Valores!$C$89,Valores!$C$89,Valores!$C$90*B235)</f>
        <v>0</v>
      </c>
      <c r="AK235" s="125">
        <f>IF(Valores!C$39*B235&gt;Valores!F$38,Valores!F$38,Valores!C$39*B235)</f>
        <v>5000</v>
      </c>
      <c r="AL235" s="125">
        <f>IF($F$3="NO",0,IF(Valores!$C$62*B235&gt;Valores!$F$62,Valores!$F$62,Valores!$C$62*B235))</f>
        <v>56.7795</v>
      </c>
      <c r="AM235" s="125">
        <f t="shared" si="32"/>
        <v>5056.7795</v>
      </c>
      <c r="AN235" s="125">
        <f>AH235*Valores!$C$71</f>
        <v>-3273.3877</v>
      </c>
      <c r="AO235" s="125">
        <f>AH235*-Valores!$C$72</f>
        <v>0</v>
      </c>
      <c r="AP235" s="125">
        <f>AH235*Valores!$C$73</f>
        <v>-1339.1131500000001</v>
      </c>
      <c r="AQ235" s="125">
        <f>Valores!$C$100</f>
        <v>-280.91</v>
      </c>
      <c r="AR235" s="125">
        <f>IF($F$5=0,Valores!$C$101,(Valores!$C$101+$F$5*(Valores!$C$101)))</f>
        <v>-385</v>
      </c>
      <c r="AS235" s="125">
        <f t="shared" si="35"/>
        <v>29536.438650000004</v>
      </c>
      <c r="AT235" s="125">
        <f t="shared" si="29"/>
        <v>-3273.3877</v>
      </c>
      <c r="AU235" s="125">
        <f>AH235*Valores!$C$74</f>
        <v>-803.4678900000001</v>
      </c>
      <c r="AV235" s="125">
        <f>AH235*Valores!$C$75</f>
        <v>-89.27421000000001</v>
      </c>
      <c r="AW235" s="125">
        <f t="shared" si="33"/>
        <v>30648.719700000005</v>
      </c>
      <c r="AX235" s="126"/>
      <c r="AY235" s="126">
        <f t="shared" si="37"/>
        <v>5</v>
      </c>
      <c r="AZ235" s="123" t="s">
        <v>4</v>
      </c>
    </row>
    <row r="236" spans="1:52" s="110" customFormat="1" ht="11.25" customHeight="1">
      <c r="A236" s="123" t="s">
        <v>471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38"/>
        <v>395</v>
      </c>
      <c r="F236" s="125">
        <f>ROUND(E236*Valores!$C$2,2)</f>
        <v>10712.87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2187.25</v>
      </c>
      <c r="N236" s="125">
        <f t="shared" si="30"/>
        <v>0</v>
      </c>
      <c r="O236" s="125">
        <f>Valores!$C$7*B236</f>
        <v>4598.8</v>
      </c>
      <c r="P236" s="125">
        <f>ROUND(IF(B236&lt;15,(Valores!$E$5*B236),Valores!$D$5),2)</f>
        <v>4621.45</v>
      </c>
      <c r="Q236" s="125">
        <v>0</v>
      </c>
      <c r="R236" s="125">
        <f>IF($F$4="NO",Valores!$C$49*B236,Valores!$C$49*B236/2)</f>
        <v>2422.4</v>
      </c>
      <c r="S236" s="125">
        <f>Valores!$C$18*B236</f>
        <v>1446.3999999999999</v>
      </c>
      <c r="T236" s="125">
        <f t="shared" si="36"/>
        <v>1446.4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IF(Valores!$C$97*B236&gt;Valores!$C$96,Valores!$C$96,Valores!$C$97*B236)</f>
        <v>1399.7</v>
      </c>
      <c r="AA236" s="125">
        <f>IF((Valores!$C$28)*B236&gt;Valores!$F$28,Valores!$F$28,(Valores!$C$28)*B236)</f>
        <v>113.6</v>
      </c>
      <c r="AB236" s="214">
        <v>0</v>
      </c>
      <c r="AC236" s="125">
        <f t="shared" si="31"/>
        <v>0</v>
      </c>
      <c r="AD236" s="125">
        <f>IF(Valores!$C$29*B236&gt;Valores!$F$29,Valores!$F$29,Valores!$C$29*B236)</f>
        <v>94.60000000000001</v>
      </c>
      <c r="AE236" s="192">
        <v>94</v>
      </c>
      <c r="AF236" s="125">
        <f>ROUND(AE236*Valores!$C$2,2)</f>
        <v>2549.39</v>
      </c>
      <c r="AG236" s="125">
        <f>IF($F$4="NO",IF(Valores!$D$63*'Escala Docente'!B236&gt;Valores!$F$63,Valores!$F$63,Valores!$D$63*'Escala Docente'!B236),IF(Valores!$D$63*'Escala Docente'!B236&gt;Valores!$F$63,Valores!$F$63,Valores!$D$63*'Escala Docente'!B236)/2)</f>
        <v>2161</v>
      </c>
      <c r="AH236" s="125">
        <f t="shared" si="34"/>
        <v>32307.460000000003</v>
      </c>
      <c r="AI236" s="125">
        <f>IF(Valores!$C$32*B236&gt;Valores!$F$32,Valores!$F$32,Valores!$C$32*B236)</f>
        <v>0</v>
      </c>
      <c r="AJ236" s="125">
        <f>IF(Valores!$C$90*B236&gt;Valores!$C$89,Valores!$C$89,Valores!$C$90*B236)</f>
        <v>0</v>
      </c>
      <c r="AK236" s="125">
        <f>IF(Valores!C$39*B236&gt;Valores!F$38,Valores!F$38,Valores!C$39*B236)</f>
        <v>5000</v>
      </c>
      <c r="AL236" s="125">
        <f>IF($F$3="NO",0,IF(Valores!$C$62*B236&gt;Valores!$F$62,Valores!$F$62,Valores!$C$62*B236))</f>
        <v>56.7795</v>
      </c>
      <c r="AM236" s="125">
        <f t="shared" si="32"/>
        <v>5056.7795</v>
      </c>
      <c r="AN236" s="125">
        <f>AH236*Valores!$C$71</f>
        <v>-3553.8206000000005</v>
      </c>
      <c r="AO236" s="125">
        <f>AH236*-Valores!$C$72</f>
        <v>0</v>
      </c>
      <c r="AP236" s="125">
        <f>AH236*Valores!$C$73</f>
        <v>-1453.8357</v>
      </c>
      <c r="AQ236" s="125">
        <f>Valores!$C$100</f>
        <v>-280.91</v>
      </c>
      <c r="AR236" s="125">
        <f>IF($F$5=0,Valores!$C$101,(Valores!$C$101+$F$5*(Valores!$C$101)))</f>
        <v>-385</v>
      </c>
      <c r="AS236" s="125">
        <f t="shared" si="35"/>
        <v>31690.6732</v>
      </c>
      <c r="AT236" s="125">
        <f t="shared" si="29"/>
        <v>-3553.8206000000005</v>
      </c>
      <c r="AU236" s="125">
        <f>AH236*Valores!$C$74</f>
        <v>-872.3014200000001</v>
      </c>
      <c r="AV236" s="125">
        <f>AH236*Valores!$C$75</f>
        <v>-96.92238</v>
      </c>
      <c r="AW236" s="125">
        <f t="shared" si="33"/>
        <v>32841.195100000004</v>
      </c>
      <c r="AX236" s="126"/>
      <c r="AY236" s="126">
        <f t="shared" si="37"/>
        <v>5</v>
      </c>
      <c r="AZ236" s="123" t="s">
        <v>4</v>
      </c>
    </row>
    <row r="237" spans="1:52" s="110" customFormat="1" ht="11.25" customHeight="1">
      <c r="A237" s="123" t="s">
        <v>471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38"/>
        <v>474</v>
      </c>
      <c r="F237" s="125">
        <f>ROUND(E237*Valores!$C$2,2)</f>
        <v>12855.45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2624.7</v>
      </c>
      <c r="N237" s="125">
        <f t="shared" si="30"/>
        <v>0</v>
      </c>
      <c r="O237" s="125">
        <f>Valores!$C$7*B237</f>
        <v>5518.5599999999995</v>
      </c>
      <c r="P237" s="125">
        <f>ROUND(IF(B237&lt;15,(Valores!$E$5*B237),Valores!$D$5),2)</f>
        <v>5545.74</v>
      </c>
      <c r="Q237" s="125">
        <v>0</v>
      </c>
      <c r="R237" s="125">
        <f>IF($F$4="NO",Valores!$C$49*B237,Valores!$C$49*B237/2)</f>
        <v>2906.88</v>
      </c>
      <c r="S237" s="125">
        <f>Valores!$C$18*B237</f>
        <v>1735.6799999999998</v>
      </c>
      <c r="T237" s="125">
        <f t="shared" si="36"/>
        <v>1735.68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IF(Valores!$C$97*B237&gt;Valores!$C$96,Valores!$C$96,Valores!$C$97*B237)</f>
        <v>1679.6399999999999</v>
      </c>
      <c r="AA237" s="125">
        <f>IF((Valores!$C$28)*B237&gt;Valores!$F$28,Valores!$F$28,(Valores!$C$28)*B237)</f>
        <v>136.32</v>
      </c>
      <c r="AB237" s="214">
        <v>0</v>
      </c>
      <c r="AC237" s="125">
        <f t="shared" si="31"/>
        <v>0</v>
      </c>
      <c r="AD237" s="125">
        <f>IF(Valores!$C$29*B237&gt;Valores!$F$29,Valores!$F$29,Valores!$C$29*B237)</f>
        <v>113.52000000000001</v>
      </c>
      <c r="AE237" s="192">
        <v>0</v>
      </c>
      <c r="AF237" s="125">
        <f>ROUND(AE237*Valores!$C$2,2)</f>
        <v>0</v>
      </c>
      <c r="AG237" s="125">
        <f>IF($F$4="NO",IF(Valores!$D$63*'Escala Docente'!B237&gt;Valores!$F$63,Valores!$F$63,Valores!$D$63*'Escala Docente'!B237),IF(Valores!$D$63*'Escala Docente'!B237&gt;Valores!$F$63,Valores!$F$63,Valores!$D$63*'Escala Docente'!B237)/2)</f>
        <v>2593.2</v>
      </c>
      <c r="AH237" s="125">
        <f t="shared" si="34"/>
        <v>35709.689999999995</v>
      </c>
      <c r="AI237" s="125">
        <f>IF(Valores!$C$32*B237&gt;Valores!$F$32,Valores!$F$32,Valores!$C$32*B237)</f>
        <v>0</v>
      </c>
      <c r="AJ237" s="125">
        <f>IF(Valores!$C$90*B237&gt;Valores!$C$89,Valores!$C$89,Valores!$C$90*B237)</f>
        <v>0</v>
      </c>
      <c r="AK237" s="125">
        <f>IF(Valores!C$39*B237&gt;Valores!F$38,Valores!F$38,Valores!C$39*B237)</f>
        <v>6000</v>
      </c>
      <c r="AL237" s="125">
        <f>IF($F$3="NO",0,IF(Valores!$C$62*B237&gt;Valores!$F$62,Valores!$F$62,Valores!$C$62*B237))</f>
        <v>68.1354</v>
      </c>
      <c r="AM237" s="125">
        <f t="shared" si="32"/>
        <v>6068.1354</v>
      </c>
      <c r="AN237" s="125">
        <f>AH237*Valores!$C$71</f>
        <v>-3928.0658999999996</v>
      </c>
      <c r="AO237" s="125">
        <f>AH237*-Valores!$C$72</f>
        <v>0</v>
      </c>
      <c r="AP237" s="125">
        <f>AH237*Valores!$C$73</f>
        <v>-1606.9360499999998</v>
      </c>
      <c r="AQ237" s="125">
        <f>Valores!$C$100</f>
        <v>-280.91</v>
      </c>
      <c r="AR237" s="125">
        <f>IF($F$5=0,Valores!$C$101,(Valores!$C$101+$F$5*(Valores!$C$101)))</f>
        <v>-385</v>
      </c>
      <c r="AS237" s="125">
        <f t="shared" si="35"/>
        <v>35576.91344999999</v>
      </c>
      <c r="AT237" s="125">
        <f t="shared" si="29"/>
        <v>-3928.0658999999996</v>
      </c>
      <c r="AU237" s="125">
        <f>AH237*Valores!$C$74</f>
        <v>-964.1616299999998</v>
      </c>
      <c r="AV237" s="125">
        <f>AH237*Valores!$C$75</f>
        <v>-107.12906999999998</v>
      </c>
      <c r="AW237" s="125">
        <f t="shared" si="33"/>
        <v>36778.468799999995</v>
      </c>
      <c r="AX237" s="126"/>
      <c r="AY237" s="126">
        <f t="shared" si="37"/>
        <v>6</v>
      </c>
      <c r="AZ237" s="123" t="s">
        <v>4</v>
      </c>
    </row>
    <row r="238" spans="1:52" s="110" customFormat="1" ht="11.25" customHeight="1">
      <c r="A238" s="123" t="s">
        <v>471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38"/>
        <v>474</v>
      </c>
      <c r="F238" s="125">
        <f>ROUND(E238*Valores!$C$2,2)</f>
        <v>12855.45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2624.7</v>
      </c>
      <c r="N238" s="125">
        <f t="shared" si="30"/>
        <v>0</v>
      </c>
      <c r="O238" s="125">
        <f>Valores!$C$7*B238</f>
        <v>5518.5599999999995</v>
      </c>
      <c r="P238" s="125">
        <f>ROUND(IF(B238&lt;15,(Valores!$E$5*B238),Valores!$D$5),2)</f>
        <v>5545.74</v>
      </c>
      <c r="Q238" s="125">
        <v>0</v>
      </c>
      <c r="R238" s="125">
        <f>IF($F$4="NO",Valores!$C$49*B238,Valores!$C$49*B238/2)</f>
        <v>2906.88</v>
      </c>
      <c r="S238" s="125">
        <f>Valores!$C$18*B238</f>
        <v>1735.6799999999998</v>
      </c>
      <c r="T238" s="125">
        <f t="shared" si="36"/>
        <v>1735.68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IF(Valores!$C$97*B238&gt;Valores!$C$96,Valores!$C$96,Valores!$C$97*B238)</f>
        <v>1679.6399999999999</v>
      </c>
      <c r="AA238" s="125">
        <f>IF((Valores!$C$28)*B238&gt;Valores!$F$28,Valores!$F$28,(Valores!$C$28)*B238)</f>
        <v>136.32</v>
      </c>
      <c r="AB238" s="214">
        <v>0</v>
      </c>
      <c r="AC238" s="125">
        <f t="shared" si="31"/>
        <v>0</v>
      </c>
      <c r="AD238" s="125">
        <f>IF(Valores!$C$29*B238&gt;Valores!$F$29,Valores!$F$29,Valores!$C$29*B238)</f>
        <v>113.52000000000001</v>
      </c>
      <c r="AE238" s="192">
        <v>94</v>
      </c>
      <c r="AF238" s="125">
        <f>ROUND(AE238*Valores!$C$2,2)</f>
        <v>2549.39</v>
      </c>
      <c r="AG238" s="125">
        <f>IF($F$4="NO",IF(Valores!$D$63*'Escala Docente'!B238&gt;Valores!$F$63,Valores!$F$63,Valores!$D$63*'Escala Docente'!B238),IF(Valores!$D$63*'Escala Docente'!B238&gt;Valores!$F$63,Valores!$F$63,Valores!$D$63*'Escala Docente'!B238)/2)</f>
        <v>2593.2</v>
      </c>
      <c r="AH238" s="125">
        <f t="shared" si="34"/>
        <v>38259.079999999994</v>
      </c>
      <c r="AI238" s="125">
        <f>IF(Valores!$C$32*B238&gt;Valores!$F$32,Valores!$F$32,Valores!$C$32*B238)</f>
        <v>0</v>
      </c>
      <c r="AJ238" s="125">
        <f>IF(Valores!$C$90*B238&gt;Valores!$C$89,Valores!$C$89,Valores!$C$90*B238)</f>
        <v>0</v>
      </c>
      <c r="AK238" s="125">
        <f>IF(Valores!C$39*B238&gt;Valores!F$38,Valores!F$38,Valores!C$39*B238)</f>
        <v>6000</v>
      </c>
      <c r="AL238" s="125">
        <f>IF($F$3="NO",0,IF(Valores!$C$62*B238&gt;Valores!$F$62,Valores!$F$62,Valores!$C$62*B238))</f>
        <v>68.1354</v>
      </c>
      <c r="AM238" s="125">
        <f t="shared" si="32"/>
        <v>6068.1354</v>
      </c>
      <c r="AN238" s="125">
        <f>AH238*Valores!$C$71</f>
        <v>-4208.498799999999</v>
      </c>
      <c r="AO238" s="125">
        <f>AH238*-Valores!$C$72</f>
        <v>0</v>
      </c>
      <c r="AP238" s="125">
        <f>AH238*Valores!$C$73</f>
        <v>-1721.6585999999998</v>
      </c>
      <c r="AQ238" s="125">
        <f>Valores!$C$100</f>
        <v>-280.91</v>
      </c>
      <c r="AR238" s="125">
        <f>IF($F$5=0,Valores!$C$101,(Valores!$C$101+$F$5*(Valores!$C$101)))</f>
        <v>-385</v>
      </c>
      <c r="AS238" s="125">
        <f t="shared" si="35"/>
        <v>37731.147999999994</v>
      </c>
      <c r="AT238" s="125">
        <f t="shared" si="29"/>
        <v>-4208.498799999999</v>
      </c>
      <c r="AU238" s="125">
        <f>AH238*Valores!$C$74</f>
        <v>-1032.99516</v>
      </c>
      <c r="AV238" s="125">
        <f>AH238*Valores!$C$75</f>
        <v>-114.77723999999999</v>
      </c>
      <c r="AW238" s="125">
        <f t="shared" si="33"/>
        <v>38970.94419999999</v>
      </c>
      <c r="AX238" s="126"/>
      <c r="AY238" s="126">
        <f t="shared" si="37"/>
        <v>6</v>
      </c>
      <c r="AZ238" s="123" t="s">
        <v>4</v>
      </c>
    </row>
    <row r="239" spans="1:52" s="110" customFormat="1" ht="11.25" customHeight="1">
      <c r="A239" s="123" t="s">
        <v>471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38"/>
        <v>553</v>
      </c>
      <c r="F239" s="125">
        <f>ROUND(E239*Valores!$C$2,2)</f>
        <v>14998.02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3062.15</v>
      </c>
      <c r="N239" s="125">
        <f t="shared" si="30"/>
        <v>0</v>
      </c>
      <c r="O239" s="125">
        <f>Valores!$C$7*B239</f>
        <v>6438.32</v>
      </c>
      <c r="P239" s="125">
        <f>ROUND(IF(B239&lt;15,(Valores!$E$5*B239),Valores!$D$5),2)</f>
        <v>6470.03</v>
      </c>
      <c r="Q239" s="125">
        <v>0</v>
      </c>
      <c r="R239" s="125">
        <f>IF($F$4="NO",Valores!$C$49*B239,Valores!$C$49*B239/2)</f>
        <v>3391.36</v>
      </c>
      <c r="S239" s="125">
        <f>Valores!$C$18*B239</f>
        <v>2024.9599999999998</v>
      </c>
      <c r="T239" s="125">
        <f t="shared" si="36"/>
        <v>2024.96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IF(Valores!$C$97*B239&gt;Valores!$C$96,Valores!$C$96,Valores!$C$97*B239)</f>
        <v>1959.58</v>
      </c>
      <c r="AA239" s="125">
        <f>IF((Valores!$C$28)*B239&gt;Valores!$F$28,Valores!$F$28,(Valores!$C$28)*B239)</f>
        <v>159.04</v>
      </c>
      <c r="AB239" s="214">
        <v>0</v>
      </c>
      <c r="AC239" s="125">
        <f t="shared" si="31"/>
        <v>0</v>
      </c>
      <c r="AD239" s="125">
        <f>IF(Valores!$C$29*B239&gt;Valores!$F$29,Valores!$F$29,Valores!$C$29*B239)</f>
        <v>132.44</v>
      </c>
      <c r="AE239" s="192">
        <v>0</v>
      </c>
      <c r="AF239" s="125">
        <f>ROUND(AE239*Valores!$C$2,2)</f>
        <v>0</v>
      </c>
      <c r="AG239" s="125">
        <f>IF($F$4="NO",IF(Valores!$D$63*'Escala Docente'!B239&gt;Valores!$F$63,Valores!$F$63,Valores!$D$63*'Escala Docente'!B239),IF(Valores!$D$63*'Escala Docente'!B239&gt;Valores!$F$63,Valores!$F$63,Valores!$D$63*'Escala Docente'!B239)/2)</f>
        <v>3025.4</v>
      </c>
      <c r="AH239" s="125">
        <f t="shared" si="34"/>
        <v>41661.3</v>
      </c>
      <c r="AI239" s="125">
        <f>IF(Valores!$C$32*B239&gt;Valores!$F$32,Valores!$F$32,Valores!$C$32*B239)</f>
        <v>0</v>
      </c>
      <c r="AJ239" s="125">
        <f>IF(Valores!$C$90*B239&gt;Valores!$C$89,Valores!$C$89,Valores!$C$90*B239)</f>
        <v>0</v>
      </c>
      <c r="AK239" s="125">
        <f>IF(Valores!C$39*B239&gt;Valores!F$38,Valores!F$38,Valores!C$39*B239)</f>
        <v>7000</v>
      </c>
      <c r="AL239" s="125">
        <f>IF($F$3="NO",0,IF(Valores!$C$62*B239&gt;Valores!$F$62,Valores!$F$62,Valores!$C$62*B239))</f>
        <v>79.4913</v>
      </c>
      <c r="AM239" s="125">
        <f t="shared" si="32"/>
        <v>7079.4913</v>
      </c>
      <c r="AN239" s="125">
        <f>AH239*Valores!$C$71</f>
        <v>-4582.743</v>
      </c>
      <c r="AO239" s="125">
        <f>AH239*-Valores!$C$72</f>
        <v>0</v>
      </c>
      <c r="AP239" s="125">
        <f>AH239*Valores!$C$73</f>
        <v>-1874.7585000000001</v>
      </c>
      <c r="AQ239" s="125">
        <f>Valores!$C$100</f>
        <v>-280.91</v>
      </c>
      <c r="AR239" s="125">
        <f>IF($F$5=0,Valores!$C$101,(Valores!$C$101+$F$5*(Valores!$C$101)))</f>
        <v>-385</v>
      </c>
      <c r="AS239" s="125">
        <f t="shared" si="35"/>
        <v>41617.3798</v>
      </c>
      <c r="AT239" s="125">
        <f t="shared" si="29"/>
        <v>-4582.743</v>
      </c>
      <c r="AU239" s="125">
        <f>AH239*Valores!$C$74</f>
        <v>-1124.8551</v>
      </c>
      <c r="AV239" s="125">
        <f>AH239*Valores!$C$75</f>
        <v>-124.9839</v>
      </c>
      <c r="AW239" s="125">
        <f t="shared" si="33"/>
        <v>42908.2093</v>
      </c>
      <c r="AX239" s="126"/>
      <c r="AY239" s="126">
        <f t="shared" si="37"/>
        <v>7</v>
      </c>
      <c r="AZ239" s="123" t="s">
        <v>4</v>
      </c>
    </row>
    <row r="240" spans="1:52" s="110" customFormat="1" ht="11.25" customHeight="1">
      <c r="A240" s="123" t="s">
        <v>471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38"/>
        <v>553</v>
      </c>
      <c r="F240" s="125">
        <f>ROUND(E240*Valores!$C$2,2)</f>
        <v>14998.02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3062.15</v>
      </c>
      <c r="N240" s="125">
        <f t="shared" si="30"/>
        <v>0</v>
      </c>
      <c r="O240" s="125">
        <f>Valores!$C$7*B240</f>
        <v>6438.32</v>
      </c>
      <c r="P240" s="125">
        <f>ROUND(IF(B240&lt;15,(Valores!$E$5*B240),Valores!$D$5),2)</f>
        <v>6470.03</v>
      </c>
      <c r="Q240" s="125">
        <v>0</v>
      </c>
      <c r="R240" s="125">
        <f>IF($F$4="NO",Valores!$C$49*B240,Valores!$C$49*B240/2)</f>
        <v>3391.36</v>
      </c>
      <c r="S240" s="125">
        <f>Valores!$C$18*B240</f>
        <v>2024.9599999999998</v>
      </c>
      <c r="T240" s="125">
        <f t="shared" si="36"/>
        <v>2024.96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IF(Valores!$C$97*B240&gt;Valores!$C$96,Valores!$C$96,Valores!$C$97*B240)</f>
        <v>1959.58</v>
      </c>
      <c r="AA240" s="125">
        <f>IF((Valores!$C$28)*B240&gt;Valores!$F$28,Valores!$F$28,(Valores!$C$28)*B240)</f>
        <v>159.04</v>
      </c>
      <c r="AB240" s="214">
        <v>0</v>
      </c>
      <c r="AC240" s="125">
        <f t="shared" si="31"/>
        <v>0</v>
      </c>
      <c r="AD240" s="125">
        <f>IF(Valores!$C$29*B240&gt;Valores!$F$29,Valores!$F$29,Valores!$C$29*B240)</f>
        <v>132.44</v>
      </c>
      <c r="AE240" s="192">
        <v>94</v>
      </c>
      <c r="AF240" s="125">
        <f>ROUND(AE240*Valores!$C$2,2)</f>
        <v>2549.39</v>
      </c>
      <c r="AG240" s="125">
        <f>IF($F$4="NO",IF(Valores!$D$63*'Escala Docente'!B240&gt;Valores!$F$63,Valores!$F$63,Valores!$D$63*'Escala Docente'!B240),IF(Valores!$D$63*'Escala Docente'!B240&gt;Valores!$F$63,Valores!$F$63,Valores!$D$63*'Escala Docente'!B240)/2)</f>
        <v>3025.4</v>
      </c>
      <c r="AH240" s="125">
        <f t="shared" si="34"/>
        <v>44210.69</v>
      </c>
      <c r="AI240" s="125">
        <f>IF(Valores!$C$32*B240&gt;Valores!$F$32,Valores!$F$32,Valores!$C$32*B240)</f>
        <v>0</v>
      </c>
      <c r="AJ240" s="125">
        <f>IF(Valores!$C$90*B240&gt;Valores!$C$89,Valores!$C$89,Valores!$C$90*B240)</f>
        <v>0</v>
      </c>
      <c r="AK240" s="125">
        <f>IF(Valores!C$39*B240&gt;Valores!F$38,Valores!F$38,Valores!C$39*B240)</f>
        <v>7000</v>
      </c>
      <c r="AL240" s="125">
        <f>IF($F$3="NO",0,IF(Valores!$C$62*B240&gt;Valores!$F$62,Valores!$F$62,Valores!$C$62*B240))</f>
        <v>79.4913</v>
      </c>
      <c r="AM240" s="125">
        <f t="shared" si="32"/>
        <v>7079.4913</v>
      </c>
      <c r="AN240" s="125">
        <f>AH240*Valores!$C$71</f>
        <v>-4863.1759</v>
      </c>
      <c r="AO240" s="125">
        <f>AH240*-Valores!$C$72</f>
        <v>0</v>
      </c>
      <c r="AP240" s="125">
        <f>AH240*Valores!$C$73</f>
        <v>-1989.48105</v>
      </c>
      <c r="AQ240" s="125">
        <f>Valores!$C$100</f>
        <v>-280.91</v>
      </c>
      <c r="AR240" s="125">
        <f>IF($F$5=0,Valores!$C$101,(Valores!$C$101+$F$5*(Valores!$C$101)))</f>
        <v>-385</v>
      </c>
      <c r="AS240" s="125">
        <f t="shared" si="35"/>
        <v>43771.61435</v>
      </c>
      <c r="AT240" s="125">
        <f t="shared" si="29"/>
        <v>-4863.1759</v>
      </c>
      <c r="AU240" s="125">
        <f>AH240*Valores!$C$74</f>
        <v>-1193.68863</v>
      </c>
      <c r="AV240" s="125">
        <f>AH240*Valores!$C$75</f>
        <v>-132.63207</v>
      </c>
      <c r="AW240" s="125">
        <f t="shared" si="33"/>
        <v>45100.684700000005</v>
      </c>
      <c r="AX240" s="126"/>
      <c r="AY240" s="126">
        <f t="shared" si="37"/>
        <v>7</v>
      </c>
      <c r="AZ240" s="123" t="s">
        <v>4</v>
      </c>
    </row>
    <row r="241" spans="1:52" s="110" customFormat="1" ht="11.25" customHeight="1">
      <c r="A241" s="123" t="s">
        <v>471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38"/>
        <v>632</v>
      </c>
      <c r="F241" s="125">
        <f>ROUND(E241*Valores!$C$2,2)</f>
        <v>17140.6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3499.6</v>
      </c>
      <c r="N241" s="125">
        <f t="shared" si="30"/>
        <v>0</v>
      </c>
      <c r="O241" s="125">
        <f>Valores!$C$7*B241</f>
        <v>7358.08</v>
      </c>
      <c r="P241" s="125">
        <f>ROUND(IF(B241&lt;15,(Valores!$E$5*B241),Valores!$D$5),2)</f>
        <v>7394.32</v>
      </c>
      <c r="Q241" s="125">
        <v>0</v>
      </c>
      <c r="R241" s="125">
        <f>IF($F$4="NO",Valores!$C$49*B241,Valores!$C$49*B241/2)</f>
        <v>3875.84</v>
      </c>
      <c r="S241" s="125">
        <f>Valores!$C$18*B241</f>
        <v>2314.24</v>
      </c>
      <c r="T241" s="125">
        <f t="shared" si="36"/>
        <v>2314.24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IF(Valores!$C$97*B241&gt;Valores!$C$96,Valores!$C$96,Valores!$C$97*B241)</f>
        <v>2239.52</v>
      </c>
      <c r="AA241" s="125">
        <f>IF((Valores!$C$28)*B241&gt;Valores!$F$28,Valores!$F$28,(Valores!$C$28)*B241)</f>
        <v>181.76</v>
      </c>
      <c r="AB241" s="214">
        <v>0</v>
      </c>
      <c r="AC241" s="125">
        <f t="shared" si="31"/>
        <v>0</v>
      </c>
      <c r="AD241" s="125">
        <f>IF(Valores!$C$29*B241&gt;Valores!$F$29,Valores!$F$29,Valores!$C$29*B241)</f>
        <v>151.36</v>
      </c>
      <c r="AE241" s="192">
        <v>0</v>
      </c>
      <c r="AF241" s="125">
        <f>ROUND(AE241*Valores!$C$2,2)</f>
        <v>0</v>
      </c>
      <c r="AG241" s="125">
        <f>IF($F$4="NO",IF(Valores!$D$63*'Escala Docente'!B241&gt;Valores!$F$63,Valores!$F$63,Valores!$D$63*'Escala Docente'!B241),IF(Valores!$D$63*'Escala Docente'!B241&gt;Valores!$F$63,Valores!$F$63,Valores!$D$63*'Escala Docente'!B241)/2)</f>
        <v>3457.6</v>
      </c>
      <c r="AH241" s="125">
        <f t="shared" si="34"/>
        <v>47612.92</v>
      </c>
      <c r="AI241" s="125">
        <f>IF(Valores!$C$32*B241&gt;Valores!$F$32,Valores!$F$32,Valores!$C$32*B241)</f>
        <v>0</v>
      </c>
      <c r="AJ241" s="125">
        <f>IF(Valores!$C$90*B241&gt;Valores!$C$89,Valores!$C$89,Valores!$C$90*B241)</f>
        <v>0</v>
      </c>
      <c r="AK241" s="125">
        <f>IF(Valores!C$39*B241&gt;Valores!F$38,Valores!F$38,Valores!C$39*B241)</f>
        <v>8000</v>
      </c>
      <c r="AL241" s="125">
        <f>IF($F$3="NO",0,IF(Valores!$C$62*B241&gt;Valores!$F$62,Valores!$F$62,Valores!$C$62*B241))</f>
        <v>90.8472</v>
      </c>
      <c r="AM241" s="125">
        <f t="shared" si="32"/>
        <v>8090.8472</v>
      </c>
      <c r="AN241" s="125">
        <f>AH241*Valores!$C$71</f>
        <v>-5237.4212</v>
      </c>
      <c r="AO241" s="125">
        <f>AH241*-Valores!$C$72</f>
        <v>0</v>
      </c>
      <c r="AP241" s="125">
        <f>AH241*Valores!$C$73</f>
        <v>-2142.5814</v>
      </c>
      <c r="AQ241" s="125">
        <f>Valores!$C$100</f>
        <v>-280.91</v>
      </c>
      <c r="AR241" s="125">
        <f>IF($F$5=0,Valores!$C$101,(Valores!$C$101+$F$5*(Valores!$C$101)))</f>
        <v>-385</v>
      </c>
      <c r="AS241" s="125">
        <f t="shared" si="35"/>
        <v>47657.8546</v>
      </c>
      <c r="AT241" s="125">
        <f t="shared" si="29"/>
        <v>-5237.4212</v>
      </c>
      <c r="AU241" s="125">
        <f>AH241*Valores!$C$74</f>
        <v>-1285.54884</v>
      </c>
      <c r="AV241" s="125">
        <f>AH241*Valores!$C$75</f>
        <v>-142.83876</v>
      </c>
      <c r="AW241" s="125">
        <f t="shared" si="33"/>
        <v>49037.9584</v>
      </c>
      <c r="AX241" s="126"/>
      <c r="AY241" s="126">
        <f t="shared" si="37"/>
        <v>8</v>
      </c>
      <c r="AZ241" s="123" t="s">
        <v>4</v>
      </c>
    </row>
    <row r="242" spans="1:52" s="110" customFormat="1" ht="11.25" customHeight="1">
      <c r="A242" s="123" t="s">
        <v>471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38"/>
        <v>632</v>
      </c>
      <c r="F242" s="125">
        <f>ROUND(E242*Valores!$C$2,2)</f>
        <v>17140.6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3499.6</v>
      </c>
      <c r="N242" s="125">
        <f t="shared" si="30"/>
        <v>0</v>
      </c>
      <c r="O242" s="125">
        <f>Valores!$C$7*B242</f>
        <v>7358.08</v>
      </c>
      <c r="P242" s="125">
        <f>ROUND(IF(B242&lt;15,(Valores!$E$5*B242),Valores!$D$5),2)</f>
        <v>7394.32</v>
      </c>
      <c r="Q242" s="125">
        <v>0</v>
      </c>
      <c r="R242" s="125">
        <f>IF($F$4="NO",Valores!$C$49*B242,Valores!$C$49*B242/2)</f>
        <v>3875.84</v>
      </c>
      <c r="S242" s="125">
        <f>Valores!$C$18*B242</f>
        <v>2314.24</v>
      </c>
      <c r="T242" s="125">
        <f t="shared" si="36"/>
        <v>2314.24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IF(Valores!$C$97*B242&gt;Valores!$C$96,Valores!$C$96,Valores!$C$97*B242)</f>
        <v>2239.52</v>
      </c>
      <c r="AA242" s="125">
        <f>IF((Valores!$C$28)*B242&gt;Valores!$F$28,Valores!$F$28,(Valores!$C$28)*B242)</f>
        <v>181.76</v>
      </c>
      <c r="AB242" s="214">
        <v>0</v>
      </c>
      <c r="AC242" s="125">
        <f t="shared" si="31"/>
        <v>0</v>
      </c>
      <c r="AD242" s="125">
        <f>IF(Valores!$C$29*B242&gt;Valores!$F$29,Valores!$F$29,Valores!$C$29*B242)</f>
        <v>151.36</v>
      </c>
      <c r="AE242" s="192">
        <v>94</v>
      </c>
      <c r="AF242" s="125">
        <f>ROUND(AE242*Valores!$C$2,2)</f>
        <v>2549.39</v>
      </c>
      <c r="AG242" s="125">
        <f>IF($F$4="NO",IF(Valores!$D$63*'Escala Docente'!B242&gt;Valores!$F$63,Valores!$F$63,Valores!$D$63*'Escala Docente'!B242),IF(Valores!$D$63*'Escala Docente'!B242&gt;Valores!$F$63,Valores!$F$63,Valores!$D$63*'Escala Docente'!B242)/2)</f>
        <v>3457.6</v>
      </c>
      <c r="AH242" s="125">
        <f t="shared" si="34"/>
        <v>50162.31</v>
      </c>
      <c r="AI242" s="125">
        <f>IF(Valores!$C$32*B242&gt;Valores!$F$32,Valores!$F$32,Valores!$C$32*B242)</f>
        <v>0</v>
      </c>
      <c r="AJ242" s="125">
        <f>IF(Valores!$C$90*B242&gt;Valores!$C$89,Valores!$C$89,Valores!$C$90*B242)</f>
        <v>0</v>
      </c>
      <c r="AK242" s="125">
        <f>IF(Valores!C$39*B242&gt;Valores!F$38,Valores!F$38,Valores!C$39*B242)</f>
        <v>8000</v>
      </c>
      <c r="AL242" s="125">
        <f>IF($F$3="NO",0,IF(Valores!$C$62*B242&gt;Valores!$F$62,Valores!$F$62,Valores!$C$62*B242))</f>
        <v>90.8472</v>
      </c>
      <c r="AM242" s="125">
        <f t="shared" si="32"/>
        <v>8090.8472</v>
      </c>
      <c r="AN242" s="125">
        <f>AH242*Valores!$C$71</f>
        <v>-5517.8541</v>
      </c>
      <c r="AO242" s="125">
        <f>AH242*-Valores!$C$72</f>
        <v>0</v>
      </c>
      <c r="AP242" s="125">
        <f>AH242*Valores!$C$73</f>
        <v>-2257.30395</v>
      </c>
      <c r="AQ242" s="125">
        <f>Valores!$C$100</f>
        <v>-280.91</v>
      </c>
      <c r="AR242" s="125">
        <f>IF($F$5=0,Valores!$C$101,(Valores!$C$101+$F$5*(Valores!$C$101)))</f>
        <v>-385</v>
      </c>
      <c r="AS242" s="125">
        <f t="shared" si="35"/>
        <v>49812.08915</v>
      </c>
      <c r="AT242" s="125">
        <f t="shared" si="29"/>
        <v>-5517.8541</v>
      </c>
      <c r="AU242" s="125">
        <f>AH242*Valores!$C$74</f>
        <v>-1354.3823699999998</v>
      </c>
      <c r="AV242" s="125">
        <f>AH242*Valores!$C$75</f>
        <v>-150.48693</v>
      </c>
      <c r="AW242" s="125">
        <f t="shared" si="33"/>
        <v>51230.4338</v>
      </c>
      <c r="AX242" s="126"/>
      <c r="AY242" s="126">
        <f t="shared" si="37"/>
        <v>8</v>
      </c>
      <c r="AZ242" s="123" t="s">
        <v>4</v>
      </c>
    </row>
    <row r="243" spans="1:52" s="110" customFormat="1" ht="11.25" customHeight="1">
      <c r="A243" s="123" t="s">
        <v>471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38"/>
        <v>711</v>
      </c>
      <c r="F243" s="125">
        <f>ROUND(E243*Valores!$C$2,2)</f>
        <v>19283.17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3937.05</v>
      </c>
      <c r="N243" s="125">
        <f t="shared" si="30"/>
        <v>0</v>
      </c>
      <c r="O243" s="125">
        <f>Valores!$C$7*B243</f>
        <v>8277.84</v>
      </c>
      <c r="P243" s="125">
        <f>ROUND(IF(B243&lt;15,(Valores!$E$5*B243),Valores!$D$5),2)</f>
        <v>8318.61</v>
      </c>
      <c r="Q243" s="125">
        <v>0</v>
      </c>
      <c r="R243" s="125">
        <f>IF($F$4="NO",Valores!$C$49*B243,Valores!$C$49*B243/2)</f>
        <v>4360.32</v>
      </c>
      <c r="S243" s="125">
        <f>Valores!$C$18*B243</f>
        <v>2603.5199999999995</v>
      </c>
      <c r="T243" s="125">
        <f t="shared" si="36"/>
        <v>2603.52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IF(Valores!$C$97*B243&gt;Valores!$C$96,Valores!$C$96,Valores!$C$97*B243)</f>
        <v>2519.46</v>
      </c>
      <c r="AA243" s="125">
        <f>IF((Valores!$C$28)*B243&gt;Valores!$F$28,Valores!$F$28,(Valores!$C$28)*B243)</f>
        <v>204.48</v>
      </c>
      <c r="AB243" s="214">
        <v>0</v>
      </c>
      <c r="AC243" s="125">
        <f t="shared" si="31"/>
        <v>0</v>
      </c>
      <c r="AD243" s="125">
        <f>IF(Valores!$C$29*B243&gt;Valores!$F$29,Valores!$F$29,Valores!$C$29*B243)</f>
        <v>170.28000000000003</v>
      </c>
      <c r="AE243" s="192">
        <v>0</v>
      </c>
      <c r="AF243" s="125">
        <f>ROUND(AE243*Valores!$C$2,2)</f>
        <v>0</v>
      </c>
      <c r="AG243" s="125">
        <f>IF($F$4="NO",IF(Valores!$D$63*'Escala Docente'!B243&gt;Valores!$F$63,Valores!$F$63,Valores!$D$63*'Escala Docente'!B243),IF(Valores!$D$63*'Escala Docente'!B243&gt;Valores!$F$63,Valores!$F$63,Valores!$D$63*'Escala Docente'!B243)/2)</f>
        <v>3889.7999999999997</v>
      </c>
      <c r="AH243" s="125">
        <f t="shared" si="34"/>
        <v>53564.53</v>
      </c>
      <c r="AI243" s="125">
        <f>IF(Valores!$C$32*B243&gt;Valores!$F$32,Valores!$F$32,Valores!$C$32*B243)</f>
        <v>0</v>
      </c>
      <c r="AJ243" s="125">
        <f>IF(Valores!$C$90*B243&gt;Valores!$C$89,Valores!$C$89,Valores!$C$90*B243)</f>
        <v>0</v>
      </c>
      <c r="AK243" s="125">
        <f>IF(Valores!C$39*B243&gt;Valores!F$38,Valores!F$38,Valores!C$39*B243)</f>
        <v>9000</v>
      </c>
      <c r="AL243" s="125">
        <f>IF($F$3="NO",0,IF(Valores!$C$62*B243&gt;Valores!$F$62,Valores!$F$62,Valores!$C$62*B243))</f>
        <v>102.2031</v>
      </c>
      <c r="AM243" s="125">
        <f t="shared" si="32"/>
        <v>9102.2031</v>
      </c>
      <c r="AN243" s="125">
        <f>AH243*Valores!$C$71</f>
        <v>-5892.0983</v>
      </c>
      <c r="AO243" s="125">
        <f>AH243*-Valores!$C$72</f>
        <v>0</v>
      </c>
      <c r="AP243" s="125">
        <f>AH243*Valores!$C$73</f>
        <v>-2410.4038499999997</v>
      </c>
      <c r="AQ243" s="125">
        <f>Valores!$C$100</f>
        <v>-280.91</v>
      </c>
      <c r="AR243" s="125">
        <f>IF($F$5=0,Valores!$C$101,(Valores!$C$101+$F$5*(Valores!$C$101)))</f>
        <v>-385</v>
      </c>
      <c r="AS243" s="125">
        <f t="shared" si="35"/>
        <v>53698.32095</v>
      </c>
      <c r="AT243" s="125">
        <f t="shared" si="29"/>
        <v>-5892.0983</v>
      </c>
      <c r="AU243" s="125">
        <f>AH243*Valores!$C$74</f>
        <v>-1446.2423099999999</v>
      </c>
      <c r="AV243" s="125">
        <f>AH243*Valores!$C$75</f>
        <v>-160.69359</v>
      </c>
      <c r="AW243" s="125">
        <f t="shared" si="33"/>
        <v>55167.698899999996</v>
      </c>
      <c r="AX243" s="126"/>
      <c r="AY243" s="126">
        <f t="shared" si="37"/>
        <v>9</v>
      </c>
      <c r="AZ243" s="123" t="s">
        <v>4</v>
      </c>
    </row>
    <row r="244" spans="1:52" s="110" customFormat="1" ht="11.25" customHeight="1">
      <c r="A244" s="123" t="s">
        <v>471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38"/>
        <v>711</v>
      </c>
      <c r="F244" s="125">
        <f>ROUND(E244*Valores!$C$2,2)</f>
        <v>19283.17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3937.05</v>
      </c>
      <c r="N244" s="125">
        <f t="shared" si="30"/>
        <v>0</v>
      </c>
      <c r="O244" s="125">
        <f>Valores!$C$7*B244</f>
        <v>8277.84</v>
      </c>
      <c r="P244" s="125">
        <f>ROUND(IF(B244&lt;15,(Valores!$E$5*B244),Valores!$D$5),2)</f>
        <v>8318.61</v>
      </c>
      <c r="Q244" s="125">
        <v>0</v>
      </c>
      <c r="R244" s="125">
        <f>IF($F$4="NO",Valores!$C$49*B244,Valores!$C$49*B244/2)</f>
        <v>4360.32</v>
      </c>
      <c r="S244" s="125">
        <f>Valores!$C$18*B244</f>
        <v>2603.5199999999995</v>
      </c>
      <c r="T244" s="125">
        <f t="shared" si="36"/>
        <v>2603.52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IF(Valores!$C$97*B244&gt;Valores!$C$96,Valores!$C$96,Valores!$C$97*B244)</f>
        <v>2519.46</v>
      </c>
      <c r="AA244" s="125">
        <f>IF((Valores!$C$28)*B244&gt;Valores!$F$28,Valores!$F$28,(Valores!$C$28)*B244)</f>
        <v>204.48</v>
      </c>
      <c r="AB244" s="214">
        <v>0</v>
      </c>
      <c r="AC244" s="125">
        <f t="shared" si="31"/>
        <v>0</v>
      </c>
      <c r="AD244" s="125">
        <f>IF(Valores!$C$29*B244&gt;Valores!$F$29,Valores!$F$29,Valores!$C$29*B244)</f>
        <v>170.28000000000003</v>
      </c>
      <c r="AE244" s="192">
        <v>94</v>
      </c>
      <c r="AF244" s="125">
        <f>ROUND(AE244*Valores!$C$2,2)</f>
        <v>2549.39</v>
      </c>
      <c r="AG244" s="125">
        <f>IF($F$4="NO",IF(Valores!$D$63*'Escala Docente'!B244&gt;Valores!$F$63,Valores!$F$63,Valores!$D$63*'Escala Docente'!B244),IF(Valores!$D$63*'Escala Docente'!B244&gt;Valores!$F$63,Valores!$F$63,Valores!$D$63*'Escala Docente'!B244)/2)</f>
        <v>3889.7999999999997</v>
      </c>
      <c r="AH244" s="125">
        <f t="shared" si="34"/>
        <v>56113.92</v>
      </c>
      <c r="AI244" s="125">
        <f>IF(Valores!$C$32*B244&gt;Valores!$F$32,Valores!$F$32,Valores!$C$32*B244)</f>
        <v>0</v>
      </c>
      <c r="AJ244" s="125">
        <f>IF(Valores!$C$90*B244&gt;Valores!$C$89,Valores!$C$89,Valores!$C$90*B244)</f>
        <v>0</v>
      </c>
      <c r="AK244" s="125">
        <f>IF(Valores!C$39*B244&gt;Valores!F$38,Valores!F$38,Valores!C$39*B244)</f>
        <v>9000</v>
      </c>
      <c r="AL244" s="125">
        <f>IF($F$3="NO",0,IF(Valores!$C$62*B244&gt;Valores!$F$62,Valores!$F$62,Valores!$C$62*B244))</f>
        <v>102.2031</v>
      </c>
      <c r="AM244" s="125">
        <f t="shared" si="32"/>
        <v>9102.2031</v>
      </c>
      <c r="AN244" s="125">
        <f>AH244*Valores!$C$71</f>
        <v>-6172.531199999999</v>
      </c>
      <c r="AO244" s="125">
        <f>AH244*-Valores!$C$72</f>
        <v>0</v>
      </c>
      <c r="AP244" s="125">
        <f>AH244*Valores!$C$73</f>
        <v>-2525.1263999999996</v>
      </c>
      <c r="AQ244" s="125">
        <f>Valores!$C$100</f>
        <v>-280.91</v>
      </c>
      <c r="AR244" s="125">
        <f>IF($F$5=0,Valores!$C$101,(Valores!$C$101+$F$5*(Valores!$C$101)))</f>
        <v>-385</v>
      </c>
      <c r="AS244" s="125">
        <f t="shared" si="35"/>
        <v>55852.5555</v>
      </c>
      <c r="AT244" s="125">
        <f t="shared" si="29"/>
        <v>-6172.531199999999</v>
      </c>
      <c r="AU244" s="125">
        <f>AH244*Valores!$C$74</f>
        <v>-1515.07584</v>
      </c>
      <c r="AV244" s="125">
        <f>AH244*Valores!$C$75</f>
        <v>-168.34176</v>
      </c>
      <c r="AW244" s="125">
        <f t="shared" si="33"/>
        <v>57360.1743</v>
      </c>
      <c r="AX244" s="126"/>
      <c r="AY244" s="126">
        <f t="shared" si="37"/>
        <v>9</v>
      </c>
      <c r="AZ244" s="123" t="s">
        <v>4</v>
      </c>
    </row>
    <row r="245" spans="1:52" s="110" customFormat="1" ht="11.25" customHeight="1">
      <c r="A245" s="123" t="s">
        <v>471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38"/>
        <v>790</v>
      </c>
      <c r="F245" s="125">
        <f>ROUND(E245*Valores!$C$2,2)</f>
        <v>21425.75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4374.5</v>
      </c>
      <c r="N245" s="125">
        <f t="shared" si="30"/>
        <v>0</v>
      </c>
      <c r="O245" s="125">
        <f>Valores!$C$7*B245</f>
        <v>9197.6</v>
      </c>
      <c r="P245" s="125">
        <f>ROUND(IF(B245&lt;15,(Valores!$E$5*B245),Valores!$D$5),2)</f>
        <v>9242.9</v>
      </c>
      <c r="Q245" s="125">
        <v>0</v>
      </c>
      <c r="R245" s="125">
        <f>IF($F$4="NO",Valores!$C$49*B245,Valores!$C$49*B245/2)</f>
        <v>4844.8</v>
      </c>
      <c r="S245" s="125">
        <f>Valores!$C$18*B245</f>
        <v>2892.7999999999997</v>
      </c>
      <c r="T245" s="125">
        <f t="shared" si="36"/>
        <v>2892.8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IF(Valores!$C$97*B245&gt;Valores!$C$96,Valores!$C$96,Valores!$C$97*B245)</f>
        <v>2799.4</v>
      </c>
      <c r="AA245" s="125">
        <f>IF((Valores!$C$28)*B245&gt;Valores!$F$28,Valores!$F$28,(Valores!$C$28)*B245)</f>
        <v>227.2</v>
      </c>
      <c r="AB245" s="214">
        <v>0</v>
      </c>
      <c r="AC245" s="125">
        <f t="shared" si="31"/>
        <v>0</v>
      </c>
      <c r="AD245" s="125">
        <f>IF(Valores!$C$29*B245&gt;Valores!$F$29,Valores!$F$29,Valores!$C$29*B245)</f>
        <v>189.20000000000002</v>
      </c>
      <c r="AE245" s="192">
        <v>0</v>
      </c>
      <c r="AF245" s="125">
        <f>ROUND(AE245*Valores!$C$2,2)</f>
        <v>0</v>
      </c>
      <c r="AG245" s="125">
        <f>IF($F$4="NO",IF(Valores!$D$63*'Escala Docente'!B245&gt;Valores!$F$63,Valores!$F$63,Valores!$D$63*'Escala Docente'!B245),IF(Valores!$D$63*'Escala Docente'!B245&gt;Valores!$F$63,Valores!$F$63,Valores!$D$63*'Escala Docente'!B245)/2)</f>
        <v>4322</v>
      </c>
      <c r="AH245" s="125">
        <f t="shared" si="34"/>
        <v>59516.15</v>
      </c>
      <c r="AI245" s="125">
        <f>IF(Valores!$C$32*B245&gt;Valores!$F$32,Valores!$F$32,Valores!$C$32*B245)</f>
        <v>0</v>
      </c>
      <c r="AJ245" s="125">
        <f>IF(Valores!$C$90*B245&gt;Valores!$C$89,Valores!$C$89,Valores!$C$90*B245)</f>
        <v>0</v>
      </c>
      <c r="AK245" s="125">
        <f>IF(Valores!C$39*B245&gt;Valores!F$38,Valores!F$38,Valores!C$39*B245)</f>
        <v>10000</v>
      </c>
      <c r="AL245" s="125">
        <f>IF($F$3="NO",0,IF(Valores!$C$62*B245&gt;Valores!$F$62,Valores!$F$62,Valores!$C$62*B245))</f>
        <v>113.559</v>
      </c>
      <c r="AM245" s="125">
        <f t="shared" si="32"/>
        <v>10113.559</v>
      </c>
      <c r="AN245" s="125">
        <f>AH245*Valores!$C$71</f>
        <v>-6546.7765</v>
      </c>
      <c r="AO245" s="125">
        <f>AH245*-Valores!$C$72</f>
        <v>0</v>
      </c>
      <c r="AP245" s="125">
        <f>AH245*Valores!$C$73</f>
        <v>-2678.22675</v>
      </c>
      <c r="AQ245" s="125">
        <f>Valores!$C$100</f>
        <v>-280.91</v>
      </c>
      <c r="AR245" s="125">
        <f>IF($F$5=0,Valores!$C$101,(Valores!$C$101+$F$5*(Valores!$C$101)))</f>
        <v>-385</v>
      </c>
      <c r="AS245" s="125">
        <f t="shared" si="35"/>
        <v>59738.79575</v>
      </c>
      <c r="AT245" s="125">
        <f t="shared" si="29"/>
        <v>-6546.7765</v>
      </c>
      <c r="AU245" s="125">
        <f>AH245*Valores!$C$74</f>
        <v>-1606.93605</v>
      </c>
      <c r="AV245" s="125">
        <f>AH245*Valores!$C$75</f>
        <v>-178.54845</v>
      </c>
      <c r="AW245" s="125">
        <f t="shared" si="33"/>
        <v>61297.448000000004</v>
      </c>
      <c r="AX245" s="126"/>
      <c r="AY245" s="126">
        <f t="shared" si="37"/>
        <v>10</v>
      </c>
      <c r="AZ245" s="123" t="s">
        <v>4</v>
      </c>
    </row>
    <row r="246" spans="1:52" s="110" customFormat="1" ht="11.25" customHeight="1">
      <c r="A246" s="123" t="s">
        <v>471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38"/>
        <v>790</v>
      </c>
      <c r="F246" s="125">
        <f>ROUND(E246*Valores!$C$2,2)</f>
        <v>21425.75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4374.5</v>
      </c>
      <c r="N246" s="125">
        <f t="shared" si="30"/>
        <v>0</v>
      </c>
      <c r="O246" s="125">
        <f>Valores!$C$7*B246</f>
        <v>9197.6</v>
      </c>
      <c r="P246" s="125">
        <f>ROUND(IF(B246&lt;15,(Valores!$E$5*B246),Valores!$D$5),2)</f>
        <v>9242.9</v>
      </c>
      <c r="Q246" s="125">
        <v>0</v>
      </c>
      <c r="R246" s="125">
        <f>IF($F$4="NO",Valores!$C$49*B246,Valores!$C$49*B246/2)</f>
        <v>4844.8</v>
      </c>
      <c r="S246" s="125">
        <f>Valores!$C$18*B246</f>
        <v>2892.7999999999997</v>
      </c>
      <c r="T246" s="125">
        <f t="shared" si="36"/>
        <v>2892.8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IF(Valores!$C$97*B246&gt;Valores!$C$96,Valores!$C$96,Valores!$C$97*B246)</f>
        <v>2799.4</v>
      </c>
      <c r="AA246" s="125">
        <f>IF((Valores!$C$28)*B246&gt;Valores!$F$28,Valores!$F$28,(Valores!$C$28)*B246)</f>
        <v>227.2</v>
      </c>
      <c r="AB246" s="214">
        <v>0</v>
      </c>
      <c r="AC246" s="125">
        <f t="shared" si="31"/>
        <v>0</v>
      </c>
      <c r="AD246" s="125">
        <f>IF(Valores!$C$29*B246&gt;Valores!$F$29,Valores!$F$29,Valores!$C$29*B246)</f>
        <v>189.20000000000002</v>
      </c>
      <c r="AE246" s="192">
        <v>94</v>
      </c>
      <c r="AF246" s="125">
        <f>ROUND(AE246*Valores!$C$2,2)</f>
        <v>2549.39</v>
      </c>
      <c r="AG246" s="125">
        <f>IF($F$4="NO",IF(Valores!$D$63*'Escala Docente'!B246&gt;Valores!$F$63,Valores!$F$63,Valores!$D$63*'Escala Docente'!B246),IF(Valores!$D$63*'Escala Docente'!B246&gt;Valores!$F$63,Valores!$F$63,Valores!$D$63*'Escala Docente'!B246)/2)</f>
        <v>4322</v>
      </c>
      <c r="AH246" s="125">
        <f t="shared" si="34"/>
        <v>62065.54</v>
      </c>
      <c r="AI246" s="125">
        <f>IF(Valores!$C$32*B246&gt;Valores!$F$32,Valores!$F$32,Valores!$C$32*B246)</f>
        <v>0</v>
      </c>
      <c r="AJ246" s="125">
        <f>IF(Valores!$C$90*B246&gt;Valores!$C$89,Valores!$C$89,Valores!$C$90*B246)</f>
        <v>0</v>
      </c>
      <c r="AK246" s="125">
        <f>IF(Valores!C$39*B246&gt;Valores!F$38,Valores!F$38,Valores!C$39*B246)</f>
        <v>10000</v>
      </c>
      <c r="AL246" s="125">
        <f>IF($F$3="NO",0,IF(Valores!$C$62*B246&gt;Valores!$F$62,Valores!$F$62,Valores!$C$62*B246))</f>
        <v>113.559</v>
      </c>
      <c r="AM246" s="125">
        <f t="shared" si="32"/>
        <v>10113.559</v>
      </c>
      <c r="AN246" s="125">
        <f>AH246*Valores!$C$71</f>
        <v>-6827.2094</v>
      </c>
      <c r="AO246" s="125">
        <f>AH246*-Valores!$C$72</f>
        <v>0</v>
      </c>
      <c r="AP246" s="125">
        <f>AH246*Valores!$C$73</f>
        <v>-2792.9492999999998</v>
      </c>
      <c r="AQ246" s="125">
        <f>Valores!$C$100</f>
        <v>-280.91</v>
      </c>
      <c r="AR246" s="125">
        <f>IF($F$5=0,Valores!$C$101,(Valores!$C$101+$F$5*(Valores!$C$101)))</f>
        <v>-385</v>
      </c>
      <c r="AS246" s="125">
        <f t="shared" si="35"/>
        <v>61893.0303</v>
      </c>
      <c r="AT246" s="125">
        <f t="shared" si="29"/>
        <v>-6827.2094</v>
      </c>
      <c r="AU246" s="125">
        <f>AH246*Valores!$C$74</f>
        <v>-1675.76958</v>
      </c>
      <c r="AV246" s="125">
        <f>AH246*Valores!$C$75</f>
        <v>-186.19662</v>
      </c>
      <c r="AW246" s="125">
        <f t="shared" si="33"/>
        <v>63489.9234</v>
      </c>
      <c r="AX246" s="126"/>
      <c r="AY246" s="126">
        <f t="shared" si="37"/>
        <v>10</v>
      </c>
      <c r="AZ246" s="123" t="s">
        <v>4</v>
      </c>
    </row>
    <row r="247" spans="1:52" s="110" customFormat="1" ht="11.25" customHeight="1">
      <c r="A247" s="123" t="s">
        <v>471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38"/>
        <v>869</v>
      </c>
      <c r="F247" s="125">
        <f>ROUND(E247*Valores!$C$2,2)</f>
        <v>23568.32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4811.95</v>
      </c>
      <c r="N247" s="125">
        <f t="shared" si="30"/>
        <v>0</v>
      </c>
      <c r="O247" s="125">
        <f>Valores!$C$7*B247</f>
        <v>10117.36</v>
      </c>
      <c r="P247" s="125">
        <f>ROUND(IF(B247&lt;15,(Valores!$E$5*B247),Valores!$D$5),2)</f>
        <v>10167.19</v>
      </c>
      <c r="Q247" s="125">
        <v>0</v>
      </c>
      <c r="R247" s="125">
        <f>IF($F$4="NO",Valores!$C$49*B247,Valores!$C$49*B247/2)</f>
        <v>5329.280000000001</v>
      </c>
      <c r="S247" s="125">
        <f>Valores!$C$18*B247</f>
        <v>3182.08</v>
      </c>
      <c r="T247" s="125">
        <f t="shared" si="36"/>
        <v>3182.08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IF(Valores!$C$97*B247&gt;Valores!$C$96,Valores!$C$96,Valores!$C$97*B247)</f>
        <v>3079.34</v>
      </c>
      <c r="AA247" s="125">
        <f>IF((Valores!$C$28)*B247&gt;Valores!$F$28,Valores!$F$28,(Valores!$C$28)*B247)</f>
        <v>249.92</v>
      </c>
      <c r="AB247" s="214">
        <v>0</v>
      </c>
      <c r="AC247" s="125">
        <f t="shared" si="31"/>
        <v>0</v>
      </c>
      <c r="AD247" s="125">
        <f>IF(Valores!$C$29*B247&gt;Valores!$F$29,Valores!$F$29,Valores!$C$29*B247)</f>
        <v>208.12</v>
      </c>
      <c r="AE247" s="192">
        <v>0</v>
      </c>
      <c r="AF247" s="125">
        <f>ROUND(AE247*Valores!$C$2,2)</f>
        <v>0</v>
      </c>
      <c r="AG247" s="125">
        <f>IF($F$4="NO",IF(Valores!$D$63*'Escala Docente'!B247&gt;Valores!$F$63,Valores!$F$63,Valores!$D$63*'Escala Docente'!B247),IF(Valores!$D$63*'Escala Docente'!B247&gt;Valores!$F$63,Valores!$F$63,Valores!$D$63*'Escala Docente'!B247)/2)</f>
        <v>4754.2</v>
      </c>
      <c r="AH247" s="125">
        <f t="shared" si="34"/>
        <v>65467.76</v>
      </c>
      <c r="AI247" s="125">
        <f>IF(Valores!$C$32*B247&gt;Valores!$F$32,Valores!$F$32,Valores!$C$32*B247)</f>
        <v>0</v>
      </c>
      <c r="AJ247" s="125">
        <f>IF(Valores!$C$90*B247&gt;Valores!$C$89,Valores!$C$89,Valores!$C$90*B247)</f>
        <v>0</v>
      </c>
      <c r="AK247" s="125">
        <f>IF(Valores!C$39*B247&gt;Valores!F$38,Valores!F$38,Valores!C$39*B247)</f>
        <v>11000</v>
      </c>
      <c r="AL247" s="125">
        <f>IF($F$3="NO",0,IF(Valores!$C$62*B247&gt;Valores!$F$62,Valores!$F$62,Valores!$C$62*B247))</f>
        <v>124.9149</v>
      </c>
      <c r="AM247" s="125">
        <f t="shared" si="32"/>
        <v>11124.9149</v>
      </c>
      <c r="AN247" s="125">
        <f>AH247*Valores!$C$71</f>
        <v>-7201.4536</v>
      </c>
      <c r="AO247" s="125">
        <f>AH247*-Valores!$C$72</f>
        <v>0</v>
      </c>
      <c r="AP247" s="125">
        <f>AH247*Valores!$C$73</f>
        <v>-2946.0492</v>
      </c>
      <c r="AQ247" s="125">
        <f>Valores!$C$100</f>
        <v>-280.91</v>
      </c>
      <c r="AR247" s="125">
        <f>IF($F$5=0,Valores!$C$101,(Valores!$C$101+$F$5*(Valores!$C$101)))</f>
        <v>-385</v>
      </c>
      <c r="AS247" s="125">
        <f t="shared" si="35"/>
        <v>65779.2621</v>
      </c>
      <c r="AT247" s="125">
        <f t="shared" si="29"/>
        <v>-7201.4536</v>
      </c>
      <c r="AU247" s="125">
        <f>AH247*Valores!$C$74</f>
        <v>-1767.62952</v>
      </c>
      <c r="AV247" s="125">
        <f>AH247*Valores!$C$75</f>
        <v>-196.40328000000002</v>
      </c>
      <c r="AW247" s="125">
        <f t="shared" si="33"/>
        <v>67427.1885</v>
      </c>
      <c r="AX247" s="126"/>
      <c r="AY247" s="126">
        <f t="shared" si="37"/>
        <v>11</v>
      </c>
      <c r="AZ247" s="123" t="s">
        <v>4</v>
      </c>
    </row>
    <row r="248" spans="1:52" s="110" customFormat="1" ht="11.25" customHeight="1">
      <c r="A248" s="123" t="s">
        <v>471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38"/>
        <v>869</v>
      </c>
      <c r="F248" s="125">
        <f>ROUND(E248*Valores!$C$2,2)</f>
        <v>23568.32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4811.95</v>
      </c>
      <c r="N248" s="125">
        <f t="shared" si="30"/>
        <v>0</v>
      </c>
      <c r="O248" s="125">
        <f>Valores!$C$7*B248</f>
        <v>10117.36</v>
      </c>
      <c r="P248" s="125">
        <f>ROUND(IF(B248&lt;15,(Valores!$E$5*B248),Valores!$D$5),2)</f>
        <v>10167.19</v>
      </c>
      <c r="Q248" s="125">
        <v>0</v>
      </c>
      <c r="R248" s="125">
        <f>IF($F$4="NO",Valores!$C$49*B248,Valores!$C$49*B248/2)</f>
        <v>5329.280000000001</v>
      </c>
      <c r="S248" s="125">
        <f>Valores!$C$18*B248</f>
        <v>3182.08</v>
      </c>
      <c r="T248" s="125">
        <f t="shared" si="36"/>
        <v>3182.08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IF(Valores!$C$97*B248&gt;Valores!$C$96,Valores!$C$96,Valores!$C$97*B248)</f>
        <v>3079.34</v>
      </c>
      <c r="AA248" s="125">
        <f>IF((Valores!$C$28)*B248&gt;Valores!$F$28,Valores!$F$28,(Valores!$C$28)*B248)</f>
        <v>249.92</v>
      </c>
      <c r="AB248" s="214">
        <v>0</v>
      </c>
      <c r="AC248" s="125">
        <f t="shared" si="31"/>
        <v>0</v>
      </c>
      <c r="AD248" s="125">
        <f>IF(Valores!$C$29*B248&gt;Valores!$F$29,Valores!$F$29,Valores!$C$29*B248)</f>
        <v>208.12</v>
      </c>
      <c r="AE248" s="192">
        <v>94</v>
      </c>
      <c r="AF248" s="125">
        <f>ROUND(AE248*Valores!$C$2,2)</f>
        <v>2549.39</v>
      </c>
      <c r="AG248" s="125">
        <f>IF($F$4="NO",IF(Valores!$D$63*'Escala Docente'!B248&gt;Valores!$F$63,Valores!$F$63,Valores!$D$63*'Escala Docente'!B248),IF(Valores!$D$63*'Escala Docente'!B248&gt;Valores!$F$63,Valores!$F$63,Valores!$D$63*'Escala Docente'!B248)/2)</f>
        <v>4754.2</v>
      </c>
      <c r="AH248" s="125">
        <f t="shared" si="34"/>
        <v>68017.15000000001</v>
      </c>
      <c r="AI248" s="125">
        <f>IF(Valores!$C$32*B248&gt;Valores!$F$32,Valores!$F$32,Valores!$C$32*B248)</f>
        <v>0</v>
      </c>
      <c r="AJ248" s="125">
        <f>IF(Valores!$C$90*B248&gt;Valores!$C$89,Valores!$C$89,Valores!$C$90*B248)</f>
        <v>0</v>
      </c>
      <c r="AK248" s="125">
        <f>IF(Valores!C$39*B248&gt;Valores!F$38,Valores!F$38,Valores!C$39*B248)</f>
        <v>11000</v>
      </c>
      <c r="AL248" s="125">
        <f>IF($F$3="NO",0,IF(Valores!$C$62*B248&gt;Valores!$F$62,Valores!$F$62,Valores!$C$62*B248))</f>
        <v>124.9149</v>
      </c>
      <c r="AM248" s="125">
        <f t="shared" si="32"/>
        <v>11124.9149</v>
      </c>
      <c r="AN248" s="125">
        <f>AH248*Valores!$C$71</f>
        <v>-7481.886500000001</v>
      </c>
      <c r="AO248" s="125">
        <f>AH248*-Valores!$C$72</f>
        <v>0</v>
      </c>
      <c r="AP248" s="125">
        <f>AH248*Valores!$C$73</f>
        <v>-3060.7717500000003</v>
      </c>
      <c r="AQ248" s="125">
        <f>Valores!$C$100</f>
        <v>-280.91</v>
      </c>
      <c r="AR248" s="125">
        <f>IF($F$5=0,Valores!$C$101,(Valores!$C$101+$F$5*(Valores!$C$101)))</f>
        <v>-385</v>
      </c>
      <c r="AS248" s="125">
        <f t="shared" si="35"/>
        <v>67933.49665</v>
      </c>
      <c r="AT248" s="125">
        <f t="shared" si="29"/>
        <v>-7481.886500000001</v>
      </c>
      <c r="AU248" s="125">
        <f>AH248*Valores!$C$74</f>
        <v>-1836.4630500000003</v>
      </c>
      <c r="AV248" s="125">
        <f>AH248*Valores!$C$75</f>
        <v>-204.05145000000002</v>
      </c>
      <c r="AW248" s="125">
        <f t="shared" si="33"/>
        <v>69619.66390000001</v>
      </c>
      <c r="AX248" s="126"/>
      <c r="AY248" s="126">
        <f t="shared" si="37"/>
        <v>11</v>
      </c>
      <c r="AZ248" s="123" t="s">
        <v>4</v>
      </c>
    </row>
    <row r="249" spans="1:52" s="110" customFormat="1" ht="11.25" customHeight="1">
      <c r="A249" s="123" t="s">
        <v>471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38"/>
        <v>948</v>
      </c>
      <c r="F249" s="125">
        <f>ROUND(E249*Valores!$C$2,2)</f>
        <v>25710.9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5249.4</v>
      </c>
      <c r="N249" s="125">
        <f t="shared" si="30"/>
        <v>0</v>
      </c>
      <c r="O249" s="125">
        <f>Valores!$C$7*B249</f>
        <v>11037.119999999999</v>
      </c>
      <c r="P249" s="125">
        <f>ROUND(IF(B249&lt;15,(Valores!$E$5*B249),Valores!$D$5),2)</f>
        <v>11091.48</v>
      </c>
      <c r="Q249" s="125">
        <v>0</v>
      </c>
      <c r="R249" s="125">
        <f>IF($F$4="NO",Valores!$C$49*B249,Valores!$C$49*B249/2)</f>
        <v>5813.76</v>
      </c>
      <c r="S249" s="125">
        <f>Valores!$C$18*B249</f>
        <v>3471.3599999999997</v>
      </c>
      <c r="T249" s="125">
        <f t="shared" si="36"/>
        <v>3471.36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IF(Valores!$C$97*B249&gt;Valores!$C$96,Valores!$C$96,Valores!$C$97*B249)</f>
        <v>3359.2799999999997</v>
      </c>
      <c r="AA249" s="125">
        <f>IF((Valores!$C$28)*B249&gt;Valores!$F$28,Valores!$F$28,(Valores!$C$28)*B249)</f>
        <v>272.64</v>
      </c>
      <c r="AB249" s="214">
        <v>0</v>
      </c>
      <c r="AC249" s="125">
        <f t="shared" si="31"/>
        <v>0</v>
      </c>
      <c r="AD249" s="125">
        <f>IF(Valores!$C$29*B249&gt;Valores!$F$29,Valores!$F$29,Valores!$C$29*B249)</f>
        <v>227.04000000000002</v>
      </c>
      <c r="AE249" s="192">
        <v>0</v>
      </c>
      <c r="AF249" s="125">
        <f>ROUND(AE249*Valores!$C$2,2)</f>
        <v>0</v>
      </c>
      <c r="AG249" s="125">
        <f>IF($F$4="NO",IF(Valores!$D$63*'Escala Docente'!B249&gt;Valores!$F$63,Valores!$F$63,Valores!$D$63*'Escala Docente'!B249),IF(Valores!$D$63*'Escala Docente'!B249&gt;Valores!$F$63,Valores!$F$63,Valores!$D$63*'Escala Docente'!B249)/2)</f>
        <v>5186.4</v>
      </c>
      <c r="AH249" s="125">
        <f t="shared" si="34"/>
        <v>71419.37999999999</v>
      </c>
      <c r="AI249" s="125">
        <f>IF(Valores!$C$32*B249&gt;Valores!$F$32,Valores!$F$32,Valores!$C$32*B249)</f>
        <v>0</v>
      </c>
      <c r="AJ249" s="125">
        <f>IF(Valores!$C$90*B249&gt;Valores!$C$89,Valores!$C$89,Valores!$C$90*B249)</f>
        <v>0</v>
      </c>
      <c r="AK249" s="125">
        <f>IF(Valores!C$39*B249&gt;Valores!F$38,Valores!F$38,Valores!C$39*B249)</f>
        <v>12000</v>
      </c>
      <c r="AL249" s="125">
        <f>IF($F$3="NO",0,IF(Valores!$C$62*B249&gt;Valores!$F$62,Valores!$F$62,Valores!$C$62*B249))</f>
        <v>136.2708</v>
      </c>
      <c r="AM249" s="125">
        <f t="shared" si="32"/>
        <v>12136.2708</v>
      </c>
      <c r="AN249" s="125">
        <f>AH249*Valores!$C$71</f>
        <v>-7856.131799999999</v>
      </c>
      <c r="AO249" s="125">
        <f>AH249*-Valores!$C$72</f>
        <v>0</v>
      </c>
      <c r="AP249" s="125">
        <f>AH249*Valores!$C$73</f>
        <v>-3213.8720999999996</v>
      </c>
      <c r="AQ249" s="125">
        <f>Valores!$C$100</f>
        <v>-280.91</v>
      </c>
      <c r="AR249" s="125">
        <f>IF($F$5=0,Valores!$C$101,(Valores!$C$101+$F$5*(Valores!$C$101)))</f>
        <v>-385</v>
      </c>
      <c r="AS249" s="125">
        <f t="shared" si="35"/>
        <v>71819.73689999999</v>
      </c>
      <c r="AT249" s="125">
        <f t="shared" si="29"/>
        <v>-7856.131799999999</v>
      </c>
      <c r="AU249" s="125">
        <f>AH249*Valores!$C$74</f>
        <v>-1928.3232599999997</v>
      </c>
      <c r="AV249" s="125">
        <f>AH249*Valores!$C$75</f>
        <v>-214.25813999999997</v>
      </c>
      <c r="AW249" s="125">
        <f t="shared" si="33"/>
        <v>73556.93759999999</v>
      </c>
      <c r="AX249" s="126"/>
      <c r="AY249" s="126">
        <f t="shared" si="37"/>
        <v>12</v>
      </c>
      <c r="AZ249" s="123" t="s">
        <v>4</v>
      </c>
    </row>
    <row r="250" spans="1:52" s="110" customFormat="1" ht="11.25" customHeight="1">
      <c r="A250" s="123" t="s">
        <v>471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38"/>
        <v>948</v>
      </c>
      <c r="F250" s="125">
        <f>ROUND(E250*Valores!$C$2,2)</f>
        <v>25710.9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5249.4</v>
      </c>
      <c r="N250" s="125">
        <f t="shared" si="30"/>
        <v>0</v>
      </c>
      <c r="O250" s="125">
        <f>Valores!$C$7*B250</f>
        <v>11037.119999999999</v>
      </c>
      <c r="P250" s="125">
        <f>ROUND(IF(B250&lt;15,(Valores!$E$5*B250),Valores!$D$5),2)</f>
        <v>11091.48</v>
      </c>
      <c r="Q250" s="125">
        <v>0</v>
      </c>
      <c r="R250" s="125">
        <f>IF($F$4="NO",Valores!$C$49*B250,Valores!$C$49*B250/2)</f>
        <v>5813.76</v>
      </c>
      <c r="S250" s="125">
        <f>Valores!$C$18*B250</f>
        <v>3471.3599999999997</v>
      </c>
      <c r="T250" s="125">
        <f t="shared" si="36"/>
        <v>3471.36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IF(Valores!$C$97*B250&gt;Valores!$C$96,Valores!$C$96,Valores!$C$97*B250)</f>
        <v>3359.2799999999997</v>
      </c>
      <c r="AA250" s="125">
        <f>IF((Valores!$C$28)*B250&gt;Valores!$F$28,Valores!$F$28,(Valores!$C$28)*B250)</f>
        <v>272.64</v>
      </c>
      <c r="AB250" s="214">
        <v>0</v>
      </c>
      <c r="AC250" s="125">
        <f t="shared" si="31"/>
        <v>0</v>
      </c>
      <c r="AD250" s="125">
        <f>IF(Valores!$C$29*B250&gt;Valores!$F$29,Valores!$F$29,Valores!$C$29*B250)</f>
        <v>227.04000000000002</v>
      </c>
      <c r="AE250" s="192">
        <v>94</v>
      </c>
      <c r="AF250" s="125">
        <f>ROUND(AE250*Valores!$C$2,2)</f>
        <v>2549.39</v>
      </c>
      <c r="AG250" s="125">
        <f>IF($F$4="NO",IF(Valores!$D$63*'Escala Docente'!B250&gt;Valores!$F$63,Valores!$F$63,Valores!$D$63*'Escala Docente'!B250),IF(Valores!$D$63*'Escala Docente'!B250&gt;Valores!$F$63,Valores!$F$63,Valores!$D$63*'Escala Docente'!B250)/2)</f>
        <v>5186.4</v>
      </c>
      <c r="AH250" s="125">
        <f t="shared" si="34"/>
        <v>73968.76999999999</v>
      </c>
      <c r="AI250" s="125">
        <f>IF(Valores!$C$32*B250&gt;Valores!$F$32,Valores!$F$32,Valores!$C$32*B250)</f>
        <v>0</v>
      </c>
      <c r="AJ250" s="125">
        <f>IF(Valores!$C$90*B250&gt;Valores!$C$89,Valores!$C$89,Valores!$C$90*B250)</f>
        <v>0</v>
      </c>
      <c r="AK250" s="125">
        <f>IF(Valores!C$39*B250&gt;Valores!F$38,Valores!F$38,Valores!C$39*B250)</f>
        <v>12000</v>
      </c>
      <c r="AL250" s="125">
        <f>IF($F$3="NO",0,IF(Valores!$C$62*B250&gt;Valores!$F$62,Valores!$F$62,Valores!$C$62*B250))</f>
        <v>136.2708</v>
      </c>
      <c r="AM250" s="125">
        <f t="shared" si="32"/>
        <v>12136.2708</v>
      </c>
      <c r="AN250" s="125">
        <f>AH250*Valores!$C$71</f>
        <v>-8136.564699999999</v>
      </c>
      <c r="AO250" s="125">
        <f>AH250*-Valores!$C$72</f>
        <v>0</v>
      </c>
      <c r="AP250" s="125">
        <f>AH250*Valores!$C$73</f>
        <v>-3328.5946499999995</v>
      </c>
      <c r="AQ250" s="125">
        <f>Valores!$C$100</f>
        <v>-280.91</v>
      </c>
      <c r="AR250" s="125">
        <f>IF($F$5=0,Valores!$C$101,(Valores!$C$101+$F$5*(Valores!$C$101)))</f>
        <v>-385</v>
      </c>
      <c r="AS250" s="125">
        <f t="shared" si="35"/>
        <v>73973.97145</v>
      </c>
      <c r="AT250" s="125">
        <f t="shared" si="29"/>
        <v>-8136.564699999999</v>
      </c>
      <c r="AU250" s="125">
        <f>AH250*Valores!$C$74</f>
        <v>-1997.1567899999998</v>
      </c>
      <c r="AV250" s="125">
        <f>AH250*Valores!$C$75</f>
        <v>-221.90630999999996</v>
      </c>
      <c r="AW250" s="125">
        <f t="shared" si="33"/>
        <v>75749.41299999999</v>
      </c>
      <c r="AX250" s="126"/>
      <c r="AY250" s="126">
        <f t="shared" si="37"/>
        <v>12</v>
      </c>
      <c r="AZ250" s="123" t="s">
        <v>4</v>
      </c>
    </row>
    <row r="251" spans="1:52" s="110" customFormat="1" ht="11.25" customHeight="1">
      <c r="A251" s="123" t="s">
        <v>471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38"/>
        <v>1027</v>
      </c>
      <c r="F251" s="125">
        <f>ROUND(E251*Valores!$C$2,2)</f>
        <v>27853.47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5686.85</v>
      </c>
      <c r="N251" s="125">
        <f t="shared" si="30"/>
        <v>0</v>
      </c>
      <c r="O251" s="125">
        <f>Valores!$C$7*B251</f>
        <v>11956.88</v>
      </c>
      <c r="P251" s="125">
        <f>ROUND(IF(B251&lt;15,(Valores!$E$5*B251),Valores!$D$5),2)</f>
        <v>12015.77</v>
      </c>
      <c r="Q251" s="125">
        <v>0</v>
      </c>
      <c r="R251" s="125">
        <f>IF($F$4="NO",Valores!$C$49*B251,Valores!$C$49*B251/2)</f>
        <v>6298.24</v>
      </c>
      <c r="S251" s="125">
        <f>Valores!$C$18*B251</f>
        <v>3760.6399999999994</v>
      </c>
      <c r="T251" s="125">
        <f t="shared" si="36"/>
        <v>3760.64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IF(Valores!$C$97*B251&gt;Valores!$C$96,Valores!$C$96,Valores!$C$97*B251)</f>
        <v>3639.22</v>
      </c>
      <c r="AA251" s="125">
        <f>IF((Valores!$C$28)*B251&gt;Valores!$F$28,Valores!$F$28,(Valores!$C$28)*B251)</f>
        <v>295.36</v>
      </c>
      <c r="AB251" s="214">
        <v>0</v>
      </c>
      <c r="AC251" s="125">
        <f t="shared" si="31"/>
        <v>0</v>
      </c>
      <c r="AD251" s="125">
        <f>IF(Valores!$C$29*B251&gt;Valores!$F$29,Valores!$F$29,Valores!$C$29*B251)</f>
        <v>245.96000000000004</v>
      </c>
      <c r="AE251" s="192">
        <v>0</v>
      </c>
      <c r="AF251" s="125">
        <f>ROUND(AE251*Valores!$C$2,2)</f>
        <v>0</v>
      </c>
      <c r="AG251" s="125">
        <f>IF($F$4="NO",IF(Valores!$D$63*'Escala Docente'!B251&gt;Valores!$F$63,Valores!$F$63,Valores!$D$63*'Escala Docente'!B251),IF(Valores!$D$63*'Escala Docente'!B251&gt;Valores!$F$63,Valores!$F$63,Valores!$D$63*'Escala Docente'!B251)/2)</f>
        <v>5618.599999999999</v>
      </c>
      <c r="AH251" s="125">
        <f t="shared" si="34"/>
        <v>77370.99000000002</v>
      </c>
      <c r="AI251" s="125">
        <f>IF(Valores!$C$32*B251&gt;Valores!$F$32,Valores!$F$32,Valores!$C$32*B251)</f>
        <v>0</v>
      </c>
      <c r="AJ251" s="125">
        <f>IF(Valores!$C$90*B251&gt;Valores!$C$89,Valores!$C$89,Valores!$C$90*B251)</f>
        <v>0</v>
      </c>
      <c r="AK251" s="125">
        <f>IF(Valores!C$39*B251&gt;Valores!F$38,Valores!F$38,Valores!C$39*B251)</f>
        <v>13000</v>
      </c>
      <c r="AL251" s="125">
        <f>IF($F$3="NO",0,IF(Valores!$C$62*B251&gt;Valores!$F$62,Valores!$F$62,Valores!$C$62*B251))</f>
        <v>147.6267</v>
      </c>
      <c r="AM251" s="125">
        <f t="shared" si="32"/>
        <v>13147.6267</v>
      </c>
      <c r="AN251" s="125">
        <f>AH251*Valores!$C$71</f>
        <v>-8510.808900000002</v>
      </c>
      <c r="AO251" s="125">
        <f>AH251*-Valores!$C$72</f>
        <v>0</v>
      </c>
      <c r="AP251" s="125">
        <f>AH251*Valores!$C$73</f>
        <v>-3481.6945500000006</v>
      </c>
      <c r="AQ251" s="125">
        <f>Valores!$C$100</f>
        <v>-280.91</v>
      </c>
      <c r="AR251" s="125">
        <f>IF($F$5=0,Valores!$C$101,(Valores!$C$101+$F$5*(Valores!$C$101)))</f>
        <v>-385</v>
      </c>
      <c r="AS251" s="125">
        <f t="shared" si="35"/>
        <v>77860.20325000002</v>
      </c>
      <c r="AT251" s="125">
        <f t="shared" si="29"/>
        <v>-8510.808900000002</v>
      </c>
      <c r="AU251" s="125">
        <f>AH251*Valores!$C$74</f>
        <v>-2089.0167300000007</v>
      </c>
      <c r="AV251" s="125">
        <f>AH251*Valores!$C$75</f>
        <v>-232.11297000000008</v>
      </c>
      <c r="AW251" s="125">
        <f t="shared" si="33"/>
        <v>79686.6781</v>
      </c>
      <c r="AX251" s="126"/>
      <c r="AY251" s="126">
        <f t="shared" si="37"/>
        <v>13</v>
      </c>
      <c r="AZ251" s="123" t="s">
        <v>4</v>
      </c>
    </row>
    <row r="252" spans="1:52" s="110" customFormat="1" ht="11.25" customHeight="1">
      <c r="A252" s="123" t="s">
        <v>471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38"/>
        <v>1027</v>
      </c>
      <c r="F252" s="125">
        <f>ROUND(E252*Valores!$C$2,2)</f>
        <v>27853.47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5686.85</v>
      </c>
      <c r="N252" s="125">
        <f t="shared" si="30"/>
        <v>0</v>
      </c>
      <c r="O252" s="125">
        <f>Valores!$C$7*B252</f>
        <v>11956.88</v>
      </c>
      <c r="P252" s="125">
        <f>ROUND(IF(B252&lt;15,(Valores!$E$5*B252),Valores!$D$5),2)</f>
        <v>12015.77</v>
      </c>
      <c r="Q252" s="125">
        <v>0</v>
      </c>
      <c r="R252" s="125">
        <f>IF($F$4="NO",Valores!$C$49*B252,Valores!$C$49*B252/2)</f>
        <v>6298.24</v>
      </c>
      <c r="S252" s="125">
        <f>Valores!$C$18*B252</f>
        <v>3760.6399999999994</v>
      </c>
      <c r="T252" s="125">
        <f t="shared" si="36"/>
        <v>3760.64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IF(Valores!$C$97*B252&gt;Valores!$C$96,Valores!$C$96,Valores!$C$97*B252)</f>
        <v>3639.22</v>
      </c>
      <c r="AA252" s="125">
        <f>IF((Valores!$C$28)*B252&gt;Valores!$F$28,Valores!$F$28,(Valores!$C$28)*B252)</f>
        <v>295.36</v>
      </c>
      <c r="AB252" s="214">
        <v>0</v>
      </c>
      <c r="AC252" s="125">
        <f t="shared" si="31"/>
        <v>0</v>
      </c>
      <c r="AD252" s="125">
        <f>IF(Valores!$C$29*B252&gt;Valores!$F$29,Valores!$F$29,Valores!$C$29*B252)</f>
        <v>245.96000000000004</v>
      </c>
      <c r="AE252" s="192">
        <v>94</v>
      </c>
      <c r="AF252" s="125">
        <f>ROUND(AE252*Valores!$C$2,2)</f>
        <v>2549.39</v>
      </c>
      <c r="AG252" s="125">
        <f>IF($F$4="NO",IF(Valores!$D$63*'Escala Docente'!B252&gt;Valores!$F$63,Valores!$F$63,Valores!$D$63*'Escala Docente'!B252),IF(Valores!$D$63*'Escala Docente'!B252&gt;Valores!$F$63,Valores!$F$63,Valores!$D$63*'Escala Docente'!B252)/2)</f>
        <v>5618.599999999999</v>
      </c>
      <c r="AH252" s="125">
        <f t="shared" si="34"/>
        <v>79920.38000000002</v>
      </c>
      <c r="AI252" s="125">
        <f>IF(Valores!$C$32*B252&gt;Valores!$F$32,Valores!$F$32,Valores!$C$32*B252)</f>
        <v>0</v>
      </c>
      <c r="AJ252" s="125">
        <f>IF(Valores!$C$90*B252&gt;Valores!$C$89,Valores!$C$89,Valores!$C$90*B252)</f>
        <v>0</v>
      </c>
      <c r="AK252" s="125">
        <f>IF(Valores!C$39*B252&gt;Valores!F$38,Valores!F$38,Valores!C$39*B252)</f>
        <v>13000</v>
      </c>
      <c r="AL252" s="125">
        <f>IF($F$3="NO",0,IF(Valores!$C$62*B252&gt;Valores!$F$62,Valores!$F$62,Valores!$C$62*B252))</f>
        <v>147.6267</v>
      </c>
      <c r="AM252" s="125">
        <f t="shared" si="32"/>
        <v>13147.6267</v>
      </c>
      <c r="AN252" s="125">
        <f>AH252*Valores!$C$71</f>
        <v>-8791.241800000002</v>
      </c>
      <c r="AO252" s="125">
        <f>AH252*-Valores!$C$72</f>
        <v>0</v>
      </c>
      <c r="AP252" s="125">
        <f>AH252*Valores!$C$73</f>
        <v>-3596.4171000000006</v>
      </c>
      <c r="AQ252" s="125">
        <f>Valores!$C$100</f>
        <v>-280.91</v>
      </c>
      <c r="AR252" s="125">
        <f>IF($F$5=0,Valores!$C$101,(Valores!$C$101+$F$5*(Valores!$C$101)))</f>
        <v>-385</v>
      </c>
      <c r="AS252" s="125">
        <f t="shared" si="35"/>
        <v>80014.43780000001</v>
      </c>
      <c r="AT252" s="125">
        <f t="shared" si="29"/>
        <v>-8791.241800000002</v>
      </c>
      <c r="AU252" s="125">
        <f>AH252*Valores!$C$74</f>
        <v>-2157.8502600000006</v>
      </c>
      <c r="AV252" s="125">
        <f>AH252*Valores!$C$75</f>
        <v>-239.76114000000007</v>
      </c>
      <c r="AW252" s="125">
        <f t="shared" si="33"/>
        <v>81879.15350000003</v>
      </c>
      <c r="AX252" s="126"/>
      <c r="AY252" s="126">
        <f t="shared" si="37"/>
        <v>13</v>
      </c>
      <c r="AZ252" s="123" t="s">
        <v>4</v>
      </c>
    </row>
    <row r="253" spans="1:52" s="110" customFormat="1" ht="11.25" customHeight="1">
      <c r="A253" s="123" t="s">
        <v>471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38"/>
        <v>1106</v>
      </c>
      <c r="F253" s="125">
        <f>ROUND(E253*Valores!$C$2,2)</f>
        <v>29996.05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6124.3</v>
      </c>
      <c r="N253" s="125">
        <f t="shared" si="30"/>
        <v>0</v>
      </c>
      <c r="O253" s="125">
        <f>Valores!$C$7*B253</f>
        <v>12876.64</v>
      </c>
      <c r="P253" s="125">
        <f>ROUND(IF(B253&lt;15,(Valores!$E$5*B253),Valores!$D$5),2)</f>
        <v>12940.06</v>
      </c>
      <c r="Q253" s="125">
        <v>0</v>
      </c>
      <c r="R253" s="125">
        <f>IF($F$4="NO",Valores!$C$49*B253,Valores!$C$49*B253/2)</f>
        <v>6782.72</v>
      </c>
      <c r="S253" s="125">
        <f>Valores!$C$18*B253</f>
        <v>4049.9199999999996</v>
      </c>
      <c r="T253" s="125">
        <f t="shared" si="36"/>
        <v>4049.92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IF(Valores!$C$97*B253&gt;Valores!$C$96,Valores!$C$96,Valores!$C$97*B253)</f>
        <v>3919.16</v>
      </c>
      <c r="AA253" s="125">
        <f>IF((Valores!$C$28)*B253&gt;Valores!$F$28,Valores!$F$28,(Valores!$C$28)*B253)</f>
        <v>318.08</v>
      </c>
      <c r="AB253" s="214">
        <v>0</v>
      </c>
      <c r="AC253" s="125">
        <f t="shared" si="31"/>
        <v>0</v>
      </c>
      <c r="AD253" s="125">
        <f>IF(Valores!$C$29*B253&gt;Valores!$F$29,Valores!$F$29,Valores!$C$29*B253)</f>
        <v>264.88</v>
      </c>
      <c r="AE253" s="192">
        <v>0</v>
      </c>
      <c r="AF253" s="125">
        <f>ROUND(AE253*Valores!$C$2,2)</f>
        <v>0</v>
      </c>
      <c r="AG253" s="125">
        <f>IF($F$4="NO",IF(Valores!$D$63*'Escala Docente'!B253&gt;Valores!$F$63,Valores!$F$63,Valores!$D$63*'Escala Docente'!B253),IF(Valores!$D$63*'Escala Docente'!B253&gt;Valores!$F$63,Valores!$F$63,Valores!$D$63*'Escala Docente'!B253)/2)</f>
        <v>6050.8</v>
      </c>
      <c r="AH253" s="125">
        <f t="shared" si="34"/>
        <v>83322.61</v>
      </c>
      <c r="AI253" s="125">
        <f>IF(Valores!$C$32*B253&gt;Valores!$F$32,Valores!$F$32,Valores!$C$32*B253)</f>
        <v>0</v>
      </c>
      <c r="AJ253" s="125">
        <f>IF(Valores!$C$90*B253&gt;Valores!$C$89,Valores!$C$89,Valores!$C$90*B253)</f>
        <v>0</v>
      </c>
      <c r="AK253" s="125">
        <f>IF(Valores!C$39*B253&gt;Valores!F$38,Valores!F$38,Valores!C$39*B253)</f>
        <v>14000</v>
      </c>
      <c r="AL253" s="125">
        <f>IF($F$3="NO",0,IF(Valores!$C$62*B253&gt;Valores!$F$62,Valores!$F$62,Valores!$C$62*B253))</f>
        <v>158.9826</v>
      </c>
      <c r="AM253" s="125">
        <f t="shared" si="32"/>
        <v>14158.9826</v>
      </c>
      <c r="AN253" s="125">
        <f>AH253*Valores!$C$71</f>
        <v>-9165.4871</v>
      </c>
      <c r="AO253" s="125">
        <f>AH253*-Valores!$C$72</f>
        <v>0</v>
      </c>
      <c r="AP253" s="125">
        <f>AH253*Valores!$C$73</f>
        <v>-3749.51745</v>
      </c>
      <c r="AQ253" s="125">
        <f>Valores!$C$100</f>
        <v>-280.91</v>
      </c>
      <c r="AR253" s="125">
        <f>IF($F$5=0,Valores!$C$101,(Valores!$C$101+$F$5*(Valores!$C$101)))</f>
        <v>-385</v>
      </c>
      <c r="AS253" s="125">
        <f t="shared" si="35"/>
        <v>83900.67805</v>
      </c>
      <c r="AT253" s="125">
        <f t="shared" si="29"/>
        <v>-9165.4871</v>
      </c>
      <c r="AU253" s="125">
        <f>AH253*Valores!$C$74</f>
        <v>-2249.71047</v>
      </c>
      <c r="AV253" s="125">
        <f>AH253*Valores!$C$75</f>
        <v>-249.96783000000002</v>
      </c>
      <c r="AW253" s="125">
        <f t="shared" si="33"/>
        <v>85816.4272</v>
      </c>
      <c r="AX253" s="126"/>
      <c r="AY253" s="126">
        <f t="shared" si="37"/>
        <v>14</v>
      </c>
      <c r="AZ253" s="123" t="s">
        <v>4</v>
      </c>
    </row>
    <row r="254" spans="1:52" s="110" customFormat="1" ht="11.25" customHeight="1">
      <c r="A254" s="123" t="s">
        <v>471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38"/>
        <v>1106</v>
      </c>
      <c r="F254" s="125">
        <f>ROUND(E254*Valores!$C$2,2)</f>
        <v>29996.05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6124.3</v>
      </c>
      <c r="N254" s="125">
        <f t="shared" si="30"/>
        <v>0</v>
      </c>
      <c r="O254" s="125">
        <f>Valores!$C$7*B254</f>
        <v>12876.64</v>
      </c>
      <c r="P254" s="125">
        <f>ROUND(IF(B254&lt;15,(Valores!$E$5*B254),Valores!$D$5),2)</f>
        <v>12940.06</v>
      </c>
      <c r="Q254" s="125">
        <v>0</v>
      </c>
      <c r="R254" s="125">
        <f>IF($F$4="NO",Valores!$C$49*B254,Valores!$C$49*B254/2)</f>
        <v>6782.72</v>
      </c>
      <c r="S254" s="125">
        <f>Valores!$C$18*B254</f>
        <v>4049.9199999999996</v>
      </c>
      <c r="T254" s="125">
        <f t="shared" si="36"/>
        <v>4049.92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IF(Valores!$C$97*B254&gt;Valores!$C$96,Valores!$C$96,Valores!$C$97*B254)</f>
        <v>3919.16</v>
      </c>
      <c r="AA254" s="125">
        <f>IF((Valores!$C$28)*B254&gt;Valores!$F$28,Valores!$F$28,(Valores!$C$28)*B254)</f>
        <v>318.08</v>
      </c>
      <c r="AB254" s="214">
        <v>0</v>
      </c>
      <c r="AC254" s="125">
        <f t="shared" si="31"/>
        <v>0</v>
      </c>
      <c r="AD254" s="125">
        <f>IF(Valores!$C$29*B254&gt;Valores!$F$29,Valores!$F$29,Valores!$C$29*B254)</f>
        <v>264.88</v>
      </c>
      <c r="AE254" s="192">
        <v>94</v>
      </c>
      <c r="AF254" s="125">
        <f>ROUND(AE254*Valores!$C$2,2)</f>
        <v>2549.39</v>
      </c>
      <c r="AG254" s="125">
        <f>IF($F$4="NO",IF(Valores!$D$63*'Escala Docente'!B254&gt;Valores!$F$63,Valores!$F$63,Valores!$D$63*'Escala Docente'!B254),IF(Valores!$D$63*'Escala Docente'!B254&gt;Valores!$F$63,Valores!$F$63,Valores!$D$63*'Escala Docente'!B254)/2)</f>
        <v>6050.8</v>
      </c>
      <c r="AH254" s="125">
        <f t="shared" si="34"/>
        <v>85872</v>
      </c>
      <c r="AI254" s="125">
        <f>IF(Valores!$C$32*B254&gt;Valores!$F$32,Valores!$F$32,Valores!$C$32*B254)</f>
        <v>0</v>
      </c>
      <c r="AJ254" s="125">
        <f>IF(Valores!$C$90*B254&gt;Valores!$C$89,Valores!$C$89,Valores!$C$90*B254)</f>
        <v>0</v>
      </c>
      <c r="AK254" s="125">
        <f>IF(Valores!C$39*B254&gt;Valores!F$38,Valores!F$38,Valores!C$39*B254)</f>
        <v>14000</v>
      </c>
      <c r="AL254" s="125">
        <f>IF($F$3="NO",0,IF(Valores!$C$62*B254&gt;Valores!$F$62,Valores!$F$62,Valores!$C$62*B254))</f>
        <v>158.9826</v>
      </c>
      <c r="AM254" s="125">
        <f t="shared" si="32"/>
        <v>14158.9826</v>
      </c>
      <c r="AN254" s="125">
        <f>AH254*Valores!$C$71</f>
        <v>-9445.92</v>
      </c>
      <c r="AO254" s="125">
        <f>AH254*-Valores!$C$72</f>
        <v>0</v>
      </c>
      <c r="AP254" s="125">
        <f>AH254*Valores!$C$73</f>
        <v>-3864.24</v>
      </c>
      <c r="AQ254" s="125">
        <f>Valores!$C$100</f>
        <v>-280.91</v>
      </c>
      <c r="AR254" s="125">
        <f>IF($F$5=0,Valores!$C$101,(Valores!$C$101+$F$5*(Valores!$C$101)))</f>
        <v>-385</v>
      </c>
      <c r="AS254" s="125">
        <f t="shared" si="35"/>
        <v>86054.9126</v>
      </c>
      <c r="AT254" s="125">
        <f t="shared" si="29"/>
        <v>-9445.92</v>
      </c>
      <c r="AU254" s="125">
        <f>AH254*Valores!$C$74</f>
        <v>-2318.544</v>
      </c>
      <c r="AV254" s="125">
        <f>AH254*Valores!$C$75</f>
        <v>-257.616</v>
      </c>
      <c r="AW254" s="125">
        <f t="shared" si="33"/>
        <v>88008.9026</v>
      </c>
      <c r="AX254" s="126"/>
      <c r="AY254" s="126">
        <f t="shared" si="37"/>
        <v>14</v>
      </c>
      <c r="AZ254" s="123" t="s">
        <v>4</v>
      </c>
    </row>
    <row r="255" spans="1:52" s="110" customFormat="1" ht="11.25" customHeight="1">
      <c r="A255" s="123" t="s">
        <v>471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38"/>
        <v>1185</v>
      </c>
      <c r="F255" s="125">
        <f>ROUND(E255*Valores!$C$2,2)</f>
        <v>32138.62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6561.75</v>
      </c>
      <c r="N255" s="125">
        <f t="shared" si="30"/>
        <v>0</v>
      </c>
      <c r="O255" s="125">
        <f>Valores!$C$7*B255</f>
        <v>13796.4</v>
      </c>
      <c r="P255" s="125">
        <f>ROUND(IF(B255&lt;15,(Valores!$E$5*B255),Valores!$D$5),2)</f>
        <v>13864.36</v>
      </c>
      <c r="Q255" s="125">
        <v>0</v>
      </c>
      <c r="R255" s="125">
        <f>IF($F$4="NO",Valores!$C$49*B255,Valores!$C$49*B255/2)</f>
        <v>7267.200000000001</v>
      </c>
      <c r="S255" s="125">
        <f>Valores!$C$18*B255</f>
        <v>4339.2</v>
      </c>
      <c r="T255" s="125">
        <f t="shared" si="36"/>
        <v>4339.2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IF(Valores!$C$97*B255&gt;Valores!$C$96,Valores!$C$96,Valores!$C$97*B255)</f>
        <v>4199.1</v>
      </c>
      <c r="AA255" s="125">
        <f>IF((Valores!$C$28)*B255&gt;Valores!$F$28,Valores!$F$28,(Valores!$C$28)*B255)</f>
        <v>340.79999999999995</v>
      </c>
      <c r="AB255" s="214">
        <v>0</v>
      </c>
      <c r="AC255" s="125">
        <f t="shared" si="31"/>
        <v>0</v>
      </c>
      <c r="AD255" s="125">
        <f>IF(Valores!$C$29*B255&gt;Valores!$F$29,Valores!$F$29,Valores!$C$29*B255)</f>
        <v>283.8</v>
      </c>
      <c r="AE255" s="192">
        <v>0</v>
      </c>
      <c r="AF255" s="125">
        <f>ROUND(AE255*Valores!$C$2,2)</f>
        <v>0</v>
      </c>
      <c r="AG255" s="125">
        <f>IF($F$4="NO",IF(Valores!$D$63*'Escala Docente'!B255&gt;Valores!$F$63,Valores!$F$63,Valores!$D$63*'Escala Docente'!B255),IF(Valores!$D$63*'Escala Docente'!B255&gt;Valores!$F$63,Valores!$F$63,Valores!$D$63*'Escala Docente'!B255)/2)</f>
        <v>6483</v>
      </c>
      <c r="AH255" s="125">
        <f t="shared" si="34"/>
        <v>89274.23000000001</v>
      </c>
      <c r="AI255" s="125">
        <f>IF(Valores!$C$32*B255&gt;Valores!$F$32,Valores!$F$32,Valores!$C$32*B255)</f>
        <v>0</v>
      </c>
      <c r="AJ255" s="125">
        <f>IF(Valores!$C$90*B255&gt;Valores!$C$89,Valores!$C$89,Valores!$C$90*B255)</f>
        <v>0</v>
      </c>
      <c r="AK255" s="125">
        <f>IF(Valores!C$39*B255&gt;Valores!F$38,Valores!F$38,Valores!C$39*B255)</f>
        <v>15000</v>
      </c>
      <c r="AL255" s="125">
        <f>IF($F$3="NO",0,IF(Valores!$C$62*B255&gt;Valores!$F$62,Valores!$F$62,Valores!$C$62*B255))</f>
        <v>170.3385</v>
      </c>
      <c r="AM255" s="125">
        <f t="shared" si="32"/>
        <v>15170.3385</v>
      </c>
      <c r="AN255" s="125">
        <f>AH255*Valores!$C$71</f>
        <v>-9820.1653</v>
      </c>
      <c r="AO255" s="125">
        <f>AH255*-Valores!$C$72</f>
        <v>0</v>
      </c>
      <c r="AP255" s="125">
        <f>AH255*Valores!$C$73</f>
        <v>-4017.3403500000004</v>
      </c>
      <c r="AQ255" s="125">
        <f>Valores!$C$100</f>
        <v>-280.91</v>
      </c>
      <c r="AR255" s="125">
        <f>IF($F$5=0,Valores!$C$101,(Valores!$C$101+$F$5*(Valores!$C$101)))</f>
        <v>-385</v>
      </c>
      <c r="AS255" s="125">
        <f t="shared" si="35"/>
        <v>89941.15285000001</v>
      </c>
      <c r="AT255" s="125">
        <f t="shared" si="29"/>
        <v>-9820.1653</v>
      </c>
      <c r="AU255" s="125">
        <f>AH255*Valores!$C$74</f>
        <v>-2410.40421</v>
      </c>
      <c r="AV255" s="125">
        <f>AH255*Valores!$C$75</f>
        <v>-267.82269</v>
      </c>
      <c r="AW255" s="125">
        <f t="shared" si="33"/>
        <v>91946.1763</v>
      </c>
      <c r="AX255" s="126"/>
      <c r="AY255" s="126">
        <f aca="true" t="shared" si="39" ref="AY255:AY286">1*B255</f>
        <v>15</v>
      </c>
      <c r="AZ255" s="123" t="s">
        <v>4</v>
      </c>
    </row>
    <row r="256" spans="1:52" s="110" customFormat="1" ht="11.25" customHeight="1">
      <c r="A256" s="123" t="s">
        <v>471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38"/>
        <v>1185</v>
      </c>
      <c r="F256" s="125">
        <f>ROUND(E256*Valores!$C$2,2)</f>
        <v>32138.62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6561.75</v>
      </c>
      <c r="N256" s="125">
        <f t="shared" si="30"/>
        <v>0</v>
      </c>
      <c r="O256" s="125">
        <f>Valores!$C$7*B256</f>
        <v>13796.4</v>
      </c>
      <c r="P256" s="125">
        <f>ROUND(IF(B256&lt;15,(Valores!$E$5*B256),Valores!$D$5),2)</f>
        <v>13864.36</v>
      </c>
      <c r="Q256" s="125">
        <v>0</v>
      </c>
      <c r="R256" s="125">
        <f>IF($F$4="NO",Valores!$C$49*B256,Valores!$C$49*B256/2)</f>
        <v>7267.200000000001</v>
      </c>
      <c r="S256" s="125">
        <f>Valores!$C$18*B256</f>
        <v>4339.2</v>
      </c>
      <c r="T256" s="125">
        <f t="shared" si="36"/>
        <v>4339.2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IF(Valores!$C$97*B256&gt;Valores!$C$96,Valores!$C$96,Valores!$C$97*B256)</f>
        <v>4199.1</v>
      </c>
      <c r="AA256" s="125">
        <f>IF((Valores!$C$28)*B256&gt;Valores!$F$28,Valores!$F$28,(Valores!$C$28)*B256)</f>
        <v>340.79999999999995</v>
      </c>
      <c r="AB256" s="214">
        <v>0</v>
      </c>
      <c r="AC256" s="125">
        <f t="shared" si="31"/>
        <v>0</v>
      </c>
      <c r="AD256" s="125">
        <f>IF(Valores!$C$29*B256&gt;Valores!$F$29,Valores!$F$29,Valores!$C$29*B256)</f>
        <v>283.8</v>
      </c>
      <c r="AE256" s="192">
        <v>94</v>
      </c>
      <c r="AF256" s="125">
        <f>ROUND(AE256*Valores!$C$2,2)</f>
        <v>2549.39</v>
      </c>
      <c r="AG256" s="125">
        <f>IF($F$4="NO",IF(Valores!$D$63*'Escala Docente'!B256&gt;Valores!$F$63,Valores!$F$63,Valores!$D$63*'Escala Docente'!B256),IF(Valores!$D$63*'Escala Docente'!B256&gt;Valores!$F$63,Valores!$F$63,Valores!$D$63*'Escala Docente'!B256)/2)</f>
        <v>6483</v>
      </c>
      <c r="AH256" s="125">
        <f t="shared" si="34"/>
        <v>91823.62000000001</v>
      </c>
      <c r="AI256" s="125">
        <f>IF(Valores!$C$32*B256&gt;Valores!$F$32,Valores!$F$32,Valores!$C$32*B256)</f>
        <v>0</v>
      </c>
      <c r="AJ256" s="125">
        <f>IF(Valores!$C$90*B256&gt;Valores!$C$89,Valores!$C$89,Valores!$C$90*B256)</f>
        <v>0</v>
      </c>
      <c r="AK256" s="125">
        <f>IF(Valores!C$39*B256&gt;Valores!F$38,Valores!F$38,Valores!C$39*B256)</f>
        <v>15000</v>
      </c>
      <c r="AL256" s="125">
        <f>IF($F$3="NO",0,IF(Valores!$C$62*B256&gt;Valores!$F$62,Valores!$F$62,Valores!$C$62*B256))</f>
        <v>170.3385</v>
      </c>
      <c r="AM256" s="125">
        <f t="shared" si="32"/>
        <v>15170.3385</v>
      </c>
      <c r="AN256" s="125">
        <f>AH256*Valores!$C$71</f>
        <v>-10100.5982</v>
      </c>
      <c r="AO256" s="125">
        <f>AH256*-Valores!$C$72</f>
        <v>0</v>
      </c>
      <c r="AP256" s="125">
        <f>AH256*Valores!$C$73</f>
        <v>-4132.0629</v>
      </c>
      <c r="AQ256" s="125">
        <f>Valores!$C$100</f>
        <v>-280.91</v>
      </c>
      <c r="AR256" s="125">
        <f>IF($F$5=0,Valores!$C$101,(Valores!$C$101+$F$5*(Valores!$C$101)))</f>
        <v>-385</v>
      </c>
      <c r="AS256" s="125">
        <f t="shared" si="35"/>
        <v>92095.3874</v>
      </c>
      <c r="AT256" s="125">
        <f t="shared" si="29"/>
        <v>-10100.5982</v>
      </c>
      <c r="AU256" s="125">
        <f>AH256*Valores!$C$74</f>
        <v>-2479.23774</v>
      </c>
      <c r="AV256" s="125">
        <f>AH256*Valores!$C$75</f>
        <v>-275.47086</v>
      </c>
      <c r="AW256" s="125">
        <f t="shared" si="33"/>
        <v>94138.6517</v>
      </c>
      <c r="AX256" s="126"/>
      <c r="AY256" s="126">
        <f t="shared" si="39"/>
        <v>15</v>
      </c>
      <c r="AZ256" s="123" t="s">
        <v>4</v>
      </c>
    </row>
    <row r="257" spans="1:52" s="110" customFormat="1" ht="11.25" customHeight="1">
      <c r="A257" s="123" t="s">
        <v>471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38"/>
        <v>1264</v>
      </c>
      <c r="F257" s="125">
        <f>ROUND(E257*Valores!$C$2,2)</f>
        <v>34281.2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6999.2</v>
      </c>
      <c r="N257" s="125">
        <f t="shared" si="30"/>
        <v>0</v>
      </c>
      <c r="O257" s="125">
        <f>Valores!$C$7*B257</f>
        <v>14716.16</v>
      </c>
      <c r="P257" s="125">
        <f>ROUND(IF(B257&lt;15,(Valores!$E$5*B257),Valores!$D$5),2)</f>
        <v>13864.36</v>
      </c>
      <c r="Q257" s="125">
        <v>0</v>
      </c>
      <c r="R257" s="125">
        <f>IF($F$4="NO",Valores!$C$49*B257,Valores!$C$49*B257/2)</f>
        <v>7751.68</v>
      </c>
      <c r="S257" s="125">
        <f>Valores!$C$18*B257</f>
        <v>4628.48</v>
      </c>
      <c r="T257" s="125">
        <f t="shared" si="36"/>
        <v>4628.48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IF(Valores!$C$97*B257&gt;Valores!$C$96,Valores!$C$96,Valores!$C$97*B257)</f>
        <v>4479.04</v>
      </c>
      <c r="AA257" s="125">
        <f>IF((Valores!$C$28)*B257&gt;Valores!$F$28,Valores!$F$28,(Valores!$C$28)*B257)</f>
        <v>363.52</v>
      </c>
      <c r="AB257" s="214">
        <v>0</v>
      </c>
      <c r="AC257" s="125">
        <f t="shared" si="31"/>
        <v>0</v>
      </c>
      <c r="AD257" s="125">
        <f>IF(Valores!$C$29*B257&gt;Valores!$F$29,Valores!$F$29,Valores!$C$29*B257)</f>
        <v>302.72</v>
      </c>
      <c r="AE257" s="192">
        <v>0</v>
      </c>
      <c r="AF257" s="125">
        <f>ROUND(AE257*Valores!$C$2,2)</f>
        <v>0</v>
      </c>
      <c r="AG257" s="125">
        <f>IF($F$4="NO",IF(Valores!$D$63*'Escala Docente'!B257&gt;Valores!$F$63,Valores!$F$63,Valores!$D$63*'Escala Docente'!B257),IF(Valores!$D$63*'Escala Docente'!B257&gt;Valores!$F$63,Valores!$F$63,Valores!$D$63*'Escala Docente'!B257)/2)</f>
        <v>6915.2</v>
      </c>
      <c r="AH257" s="125">
        <f t="shared" si="34"/>
        <v>94301.56</v>
      </c>
      <c r="AI257" s="125">
        <f>IF(Valores!$C$32*B257&gt;Valores!$F$32,Valores!$F$32,Valores!$C$32*B257)</f>
        <v>0</v>
      </c>
      <c r="AJ257" s="125">
        <f>IF(Valores!$C$90*B257&gt;Valores!$C$89,Valores!$C$89,Valores!$C$90*B257)</f>
        <v>0</v>
      </c>
      <c r="AK257" s="125">
        <f>IF(Valores!C$39*B257&gt;Valores!F$38,Valores!F$38,Valores!C$39*B257)</f>
        <v>16000</v>
      </c>
      <c r="AL257" s="125">
        <f>IF($F$3="NO",0,IF(Valores!$C$62*B257&gt;Valores!$F$62,Valores!$F$62,Valores!$C$62*B257))</f>
        <v>181.6944</v>
      </c>
      <c r="AM257" s="125">
        <f t="shared" si="32"/>
        <v>16181.6944</v>
      </c>
      <c r="AN257" s="125">
        <f>AH257*Valores!$C$71</f>
        <v>-10373.1716</v>
      </c>
      <c r="AO257" s="125">
        <f>AH257*-Valores!$C$72</f>
        <v>0</v>
      </c>
      <c r="AP257" s="125">
        <f>AH257*Valores!$C$73</f>
        <v>-4243.5702</v>
      </c>
      <c r="AQ257" s="125">
        <f>Valores!$C$100</f>
        <v>-280.91</v>
      </c>
      <c r="AR257" s="125">
        <f>IF($F$5=0,Valores!$C$101,(Valores!$C$101+$F$5*(Valores!$C$101)))</f>
        <v>-385</v>
      </c>
      <c r="AS257" s="125">
        <f t="shared" si="35"/>
        <v>95200.6026</v>
      </c>
      <c r="AT257" s="125">
        <f t="shared" si="29"/>
        <v>-10373.1716</v>
      </c>
      <c r="AU257" s="125">
        <f>AH257*Valores!$C$74</f>
        <v>-2546.14212</v>
      </c>
      <c r="AV257" s="125">
        <f>AH257*Valores!$C$75</f>
        <v>-282.90468</v>
      </c>
      <c r="AW257" s="125">
        <f t="shared" si="33"/>
        <v>97281.03600000001</v>
      </c>
      <c r="AX257" s="126"/>
      <c r="AY257" s="126">
        <f t="shared" si="39"/>
        <v>16</v>
      </c>
      <c r="AZ257" s="123" t="s">
        <v>4</v>
      </c>
    </row>
    <row r="258" spans="1:52" s="110" customFormat="1" ht="11.25" customHeight="1">
      <c r="A258" s="123" t="s">
        <v>471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38"/>
        <v>1264</v>
      </c>
      <c r="F258" s="125">
        <f>ROUND(E258*Valores!$C$2,2)</f>
        <v>34281.2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6999.2</v>
      </c>
      <c r="N258" s="125">
        <f t="shared" si="30"/>
        <v>0</v>
      </c>
      <c r="O258" s="125">
        <f>Valores!$C$7*B258</f>
        <v>14716.16</v>
      </c>
      <c r="P258" s="125">
        <f>ROUND(IF(B258&lt;15,(Valores!$E$5*B258),Valores!$D$5),2)</f>
        <v>13864.36</v>
      </c>
      <c r="Q258" s="125">
        <v>0</v>
      </c>
      <c r="R258" s="125">
        <f>IF($F$4="NO",Valores!$C$49*B258,Valores!$C$49*B258/2)</f>
        <v>7751.68</v>
      </c>
      <c r="S258" s="125">
        <f>Valores!$C$18*B258</f>
        <v>4628.48</v>
      </c>
      <c r="T258" s="125">
        <f t="shared" si="36"/>
        <v>4628.48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IF(Valores!$C$97*B258&gt;Valores!$C$96,Valores!$C$96,Valores!$C$97*B258)</f>
        <v>4479.04</v>
      </c>
      <c r="AA258" s="125">
        <f>IF((Valores!$C$28)*B258&gt;Valores!$F$28,Valores!$F$28,(Valores!$C$28)*B258)</f>
        <v>363.52</v>
      </c>
      <c r="AB258" s="214">
        <v>0</v>
      </c>
      <c r="AC258" s="125">
        <f t="shared" si="31"/>
        <v>0</v>
      </c>
      <c r="AD258" s="125">
        <f>IF(Valores!$C$29*B258&gt;Valores!$F$29,Valores!$F$29,Valores!$C$29*B258)</f>
        <v>302.72</v>
      </c>
      <c r="AE258" s="192">
        <v>94</v>
      </c>
      <c r="AF258" s="125">
        <f>ROUND(AE258*Valores!$C$2,2)</f>
        <v>2549.39</v>
      </c>
      <c r="AG258" s="125">
        <f>IF($F$4="NO",IF(Valores!$D$63*'Escala Docente'!B258&gt;Valores!$F$63,Valores!$F$63,Valores!$D$63*'Escala Docente'!B258),IF(Valores!$D$63*'Escala Docente'!B258&gt;Valores!$F$63,Valores!$F$63,Valores!$D$63*'Escala Docente'!B258)/2)</f>
        <v>6915.2</v>
      </c>
      <c r="AH258" s="125">
        <f t="shared" si="34"/>
        <v>96850.95</v>
      </c>
      <c r="AI258" s="125">
        <f>IF(Valores!$C$32*B258&gt;Valores!$F$32,Valores!$F$32,Valores!$C$32*B258)</f>
        <v>0</v>
      </c>
      <c r="AJ258" s="125">
        <f>IF(Valores!$C$90*B258&gt;Valores!$C$89,Valores!$C$89,Valores!$C$90*B258)</f>
        <v>0</v>
      </c>
      <c r="AK258" s="125">
        <f>IF(Valores!C$39*B258&gt;Valores!F$38,Valores!F$38,Valores!C$39*B258)</f>
        <v>16000</v>
      </c>
      <c r="AL258" s="125">
        <f>IF($F$3="NO",0,IF(Valores!$C$62*B258&gt;Valores!$F$62,Valores!$F$62,Valores!$C$62*B258))</f>
        <v>181.6944</v>
      </c>
      <c r="AM258" s="125">
        <f t="shared" si="32"/>
        <v>16181.6944</v>
      </c>
      <c r="AN258" s="125">
        <f>AH258*Valores!$C$71</f>
        <v>-10653.6045</v>
      </c>
      <c r="AO258" s="125">
        <f>AH258*-Valores!$C$72</f>
        <v>0</v>
      </c>
      <c r="AP258" s="125">
        <f>AH258*Valores!$C$73</f>
        <v>-4358.29275</v>
      </c>
      <c r="AQ258" s="125">
        <f>Valores!$C$100</f>
        <v>-280.91</v>
      </c>
      <c r="AR258" s="125">
        <f>IF($F$5=0,Valores!$C$101,(Valores!$C$101+$F$5*(Valores!$C$101)))</f>
        <v>-385</v>
      </c>
      <c r="AS258" s="125">
        <f t="shared" si="35"/>
        <v>97354.83714999999</v>
      </c>
      <c r="AT258" s="125">
        <f t="shared" si="29"/>
        <v>-10653.6045</v>
      </c>
      <c r="AU258" s="125">
        <f>AH258*Valores!$C$74</f>
        <v>-2614.97565</v>
      </c>
      <c r="AV258" s="125">
        <f>AH258*Valores!$C$75</f>
        <v>-290.55285</v>
      </c>
      <c r="AW258" s="125">
        <f t="shared" si="33"/>
        <v>99473.51139999999</v>
      </c>
      <c r="AX258" s="126"/>
      <c r="AY258" s="126">
        <f t="shared" si="39"/>
        <v>16</v>
      </c>
      <c r="AZ258" s="123" t="s">
        <v>4</v>
      </c>
    </row>
    <row r="259" spans="1:52" s="110" customFormat="1" ht="11.25" customHeight="1">
      <c r="A259" s="123" t="s">
        <v>471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0" ref="E259:E290">79*B259</f>
        <v>1343</v>
      </c>
      <c r="F259" s="125">
        <f>ROUND(E259*Valores!$C$2,2)</f>
        <v>36423.77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7436.65</v>
      </c>
      <c r="N259" s="125">
        <f t="shared" si="30"/>
        <v>0</v>
      </c>
      <c r="O259" s="125">
        <f>Valores!$C$7*B259</f>
        <v>15635.92</v>
      </c>
      <c r="P259" s="125">
        <f>ROUND(IF(B259&lt;15,(Valores!$E$5*B259),Valores!$D$5),2)</f>
        <v>13864.36</v>
      </c>
      <c r="Q259" s="125">
        <v>0</v>
      </c>
      <c r="R259" s="125">
        <f>IF($F$4="NO",Valores!$C$49*B259,Valores!$C$49*B259/2)</f>
        <v>8236.16</v>
      </c>
      <c r="S259" s="125">
        <f>Valores!$C$18*B259</f>
        <v>4917.759999999999</v>
      </c>
      <c r="T259" s="125">
        <f t="shared" si="36"/>
        <v>4917.76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IF(Valores!$C$97*B259&gt;Valores!$C$96,Valores!$C$96,Valores!$C$97*B259)</f>
        <v>4758.98</v>
      </c>
      <c r="AA259" s="125">
        <f>IF((Valores!$C$28)*B259&gt;Valores!$F$28,Valores!$F$28,(Valores!$C$28)*B259)</f>
        <v>386.24</v>
      </c>
      <c r="AB259" s="214">
        <v>0</v>
      </c>
      <c r="AC259" s="125">
        <f t="shared" si="31"/>
        <v>0</v>
      </c>
      <c r="AD259" s="125">
        <f>IF(Valores!$C$29*B259&gt;Valores!$F$29,Valores!$F$29,Valores!$C$29*B259)</f>
        <v>321.64000000000004</v>
      </c>
      <c r="AE259" s="192">
        <v>0</v>
      </c>
      <c r="AF259" s="125">
        <f>ROUND(AE259*Valores!$C$2,2)</f>
        <v>0</v>
      </c>
      <c r="AG259" s="125">
        <f>IF($F$4="NO",IF(Valores!$D$63*'Escala Docente'!B259&gt;Valores!$F$63,Valores!$F$63,Valores!$D$63*'Escala Docente'!B259),IF(Valores!$D$63*'Escala Docente'!B259&gt;Valores!$F$63,Valores!$F$63,Valores!$D$63*'Escala Docente'!B259)/2)</f>
        <v>7347.4</v>
      </c>
      <c r="AH259" s="125">
        <f t="shared" si="34"/>
        <v>99328.87999999999</v>
      </c>
      <c r="AI259" s="125">
        <f>IF(Valores!$C$32*B259&gt;Valores!$F$32,Valores!$F$32,Valores!$C$32*B259)</f>
        <v>0</v>
      </c>
      <c r="AJ259" s="125">
        <f>IF(Valores!$C$90*B259&gt;Valores!$C$89,Valores!$C$89,Valores!$C$90*B259)</f>
        <v>0</v>
      </c>
      <c r="AK259" s="125">
        <f>IF(Valores!C$39*B259&gt;Valores!F$38,Valores!F$38,Valores!C$39*B259)</f>
        <v>17000</v>
      </c>
      <c r="AL259" s="125">
        <f>IF($F$3="NO",0,IF(Valores!$C$62*B259&gt;Valores!$F$62,Valores!$F$62,Valores!$C$62*B259))</f>
        <v>193.0503</v>
      </c>
      <c r="AM259" s="125">
        <f t="shared" si="32"/>
        <v>17193.0503</v>
      </c>
      <c r="AN259" s="125">
        <f>AH259*Valores!$C$71</f>
        <v>-10926.1768</v>
      </c>
      <c r="AO259" s="125">
        <f>AH259*-Valores!$C$72</f>
        <v>0</v>
      </c>
      <c r="AP259" s="125">
        <f>AH259*Valores!$C$73</f>
        <v>-4469.799599999999</v>
      </c>
      <c r="AQ259" s="125">
        <f>Valores!$C$100</f>
        <v>-280.91</v>
      </c>
      <c r="AR259" s="125">
        <f>IF($F$5=0,Valores!$C$101,(Valores!$C$101+$F$5*(Valores!$C$101)))</f>
        <v>-385</v>
      </c>
      <c r="AS259" s="125">
        <f t="shared" si="35"/>
        <v>100460.04389999999</v>
      </c>
      <c r="AT259" s="125">
        <f t="shared" si="29"/>
        <v>-10926.1768</v>
      </c>
      <c r="AU259" s="125">
        <f>AH259*Valores!$C$74</f>
        <v>-2681.87976</v>
      </c>
      <c r="AV259" s="125">
        <f>AH259*Valores!$C$75</f>
        <v>-297.98663999999997</v>
      </c>
      <c r="AW259" s="125">
        <f t="shared" si="33"/>
        <v>102615.88709999999</v>
      </c>
      <c r="AX259" s="126"/>
      <c r="AY259" s="126">
        <f t="shared" si="39"/>
        <v>17</v>
      </c>
      <c r="AZ259" s="123" t="s">
        <v>4</v>
      </c>
    </row>
    <row r="260" spans="1:52" s="110" customFormat="1" ht="11.25" customHeight="1">
      <c r="A260" s="123" t="s">
        <v>471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0"/>
        <v>1343</v>
      </c>
      <c r="F260" s="125">
        <f>ROUND(E260*Valores!$C$2,2)</f>
        <v>36423.77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7436.65</v>
      </c>
      <c r="N260" s="125">
        <f t="shared" si="30"/>
        <v>0</v>
      </c>
      <c r="O260" s="125">
        <f>Valores!$C$7*B260</f>
        <v>15635.92</v>
      </c>
      <c r="P260" s="125">
        <f>ROUND(IF(B260&lt;15,(Valores!$E$5*B260),Valores!$D$5),2)</f>
        <v>13864.36</v>
      </c>
      <c r="Q260" s="125">
        <v>0</v>
      </c>
      <c r="R260" s="125">
        <f>IF($F$4="NO",Valores!$C$49*B260,Valores!$C$49*B260/2)</f>
        <v>8236.16</v>
      </c>
      <c r="S260" s="125">
        <f>Valores!$C$18*B260</f>
        <v>4917.759999999999</v>
      </c>
      <c r="T260" s="125">
        <f t="shared" si="36"/>
        <v>4917.76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IF(Valores!$C$97*B260&gt;Valores!$C$96,Valores!$C$96,Valores!$C$97*B260)</f>
        <v>4758.98</v>
      </c>
      <c r="AA260" s="125">
        <f>IF((Valores!$C$28)*B260&gt;Valores!$F$28,Valores!$F$28,(Valores!$C$28)*B260)</f>
        <v>386.24</v>
      </c>
      <c r="AB260" s="214">
        <v>0</v>
      </c>
      <c r="AC260" s="125">
        <f t="shared" si="31"/>
        <v>0</v>
      </c>
      <c r="AD260" s="125">
        <f>IF(Valores!$C$29*B260&gt;Valores!$F$29,Valores!$F$29,Valores!$C$29*B260)</f>
        <v>321.64000000000004</v>
      </c>
      <c r="AE260" s="192">
        <v>94</v>
      </c>
      <c r="AF260" s="125">
        <f>ROUND(AE260*Valores!$C$2,2)</f>
        <v>2549.39</v>
      </c>
      <c r="AG260" s="125">
        <f>IF($F$4="NO",IF(Valores!$D$63*'Escala Docente'!B260&gt;Valores!$F$63,Valores!$F$63,Valores!$D$63*'Escala Docente'!B260),IF(Valores!$D$63*'Escala Docente'!B260&gt;Valores!$F$63,Valores!$F$63,Valores!$D$63*'Escala Docente'!B260)/2)</f>
        <v>7347.4</v>
      </c>
      <c r="AH260" s="125">
        <f t="shared" si="34"/>
        <v>101878.26999999999</v>
      </c>
      <c r="AI260" s="125">
        <f>IF(Valores!$C$32*B260&gt;Valores!$F$32,Valores!$F$32,Valores!$C$32*B260)</f>
        <v>0</v>
      </c>
      <c r="AJ260" s="125">
        <f>IF(Valores!$C$90*B260&gt;Valores!$C$89,Valores!$C$89,Valores!$C$90*B260)</f>
        <v>0</v>
      </c>
      <c r="AK260" s="125">
        <f>IF(Valores!C$39*B260&gt;Valores!F$38,Valores!F$38,Valores!C$39*B260)</f>
        <v>17000</v>
      </c>
      <c r="AL260" s="125">
        <f>IF($F$3="NO",0,IF(Valores!$C$62*B260&gt;Valores!$F$62,Valores!$F$62,Valores!$C$62*B260))</f>
        <v>193.0503</v>
      </c>
      <c r="AM260" s="125">
        <f t="shared" si="32"/>
        <v>17193.0503</v>
      </c>
      <c r="AN260" s="125">
        <f>AH260*Valores!$C$71</f>
        <v>-11206.609699999999</v>
      </c>
      <c r="AO260" s="125">
        <f>AH260*-Valores!$C$72</f>
        <v>0</v>
      </c>
      <c r="AP260" s="125">
        <f>AH260*Valores!$C$73</f>
        <v>-4584.52215</v>
      </c>
      <c r="AQ260" s="125">
        <f>Valores!$C$100</f>
        <v>-280.91</v>
      </c>
      <c r="AR260" s="125">
        <f>IF($F$5=0,Valores!$C$101,(Valores!$C$101+$F$5*(Valores!$C$101)))</f>
        <v>-385</v>
      </c>
      <c r="AS260" s="125">
        <f t="shared" si="35"/>
        <v>102614.27844999998</v>
      </c>
      <c r="AT260" s="125">
        <f t="shared" si="29"/>
        <v>-11206.609699999999</v>
      </c>
      <c r="AU260" s="125">
        <f>AH260*Valores!$C$74</f>
        <v>-2750.7132899999997</v>
      </c>
      <c r="AV260" s="125">
        <f>AH260*Valores!$C$75</f>
        <v>-305.63480999999996</v>
      </c>
      <c r="AW260" s="125">
        <f t="shared" si="33"/>
        <v>104808.36249999999</v>
      </c>
      <c r="AX260" s="126"/>
      <c r="AY260" s="126">
        <f t="shared" si="39"/>
        <v>17</v>
      </c>
      <c r="AZ260" s="123" t="s">
        <v>4</v>
      </c>
    </row>
    <row r="261" spans="1:52" s="110" customFormat="1" ht="11.25" customHeight="1">
      <c r="A261" s="123" t="s">
        <v>471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0"/>
        <v>1422</v>
      </c>
      <c r="F261" s="125">
        <f>ROUND(E261*Valores!$C$2,2)</f>
        <v>38566.35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7874.1</v>
      </c>
      <c r="N261" s="125">
        <f t="shared" si="30"/>
        <v>0</v>
      </c>
      <c r="O261" s="125">
        <f>Valores!$C$7*B261</f>
        <v>16555.68</v>
      </c>
      <c r="P261" s="125">
        <f>ROUND(IF(B261&lt;15,(Valores!$E$5*B261),Valores!$D$5),2)</f>
        <v>13864.36</v>
      </c>
      <c r="Q261" s="125">
        <v>0</v>
      </c>
      <c r="R261" s="125">
        <f>IF($F$4="NO",Valores!$C$49*B261,Valores!$C$49*B261/2)</f>
        <v>8720.64</v>
      </c>
      <c r="S261" s="125">
        <f>Valores!$C$18*B261</f>
        <v>5207.039999999999</v>
      </c>
      <c r="T261" s="125">
        <f t="shared" si="36"/>
        <v>5207.04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IF(Valores!$C$97*B261&gt;Valores!$C$96,Valores!$C$96,Valores!$C$97*B261)</f>
        <v>5038.92</v>
      </c>
      <c r="AA261" s="125">
        <f>IF((Valores!$C$28)*B261&gt;Valores!$F$28,Valores!$F$28,(Valores!$C$28)*B261)</f>
        <v>408.96</v>
      </c>
      <c r="AB261" s="214">
        <v>0</v>
      </c>
      <c r="AC261" s="125">
        <f t="shared" si="31"/>
        <v>0</v>
      </c>
      <c r="AD261" s="125">
        <f>IF(Valores!$C$29*B261&gt;Valores!$F$29,Valores!$F$29,Valores!$C$29*B261)</f>
        <v>340.56000000000006</v>
      </c>
      <c r="AE261" s="192">
        <v>0</v>
      </c>
      <c r="AF261" s="125">
        <f>ROUND(AE261*Valores!$C$2,2)</f>
        <v>0</v>
      </c>
      <c r="AG261" s="125">
        <f>IF($F$4="NO",IF(Valores!$D$63*'Escala Docente'!B261&gt;Valores!$F$63,Valores!$F$63,Valores!$D$63*'Escala Docente'!B261),IF(Valores!$D$63*'Escala Docente'!B261&gt;Valores!$F$63,Valores!$F$63,Valores!$D$63*'Escala Docente'!B261)/2)</f>
        <v>7779.599999999999</v>
      </c>
      <c r="AH261" s="125">
        <f t="shared" si="34"/>
        <v>104356.20999999999</v>
      </c>
      <c r="AI261" s="125">
        <f>IF(Valores!$C$32*B261&gt;Valores!$F$32,Valores!$F$32,Valores!$C$32*B261)</f>
        <v>0</v>
      </c>
      <c r="AJ261" s="125">
        <f>IF(Valores!$C$90*B261&gt;Valores!$C$89,Valores!$C$89,Valores!$C$90*B261)</f>
        <v>0</v>
      </c>
      <c r="AK261" s="125">
        <f>IF(Valores!C$39*B261&gt;Valores!F$38,Valores!F$38,Valores!C$39*B261)</f>
        <v>18000</v>
      </c>
      <c r="AL261" s="125">
        <f>IF($F$3="NO",0,IF(Valores!$C$62*B261&gt;Valores!$F$62,Valores!$F$62,Valores!$C$62*B261))</f>
        <v>204.4062</v>
      </c>
      <c r="AM261" s="125">
        <f t="shared" si="32"/>
        <v>18204.4062</v>
      </c>
      <c r="AN261" s="125">
        <f>AH261*Valores!$C$71</f>
        <v>-11479.183099999998</v>
      </c>
      <c r="AO261" s="125">
        <f>AH261*-Valores!$C$72</f>
        <v>0</v>
      </c>
      <c r="AP261" s="125">
        <f>AH261*Valores!$C$73</f>
        <v>-4696.029449999999</v>
      </c>
      <c r="AQ261" s="125">
        <f>Valores!$C$100</f>
        <v>-280.91</v>
      </c>
      <c r="AR261" s="125">
        <f>IF($F$5=0,Valores!$C$101,(Valores!$C$101+$F$5*(Valores!$C$101)))</f>
        <v>-385</v>
      </c>
      <c r="AS261" s="125">
        <f t="shared" si="35"/>
        <v>105719.49364999999</v>
      </c>
      <c r="AT261" s="125">
        <f aca="true" t="shared" si="41" ref="AT261:AT325">AN261</f>
        <v>-11479.183099999998</v>
      </c>
      <c r="AU261" s="125">
        <f>AH261*Valores!$C$74</f>
        <v>-2817.6176699999996</v>
      </c>
      <c r="AV261" s="125">
        <f>AH261*Valores!$C$75</f>
        <v>-313.06863</v>
      </c>
      <c r="AW261" s="125">
        <f t="shared" si="33"/>
        <v>107950.7468</v>
      </c>
      <c r="AX261" s="126"/>
      <c r="AY261" s="126">
        <f t="shared" si="39"/>
        <v>18</v>
      </c>
      <c r="AZ261" s="123" t="s">
        <v>4</v>
      </c>
    </row>
    <row r="262" spans="1:52" s="110" customFormat="1" ht="11.25" customHeight="1">
      <c r="A262" s="123" t="s">
        <v>471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0"/>
        <v>1422</v>
      </c>
      <c r="F262" s="125">
        <f>ROUND(E262*Valores!$C$2,2)</f>
        <v>38566.35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7874.1</v>
      </c>
      <c r="N262" s="125">
        <f t="shared" si="30"/>
        <v>0</v>
      </c>
      <c r="O262" s="125">
        <f>Valores!$C$7*B262</f>
        <v>16555.68</v>
      </c>
      <c r="P262" s="125">
        <f>ROUND(IF(B262&lt;15,(Valores!$E$5*B262),Valores!$D$5),2)</f>
        <v>13864.36</v>
      </c>
      <c r="Q262" s="125">
        <v>0</v>
      </c>
      <c r="R262" s="125">
        <f>IF($F$4="NO",Valores!$C$49*B262,Valores!$C$49*B262/2)</f>
        <v>8720.64</v>
      </c>
      <c r="S262" s="125">
        <f>Valores!$C$18*B262</f>
        <v>5207.039999999999</v>
      </c>
      <c r="T262" s="125">
        <f t="shared" si="36"/>
        <v>5207.04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IF(Valores!$C$97*B262&gt;Valores!$C$96,Valores!$C$96,Valores!$C$97*B262)</f>
        <v>5038.92</v>
      </c>
      <c r="AA262" s="125">
        <f>IF((Valores!$C$28)*B262&gt;Valores!$F$28,Valores!$F$28,(Valores!$C$28)*B262)</f>
        <v>408.96</v>
      </c>
      <c r="AB262" s="214">
        <v>0</v>
      </c>
      <c r="AC262" s="125">
        <f t="shared" si="31"/>
        <v>0</v>
      </c>
      <c r="AD262" s="125">
        <f>IF(Valores!$C$29*B262&gt;Valores!$F$29,Valores!$F$29,Valores!$C$29*B262)</f>
        <v>340.56000000000006</v>
      </c>
      <c r="AE262" s="192">
        <v>94</v>
      </c>
      <c r="AF262" s="125">
        <f>ROUND(AE262*Valores!$C$2,2)</f>
        <v>2549.39</v>
      </c>
      <c r="AG262" s="125">
        <f>IF($F$4="NO",IF(Valores!$D$63*'Escala Docente'!B262&gt;Valores!$F$63,Valores!$F$63,Valores!$D$63*'Escala Docente'!B262),IF(Valores!$D$63*'Escala Docente'!B262&gt;Valores!$F$63,Valores!$F$63,Valores!$D$63*'Escala Docente'!B262)/2)</f>
        <v>7779.599999999999</v>
      </c>
      <c r="AH262" s="125">
        <f t="shared" si="34"/>
        <v>106905.59999999999</v>
      </c>
      <c r="AI262" s="125">
        <f>IF(Valores!$C$32*B262&gt;Valores!$F$32,Valores!$F$32,Valores!$C$32*B262)</f>
        <v>0</v>
      </c>
      <c r="AJ262" s="125">
        <f>IF(Valores!$C$90*B262&gt;Valores!$C$89,Valores!$C$89,Valores!$C$90*B262)</f>
        <v>0</v>
      </c>
      <c r="AK262" s="125">
        <f>IF(Valores!C$39*B262&gt;Valores!F$38,Valores!F$38,Valores!C$39*B262)</f>
        <v>18000</v>
      </c>
      <c r="AL262" s="125">
        <f>IF($F$3="NO",0,IF(Valores!$C$62*B262&gt;Valores!$F$62,Valores!$F$62,Valores!$C$62*B262))</f>
        <v>204.4062</v>
      </c>
      <c r="AM262" s="125">
        <f t="shared" si="32"/>
        <v>18204.4062</v>
      </c>
      <c r="AN262" s="125">
        <f>AH262*Valores!$C$71</f>
        <v>-11759.616</v>
      </c>
      <c r="AO262" s="125">
        <f>AH262*-Valores!$C$72</f>
        <v>0</v>
      </c>
      <c r="AP262" s="125">
        <f>AH262*Valores!$C$73</f>
        <v>-4810.7519999999995</v>
      </c>
      <c r="AQ262" s="125">
        <f>Valores!$C$100</f>
        <v>-280.91</v>
      </c>
      <c r="AR262" s="125">
        <f>IF($F$5=0,Valores!$C$101,(Valores!$C$101+$F$5*(Valores!$C$101)))</f>
        <v>-385</v>
      </c>
      <c r="AS262" s="125">
        <f t="shared" si="35"/>
        <v>107873.7282</v>
      </c>
      <c r="AT262" s="125">
        <f t="shared" si="41"/>
        <v>-11759.616</v>
      </c>
      <c r="AU262" s="125">
        <f>AH262*Valores!$C$74</f>
        <v>-2886.4511999999995</v>
      </c>
      <c r="AV262" s="125">
        <f>AH262*Valores!$C$75</f>
        <v>-320.7168</v>
      </c>
      <c r="AW262" s="125">
        <f t="shared" si="33"/>
        <v>110143.22219999999</v>
      </c>
      <c r="AX262" s="126"/>
      <c r="AY262" s="126">
        <f t="shared" si="39"/>
        <v>18</v>
      </c>
      <c r="AZ262" s="123" t="s">
        <v>4</v>
      </c>
    </row>
    <row r="263" spans="1:52" s="110" customFormat="1" ht="11.25" customHeight="1">
      <c r="A263" s="123" t="s">
        <v>471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0"/>
        <v>1501</v>
      </c>
      <c r="F263" s="125">
        <f>ROUND(E263*Valores!$C$2,2)</f>
        <v>40708.92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8311.55</v>
      </c>
      <c r="N263" s="125">
        <f t="shared" si="30"/>
        <v>0</v>
      </c>
      <c r="O263" s="125">
        <f>Valores!$C$7*B263</f>
        <v>17475.44</v>
      </c>
      <c r="P263" s="125">
        <f>ROUND(IF(B263&lt;15,(Valores!$E$5*B263),Valores!$D$5),2)</f>
        <v>13864.36</v>
      </c>
      <c r="Q263" s="125">
        <v>0</v>
      </c>
      <c r="R263" s="125">
        <f>IF($F$4="NO",Valores!$C$49*B263,Valores!$C$49*B263/2)</f>
        <v>9205.12</v>
      </c>
      <c r="S263" s="125">
        <f>Valores!$C$18*B263</f>
        <v>5496.32</v>
      </c>
      <c r="T263" s="125">
        <f t="shared" si="36"/>
        <v>5496.32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IF(Valores!$C$97*B263&gt;Valores!$C$96,Valores!$C$96,Valores!$C$97*B263)</f>
        <v>5318.86</v>
      </c>
      <c r="AA263" s="125">
        <f>IF((Valores!$C$28)*B263&gt;Valores!$F$28,Valores!$F$28,(Valores!$C$28)*B263)</f>
        <v>431.67999999999995</v>
      </c>
      <c r="AB263" s="214">
        <v>0</v>
      </c>
      <c r="AC263" s="125">
        <f t="shared" si="31"/>
        <v>0</v>
      </c>
      <c r="AD263" s="125">
        <f>IF(Valores!$C$29*B263&gt;Valores!$F$29,Valores!$F$29,Valores!$C$29*B263)</f>
        <v>359.48</v>
      </c>
      <c r="AE263" s="192">
        <v>0</v>
      </c>
      <c r="AF263" s="125">
        <f>ROUND(AE263*Valores!$C$2,2)</f>
        <v>0</v>
      </c>
      <c r="AG263" s="125">
        <f>IF($F$4="NO",IF(Valores!$D$63*'Escala Docente'!B263&gt;Valores!$F$63,Valores!$F$63,Valores!$D$63*'Escala Docente'!B263),IF(Valores!$D$63*'Escala Docente'!B263&gt;Valores!$F$63,Valores!$F$63,Valores!$D$63*'Escala Docente'!B263)/2)</f>
        <v>8211.8</v>
      </c>
      <c r="AH263" s="125">
        <f t="shared" si="34"/>
        <v>109383.52999999998</v>
      </c>
      <c r="AI263" s="125">
        <f>IF(Valores!$C$32*B263&gt;Valores!$F$32,Valores!$F$32,Valores!$C$32*B263)</f>
        <v>0</v>
      </c>
      <c r="AJ263" s="125">
        <f>IF(Valores!$C$90*B263&gt;Valores!$C$89,Valores!$C$89,Valores!$C$90*B263)</f>
        <v>0</v>
      </c>
      <c r="AK263" s="125">
        <f>IF(Valores!C$39*B263&gt;Valores!F$38,Valores!F$38,Valores!C$39*B263)</f>
        <v>19000</v>
      </c>
      <c r="AL263" s="125">
        <f>IF($F$3="NO",0,IF(Valores!$C$62*B263&gt;Valores!$F$62,Valores!$F$62,Valores!$C$62*B263))</f>
        <v>215.7621</v>
      </c>
      <c r="AM263" s="125">
        <f t="shared" si="32"/>
        <v>19215.7621</v>
      </c>
      <c r="AN263" s="125">
        <f>AH263*Valores!$C$71</f>
        <v>-12032.188299999998</v>
      </c>
      <c r="AO263" s="125">
        <f>AH263*-Valores!$C$72</f>
        <v>0</v>
      </c>
      <c r="AP263" s="125">
        <f>AH263*Valores!$C$73</f>
        <v>-4922.258849999999</v>
      </c>
      <c r="AQ263" s="125">
        <f>Valores!$C$100</f>
        <v>-280.91</v>
      </c>
      <c r="AR263" s="125">
        <f>IF($F$5=0,Valores!$C$101,(Valores!$C$101+$F$5*(Valores!$C$101)))</f>
        <v>-385</v>
      </c>
      <c r="AS263" s="125">
        <f t="shared" si="35"/>
        <v>110978.93494999998</v>
      </c>
      <c r="AT263" s="125">
        <f t="shared" si="41"/>
        <v>-12032.188299999998</v>
      </c>
      <c r="AU263" s="125">
        <f>AH263*Valores!$C$74</f>
        <v>-2953.3553099999995</v>
      </c>
      <c r="AV263" s="125">
        <f>AH263*Valores!$C$75</f>
        <v>-328.15058999999997</v>
      </c>
      <c r="AW263" s="125">
        <f t="shared" si="33"/>
        <v>113285.5979</v>
      </c>
      <c r="AX263" s="126"/>
      <c r="AY263" s="126">
        <f t="shared" si="39"/>
        <v>19</v>
      </c>
      <c r="AZ263" s="123" t="s">
        <v>4</v>
      </c>
    </row>
    <row r="264" spans="1:52" s="110" customFormat="1" ht="11.25" customHeight="1">
      <c r="A264" s="123" t="s">
        <v>471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0"/>
        <v>1501</v>
      </c>
      <c r="F264" s="125">
        <f>ROUND(E264*Valores!$C$2,2)</f>
        <v>40708.92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8311.55</v>
      </c>
      <c r="N264" s="125">
        <f aca="true" t="shared" si="42" ref="N264:N326">ROUND(SUM(F264,H264,J264,L264,X264,R264)*$H$2,2)</f>
        <v>0</v>
      </c>
      <c r="O264" s="125">
        <f>Valores!$C$7*B264</f>
        <v>17475.44</v>
      </c>
      <c r="P264" s="125">
        <f>ROUND(IF(B264&lt;15,(Valores!$E$5*B264),Valores!$D$5),2)</f>
        <v>13864.36</v>
      </c>
      <c r="Q264" s="125">
        <v>0</v>
      </c>
      <c r="R264" s="125">
        <f>IF($F$4="NO",Valores!$C$49*B264,Valores!$C$49*B264/2)</f>
        <v>9205.12</v>
      </c>
      <c r="S264" s="125">
        <f>Valores!$C$18*B264</f>
        <v>5496.32</v>
      </c>
      <c r="T264" s="125">
        <f t="shared" si="36"/>
        <v>5496.32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IF(Valores!$C$97*B264&gt;Valores!$C$96,Valores!$C$96,Valores!$C$97*B264)</f>
        <v>5318.86</v>
      </c>
      <c r="AA264" s="125">
        <f>IF((Valores!$C$28)*B264&gt;Valores!$F$28,Valores!$F$28,(Valores!$C$28)*B264)</f>
        <v>431.67999999999995</v>
      </c>
      <c r="AB264" s="214">
        <v>0</v>
      </c>
      <c r="AC264" s="125">
        <f aca="true" t="shared" si="43" ref="AC264:AC326">ROUND(SUM(F264,H264,J264,X264,R264)*AB264,2)</f>
        <v>0</v>
      </c>
      <c r="AD264" s="125">
        <f>IF(Valores!$C$29*B264&gt;Valores!$F$29,Valores!$F$29,Valores!$C$29*B264)</f>
        <v>359.48</v>
      </c>
      <c r="AE264" s="192">
        <v>94</v>
      </c>
      <c r="AF264" s="125">
        <f>ROUND(AE264*Valores!$C$2,2)</f>
        <v>2549.39</v>
      </c>
      <c r="AG264" s="125">
        <f>IF($F$4="NO",IF(Valores!$D$63*'Escala Docente'!B264&gt;Valores!$F$63,Valores!$F$63,Valores!$D$63*'Escala Docente'!B264),IF(Valores!$D$63*'Escala Docente'!B264&gt;Valores!$F$63,Valores!$F$63,Valores!$D$63*'Escala Docente'!B264)/2)</f>
        <v>8211.8</v>
      </c>
      <c r="AH264" s="125">
        <f t="shared" si="34"/>
        <v>111932.91999999998</v>
      </c>
      <c r="AI264" s="125">
        <f>IF(Valores!$C$32*B264&gt;Valores!$F$32,Valores!$F$32,Valores!$C$32*B264)</f>
        <v>0</v>
      </c>
      <c r="AJ264" s="125">
        <f>IF(Valores!$C$90*B264&gt;Valores!$C$89,Valores!$C$89,Valores!$C$90*B264)</f>
        <v>0</v>
      </c>
      <c r="AK264" s="125">
        <f>IF(Valores!C$39*B264&gt;Valores!F$38,Valores!F$38,Valores!C$39*B264)</f>
        <v>19000</v>
      </c>
      <c r="AL264" s="125">
        <f>IF($F$3="NO",0,IF(Valores!$C$62*B264&gt;Valores!$F$62,Valores!$F$62,Valores!$C$62*B264))</f>
        <v>215.7621</v>
      </c>
      <c r="AM264" s="125">
        <f aca="true" t="shared" si="44" ref="AM264:AM326">SUM(AI264:AL264)</f>
        <v>19215.7621</v>
      </c>
      <c r="AN264" s="125">
        <f>AH264*Valores!$C$71</f>
        <v>-12312.621199999998</v>
      </c>
      <c r="AO264" s="125">
        <f>AH264*-Valores!$C$72</f>
        <v>0</v>
      </c>
      <c r="AP264" s="125">
        <f>AH264*Valores!$C$73</f>
        <v>-5036.981399999999</v>
      </c>
      <c r="AQ264" s="125">
        <f>Valores!$C$100</f>
        <v>-280.91</v>
      </c>
      <c r="AR264" s="125">
        <f>IF($F$5=0,Valores!$C$101,(Valores!$C$101+$F$5*(Valores!$C$101)))</f>
        <v>-385</v>
      </c>
      <c r="AS264" s="125">
        <f t="shared" si="35"/>
        <v>113133.16949999999</v>
      </c>
      <c r="AT264" s="125">
        <f t="shared" si="41"/>
        <v>-12312.621199999998</v>
      </c>
      <c r="AU264" s="125">
        <f>AH264*Valores!$C$74</f>
        <v>-3022.1888399999993</v>
      </c>
      <c r="AV264" s="125">
        <f>AH264*Valores!$C$75</f>
        <v>-335.79875999999996</v>
      </c>
      <c r="AW264" s="125">
        <f aca="true" t="shared" si="45" ref="AW264:AW326">AH264+AM264+SUM(AT264:AV264)</f>
        <v>115478.07329999997</v>
      </c>
      <c r="AX264" s="126"/>
      <c r="AY264" s="126">
        <f t="shared" si="39"/>
        <v>19</v>
      </c>
      <c r="AZ264" s="123" t="s">
        <v>4</v>
      </c>
    </row>
    <row r="265" spans="1:52" s="110" customFormat="1" ht="11.25" customHeight="1">
      <c r="A265" s="123" t="s">
        <v>471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0"/>
        <v>1580</v>
      </c>
      <c r="F265" s="125">
        <f>ROUND(E265*Valores!$C$2,2)</f>
        <v>42851.5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8749.01</v>
      </c>
      <c r="N265" s="125">
        <f t="shared" si="42"/>
        <v>0</v>
      </c>
      <c r="O265" s="125">
        <f>Valores!$C$7*B265</f>
        <v>18395.2</v>
      </c>
      <c r="P265" s="125">
        <f>ROUND(IF(B265&lt;15,(Valores!$E$5*B265),Valores!$D$5),2)</f>
        <v>13864.36</v>
      </c>
      <c r="Q265" s="125">
        <v>0</v>
      </c>
      <c r="R265" s="125">
        <f>IF($F$4="NO",Valores!$C$49*B265,Valores!$C$49*B265/2)</f>
        <v>9689.6</v>
      </c>
      <c r="S265" s="125">
        <f>Valores!$C$18*B265</f>
        <v>5785.599999999999</v>
      </c>
      <c r="T265" s="125">
        <f t="shared" si="36"/>
        <v>5785.6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IF(Valores!$C$97*B265&gt;Valores!$C$96,Valores!$C$96,Valores!$C$97*B265)</f>
        <v>5598.8</v>
      </c>
      <c r="AA265" s="125">
        <f>IF((Valores!$C$28)*B265&gt;Valores!$F$28,Valores!$F$28,(Valores!$C$28)*B265)</f>
        <v>454.4</v>
      </c>
      <c r="AB265" s="214">
        <v>0</v>
      </c>
      <c r="AC265" s="125">
        <f t="shared" si="43"/>
        <v>0</v>
      </c>
      <c r="AD265" s="125">
        <f>IF(Valores!$C$29*B265&gt;Valores!$F$29,Valores!$F$29,Valores!$C$29*B265)</f>
        <v>378.40000000000003</v>
      </c>
      <c r="AE265" s="192">
        <v>0</v>
      </c>
      <c r="AF265" s="125">
        <f>ROUND(AE265*Valores!$C$2,2)</f>
        <v>0</v>
      </c>
      <c r="AG265" s="125">
        <f>IF($F$4="NO",IF(Valores!$D$63*'Escala Docente'!B265&gt;Valores!$F$63,Valores!$F$63,Valores!$D$63*'Escala Docente'!B265),IF(Valores!$D$63*'Escala Docente'!B265&gt;Valores!$F$63,Valores!$F$63,Valores!$D$63*'Escala Docente'!B265)/2)</f>
        <v>8644</v>
      </c>
      <c r="AH265" s="125">
        <f aca="true" t="shared" si="46" ref="AH265:AH326">SUM(F265,H265,J265,L265,M265,N265,O265,P265,Q265,R265,T265,U265,V265,X265,Y265,Z265,AA265,AC265,AD265,AF265,AG265)</f>
        <v>114410.87000000001</v>
      </c>
      <c r="AI265" s="125">
        <f>IF(Valores!$C$32*B265&gt;Valores!$F$32,Valores!$F$32,Valores!$C$32*B265)</f>
        <v>0</v>
      </c>
      <c r="AJ265" s="125">
        <f>IF(Valores!$C$90*B265&gt;Valores!$C$89,Valores!$C$89,Valores!$C$90*B265)</f>
        <v>0</v>
      </c>
      <c r="AK265" s="125">
        <f>IF(Valores!C$39*B265&gt;Valores!F$38,Valores!F$38,Valores!C$39*B265)</f>
        <v>20000</v>
      </c>
      <c r="AL265" s="125">
        <f>IF($F$3="NO",0,IF(Valores!$C$62*B265&gt;Valores!$F$62,Valores!$F$62,Valores!$C$62*B265))</f>
        <v>227.118</v>
      </c>
      <c r="AM265" s="125">
        <f t="shared" si="44"/>
        <v>20227.118</v>
      </c>
      <c r="AN265" s="125">
        <f>AH265*Valores!$C$71</f>
        <v>-12585.195700000002</v>
      </c>
      <c r="AO265" s="125">
        <f>AH265*-Valores!$C$72</f>
        <v>0</v>
      </c>
      <c r="AP265" s="125">
        <f>AH265*Valores!$C$73</f>
        <v>-5148.48915</v>
      </c>
      <c r="AQ265" s="125">
        <f>Valores!$C$100</f>
        <v>-280.91</v>
      </c>
      <c r="AR265" s="125">
        <f>IF($F$5=0,Valores!$C$101,(Valores!$C$101+$F$5*(Valores!$C$101)))</f>
        <v>-385</v>
      </c>
      <c r="AS265" s="125">
        <f aca="true" t="shared" si="47" ref="AS265:AS326">AH265+SUM(AM265:AR265)</f>
        <v>116238.39315</v>
      </c>
      <c r="AT265" s="125">
        <f t="shared" si="41"/>
        <v>-12585.195700000002</v>
      </c>
      <c r="AU265" s="125">
        <f>AH265*Valores!$C$74</f>
        <v>-3089.09349</v>
      </c>
      <c r="AV265" s="125">
        <f>AH265*Valores!$C$75</f>
        <v>-343.23261</v>
      </c>
      <c r="AW265" s="125">
        <f t="shared" si="45"/>
        <v>118620.46620000001</v>
      </c>
      <c r="AX265" s="126"/>
      <c r="AY265" s="126">
        <f t="shared" si="39"/>
        <v>20</v>
      </c>
      <c r="AZ265" s="123" t="s">
        <v>4</v>
      </c>
    </row>
    <row r="266" spans="1:52" s="110" customFormat="1" ht="11.25" customHeight="1">
      <c r="A266" s="123" t="s">
        <v>471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0"/>
        <v>1580</v>
      </c>
      <c r="F266" s="125">
        <f>ROUND(E266*Valores!$C$2,2)</f>
        <v>42851.5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8749.01</v>
      </c>
      <c r="N266" s="125">
        <f t="shared" si="42"/>
        <v>0</v>
      </c>
      <c r="O266" s="125">
        <f>Valores!$C$7*B266</f>
        <v>18395.2</v>
      </c>
      <c r="P266" s="125">
        <f>ROUND(IF(B266&lt;15,(Valores!$E$5*B266),Valores!$D$5),2)</f>
        <v>13864.36</v>
      </c>
      <c r="Q266" s="125">
        <v>0</v>
      </c>
      <c r="R266" s="125">
        <f>IF($F$4="NO",Valores!$C$49*B266,Valores!$C$49*B266/2)</f>
        <v>9689.6</v>
      </c>
      <c r="S266" s="125">
        <f>Valores!$C$18*B266</f>
        <v>5785.599999999999</v>
      </c>
      <c r="T266" s="125">
        <f t="shared" si="36"/>
        <v>5785.6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IF(Valores!$C$97*B266&gt;Valores!$C$96,Valores!$C$96,Valores!$C$97*B266)</f>
        <v>5598.8</v>
      </c>
      <c r="AA266" s="125">
        <f>IF((Valores!$C$28)*B266&gt;Valores!$F$28,Valores!$F$28,(Valores!$C$28)*B266)</f>
        <v>454.4</v>
      </c>
      <c r="AB266" s="214">
        <v>0</v>
      </c>
      <c r="AC266" s="125">
        <f t="shared" si="43"/>
        <v>0</v>
      </c>
      <c r="AD266" s="125">
        <f>IF(Valores!$C$29*B266&gt;Valores!$F$29,Valores!$F$29,Valores!$C$29*B266)</f>
        <v>378.40000000000003</v>
      </c>
      <c r="AE266" s="192">
        <v>94</v>
      </c>
      <c r="AF266" s="125">
        <f>ROUND(AE266*Valores!$C$2,2)</f>
        <v>2549.39</v>
      </c>
      <c r="AG266" s="125">
        <f>IF($F$4="NO",IF(Valores!$D$63*'Escala Docente'!B266&gt;Valores!$F$63,Valores!$F$63,Valores!$D$63*'Escala Docente'!B266),IF(Valores!$D$63*'Escala Docente'!B266&gt;Valores!$F$63,Valores!$F$63,Valores!$D$63*'Escala Docente'!B266)/2)</f>
        <v>8644</v>
      </c>
      <c r="AH266" s="125">
        <f t="shared" si="46"/>
        <v>116960.26000000001</v>
      </c>
      <c r="AI266" s="125">
        <f>IF(Valores!$C$32*B266&gt;Valores!$F$32,Valores!$F$32,Valores!$C$32*B266)</f>
        <v>0</v>
      </c>
      <c r="AJ266" s="125">
        <f>IF(Valores!$C$90*B266&gt;Valores!$C$89,Valores!$C$89,Valores!$C$90*B266)</f>
        <v>0</v>
      </c>
      <c r="AK266" s="125">
        <f>IF(Valores!C$39*B266&gt;Valores!F$38,Valores!F$38,Valores!C$39*B266)</f>
        <v>20000</v>
      </c>
      <c r="AL266" s="125">
        <f>IF($F$3="NO",0,IF(Valores!$C$62*B266&gt;Valores!$F$62,Valores!$F$62,Valores!$C$62*B266))</f>
        <v>227.118</v>
      </c>
      <c r="AM266" s="125">
        <f t="shared" si="44"/>
        <v>20227.118</v>
      </c>
      <c r="AN266" s="125">
        <f>AH266*Valores!$C$71</f>
        <v>-12865.628600000002</v>
      </c>
      <c r="AO266" s="125">
        <f>AH266*-Valores!$C$72</f>
        <v>0</v>
      </c>
      <c r="AP266" s="125">
        <f>AH266*Valores!$C$73</f>
        <v>-5263.2117</v>
      </c>
      <c r="AQ266" s="125">
        <f>Valores!$C$100</f>
        <v>-280.91</v>
      </c>
      <c r="AR266" s="125">
        <f>IF($F$5=0,Valores!$C$101,(Valores!$C$101+$F$5*(Valores!$C$101)))</f>
        <v>-385</v>
      </c>
      <c r="AS266" s="125">
        <f t="shared" si="47"/>
        <v>118392.62770000001</v>
      </c>
      <c r="AT266" s="125">
        <f t="shared" si="41"/>
        <v>-12865.628600000002</v>
      </c>
      <c r="AU266" s="125">
        <f>AH266*Valores!$C$74</f>
        <v>-3157.92702</v>
      </c>
      <c r="AV266" s="125">
        <f>AH266*Valores!$C$75</f>
        <v>-350.88078</v>
      </c>
      <c r="AW266" s="125">
        <f t="shared" si="45"/>
        <v>120812.94159999999</v>
      </c>
      <c r="AX266" s="126"/>
      <c r="AY266" s="126">
        <f t="shared" si="39"/>
        <v>20</v>
      </c>
      <c r="AZ266" s="123" t="s">
        <v>4</v>
      </c>
    </row>
    <row r="267" spans="1:52" s="110" customFormat="1" ht="11.25" customHeight="1">
      <c r="A267" s="123" t="s">
        <v>471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0"/>
        <v>1659</v>
      </c>
      <c r="F267" s="125">
        <f>ROUND(E267*Valores!$C$2,2)</f>
        <v>44994.07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9186.45</v>
      </c>
      <c r="N267" s="125">
        <f t="shared" si="42"/>
        <v>0</v>
      </c>
      <c r="O267" s="125">
        <f>Valores!$C$7*B267</f>
        <v>19314.96</v>
      </c>
      <c r="P267" s="125">
        <f>ROUND(IF(B267&lt;15,(Valores!$E$5*B267),Valores!$D$5),2)</f>
        <v>13864.36</v>
      </c>
      <c r="Q267" s="125">
        <v>0</v>
      </c>
      <c r="R267" s="125">
        <f>IF($F$4="NO",Valores!$C$49*B267,Valores!$C$49*B267/2)</f>
        <v>10174.08</v>
      </c>
      <c r="S267" s="125">
        <f>Valores!$C$18*B267</f>
        <v>6074.879999999999</v>
      </c>
      <c r="T267" s="125">
        <f aca="true" t="shared" si="48" ref="T267:T299">ROUND(S267*(1+$H$2),2)</f>
        <v>6074.88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IF(Valores!$C$97*B267&gt;Valores!$C$96,Valores!$C$96,Valores!$C$97*B267)</f>
        <v>5878.74</v>
      </c>
      <c r="AA267" s="125">
        <f>IF((Valores!$C$28)*B267&gt;Valores!$F$28,Valores!$F$28,(Valores!$C$28)*B267)</f>
        <v>477.12</v>
      </c>
      <c r="AB267" s="214">
        <v>0</v>
      </c>
      <c r="AC267" s="125">
        <f t="shared" si="43"/>
        <v>0</v>
      </c>
      <c r="AD267" s="125">
        <f>IF(Valores!$C$29*B267&gt;Valores!$F$29,Valores!$F$29,Valores!$C$29*B267)</f>
        <v>397.32000000000005</v>
      </c>
      <c r="AE267" s="192">
        <v>0</v>
      </c>
      <c r="AF267" s="125">
        <f>ROUND(AE267*Valores!$C$2,2)</f>
        <v>0</v>
      </c>
      <c r="AG267" s="125">
        <f>IF($F$4="NO",IF(Valores!$D$63*'Escala Docente'!B267&gt;Valores!$F$63,Valores!$F$63,Valores!$D$63*'Escala Docente'!B267),IF(Valores!$D$63*'Escala Docente'!B267&gt;Valores!$F$63,Valores!$F$63,Valores!$D$63*'Escala Docente'!B267)/2)</f>
        <v>9076.199999999999</v>
      </c>
      <c r="AH267" s="125">
        <f t="shared" si="46"/>
        <v>119438.18000000002</v>
      </c>
      <c r="AI267" s="125">
        <f>IF(Valores!$C$32*B267&gt;Valores!$F$32,Valores!$F$32,Valores!$C$32*B267)</f>
        <v>0</v>
      </c>
      <c r="AJ267" s="125">
        <f>IF(Valores!$C$90*B267&gt;Valores!$C$89,Valores!$C$89,Valores!$C$90*B267)</f>
        <v>0</v>
      </c>
      <c r="AK267" s="125">
        <f>IF(Valores!C$39*B267&gt;Valores!F$38,Valores!F$38,Valores!C$39*B267)</f>
        <v>21000</v>
      </c>
      <c r="AL267" s="125">
        <f>IF($F$3="NO",0,IF(Valores!$C$62*B267&gt;Valores!$F$62,Valores!$F$62,Valores!$C$62*B267))</f>
        <v>238.47390000000001</v>
      </c>
      <c r="AM267" s="125">
        <f t="shared" si="44"/>
        <v>21238.4739</v>
      </c>
      <c r="AN267" s="125">
        <f>AH267*Valores!$C$71</f>
        <v>-13138.199800000002</v>
      </c>
      <c r="AO267" s="125">
        <f>AH267*-Valores!$C$72</f>
        <v>0</v>
      </c>
      <c r="AP267" s="125">
        <f>AH267*Valores!$C$73</f>
        <v>-5374.718100000001</v>
      </c>
      <c r="AQ267" s="125">
        <f>Valores!$C$100</f>
        <v>-280.91</v>
      </c>
      <c r="AR267" s="125">
        <f>IF($F$5=0,Valores!$C$101,(Valores!$C$101+$F$5*(Valores!$C$101)))</f>
        <v>-385</v>
      </c>
      <c r="AS267" s="125">
        <f t="shared" si="47"/>
        <v>121497.82600000002</v>
      </c>
      <c r="AT267" s="125">
        <f t="shared" si="41"/>
        <v>-13138.199800000002</v>
      </c>
      <c r="AU267" s="125">
        <f>AH267*Valores!$C$74</f>
        <v>-3224.8308600000005</v>
      </c>
      <c r="AV267" s="125">
        <f>AH267*Valores!$C$75</f>
        <v>-358.3145400000001</v>
      </c>
      <c r="AW267" s="125">
        <f t="shared" si="45"/>
        <v>123955.30870000002</v>
      </c>
      <c r="AX267" s="126"/>
      <c r="AY267" s="126">
        <f t="shared" si="39"/>
        <v>21</v>
      </c>
      <c r="AZ267" s="123" t="s">
        <v>4</v>
      </c>
    </row>
    <row r="268" spans="1:52" s="110" customFormat="1" ht="11.25" customHeight="1">
      <c r="A268" s="123" t="s">
        <v>471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0"/>
        <v>1659</v>
      </c>
      <c r="F268" s="125">
        <f>ROUND(E268*Valores!$C$2,2)</f>
        <v>44994.07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9186.45</v>
      </c>
      <c r="N268" s="125">
        <f t="shared" si="42"/>
        <v>0</v>
      </c>
      <c r="O268" s="125">
        <f>Valores!$C$7*B268</f>
        <v>19314.96</v>
      </c>
      <c r="P268" s="125">
        <f>ROUND(IF(B268&lt;15,(Valores!$E$5*B268),Valores!$D$5),2)</f>
        <v>13864.36</v>
      </c>
      <c r="Q268" s="125">
        <v>0</v>
      </c>
      <c r="R268" s="125">
        <f>IF($F$4="NO",Valores!$C$49*B268,Valores!$C$49*B268/2)</f>
        <v>10174.08</v>
      </c>
      <c r="S268" s="125">
        <f>Valores!$C$18*B268</f>
        <v>6074.879999999999</v>
      </c>
      <c r="T268" s="125">
        <f t="shared" si="48"/>
        <v>6074.88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IF(Valores!$C$97*B268&gt;Valores!$C$96,Valores!$C$96,Valores!$C$97*B268)</f>
        <v>5878.74</v>
      </c>
      <c r="AA268" s="125">
        <f>IF((Valores!$C$28)*B268&gt;Valores!$F$28,Valores!$F$28,(Valores!$C$28)*B268)</f>
        <v>477.12</v>
      </c>
      <c r="AB268" s="214">
        <v>0</v>
      </c>
      <c r="AC268" s="125">
        <f t="shared" si="43"/>
        <v>0</v>
      </c>
      <c r="AD268" s="125">
        <f>IF(Valores!$C$29*B268&gt;Valores!$F$29,Valores!$F$29,Valores!$C$29*B268)</f>
        <v>397.32000000000005</v>
      </c>
      <c r="AE268" s="192">
        <v>94</v>
      </c>
      <c r="AF268" s="125">
        <f>ROUND(AE268*Valores!$C$2,2)</f>
        <v>2549.39</v>
      </c>
      <c r="AG268" s="125">
        <f>IF($F$4="NO",IF(Valores!$D$63*'Escala Docente'!B268&gt;Valores!$F$63,Valores!$F$63,Valores!$D$63*'Escala Docente'!B268),IF(Valores!$D$63*'Escala Docente'!B268&gt;Valores!$F$63,Valores!$F$63,Valores!$D$63*'Escala Docente'!B268)/2)</f>
        <v>9076.199999999999</v>
      </c>
      <c r="AH268" s="125">
        <f t="shared" si="46"/>
        <v>121987.57000000002</v>
      </c>
      <c r="AI268" s="125">
        <f>IF(Valores!$C$32*B268&gt;Valores!$F$32,Valores!$F$32,Valores!$C$32*B268)</f>
        <v>0</v>
      </c>
      <c r="AJ268" s="125">
        <f>IF(Valores!$C$90*B268&gt;Valores!$C$89,Valores!$C$89,Valores!$C$90*B268)</f>
        <v>0</v>
      </c>
      <c r="AK268" s="125">
        <f>IF(Valores!C$39*B268&gt;Valores!F$38,Valores!F$38,Valores!C$39*B268)</f>
        <v>21000</v>
      </c>
      <c r="AL268" s="125">
        <f>IF($F$3="NO",0,IF(Valores!$C$62*B268&gt;Valores!$F$62,Valores!$F$62,Valores!$C$62*B268))</f>
        <v>238.47390000000001</v>
      </c>
      <c r="AM268" s="125">
        <f t="shared" si="44"/>
        <v>21238.4739</v>
      </c>
      <c r="AN268" s="125">
        <f>AH268*Valores!$C$71</f>
        <v>-13418.632700000002</v>
      </c>
      <c r="AO268" s="125">
        <f>AH268*-Valores!$C$72</f>
        <v>0</v>
      </c>
      <c r="AP268" s="125">
        <f>AH268*Valores!$C$73</f>
        <v>-5489.4406500000005</v>
      </c>
      <c r="AQ268" s="125">
        <f>Valores!$C$100</f>
        <v>-280.91</v>
      </c>
      <c r="AR268" s="125">
        <f>IF($F$5=0,Valores!$C$101,(Valores!$C$101+$F$5*(Valores!$C$101)))</f>
        <v>-385</v>
      </c>
      <c r="AS268" s="125">
        <f t="shared" si="47"/>
        <v>123652.06055000002</v>
      </c>
      <c r="AT268" s="125">
        <f t="shared" si="41"/>
        <v>-13418.632700000002</v>
      </c>
      <c r="AU268" s="125">
        <f>AH268*Valores!$C$74</f>
        <v>-3293.6643900000004</v>
      </c>
      <c r="AV268" s="125">
        <f>AH268*Valores!$C$75</f>
        <v>-365.9627100000001</v>
      </c>
      <c r="AW268" s="125">
        <f t="shared" si="45"/>
        <v>126147.78410000002</v>
      </c>
      <c r="AX268" s="126"/>
      <c r="AY268" s="126">
        <f t="shared" si="39"/>
        <v>21</v>
      </c>
      <c r="AZ268" s="123" t="s">
        <v>4</v>
      </c>
    </row>
    <row r="269" spans="1:52" s="110" customFormat="1" ht="11.25" customHeight="1">
      <c r="A269" s="123" t="s">
        <v>471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0"/>
        <v>1738</v>
      </c>
      <c r="F269" s="125">
        <f>ROUND(E269*Valores!$C$2,2)</f>
        <v>47136.65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9623.91</v>
      </c>
      <c r="N269" s="125">
        <f t="shared" si="42"/>
        <v>0</v>
      </c>
      <c r="O269" s="125">
        <f>Valores!$C$7*B269</f>
        <v>20234.72</v>
      </c>
      <c r="P269" s="125">
        <f>ROUND(IF(B269&lt;15,(Valores!$E$5*B269),Valores!$D$5),2)</f>
        <v>13864.36</v>
      </c>
      <c r="Q269" s="125">
        <v>0</v>
      </c>
      <c r="R269" s="125">
        <f>IF($F$4="NO",Valores!$C$49*B269,Valores!$C$49*B269/2)</f>
        <v>10658.560000000001</v>
      </c>
      <c r="S269" s="125">
        <f>Valores!$C$18*B269</f>
        <v>6364.16</v>
      </c>
      <c r="T269" s="125">
        <f t="shared" si="48"/>
        <v>6364.16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IF(Valores!$C$97*B269&gt;Valores!$C$96,Valores!$C$96,Valores!$C$97*B269)</f>
        <v>6158.68</v>
      </c>
      <c r="AA269" s="125">
        <f>IF((Valores!$C$28)*B269&gt;Valores!$F$28,Valores!$F$28,(Valores!$C$28)*B269)</f>
        <v>499.84</v>
      </c>
      <c r="AB269" s="214">
        <v>0</v>
      </c>
      <c r="AC269" s="125">
        <f t="shared" si="43"/>
        <v>0</v>
      </c>
      <c r="AD269" s="125">
        <f>IF(Valores!$C$29*B269&gt;Valores!$F$29,Valores!$F$29,Valores!$C$29*B269)</f>
        <v>416.24</v>
      </c>
      <c r="AE269" s="192">
        <v>0</v>
      </c>
      <c r="AF269" s="125">
        <f>ROUND(AE269*Valores!$C$2,2)</f>
        <v>0</v>
      </c>
      <c r="AG269" s="125">
        <f>IF($F$4="NO",IF(Valores!$D$63*'Escala Docente'!B269&gt;Valores!$F$63,Valores!$F$63,Valores!$D$63*'Escala Docente'!B269),IF(Valores!$D$63*'Escala Docente'!B269&gt;Valores!$F$63,Valores!$F$63,Valores!$D$63*'Escala Docente'!B269)/2)</f>
        <v>9508.4</v>
      </c>
      <c r="AH269" s="125">
        <f t="shared" si="46"/>
        <v>124465.52</v>
      </c>
      <c r="AI269" s="125">
        <f>IF(Valores!$C$32*B269&gt;Valores!$F$32,Valores!$F$32,Valores!$C$32*B269)</f>
        <v>0</v>
      </c>
      <c r="AJ269" s="125">
        <f>IF(Valores!$C$90*B269&gt;Valores!$C$89,Valores!$C$89,Valores!$C$90*B269)</f>
        <v>0</v>
      </c>
      <c r="AK269" s="125">
        <f>IF(Valores!C$39*B269&gt;Valores!F$38,Valores!F$38,Valores!C$39*B269)</f>
        <v>22000</v>
      </c>
      <c r="AL269" s="125">
        <f>IF($F$3="NO",0,IF(Valores!$C$62*B269&gt;Valores!$F$62,Valores!$F$62,Valores!$C$62*B269))</f>
        <v>249.8298</v>
      </c>
      <c r="AM269" s="125">
        <f t="shared" si="44"/>
        <v>22249.8298</v>
      </c>
      <c r="AN269" s="125">
        <f>AH269*Valores!$C$71</f>
        <v>-13691.2072</v>
      </c>
      <c r="AO269" s="125">
        <f>AH269*-Valores!$C$72</f>
        <v>0</v>
      </c>
      <c r="AP269" s="125">
        <f>AH269*Valores!$C$73</f>
        <v>-5600.9484</v>
      </c>
      <c r="AQ269" s="125">
        <f>Valores!$C$100</f>
        <v>-280.91</v>
      </c>
      <c r="AR269" s="125">
        <f>IF($F$5=0,Valores!$C$101,(Valores!$C$101+$F$5*(Valores!$C$101)))</f>
        <v>-385</v>
      </c>
      <c r="AS269" s="125">
        <f t="shared" si="47"/>
        <v>126757.28420000001</v>
      </c>
      <c r="AT269" s="125">
        <f t="shared" si="41"/>
        <v>-13691.2072</v>
      </c>
      <c r="AU269" s="125">
        <f>AH269*Valores!$C$74</f>
        <v>-3360.56904</v>
      </c>
      <c r="AV269" s="125">
        <f>AH269*Valores!$C$75</f>
        <v>-373.39656</v>
      </c>
      <c r="AW269" s="125">
        <f t="shared" si="45"/>
        <v>129290.177</v>
      </c>
      <c r="AX269" s="126"/>
      <c r="AY269" s="126">
        <f t="shared" si="39"/>
        <v>22</v>
      </c>
      <c r="AZ269" s="123" t="s">
        <v>4</v>
      </c>
    </row>
    <row r="270" spans="1:52" s="110" customFormat="1" ht="11.25" customHeight="1">
      <c r="A270" s="123" t="s">
        <v>471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0"/>
        <v>1738</v>
      </c>
      <c r="F270" s="125">
        <f>ROUND(E270*Valores!$C$2,2)</f>
        <v>47136.65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9623.91</v>
      </c>
      <c r="N270" s="125">
        <f t="shared" si="42"/>
        <v>0</v>
      </c>
      <c r="O270" s="125">
        <f>Valores!$C$7*B270</f>
        <v>20234.72</v>
      </c>
      <c r="P270" s="125">
        <f>ROUND(IF(B270&lt;15,(Valores!$E$5*B270),Valores!$D$5),2)</f>
        <v>13864.36</v>
      </c>
      <c r="Q270" s="125">
        <v>0</v>
      </c>
      <c r="R270" s="125">
        <f>IF($F$4="NO",Valores!$C$49*B270,Valores!$C$49*B270/2)</f>
        <v>10658.560000000001</v>
      </c>
      <c r="S270" s="125">
        <f>Valores!$C$18*B270</f>
        <v>6364.16</v>
      </c>
      <c r="T270" s="125">
        <f t="shared" si="48"/>
        <v>6364.16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IF(Valores!$C$97*B270&gt;Valores!$C$96,Valores!$C$96,Valores!$C$97*B270)</f>
        <v>6158.68</v>
      </c>
      <c r="AA270" s="125">
        <f>IF((Valores!$C$28)*B270&gt;Valores!$F$28,Valores!$F$28,(Valores!$C$28)*B270)</f>
        <v>499.84</v>
      </c>
      <c r="AB270" s="214">
        <v>0</v>
      </c>
      <c r="AC270" s="125">
        <f t="shared" si="43"/>
        <v>0</v>
      </c>
      <c r="AD270" s="125">
        <f>IF(Valores!$C$29*B270&gt;Valores!$F$29,Valores!$F$29,Valores!$C$29*B270)</f>
        <v>416.24</v>
      </c>
      <c r="AE270" s="192">
        <v>94</v>
      </c>
      <c r="AF270" s="125">
        <f>ROUND(AE270*Valores!$C$2,2)</f>
        <v>2549.39</v>
      </c>
      <c r="AG270" s="125">
        <f>IF($F$4="NO",IF(Valores!$D$63*'Escala Docente'!B270&gt;Valores!$F$63,Valores!$F$63,Valores!$D$63*'Escala Docente'!B270),IF(Valores!$D$63*'Escala Docente'!B270&gt;Valores!$F$63,Valores!$F$63,Valores!$D$63*'Escala Docente'!B270)/2)</f>
        <v>9508.4</v>
      </c>
      <c r="AH270" s="125">
        <f t="shared" si="46"/>
        <v>127014.91</v>
      </c>
      <c r="AI270" s="125">
        <f>IF(Valores!$C$32*B270&gt;Valores!$F$32,Valores!$F$32,Valores!$C$32*B270)</f>
        <v>0</v>
      </c>
      <c r="AJ270" s="125">
        <f>IF(Valores!$C$90*B270&gt;Valores!$C$89,Valores!$C$89,Valores!$C$90*B270)</f>
        <v>0</v>
      </c>
      <c r="AK270" s="125">
        <f>IF(Valores!C$39*B270&gt;Valores!F$38,Valores!F$38,Valores!C$39*B270)</f>
        <v>22000</v>
      </c>
      <c r="AL270" s="125">
        <f>IF($F$3="NO",0,IF(Valores!$C$62*B270&gt;Valores!$F$62,Valores!$F$62,Valores!$C$62*B270))</f>
        <v>249.8298</v>
      </c>
      <c r="AM270" s="125">
        <f t="shared" si="44"/>
        <v>22249.8298</v>
      </c>
      <c r="AN270" s="125">
        <f>AH270*Valores!$C$71</f>
        <v>-13971.6401</v>
      </c>
      <c r="AO270" s="125">
        <f>AH270*-Valores!$C$72</f>
        <v>0</v>
      </c>
      <c r="AP270" s="125">
        <f>AH270*Valores!$C$73</f>
        <v>-5715.67095</v>
      </c>
      <c r="AQ270" s="125">
        <f>Valores!$C$100</f>
        <v>-280.91</v>
      </c>
      <c r="AR270" s="125">
        <f>IF($F$5=0,Valores!$C$101,(Valores!$C$101+$F$5*(Valores!$C$101)))</f>
        <v>-385</v>
      </c>
      <c r="AS270" s="125">
        <f t="shared" si="47"/>
        <v>128911.51875</v>
      </c>
      <c r="AT270" s="125">
        <f t="shared" si="41"/>
        <v>-13971.6401</v>
      </c>
      <c r="AU270" s="125">
        <f>AH270*Valores!$C$74</f>
        <v>-3429.40257</v>
      </c>
      <c r="AV270" s="125">
        <f>AH270*Valores!$C$75</f>
        <v>-381.04473</v>
      </c>
      <c r="AW270" s="125">
        <f t="shared" si="45"/>
        <v>131482.65240000002</v>
      </c>
      <c r="AX270" s="126"/>
      <c r="AY270" s="126">
        <f t="shared" si="39"/>
        <v>22</v>
      </c>
      <c r="AZ270" s="123" t="s">
        <v>4</v>
      </c>
    </row>
    <row r="271" spans="1:52" s="110" customFormat="1" ht="11.25" customHeight="1">
      <c r="A271" s="123" t="s">
        <v>471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0"/>
        <v>1817</v>
      </c>
      <c r="F271" s="125">
        <f>ROUND(E271*Valores!$C$2,2)</f>
        <v>49279.22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10061.36</v>
      </c>
      <c r="N271" s="125">
        <f t="shared" si="42"/>
        <v>0</v>
      </c>
      <c r="O271" s="125">
        <f>Valores!$C$7*B271</f>
        <v>21154.48</v>
      </c>
      <c r="P271" s="125">
        <f>ROUND(IF(B271&lt;15,(Valores!$E$5*B271),Valores!$D$5),2)</f>
        <v>13864.36</v>
      </c>
      <c r="Q271" s="125">
        <v>0</v>
      </c>
      <c r="R271" s="125">
        <f>IF($F$4="NO",Valores!$C$49*B271,Valores!$C$49*B271/2)</f>
        <v>11143.04</v>
      </c>
      <c r="S271" s="125">
        <f>Valores!$C$18*B271</f>
        <v>6653.44</v>
      </c>
      <c r="T271" s="125">
        <f t="shared" si="48"/>
        <v>6653.44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IF(Valores!$C$97*B271&gt;Valores!$C$96,Valores!$C$96,Valores!$C$97*B271)</f>
        <v>6438.62</v>
      </c>
      <c r="AA271" s="125">
        <f>IF((Valores!$C$28)*B271&gt;Valores!$F$28,Valores!$F$28,(Valores!$C$28)*B271)</f>
        <v>522.56</v>
      </c>
      <c r="AB271" s="214">
        <v>0</v>
      </c>
      <c r="AC271" s="125">
        <f t="shared" si="43"/>
        <v>0</v>
      </c>
      <c r="AD271" s="125">
        <f>IF(Valores!$C$29*B271&gt;Valores!$F$29,Valores!$F$29,Valores!$C$29*B271)</f>
        <v>435.16</v>
      </c>
      <c r="AE271" s="192">
        <v>0</v>
      </c>
      <c r="AF271" s="125">
        <f>ROUND(AE271*Valores!$C$2,2)</f>
        <v>0</v>
      </c>
      <c r="AG271" s="125">
        <f>IF($F$4="NO",IF(Valores!$D$63*'Escala Docente'!B271&gt;Valores!$F$63,Valores!$F$63,Valores!$D$63*'Escala Docente'!B271),IF(Valores!$D$63*'Escala Docente'!B271&gt;Valores!$F$63,Valores!$F$63,Valores!$D$63*'Escala Docente'!B271)/2)</f>
        <v>9940.6</v>
      </c>
      <c r="AH271" s="125">
        <f t="shared" si="46"/>
        <v>129492.84</v>
      </c>
      <c r="AI271" s="125">
        <f>IF(Valores!$C$32*B271&gt;Valores!$F$32,Valores!$F$32,Valores!$C$32*B271)</f>
        <v>0</v>
      </c>
      <c r="AJ271" s="125">
        <f>IF(Valores!$C$90*B271&gt;Valores!$C$89,Valores!$C$89,Valores!$C$90*B271)</f>
        <v>0</v>
      </c>
      <c r="AK271" s="125">
        <f>IF(Valores!C$39*B271&gt;Valores!F$38,Valores!F$38,Valores!C$39*B271)</f>
        <v>23000</v>
      </c>
      <c r="AL271" s="125">
        <f>IF($F$3="NO",0,IF(Valores!$C$62*B271&gt;Valores!$F$62,Valores!$F$62,Valores!$C$62*B271))</f>
        <v>261.1857</v>
      </c>
      <c r="AM271" s="125">
        <f t="shared" si="44"/>
        <v>23261.1857</v>
      </c>
      <c r="AN271" s="125">
        <f>AH271*Valores!$C$71</f>
        <v>-14244.2124</v>
      </c>
      <c r="AO271" s="125">
        <f>AH271*-Valores!$C$72</f>
        <v>0</v>
      </c>
      <c r="AP271" s="125">
        <f>AH271*Valores!$C$73</f>
        <v>-5827.1777999999995</v>
      </c>
      <c r="AQ271" s="125">
        <f>Valores!$C$100</f>
        <v>-280.91</v>
      </c>
      <c r="AR271" s="125">
        <f>IF($F$5=0,Valores!$C$101,(Valores!$C$101+$F$5*(Valores!$C$101)))</f>
        <v>-385</v>
      </c>
      <c r="AS271" s="125">
        <f t="shared" si="47"/>
        <v>132016.7255</v>
      </c>
      <c r="AT271" s="125">
        <f t="shared" si="41"/>
        <v>-14244.2124</v>
      </c>
      <c r="AU271" s="125">
        <f>AH271*Valores!$C$74</f>
        <v>-3496.3066799999997</v>
      </c>
      <c r="AV271" s="125">
        <f>AH271*Valores!$C$75</f>
        <v>-388.47852</v>
      </c>
      <c r="AW271" s="125">
        <f t="shared" si="45"/>
        <v>134625.0281</v>
      </c>
      <c r="AX271" s="126"/>
      <c r="AY271" s="126">
        <f t="shared" si="39"/>
        <v>23</v>
      </c>
      <c r="AZ271" s="123" t="s">
        <v>8</v>
      </c>
    </row>
    <row r="272" spans="1:52" s="110" customFormat="1" ht="11.25" customHeight="1">
      <c r="A272" s="123" t="s">
        <v>471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0"/>
        <v>1817</v>
      </c>
      <c r="F272" s="125">
        <f>ROUND(E272*Valores!$C$2,2)</f>
        <v>49279.22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10061.36</v>
      </c>
      <c r="N272" s="125">
        <f t="shared" si="42"/>
        <v>0</v>
      </c>
      <c r="O272" s="125">
        <f>Valores!$C$7*B272</f>
        <v>21154.48</v>
      </c>
      <c r="P272" s="125">
        <f>ROUND(IF(B272&lt;15,(Valores!$E$5*B272),Valores!$D$5),2)</f>
        <v>13864.36</v>
      </c>
      <c r="Q272" s="125">
        <v>0</v>
      </c>
      <c r="R272" s="125">
        <f>IF($F$4="NO",Valores!$C$49*B272,Valores!$C$49*B272/2)</f>
        <v>11143.04</v>
      </c>
      <c r="S272" s="125">
        <f>Valores!$C$18*B272</f>
        <v>6653.44</v>
      </c>
      <c r="T272" s="125">
        <f t="shared" si="48"/>
        <v>6653.44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IF(Valores!$C$97*B272&gt;Valores!$C$96,Valores!$C$96,Valores!$C$97*B272)</f>
        <v>6438.62</v>
      </c>
      <c r="AA272" s="125">
        <f>IF((Valores!$C$28)*B272&gt;Valores!$F$28,Valores!$F$28,(Valores!$C$28)*B272)</f>
        <v>522.56</v>
      </c>
      <c r="AB272" s="214">
        <v>0</v>
      </c>
      <c r="AC272" s="125">
        <f t="shared" si="43"/>
        <v>0</v>
      </c>
      <c r="AD272" s="125">
        <f>IF(Valores!$C$29*B272&gt;Valores!$F$29,Valores!$F$29,Valores!$C$29*B272)</f>
        <v>435.16</v>
      </c>
      <c r="AE272" s="192">
        <v>94</v>
      </c>
      <c r="AF272" s="125">
        <f>ROUND(AE272*Valores!$C$2,2)</f>
        <v>2549.39</v>
      </c>
      <c r="AG272" s="125">
        <f>IF($F$4="NO",IF(Valores!$D$63*'Escala Docente'!B272&gt;Valores!$F$63,Valores!$F$63,Valores!$D$63*'Escala Docente'!B272),IF(Valores!$D$63*'Escala Docente'!B272&gt;Valores!$F$63,Valores!$F$63,Valores!$D$63*'Escala Docente'!B272)/2)</f>
        <v>9940.6</v>
      </c>
      <c r="AH272" s="125">
        <f t="shared" si="46"/>
        <v>132042.22999999998</v>
      </c>
      <c r="AI272" s="125">
        <f>IF(Valores!$C$32*B272&gt;Valores!$F$32,Valores!$F$32,Valores!$C$32*B272)</f>
        <v>0</v>
      </c>
      <c r="AJ272" s="125">
        <f>IF(Valores!$C$90*B272&gt;Valores!$C$89,Valores!$C$89,Valores!$C$90*B272)</f>
        <v>0</v>
      </c>
      <c r="AK272" s="125">
        <f>IF(Valores!C$39*B272&gt;Valores!F$38,Valores!F$38,Valores!C$39*B272)</f>
        <v>23000</v>
      </c>
      <c r="AL272" s="125">
        <f>IF($F$3="NO",0,IF(Valores!$C$62*B272&gt;Valores!$F$62,Valores!$F$62,Valores!$C$62*B272))</f>
        <v>261.1857</v>
      </c>
      <c r="AM272" s="125">
        <f t="shared" si="44"/>
        <v>23261.1857</v>
      </c>
      <c r="AN272" s="125">
        <f>AH272*Valores!$C$71</f>
        <v>-14524.645299999998</v>
      </c>
      <c r="AO272" s="125">
        <f>AH272*-Valores!$C$72</f>
        <v>0</v>
      </c>
      <c r="AP272" s="125">
        <f>AH272*Valores!$C$73</f>
        <v>-5941.900349999999</v>
      </c>
      <c r="AQ272" s="125">
        <f>Valores!$C$100</f>
        <v>-280.91</v>
      </c>
      <c r="AR272" s="125">
        <f>IF($F$5=0,Valores!$C$101,(Valores!$C$101+$F$5*(Valores!$C$101)))</f>
        <v>-385</v>
      </c>
      <c r="AS272" s="125">
        <f t="shared" si="47"/>
        <v>134170.96005</v>
      </c>
      <c r="AT272" s="125">
        <f t="shared" si="41"/>
        <v>-14524.645299999998</v>
      </c>
      <c r="AU272" s="125">
        <f>AH272*Valores!$C$74</f>
        <v>-3565.1402099999996</v>
      </c>
      <c r="AV272" s="125">
        <f>AH272*Valores!$C$75</f>
        <v>-396.12668999999994</v>
      </c>
      <c r="AW272" s="125">
        <f t="shared" si="45"/>
        <v>136817.5035</v>
      </c>
      <c r="AX272" s="126"/>
      <c r="AY272" s="126">
        <f t="shared" si="39"/>
        <v>23</v>
      </c>
      <c r="AZ272" s="123" t="s">
        <v>8</v>
      </c>
    </row>
    <row r="273" spans="1:52" s="110" customFormat="1" ht="11.25" customHeight="1">
      <c r="A273" s="123" t="s">
        <v>471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0"/>
        <v>1896</v>
      </c>
      <c r="F273" s="125">
        <f>ROUND(E273*Valores!$C$2,2)</f>
        <v>51421.8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10498.81</v>
      </c>
      <c r="N273" s="125">
        <f t="shared" si="42"/>
        <v>0</v>
      </c>
      <c r="O273" s="125">
        <f>Valores!$C$7*B273</f>
        <v>22074.239999999998</v>
      </c>
      <c r="P273" s="125">
        <f>ROUND(IF(B273&lt;15,(Valores!$E$5*B273),Valores!$D$5),2)</f>
        <v>13864.36</v>
      </c>
      <c r="Q273" s="125">
        <v>0</v>
      </c>
      <c r="R273" s="125">
        <f>IF($F$4="NO",Valores!$C$49*B273,Valores!$C$49*B273/2)</f>
        <v>11627.52</v>
      </c>
      <c r="S273" s="125">
        <f>Valores!$C$18*B273</f>
        <v>6942.719999999999</v>
      </c>
      <c r="T273" s="125">
        <f t="shared" si="48"/>
        <v>6942.72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IF(Valores!$C$97*B273&gt;Valores!$C$96,Valores!$C$96,Valores!$C$97*B273)</f>
        <v>6718.5599999999995</v>
      </c>
      <c r="AA273" s="125">
        <f>IF((Valores!$C$28)*B273&gt;Valores!$F$28,Valores!$F$28,(Valores!$C$28)*B273)</f>
        <v>545.28</v>
      </c>
      <c r="AB273" s="214">
        <v>0</v>
      </c>
      <c r="AC273" s="125">
        <f t="shared" si="43"/>
        <v>0</v>
      </c>
      <c r="AD273" s="125">
        <f>IF(Valores!$C$29*B273&gt;Valores!$F$29,Valores!$F$29,Valores!$C$29*B273)</f>
        <v>454.08000000000004</v>
      </c>
      <c r="AE273" s="192">
        <v>0</v>
      </c>
      <c r="AF273" s="125">
        <f>ROUND(AE273*Valores!$C$2,2)</f>
        <v>0</v>
      </c>
      <c r="AG273" s="125">
        <f>IF($F$4="NO",IF(Valores!$D$63*'Escala Docente'!B273&gt;Valores!$F$63,Valores!$F$63,Valores!$D$63*'Escala Docente'!B273),IF(Valores!$D$63*'Escala Docente'!B273&gt;Valores!$F$63,Valores!$F$63,Valores!$D$63*'Escala Docente'!B273)/2)</f>
        <v>10372.8</v>
      </c>
      <c r="AH273" s="125">
        <f t="shared" si="46"/>
        <v>134520.17</v>
      </c>
      <c r="AI273" s="125">
        <f>IF(Valores!$C$32*B273&gt;Valores!$F$32,Valores!$F$32,Valores!$C$32*B273)</f>
        <v>0</v>
      </c>
      <c r="AJ273" s="125">
        <f>IF(Valores!$C$90*B273&gt;Valores!$C$89,Valores!$C$89,Valores!$C$90*B273)</f>
        <v>0</v>
      </c>
      <c r="AK273" s="125">
        <f>IF(Valores!C$39*B273&gt;Valores!F$38,Valores!F$38,Valores!C$39*B273)</f>
        <v>24000</v>
      </c>
      <c r="AL273" s="125">
        <f>IF($F$3="NO",0,IF(Valores!$C$62*B273&gt;Valores!$F$62,Valores!$F$62,Valores!$C$62*B273))</f>
        <v>272.5416</v>
      </c>
      <c r="AM273" s="125">
        <f t="shared" si="44"/>
        <v>24272.5416</v>
      </c>
      <c r="AN273" s="125">
        <f>AH273*Valores!$C$71</f>
        <v>-14797.218700000001</v>
      </c>
      <c r="AO273" s="125">
        <f>AH273*-Valores!$C$72</f>
        <v>0</v>
      </c>
      <c r="AP273" s="125">
        <f>AH273*Valores!$C$73</f>
        <v>-6053.40765</v>
      </c>
      <c r="AQ273" s="125">
        <f>Valores!$C$100</f>
        <v>-280.91</v>
      </c>
      <c r="AR273" s="125">
        <f>IF($F$5=0,Valores!$C$101,(Valores!$C$101+$F$5*(Valores!$C$101)))</f>
        <v>-385</v>
      </c>
      <c r="AS273" s="125">
        <f t="shared" si="47"/>
        <v>137276.17525</v>
      </c>
      <c r="AT273" s="125">
        <f t="shared" si="41"/>
        <v>-14797.218700000001</v>
      </c>
      <c r="AU273" s="125">
        <f>AH273*Valores!$C$74</f>
        <v>-3632.0445900000004</v>
      </c>
      <c r="AV273" s="125">
        <f>AH273*Valores!$C$75</f>
        <v>-403.56051</v>
      </c>
      <c r="AW273" s="125">
        <f t="shared" si="45"/>
        <v>139959.8878</v>
      </c>
      <c r="AX273" s="126"/>
      <c r="AY273" s="126">
        <f t="shared" si="39"/>
        <v>24</v>
      </c>
      <c r="AZ273" s="123" t="s">
        <v>8</v>
      </c>
    </row>
    <row r="274" spans="1:52" s="110" customFormat="1" ht="11.25" customHeight="1">
      <c r="A274" s="123" t="s">
        <v>471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0"/>
        <v>1896</v>
      </c>
      <c r="F274" s="125">
        <f>ROUND(E274*Valores!$C$2,2)</f>
        <v>51421.8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10498.81</v>
      </c>
      <c r="N274" s="125">
        <f t="shared" si="42"/>
        <v>0</v>
      </c>
      <c r="O274" s="125">
        <f>Valores!$C$7*B274</f>
        <v>22074.239999999998</v>
      </c>
      <c r="P274" s="125">
        <f>ROUND(IF(B274&lt;15,(Valores!$E$5*B274),Valores!$D$5),2)</f>
        <v>13864.36</v>
      </c>
      <c r="Q274" s="125">
        <v>0</v>
      </c>
      <c r="R274" s="125">
        <f>IF($F$4="NO",Valores!$C$49*B274,Valores!$C$49*B274/2)</f>
        <v>11627.52</v>
      </c>
      <c r="S274" s="125">
        <f>Valores!$C$18*B274</f>
        <v>6942.719999999999</v>
      </c>
      <c r="T274" s="125">
        <f t="shared" si="48"/>
        <v>6942.72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IF(Valores!$C$97*B274&gt;Valores!$C$96,Valores!$C$96,Valores!$C$97*B274)</f>
        <v>6718.5599999999995</v>
      </c>
      <c r="AA274" s="125">
        <f>IF((Valores!$C$28)*B274&gt;Valores!$F$28,Valores!$F$28,(Valores!$C$28)*B274)</f>
        <v>545.28</v>
      </c>
      <c r="AB274" s="214">
        <v>0</v>
      </c>
      <c r="AC274" s="125">
        <f t="shared" si="43"/>
        <v>0</v>
      </c>
      <c r="AD274" s="125">
        <f>IF(Valores!$C$29*B274&gt;Valores!$F$29,Valores!$F$29,Valores!$C$29*B274)</f>
        <v>454.08000000000004</v>
      </c>
      <c r="AE274" s="192">
        <v>94</v>
      </c>
      <c r="AF274" s="125">
        <f>ROUND(AE274*Valores!$C$2,2)</f>
        <v>2549.39</v>
      </c>
      <c r="AG274" s="125">
        <f>IF($F$4="NO",IF(Valores!$D$63*'Escala Docente'!B274&gt;Valores!$F$63,Valores!$F$63,Valores!$D$63*'Escala Docente'!B274),IF(Valores!$D$63*'Escala Docente'!B274&gt;Valores!$F$63,Valores!$F$63,Valores!$D$63*'Escala Docente'!B274)/2)</f>
        <v>10372.8</v>
      </c>
      <c r="AH274" s="125">
        <f t="shared" si="46"/>
        <v>137069.56</v>
      </c>
      <c r="AI274" s="125">
        <f>IF(Valores!$C$32*B274&gt;Valores!$F$32,Valores!$F$32,Valores!$C$32*B274)</f>
        <v>0</v>
      </c>
      <c r="AJ274" s="125">
        <f>IF(Valores!$C$90*B274&gt;Valores!$C$89,Valores!$C$89,Valores!$C$90*B274)</f>
        <v>0</v>
      </c>
      <c r="AK274" s="125">
        <f>IF(Valores!C$39*B274&gt;Valores!F$38,Valores!F$38,Valores!C$39*B274)</f>
        <v>24000</v>
      </c>
      <c r="AL274" s="125">
        <f>IF($F$3="NO",0,IF(Valores!$C$62*B274&gt;Valores!$F$62,Valores!$F$62,Valores!$C$62*B274))</f>
        <v>272.5416</v>
      </c>
      <c r="AM274" s="125">
        <f t="shared" si="44"/>
        <v>24272.5416</v>
      </c>
      <c r="AN274" s="125">
        <f>AH274*Valores!$C$71</f>
        <v>-15077.6516</v>
      </c>
      <c r="AO274" s="125">
        <f>AH274*-Valores!$C$72</f>
        <v>0</v>
      </c>
      <c r="AP274" s="125">
        <f>AH274*Valores!$C$73</f>
        <v>-6168.1302</v>
      </c>
      <c r="AQ274" s="125">
        <f>Valores!$C$100</f>
        <v>-280.91</v>
      </c>
      <c r="AR274" s="125">
        <f>IF($F$5=0,Valores!$C$101,(Valores!$C$101+$F$5*(Valores!$C$101)))</f>
        <v>-385</v>
      </c>
      <c r="AS274" s="125">
        <f t="shared" si="47"/>
        <v>139430.4098</v>
      </c>
      <c r="AT274" s="125">
        <f t="shared" si="41"/>
        <v>-15077.6516</v>
      </c>
      <c r="AU274" s="125">
        <f>AH274*Valores!$C$74</f>
        <v>-3700.87812</v>
      </c>
      <c r="AV274" s="125">
        <f>AH274*Valores!$C$75</f>
        <v>-411.20868</v>
      </c>
      <c r="AW274" s="125">
        <f t="shared" si="45"/>
        <v>142152.3632</v>
      </c>
      <c r="AX274" s="126"/>
      <c r="AY274" s="126">
        <f t="shared" si="39"/>
        <v>24</v>
      </c>
      <c r="AZ274" s="123" t="s">
        <v>8</v>
      </c>
    </row>
    <row r="275" spans="1:52" s="110" customFormat="1" ht="11.25" customHeight="1">
      <c r="A275" s="123" t="s">
        <v>471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0"/>
        <v>1975</v>
      </c>
      <c r="F275" s="125">
        <f>ROUND(E275*Valores!$C$2,2)</f>
        <v>53564.37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10936.26</v>
      </c>
      <c r="N275" s="125">
        <f t="shared" si="42"/>
        <v>0</v>
      </c>
      <c r="O275" s="125">
        <f>Valores!$C$7*B275</f>
        <v>22994</v>
      </c>
      <c r="P275" s="125">
        <f>ROUND(IF(B275&lt;15,(Valores!$E$5*B275),Valores!$D$5),2)</f>
        <v>13864.36</v>
      </c>
      <c r="Q275" s="125">
        <v>0</v>
      </c>
      <c r="R275" s="125">
        <f>IF($F$4="NO",Valores!$C$49*B275,Valores!$C$49*B275/2)</f>
        <v>12112</v>
      </c>
      <c r="S275" s="125">
        <f>Valores!$C$18*B275</f>
        <v>7231.999999999999</v>
      </c>
      <c r="T275" s="125">
        <f t="shared" si="48"/>
        <v>7232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IF(Valores!$C$97*B275&gt;Valores!$C$96,Valores!$C$96,Valores!$C$97*B275)</f>
        <v>6998.5</v>
      </c>
      <c r="AA275" s="125">
        <f>IF((Valores!$C$28)*B275&gt;Valores!$F$28,Valores!$F$28,(Valores!$C$28)*B275)</f>
        <v>568</v>
      </c>
      <c r="AB275" s="214">
        <v>0</v>
      </c>
      <c r="AC275" s="125">
        <f t="shared" si="43"/>
        <v>0</v>
      </c>
      <c r="AD275" s="125">
        <f>IF(Valores!$C$29*B275&gt;Valores!$F$29,Valores!$F$29,Valores!$C$29*B275)</f>
        <v>473.00000000000006</v>
      </c>
      <c r="AE275" s="192">
        <v>0</v>
      </c>
      <c r="AF275" s="125">
        <f>ROUND(AE275*Valores!$C$2,2)</f>
        <v>0</v>
      </c>
      <c r="AG275" s="125">
        <f>IF($F$4="NO",IF(Valores!$D$63*'Escala Docente'!B275&gt;Valores!$F$63,Valores!$F$63,Valores!$D$63*'Escala Docente'!B275),IF(Valores!$D$63*'Escala Docente'!B275&gt;Valores!$F$63,Valores!$F$63,Valores!$D$63*'Escala Docente'!B275)/2)</f>
        <v>10805</v>
      </c>
      <c r="AH275" s="125">
        <f t="shared" si="46"/>
        <v>139547.49</v>
      </c>
      <c r="AI275" s="125">
        <f>IF(Valores!$C$32*B275&gt;Valores!$F$32,Valores!$F$32,Valores!$C$32*B275)</f>
        <v>0</v>
      </c>
      <c r="AJ275" s="125">
        <f>IF(Valores!$C$90*B275&gt;Valores!$C$89,Valores!$C$89,Valores!$C$90*B275)</f>
        <v>0</v>
      </c>
      <c r="AK275" s="125">
        <f>IF(Valores!C$39*B275&gt;Valores!F$38,Valores!F$38,Valores!C$39*B275)</f>
        <v>25000</v>
      </c>
      <c r="AL275" s="125">
        <f>IF($F$3="NO",0,IF(Valores!$C$62*B275&gt;Valores!$F$62,Valores!$F$62,Valores!$C$62*B275))</f>
        <v>283.8975</v>
      </c>
      <c r="AM275" s="125">
        <f t="shared" si="44"/>
        <v>25283.8975</v>
      </c>
      <c r="AN275" s="125">
        <f>AH275*Valores!$C$71</f>
        <v>-15350.223899999999</v>
      </c>
      <c r="AO275" s="125">
        <f>AH275*-Valores!$C$72</f>
        <v>0</v>
      </c>
      <c r="AP275" s="125">
        <f>AH275*Valores!$C$73</f>
        <v>-6279.637049999999</v>
      </c>
      <c r="AQ275" s="125">
        <f>Valores!$C$100</f>
        <v>-280.91</v>
      </c>
      <c r="AR275" s="125">
        <f>IF($F$5=0,Valores!$C$101,(Valores!$C$101+$F$5*(Valores!$C$101)))</f>
        <v>-385</v>
      </c>
      <c r="AS275" s="125">
        <f t="shared" si="47"/>
        <v>142535.61654999998</v>
      </c>
      <c r="AT275" s="125">
        <f t="shared" si="41"/>
        <v>-15350.223899999999</v>
      </c>
      <c r="AU275" s="125">
        <f>AH275*Valores!$C$74</f>
        <v>-3767.78223</v>
      </c>
      <c r="AV275" s="125">
        <f>AH275*Valores!$C$75</f>
        <v>-418.64247</v>
      </c>
      <c r="AW275" s="125">
        <f t="shared" si="45"/>
        <v>145294.7389</v>
      </c>
      <c r="AX275" s="126"/>
      <c r="AY275" s="126">
        <f t="shared" si="39"/>
        <v>25</v>
      </c>
      <c r="AZ275" s="123" t="s">
        <v>4</v>
      </c>
    </row>
    <row r="276" spans="1:52" s="110" customFormat="1" ht="11.25" customHeight="1">
      <c r="A276" s="123" t="s">
        <v>471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0"/>
        <v>1975</v>
      </c>
      <c r="F276" s="125">
        <f>ROUND(E276*Valores!$C$2,2)</f>
        <v>53564.37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10936.26</v>
      </c>
      <c r="N276" s="125">
        <f t="shared" si="42"/>
        <v>0</v>
      </c>
      <c r="O276" s="125">
        <f>Valores!$C$7*B276</f>
        <v>22994</v>
      </c>
      <c r="P276" s="125">
        <f>ROUND(IF(B276&lt;15,(Valores!$E$5*B276),Valores!$D$5),2)</f>
        <v>13864.36</v>
      </c>
      <c r="Q276" s="125">
        <v>0</v>
      </c>
      <c r="R276" s="125">
        <f>IF($F$4="NO",Valores!$C$49*B276,Valores!$C$49*B276/2)</f>
        <v>12112</v>
      </c>
      <c r="S276" s="125">
        <f>Valores!$C$18*B276</f>
        <v>7231.999999999999</v>
      </c>
      <c r="T276" s="125">
        <f t="shared" si="48"/>
        <v>7232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IF(Valores!$C$97*B276&gt;Valores!$C$96,Valores!$C$96,Valores!$C$97*B276)</f>
        <v>6998.5</v>
      </c>
      <c r="AA276" s="125">
        <f>IF((Valores!$C$28)*B276&gt;Valores!$F$28,Valores!$F$28,(Valores!$C$28)*B276)</f>
        <v>568</v>
      </c>
      <c r="AB276" s="214">
        <v>0</v>
      </c>
      <c r="AC276" s="125">
        <f t="shared" si="43"/>
        <v>0</v>
      </c>
      <c r="AD276" s="125">
        <f>IF(Valores!$C$29*B276&gt;Valores!$F$29,Valores!$F$29,Valores!$C$29*B276)</f>
        <v>473.00000000000006</v>
      </c>
      <c r="AE276" s="192">
        <v>94</v>
      </c>
      <c r="AF276" s="125">
        <f>ROUND(AE276*Valores!$C$2,2)</f>
        <v>2549.39</v>
      </c>
      <c r="AG276" s="125">
        <f>IF($F$4="NO",IF(Valores!$D$63*'Escala Docente'!B276&gt;Valores!$F$63,Valores!$F$63,Valores!$D$63*'Escala Docente'!B276),IF(Valores!$D$63*'Escala Docente'!B276&gt;Valores!$F$63,Valores!$F$63,Valores!$D$63*'Escala Docente'!B276)/2)</f>
        <v>10805</v>
      </c>
      <c r="AH276" s="125">
        <f t="shared" si="46"/>
        <v>142096.88</v>
      </c>
      <c r="AI276" s="125">
        <f>IF(Valores!$C$32*B276&gt;Valores!$F$32,Valores!$F$32,Valores!$C$32*B276)</f>
        <v>0</v>
      </c>
      <c r="AJ276" s="125">
        <f>IF(Valores!$C$90*B276&gt;Valores!$C$89,Valores!$C$89,Valores!$C$90*B276)</f>
        <v>0</v>
      </c>
      <c r="AK276" s="125">
        <f>IF(Valores!C$39*B276&gt;Valores!F$38,Valores!F$38,Valores!C$39*B276)</f>
        <v>25000</v>
      </c>
      <c r="AL276" s="125">
        <f>IF($F$3="NO",0,IF(Valores!$C$62*B276&gt;Valores!$F$62,Valores!$F$62,Valores!$C$62*B276))</f>
        <v>283.8975</v>
      </c>
      <c r="AM276" s="125">
        <f t="shared" si="44"/>
        <v>25283.8975</v>
      </c>
      <c r="AN276" s="125">
        <f>AH276*Valores!$C$71</f>
        <v>-15630.6568</v>
      </c>
      <c r="AO276" s="125">
        <f>AH276*-Valores!$C$72</f>
        <v>0</v>
      </c>
      <c r="AP276" s="125">
        <f>AH276*Valores!$C$73</f>
        <v>-6394.3596</v>
      </c>
      <c r="AQ276" s="125">
        <f>Valores!$C$100</f>
        <v>-280.91</v>
      </c>
      <c r="AR276" s="125">
        <f>IF($F$5=0,Valores!$C$101,(Valores!$C$101+$F$5*(Valores!$C$101)))</f>
        <v>-385</v>
      </c>
      <c r="AS276" s="125">
        <f t="shared" si="47"/>
        <v>144689.8511</v>
      </c>
      <c r="AT276" s="125">
        <f t="shared" si="41"/>
        <v>-15630.6568</v>
      </c>
      <c r="AU276" s="125">
        <f>AH276*Valores!$C$74</f>
        <v>-3836.61576</v>
      </c>
      <c r="AV276" s="125">
        <f>AH276*Valores!$C$75</f>
        <v>-426.29064</v>
      </c>
      <c r="AW276" s="125">
        <f t="shared" si="45"/>
        <v>147487.2143</v>
      </c>
      <c r="AX276" s="126"/>
      <c r="AY276" s="126">
        <f t="shared" si="39"/>
        <v>25</v>
      </c>
      <c r="AZ276" s="123" t="s">
        <v>4</v>
      </c>
    </row>
    <row r="277" spans="1:52" s="110" customFormat="1" ht="11.25" customHeight="1">
      <c r="A277" s="123" t="s">
        <v>471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0"/>
        <v>2054</v>
      </c>
      <c r="F277" s="125">
        <f>ROUND(E277*Valores!$C$2,2)</f>
        <v>55706.94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11373.71</v>
      </c>
      <c r="N277" s="125">
        <f t="shared" si="42"/>
        <v>0</v>
      </c>
      <c r="O277" s="125">
        <f>Valores!$C$7*B277</f>
        <v>23913.76</v>
      </c>
      <c r="P277" s="125">
        <f>ROUND(IF(B277&lt;15,(Valores!$E$5*B277),Valores!$D$5),2)</f>
        <v>13864.36</v>
      </c>
      <c r="Q277" s="125">
        <v>0</v>
      </c>
      <c r="R277" s="125">
        <f>IF($F$4="NO",Valores!$C$49*B277,Valores!$C$49*B277/2)</f>
        <v>12596.48</v>
      </c>
      <c r="S277" s="125">
        <f>Valores!$C$18*B277</f>
        <v>7521.279999999999</v>
      </c>
      <c r="T277" s="125">
        <f t="shared" si="48"/>
        <v>7521.28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IF(Valores!$C$97*B277&gt;Valores!$C$96,Valores!$C$96,Valores!$C$97*B277)</f>
        <v>7278.44</v>
      </c>
      <c r="AA277" s="125">
        <f>IF((Valores!$C$28)*B277&gt;Valores!$F$28,Valores!$F$28,(Valores!$C$28)*B277)</f>
        <v>590.72</v>
      </c>
      <c r="AB277" s="214">
        <v>0</v>
      </c>
      <c r="AC277" s="125">
        <f t="shared" si="43"/>
        <v>0</v>
      </c>
      <c r="AD277" s="125">
        <f>IF(Valores!$C$29*B277&gt;Valores!$F$29,Valores!$F$29,Valores!$C$29*B277)</f>
        <v>491.9200000000001</v>
      </c>
      <c r="AE277" s="192">
        <v>0</v>
      </c>
      <c r="AF277" s="125">
        <f>ROUND(AE277*Valores!$C$2,2)</f>
        <v>0</v>
      </c>
      <c r="AG277" s="125">
        <f>IF($F$4="NO",IF(Valores!$D$63*'Escala Docente'!B277&gt;Valores!$F$63,Valores!$F$63,Valores!$D$63*'Escala Docente'!B277),IF(Valores!$D$63*'Escala Docente'!B277&gt;Valores!$F$63,Valores!$F$63,Valores!$D$63*'Escala Docente'!B277)/2)</f>
        <v>11237.199999999999</v>
      </c>
      <c r="AH277" s="125">
        <f t="shared" si="46"/>
        <v>144574.81</v>
      </c>
      <c r="AI277" s="125">
        <f>IF(Valores!$C$32*B277&gt;Valores!$F$32,Valores!$F$32,Valores!$C$32*B277)</f>
        <v>0</v>
      </c>
      <c r="AJ277" s="125">
        <f>IF(Valores!$C$90*B277&gt;Valores!$C$89,Valores!$C$89,Valores!$C$90*B277)</f>
        <v>0</v>
      </c>
      <c r="AK277" s="125">
        <f>IF(Valores!C$39*B277&gt;Valores!F$38,Valores!F$38,Valores!C$39*B277)</f>
        <v>26000</v>
      </c>
      <c r="AL277" s="125">
        <f>IF($F$3="NO",0,IF(Valores!$C$62*B277&gt;Valores!$F$62,Valores!$F$62,Valores!$C$62*B277))</f>
        <v>295.2534</v>
      </c>
      <c r="AM277" s="125">
        <f t="shared" si="44"/>
        <v>26295.2534</v>
      </c>
      <c r="AN277" s="125">
        <f>AH277*Valores!$C$71</f>
        <v>-15903.2291</v>
      </c>
      <c r="AO277" s="125">
        <f>AH277*-Valores!$C$72</f>
        <v>0</v>
      </c>
      <c r="AP277" s="125">
        <f>AH277*Valores!$C$73</f>
        <v>-6505.8664499999995</v>
      </c>
      <c r="AQ277" s="125">
        <f>Valores!$C$100</f>
        <v>-280.91</v>
      </c>
      <c r="AR277" s="125">
        <f>IF($F$5=0,Valores!$C$101,(Valores!$C$101+$F$5*(Valores!$C$101)))</f>
        <v>-385</v>
      </c>
      <c r="AS277" s="125">
        <f t="shared" si="47"/>
        <v>147795.05785</v>
      </c>
      <c r="AT277" s="125">
        <f t="shared" si="41"/>
        <v>-15903.2291</v>
      </c>
      <c r="AU277" s="125">
        <f>AH277*Valores!$C$74</f>
        <v>-3903.51987</v>
      </c>
      <c r="AV277" s="125">
        <f>AH277*Valores!$C$75</f>
        <v>-433.72443</v>
      </c>
      <c r="AW277" s="125">
        <f t="shared" si="45"/>
        <v>150629.59</v>
      </c>
      <c r="AX277" s="126"/>
      <c r="AY277" s="126">
        <f t="shared" si="39"/>
        <v>26</v>
      </c>
      <c r="AZ277" s="123" t="s">
        <v>4</v>
      </c>
    </row>
    <row r="278" spans="1:52" s="110" customFormat="1" ht="11.25" customHeight="1">
      <c r="A278" s="123" t="s">
        <v>471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0"/>
        <v>2054</v>
      </c>
      <c r="F278" s="125">
        <f>ROUND(E278*Valores!$C$2,2)</f>
        <v>55706.94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11373.71</v>
      </c>
      <c r="N278" s="125">
        <f t="shared" si="42"/>
        <v>0</v>
      </c>
      <c r="O278" s="125">
        <f>Valores!$C$7*B278</f>
        <v>23913.76</v>
      </c>
      <c r="P278" s="125">
        <f>ROUND(IF(B278&lt;15,(Valores!$E$5*B278),Valores!$D$5),2)</f>
        <v>13864.36</v>
      </c>
      <c r="Q278" s="125">
        <v>0</v>
      </c>
      <c r="R278" s="125">
        <f>IF($F$4="NO",Valores!$C$49*B278,Valores!$C$49*B278/2)</f>
        <v>12596.48</v>
      </c>
      <c r="S278" s="125">
        <f>Valores!$C$18*B278</f>
        <v>7521.279999999999</v>
      </c>
      <c r="T278" s="125">
        <f t="shared" si="48"/>
        <v>7521.28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IF(Valores!$C$97*B278&gt;Valores!$C$96,Valores!$C$96,Valores!$C$97*B278)</f>
        <v>7278.44</v>
      </c>
      <c r="AA278" s="125">
        <f>IF((Valores!$C$28)*B278&gt;Valores!$F$28,Valores!$F$28,(Valores!$C$28)*B278)</f>
        <v>590.72</v>
      </c>
      <c r="AB278" s="214">
        <v>0</v>
      </c>
      <c r="AC278" s="125">
        <f t="shared" si="43"/>
        <v>0</v>
      </c>
      <c r="AD278" s="125">
        <f>IF(Valores!$C$29*B278&gt;Valores!$F$29,Valores!$F$29,Valores!$C$29*B278)</f>
        <v>491.9200000000001</v>
      </c>
      <c r="AE278" s="192">
        <v>94</v>
      </c>
      <c r="AF278" s="125">
        <f>ROUND(AE278*Valores!$C$2,2)</f>
        <v>2549.39</v>
      </c>
      <c r="AG278" s="125">
        <f>IF($F$4="NO",IF(Valores!$D$63*'Escala Docente'!B278&gt;Valores!$F$63,Valores!$F$63,Valores!$D$63*'Escala Docente'!B278),IF(Valores!$D$63*'Escala Docente'!B278&gt;Valores!$F$63,Valores!$F$63,Valores!$D$63*'Escala Docente'!B278)/2)</f>
        <v>11237.199999999999</v>
      </c>
      <c r="AH278" s="125">
        <f t="shared" si="46"/>
        <v>147124.2</v>
      </c>
      <c r="AI278" s="125">
        <f>IF(Valores!$C$32*B278&gt;Valores!$F$32,Valores!$F$32,Valores!$C$32*B278)</f>
        <v>0</v>
      </c>
      <c r="AJ278" s="125">
        <f>IF(Valores!$C$90*B278&gt;Valores!$C$89,Valores!$C$89,Valores!$C$90*B278)</f>
        <v>0</v>
      </c>
      <c r="AK278" s="125">
        <f>IF(Valores!C$39*B278&gt;Valores!F$38,Valores!F$38,Valores!C$39*B278)</f>
        <v>26000</v>
      </c>
      <c r="AL278" s="125">
        <f>IF($F$3="NO",0,IF(Valores!$C$62*B278&gt;Valores!$F$62,Valores!$F$62,Valores!$C$62*B278))</f>
        <v>295.2534</v>
      </c>
      <c r="AM278" s="125">
        <f t="shared" si="44"/>
        <v>26295.2534</v>
      </c>
      <c r="AN278" s="125">
        <f>AH278*Valores!$C$71</f>
        <v>-16183.662000000002</v>
      </c>
      <c r="AO278" s="125">
        <f>AH278*-Valores!$C$72</f>
        <v>0</v>
      </c>
      <c r="AP278" s="125">
        <f>AH278*Valores!$C$73</f>
        <v>-6620.589</v>
      </c>
      <c r="AQ278" s="125">
        <f>Valores!$C$100</f>
        <v>-280.91</v>
      </c>
      <c r="AR278" s="125">
        <f>IF($F$5=0,Valores!$C$101,(Valores!$C$101+$F$5*(Valores!$C$101)))</f>
        <v>-385</v>
      </c>
      <c r="AS278" s="125">
        <f t="shared" si="47"/>
        <v>149949.2924</v>
      </c>
      <c r="AT278" s="125">
        <f t="shared" si="41"/>
        <v>-16183.662000000002</v>
      </c>
      <c r="AU278" s="125">
        <f>AH278*Valores!$C$74</f>
        <v>-3972.3534000000004</v>
      </c>
      <c r="AV278" s="125">
        <f>AH278*Valores!$C$75</f>
        <v>-441.37260000000003</v>
      </c>
      <c r="AW278" s="125">
        <f t="shared" si="45"/>
        <v>152822.0654</v>
      </c>
      <c r="AX278" s="126"/>
      <c r="AY278" s="126">
        <f t="shared" si="39"/>
        <v>26</v>
      </c>
      <c r="AZ278" s="123" t="s">
        <v>4</v>
      </c>
    </row>
    <row r="279" spans="1:52" s="110" customFormat="1" ht="11.25" customHeight="1">
      <c r="A279" s="123" t="s">
        <v>471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0"/>
        <v>2133</v>
      </c>
      <c r="F279" s="125">
        <f>ROUND(E279*Valores!$C$2,2)</f>
        <v>57849.52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11811.16</v>
      </c>
      <c r="N279" s="125">
        <f t="shared" si="42"/>
        <v>0</v>
      </c>
      <c r="O279" s="125">
        <f>Valores!$C$7*B279</f>
        <v>24833.52</v>
      </c>
      <c r="P279" s="125">
        <f>ROUND(IF(B279&lt;15,(Valores!$E$5*B279),Valores!$D$5),2)</f>
        <v>13864.36</v>
      </c>
      <c r="Q279" s="125">
        <v>0</v>
      </c>
      <c r="R279" s="125">
        <f>IF($F$4="NO",Valores!$C$49*B279,Valores!$C$49*B279/2)</f>
        <v>13080.960000000001</v>
      </c>
      <c r="S279" s="125">
        <f>Valores!$C$18*B279</f>
        <v>7810.5599999999995</v>
      </c>
      <c r="T279" s="125">
        <f t="shared" si="48"/>
        <v>7810.56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IF(Valores!$C$97*B279&gt;Valores!$C$96,Valores!$C$96,Valores!$C$97*B279)</f>
        <v>7558.38</v>
      </c>
      <c r="AA279" s="125">
        <f>IF((Valores!$C$28)*B279&gt;Valores!$F$28,Valores!$F$28,(Valores!$C$28)*B279)</f>
        <v>613.4399999999999</v>
      </c>
      <c r="AB279" s="214">
        <v>0</v>
      </c>
      <c r="AC279" s="125">
        <f t="shared" si="43"/>
        <v>0</v>
      </c>
      <c r="AD279" s="125">
        <f>IF(Valores!$C$29*B279&gt;Valores!$F$29,Valores!$F$29,Valores!$C$29*B279)</f>
        <v>510.84000000000003</v>
      </c>
      <c r="AE279" s="192">
        <v>0</v>
      </c>
      <c r="AF279" s="125">
        <f>ROUND(AE279*Valores!$C$2,2)</f>
        <v>0</v>
      </c>
      <c r="AG279" s="125">
        <f>IF($F$4="NO",IF(Valores!$D$63*'Escala Docente'!B279&gt;Valores!$F$63,Valores!$F$63,Valores!$D$63*'Escala Docente'!B279),IF(Valores!$D$63*'Escala Docente'!B279&gt;Valores!$F$63,Valores!$F$63,Valores!$D$63*'Escala Docente'!B279)/2)</f>
        <v>11669.4</v>
      </c>
      <c r="AH279" s="125">
        <f t="shared" si="46"/>
        <v>149602.13999999998</v>
      </c>
      <c r="AI279" s="125">
        <f>IF(Valores!$C$32*B279&gt;Valores!$F$32,Valores!$F$32,Valores!$C$32*B279)</f>
        <v>0</v>
      </c>
      <c r="AJ279" s="125">
        <f>IF(Valores!$C$90*B279&gt;Valores!$C$89,Valores!$C$89,Valores!$C$90*B279)</f>
        <v>0</v>
      </c>
      <c r="AK279" s="125">
        <f>IF(Valores!C$39*B279&gt;Valores!F$38,Valores!F$38,Valores!C$39*B279)</f>
        <v>27000</v>
      </c>
      <c r="AL279" s="125">
        <f>IF($F$3="NO",0,IF(Valores!$C$62*B279&gt;Valores!$F$62,Valores!$F$62,Valores!$C$62*B279))</f>
        <v>306.6093</v>
      </c>
      <c r="AM279" s="125">
        <f t="shared" si="44"/>
        <v>27306.6093</v>
      </c>
      <c r="AN279" s="125">
        <f>AH279*Valores!$C$71</f>
        <v>-16456.235399999998</v>
      </c>
      <c r="AO279" s="125">
        <f>AH279*-Valores!$C$72</f>
        <v>0</v>
      </c>
      <c r="AP279" s="125">
        <f>AH279*Valores!$C$73</f>
        <v>-6732.096299999999</v>
      </c>
      <c r="AQ279" s="125">
        <f>Valores!$C$100</f>
        <v>-280.91</v>
      </c>
      <c r="AR279" s="125">
        <f>IF($F$5=0,Valores!$C$101,(Valores!$C$101+$F$5*(Valores!$C$101)))</f>
        <v>-385</v>
      </c>
      <c r="AS279" s="125">
        <f t="shared" si="47"/>
        <v>153054.50759999998</v>
      </c>
      <c r="AT279" s="125">
        <f t="shared" si="41"/>
        <v>-16456.235399999998</v>
      </c>
      <c r="AU279" s="125">
        <f>AH279*Valores!$C$74</f>
        <v>-4039.2577799999995</v>
      </c>
      <c r="AV279" s="125">
        <f>AH279*Valores!$C$75</f>
        <v>-448.80641999999995</v>
      </c>
      <c r="AW279" s="125">
        <f t="shared" si="45"/>
        <v>155964.4497</v>
      </c>
      <c r="AX279" s="126"/>
      <c r="AY279" s="126">
        <f t="shared" si="39"/>
        <v>27</v>
      </c>
      <c r="AZ279" s="123" t="s">
        <v>8</v>
      </c>
    </row>
    <row r="280" spans="1:52" s="110" customFormat="1" ht="11.25" customHeight="1">
      <c r="A280" s="123" t="s">
        <v>471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0"/>
        <v>2133</v>
      </c>
      <c r="F280" s="125">
        <f>ROUND(E280*Valores!$C$2,2)</f>
        <v>57849.52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11811.16</v>
      </c>
      <c r="N280" s="125">
        <f t="shared" si="42"/>
        <v>0</v>
      </c>
      <c r="O280" s="125">
        <f>Valores!$C$7*B280</f>
        <v>24833.52</v>
      </c>
      <c r="P280" s="125">
        <f>ROUND(IF(B280&lt;15,(Valores!$E$5*B280),Valores!$D$5),2)</f>
        <v>13864.36</v>
      </c>
      <c r="Q280" s="125">
        <v>0</v>
      </c>
      <c r="R280" s="125">
        <f>IF($F$4="NO",Valores!$C$49*B280,Valores!$C$49*B280/2)</f>
        <v>13080.960000000001</v>
      </c>
      <c r="S280" s="125">
        <f>Valores!$C$18*B280</f>
        <v>7810.5599999999995</v>
      </c>
      <c r="T280" s="125">
        <f t="shared" si="48"/>
        <v>7810.56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IF(Valores!$C$97*B280&gt;Valores!$C$96,Valores!$C$96,Valores!$C$97*B280)</f>
        <v>7558.38</v>
      </c>
      <c r="AA280" s="125">
        <f>IF((Valores!$C$28)*B280&gt;Valores!$F$28,Valores!$F$28,(Valores!$C$28)*B280)</f>
        <v>613.4399999999999</v>
      </c>
      <c r="AB280" s="214">
        <v>0</v>
      </c>
      <c r="AC280" s="125">
        <f t="shared" si="43"/>
        <v>0</v>
      </c>
      <c r="AD280" s="125">
        <f>IF(Valores!$C$29*B280&gt;Valores!$F$29,Valores!$F$29,Valores!$C$29*B280)</f>
        <v>510.84000000000003</v>
      </c>
      <c r="AE280" s="192">
        <v>94</v>
      </c>
      <c r="AF280" s="125">
        <f>ROUND(AE280*Valores!$C$2,2)</f>
        <v>2549.39</v>
      </c>
      <c r="AG280" s="125">
        <f>IF($F$4="NO",IF(Valores!$D$63*'Escala Docente'!B280&gt;Valores!$F$63,Valores!$F$63,Valores!$D$63*'Escala Docente'!B280),IF(Valores!$D$63*'Escala Docente'!B280&gt;Valores!$F$63,Valores!$F$63,Valores!$D$63*'Escala Docente'!B280)/2)</f>
        <v>11669.4</v>
      </c>
      <c r="AH280" s="125">
        <f t="shared" si="46"/>
        <v>152151.53</v>
      </c>
      <c r="AI280" s="125">
        <f>IF(Valores!$C$32*B280&gt;Valores!$F$32,Valores!$F$32,Valores!$C$32*B280)</f>
        <v>0</v>
      </c>
      <c r="AJ280" s="125">
        <f>IF(Valores!$C$90*B280&gt;Valores!$C$89,Valores!$C$89,Valores!$C$90*B280)</f>
        <v>0</v>
      </c>
      <c r="AK280" s="125">
        <f>IF(Valores!C$39*B280&gt;Valores!F$38,Valores!F$38,Valores!C$39*B280)</f>
        <v>27000</v>
      </c>
      <c r="AL280" s="125">
        <f>IF($F$3="NO",0,IF(Valores!$C$62*B280&gt;Valores!$F$62,Valores!$F$62,Valores!$C$62*B280))</f>
        <v>306.6093</v>
      </c>
      <c r="AM280" s="125">
        <f t="shared" si="44"/>
        <v>27306.6093</v>
      </c>
      <c r="AN280" s="125">
        <f>AH280*Valores!$C$71</f>
        <v>-16736.6683</v>
      </c>
      <c r="AO280" s="125">
        <f>AH280*-Valores!$C$72</f>
        <v>0</v>
      </c>
      <c r="AP280" s="125">
        <f>AH280*Valores!$C$73</f>
        <v>-6846.81885</v>
      </c>
      <c r="AQ280" s="125">
        <f>Valores!$C$100</f>
        <v>-280.91</v>
      </c>
      <c r="AR280" s="125">
        <f>IF($F$5=0,Valores!$C$101,(Valores!$C$101+$F$5*(Valores!$C$101)))</f>
        <v>-385</v>
      </c>
      <c r="AS280" s="125">
        <f t="shared" si="47"/>
        <v>155208.74215</v>
      </c>
      <c r="AT280" s="125">
        <f t="shared" si="41"/>
        <v>-16736.6683</v>
      </c>
      <c r="AU280" s="125">
        <f>AH280*Valores!$C$74</f>
        <v>-4108.09131</v>
      </c>
      <c r="AV280" s="125">
        <f>AH280*Valores!$C$75</f>
        <v>-456.45459</v>
      </c>
      <c r="AW280" s="125">
        <f t="shared" si="45"/>
        <v>158156.9251</v>
      </c>
      <c r="AX280" s="126"/>
      <c r="AY280" s="126">
        <f t="shared" si="39"/>
        <v>27</v>
      </c>
      <c r="AZ280" s="123" t="s">
        <v>8</v>
      </c>
    </row>
    <row r="281" spans="1:52" s="110" customFormat="1" ht="11.25" customHeight="1">
      <c r="A281" s="123" t="s">
        <v>471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0"/>
        <v>2212</v>
      </c>
      <c r="F281" s="125">
        <f>ROUND(E281*Valores!$C$2,2)</f>
        <v>59992.09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12248.61</v>
      </c>
      <c r="N281" s="125">
        <f t="shared" si="42"/>
        <v>0</v>
      </c>
      <c r="O281" s="125">
        <f>Valores!$C$7*B281</f>
        <v>25753.28</v>
      </c>
      <c r="P281" s="125">
        <f>ROUND(IF(B281&lt;15,(Valores!$E$5*B281),Valores!$D$5),2)</f>
        <v>13864.36</v>
      </c>
      <c r="Q281" s="125">
        <v>0</v>
      </c>
      <c r="R281" s="125">
        <f>IF($F$4="NO",Valores!$C$49*B281,Valores!$C$49*B281/2)</f>
        <v>13565.44</v>
      </c>
      <c r="S281" s="125">
        <f>Valores!$C$18*B281</f>
        <v>8099.839999999999</v>
      </c>
      <c r="T281" s="125">
        <f t="shared" si="48"/>
        <v>8099.84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IF(Valores!$C$97*B281&gt;Valores!$C$96,Valores!$C$96,Valores!$C$97*B281)</f>
        <v>7838.32</v>
      </c>
      <c r="AA281" s="125">
        <f>IF((Valores!$C$28)*B281&gt;Valores!$F$28,Valores!$F$28,(Valores!$C$28)*B281)</f>
        <v>636.16</v>
      </c>
      <c r="AB281" s="214">
        <v>0</v>
      </c>
      <c r="AC281" s="125">
        <f t="shared" si="43"/>
        <v>0</v>
      </c>
      <c r="AD281" s="125">
        <f>IF(Valores!$C$29*B281&gt;Valores!$F$29,Valores!$F$29,Valores!$C$29*B281)</f>
        <v>529.76</v>
      </c>
      <c r="AE281" s="192">
        <v>0</v>
      </c>
      <c r="AF281" s="125">
        <f>ROUND(AE281*Valores!$C$2,2)</f>
        <v>0</v>
      </c>
      <c r="AG281" s="125">
        <f>IF($F$4="NO",IF(Valores!$D$63*'Escala Docente'!B281&gt;Valores!$F$63,Valores!$F$63,Valores!$D$63*'Escala Docente'!B281),IF(Valores!$D$63*'Escala Docente'!B281&gt;Valores!$F$63,Valores!$F$63,Valores!$D$63*'Escala Docente'!B281)/2)</f>
        <v>12101.6</v>
      </c>
      <c r="AH281" s="125">
        <f t="shared" si="46"/>
        <v>154629.46000000002</v>
      </c>
      <c r="AI281" s="125">
        <f>IF(Valores!$C$32*B281&gt;Valores!$F$32,Valores!$F$32,Valores!$C$32*B281)</f>
        <v>0</v>
      </c>
      <c r="AJ281" s="125">
        <f>IF(Valores!$C$90*B281&gt;Valores!$C$89,Valores!$C$89,Valores!$C$90*B281)</f>
        <v>0</v>
      </c>
      <c r="AK281" s="125">
        <f>IF(Valores!C$39*B281&gt;Valores!F$38,Valores!F$38,Valores!C$39*B281)</f>
        <v>28000</v>
      </c>
      <c r="AL281" s="125">
        <f>IF($F$3="NO",0,IF(Valores!$C$62*B281&gt;Valores!$F$62,Valores!$F$62,Valores!$C$62*B281))</f>
        <v>317.9652</v>
      </c>
      <c r="AM281" s="125">
        <f t="shared" si="44"/>
        <v>28317.9652</v>
      </c>
      <c r="AN281" s="125">
        <f>AH281*Valores!$C$71</f>
        <v>-17009.2406</v>
      </c>
      <c r="AO281" s="125">
        <f>AH281*-Valores!$C$72</f>
        <v>0</v>
      </c>
      <c r="AP281" s="125">
        <f>AH281*Valores!$C$73</f>
        <v>-6958.3257</v>
      </c>
      <c r="AQ281" s="125">
        <f>Valores!$C$100</f>
        <v>-280.91</v>
      </c>
      <c r="AR281" s="125">
        <f>IF($F$5=0,Valores!$C$101,(Valores!$C$101+$F$5*(Valores!$C$101)))</f>
        <v>-385</v>
      </c>
      <c r="AS281" s="125">
        <f t="shared" si="47"/>
        <v>158313.94890000002</v>
      </c>
      <c r="AT281" s="125">
        <f t="shared" si="41"/>
        <v>-17009.2406</v>
      </c>
      <c r="AU281" s="125">
        <f>AH281*Valores!$C$74</f>
        <v>-4174.99542</v>
      </c>
      <c r="AV281" s="125">
        <f>AH281*Valores!$C$75</f>
        <v>-463.8883800000001</v>
      </c>
      <c r="AW281" s="125">
        <f t="shared" si="45"/>
        <v>161299.30080000003</v>
      </c>
      <c r="AX281" s="126"/>
      <c r="AY281" s="126">
        <f t="shared" si="39"/>
        <v>28</v>
      </c>
      <c r="AZ281" s="123" t="s">
        <v>4</v>
      </c>
    </row>
    <row r="282" spans="1:52" s="110" customFormat="1" ht="11.25" customHeight="1">
      <c r="A282" s="123" t="s">
        <v>471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0"/>
        <v>2212</v>
      </c>
      <c r="F282" s="125">
        <f>ROUND(E282*Valores!$C$2,2)</f>
        <v>59992.09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12248.61</v>
      </c>
      <c r="N282" s="125">
        <f t="shared" si="42"/>
        <v>0</v>
      </c>
      <c r="O282" s="125">
        <f>Valores!$C$7*B282</f>
        <v>25753.28</v>
      </c>
      <c r="P282" s="125">
        <f>ROUND(IF(B282&lt;15,(Valores!$E$5*B282),Valores!$D$5),2)</f>
        <v>13864.36</v>
      </c>
      <c r="Q282" s="125">
        <v>0</v>
      </c>
      <c r="R282" s="125">
        <f>IF($F$4="NO",Valores!$C$49*B282,Valores!$C$49*B282/2)</f>
        <v>13565.44</v>
      </c>
      <c r="S282" s="125">
        <f>Valores!$C$18*B282</f>
        <v>8099.839999999999</v>
      </c>
      <c r="T282" s="125">
        <f t="shared" si="48"/>
        <v>8099.84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IF(Valores!$C$97*B282&gt;Valores!$C$96,Valores!$C$96,Valores!$C$97*B282)</f>
        <v>7838.32</v>
      </c>
      <c r="AA282" s="125">
        <f>IF((Valores!$C$28)*B282&gt;Valores!$F$28,Valores!$F$28,(Valores!$C$28)*B282)</f>
        <v>636.16</v>
      </c>
      <c r="AB282" s="214">
        <v>0</v>
      </c>
      <c r="AC282" s="125">
        <f t="shared" si="43"/>
        <v>0</v>
      </c>
      <c r="AD282" s="125">
        <f>IF(Valores!$C$29*B282&gt;Valores!$F$29,Valores!$F$29,Valores!$C$29*B282)</f>
        <v>529.76</v>
      </c>
      <c r="AE282" s="192">
        <v>94</v>
      </c>
      <c r="AF282" s="125">
        <f>ROUND(AE282*Valores!$C$2,2)</f>
        <v>2549.39</v>
      </c>
      <c r="AG282" s="125">
        <f>IF($F$4="NO",IF(Valores!$D$63*'Escala Docente'!B282&gt;Valores!$F$63,Valores!$F$63,Valores!$D$63*'Escala Docente'!B282),IF(Valores!$D$63*'Escala Docente'!B282&gt;Valores!$F$63,Valores!$F$63,Valores!$D$63*'Escala Docente'!B282)/2)</f>
        <v>12101.6</v>
      </c>
      <c r="AH282" s="125">
        <f t="shared" si="46"/>
        <v>157178.85000000003</v>
      </c>
      <c r="AI282" s="125">
        <f>IF(Valores!$C$32*B282&gt;Valores!$F$32,Valores!$F$32,Valores!$C$32*B282)</f>
        <v>0</v>
      </c>
      <c r="AJ282" s="125">
        <f>IF(Valores!$C$90*B282&gt;Valores!$C$89,Valores!$C$89,Valores!$C$90*B282)</f>
        <v>0</v>
      </c>
      <c r="AK282" s="125">
        <f>IF(Valores!C$39*B282&gt;Valores!F$38,Valores!F$38,Valores!C$39*B282)</f>
        <v>28000</v>
      </c>
      <c r="AL282" s="125">
        <f>IF($F$3="NO",0,IF(Valores!$C$62*B282&gt;Valores!$F$62,Valores!$F$62,Valores!$C$62*B282))</f>
        <v>317.9652</v>
      </c>
      <c r="AM282" s="125">
        <f t="shared" si="44"/>
        <v>28317.9652</v>
      </c>
      <c r="AN282" s="125">
        <f>AH282*Valores!$C$71</f>
        <v>-17289.673500000004</v>
      </c>
      <c r="AO282" s="125">
        <f>AH282*-Valores!$C$72</f>
        <v>0</v>
      </c>
      <c r="AP282" s="125">
        <f>AH282*Valores!$C$73</f>
        <v>-7073.048250000002</v>
      </c>
      <c r="AQ282" s="125">
        <f>Valores!$C$100</f>
        <v>-280.91</v>
      </c>
      <c r="AR282" s="125">
        <f>IF($F$5=0,Valores!$C$101,(Valores!$C$101+$F$5*(Valores!$C$101)))</f>
        <v>-385</v>
      </c>
      <c r="AS282" s="125">
        <f t="shared" si="47"/>
        <v>160468.18345000004</v>
      </c>
      <c r="AT282" s="125">
        <f t="shared" si="41"/>
        <v>-17289.673500000004</v>
      </c>
      <c r="AU282" s="125">
        <f>AH282*Valores!$C$74</f>
        <v>-4243.828950000001</v>
      </c>
      <c r="AV282" s="125">
        <f>AH282*Valores!$C$75</f>
        <v>-471.5365500000001</v>
      </c>
      <c r="AW282" s="125">
        <f t="shared" si="45"/>
        <v>163491.77620000002</v>
      </c>
      <c r="AX282" s="126"/>
      <c r="AY282" s="126">
        <f t="shared" si="39"/>
        <v>28</v>
      </c>
      <c r="AZ282" s="123" t="s">
        <v>4</v>
      </c>
    </row>
    <row r="283" spans="1:52" s="110" customFormat="1" ht="11.25" customHeight="1">
      <c r="A283" s="123" t="s">
        <v>471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0"/>
        <v>2291</v>
      </c>
      <c r="F283" s="125">
        <f>ROUND(E283*Valores!$C$2,2)</f>
        <v>62134.67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12686.06</v>
      </c>
      <c r="N283" s="125">
        <f t="shared" si="42"/>
        <v>0</v>
      </c>
      <c r="O283" s="125">
        <f>Valores!$C$7*B283</f>
        <v>26673.04</v>
      </c>
      <c r="P283" s="125">
        <f>ROUND(IF(B283&lt;15,(Valores!$E$5*B283),Valores!$D$5),2)</f>
        <v>13864.36</v>
      </c>
      <c r="Q283" s="125">
        <v>0</v>
      </c>
      <c r="R283" s="125">
        <f>IF($F$4="NO",Valores!$C$49*B283,Valores!$C$49*B283/2)</f>
        <v>14049.92</v>
      </c>
      <c r="S283" s="125">
        <f>Valores!$C$18*B283</f>
        <v>8389.119999999999</v>
      </c>
      <c r="T283" s="125">
        <f t="shared" si="48"/>
        <v>8389.12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IF(Valores!$C$97*B283&gt;Valores!$C$96,Valores!$C$96,Valores!$C$97*B283)</f>
        <v>8118.26</v>
      </c>
      <c r="AA283" s="125">
        <f>IF((Valores!$C$28)*B283&gt;Valores!$F$28,Valores!$F$28,(Valores!$C$28)*B283)</f>
        <v>658.88</v>
      </c>
      <c r="AB283" s="214">
        <v>0</v>
      </c>
      <c r="AC283" s="125">
        <f t="shared" si="43"/>
        <v>0</v>
      </c>
      <c r="AD283" s="125">
        <f>IF(Valores!$C$29*B283&gt;Valores!$F$29,Valores!$F$29,Valores!$C$29*B283)</f>
        <v>548.6800000000001</v>
      </c>
      <c r="AE283" s="192">
        <v>0</v>
      </c>
      <c r="AF283" s="125">
        <f>ROUND(AE283*Valores!$C$2,2)</f>
        <v>0</v>
      </c>
      <c r="AG283" s="125">
        <f>IF($F$4="NO",IF(Valores!$D$63*'Escala Docente'!B283&gt;Valores!$F$63,Valores!$F$63,Valores!$D$63*'Escala Docente'!B283),IF(Valores!$D$63*'Escala Docente'!B283&gt;Valores!$F$63,Valores!$F$63,Valores!$D$63*'Escala Docente'!B283)/2)</f>
        <v>12533.8</v>
      </c>
      <c r="AH283" s="125">
        <f t="shared" si="46"/>
        <v>159656.78999999998</v>
      </c>
      <c r="AI283" s="125">
        <f>IF(Valores!$C$32*B283&gt;Valores!$F$32,Valores!$F$32,Valores!$C$32*B283)</f>
        <v>0</v>
      </c>
      <c r="AJ283" s="125">
        <f>IF(Valores!$C$90*B283&gt;Valores!$C$89,Valores!$C$89,Valores!$C$90*B283)</f>
        <v>0</v>
      </c>
      <c r="AK283" s="125">
        <f>IF(Valores!C$39*B283&gt;Valores!F$38,Valores!F$38,Valores!C$39*B283)</f>
        <v>29000</v>
      </c>
      <c r="AL283" s="125">
        <f>IF($F$3="NO",0,IF(Valores!$C$62*B283&gt;Valores!$F$62,Valores!$F$62,Valores!$C$62*B283))</f>
        <v>327.6</v>
      </c>
      <c r="AM283" s="125">
        <f t="shared" si="44"/>
        <v>29327.6</v>
      </c>
      <c r="AN283" s="125">
        <f>AH283*Valores!$C$71</f>
        <v>-17562.2469</v>
      </c>
      <c r="AO283" s="125">
        <f>AH283*-Valores!$C$72</f>
        <v>0</v>
      </c>
      <c r="AP283" s="125">
        <f>AH283*Valores!$C$73</f>
        <v>-7184.555549999999</v>
      </c>
      <c r="AQ283" s="125">
        <f>Valores!$C$100</f>
        <v>-280.91</v>
      </c>
      <c r="AR283" s="125">
        <f>IF($F$5=0,Valores!$C$101,(Valores!$C$101+$F$5*(Valores!$C$101)))</f>
        <v>-385</v>
      </c>
      <c r="AS283" s="125">
        <f t="shared" si="47"/>
        <v>163571.67755</v>
      </c>
      <c r="AT283" s="125">
        <f t="shared" si="41"/>
        <v>-17562.2469</v>
      </c>
      <c r="AU283" s="125">
        <f>AH283*Valores!$C$74</f>
        <v>-4310.733329999999</v>
      </c>
      <c r="AV283" s="125">
        <f>AH283*Valores!$C$75</f>
        <v>-478.97036999999995</v>
      </c>
      <c r="AW283" s="125">
        <f t="shared" si="45"/>
        <v>166632.43939999997</v>
      </c>
      <c r="AX283" s="126"/>
      <c r="AY283" s="126">
        <f t="shared" si="39"/>
        <v>29</v>
      </c>
      <c r="AZ283" s="123" t="s">
        <v>8</v>
      </c>
    </row>
    <row r="284" spans="1:52" s="110" customFormat="1" ht="11.25" customHeight="1">
      <c r="A284" s="123" t="s">
        <v>471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0"/>
        <v>2291</v>
      </c>
      <c r="F284" s="125">
        <f>ROUND(E284*Valores!$C$2,2)</f>
        <v>62134.67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12686.06</v>
      </c>
      <c r="N284" s="125">
        <f t="shared" si="42"/>
        <v>0</v>
      </c>
      <c r="O284" s="125">
        <f>Valores!$C$7*B284</f>
        <v>26673.04</v>
      </c>
      <c r="P284" s="125">
        <f>ROUND(IF(B284&lt;15,(Valores!$E$5*B284),Valores!$D$5),2)</f>
        <v>13864.36</v>
      </c>
      <c r="Q284" s="125">
        <v>0</v>
      </c>
      <c r="R284" s="125">
        <f>IF($F$4="NO",Valores!$C$49*B284,Valores!$C$49*B284/2)</f>
        <v>14049.92</v>
      </c>
      <c r="S284" s="125">
        <f>Valores!$C$18*B284</f>
        <v>8389.119999999999</v>
      </c>
      <c r="T284" s="125">
        <f t="shared" si="48"/>
        <v>8389.12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IF(Valores!$C$97*B284&gt;Valores!$C$96,Valores!$C$96,Valores!$C$97*B284)</f>
        <v>8118.26</v>
      </c>
      <c r="AA284" s="125">
        <f>IF((Valores!$C$28)*B284&gt;Valores!$F$28,Valores!$F$28,(Valores!$C$28)*B284)</f>
        <v>658.88</v>
      </c>
      <c r="AB284" s="214">
        <v>0</v>
      </c>
      <c r="AC284" s="125">
        <f t="shared" si="43"/>
        <v>0</v>
      </c>
      <c r="AD284" s="125">
        <f>IF(Valores!$C$29*B284&gt;Valores!$F$29,Valores!$F$29,Valores!$C$29*B284)</f>
        <v>548.6800000000001</v>
      </c>
      <c r="AE284" s="192">
        <v>94</v>
      </c>
      <c r="AF284" s="125">
        <f>ROUND(AE284*Valores!$C$2,2)</f>
        <v>2549.39</v>
      </c>
      <c r="AG284" s="125">
        <f>IF($F$4="NO",IF(Valores!$D$63*'Escala Docente'!B284&gt;Valores!$F$63,Valores!$F$63,Valores!$D$63*'Escala Docente'!B284),IF(Valores!$D$63*'Escala Docente'!B284&gt;Valores!$F$63,Valores!$F$63,Valores!$D$63*'Escala Docente'!B284)/2)</f>
        <v>12533.8</v>
      </c>
      <c r="AH284" s="125">
        <f t="shared" si="46"/>
        <v>162206.18</v>
      </c>
      <c r="AI284" s="125">
        <f>IF(Valores!$C$32*B284&gt;Valores!$F$32,Valores!$F$32,Valores!$C$32*B284)</f>
        <v>0</v>
      </c>
      <c r="AJ284" s="125">
        <f>IF(Valores!$C$90*B284&gt;Valores!$C$89,Valores!$C$89,Valores!$C$90*B284)</f>
        <v>0</v>
      </c>
      <c r="AK284" s="125">
        <f>IF(Valores!C$39*B284&gt;Valores!F$38,Valores!F$38,Valores!C$39*B284)</f>
        <v>29000</v>
      </c>
      <c r="AL284" s="125">
        <f>IF($F$3="NO",0,IF(Valores!$C$62*B284&gt;Valores!$F$62,Valores!$F$62,Valores!$C$62*B284))</f>
        <v>327.6</v>
      </c>
      <c r="AM284" s="125">
        <f t="shared" si="44"/>
        <v>29327.6</v>
      </c>
      <c r="AN284" s="125">
        <f>AH284*Valores!$C$71</f>
        <v>-17842.679799999998</v>
      </c>
      <c r="AO284" s="125">
        <f>AH284*-Valores!$C$72</f>
        <v>0</v>
      </c>
      <c r="AP284" s="125">
        <f>AH284*Valores!$C$73</f>
        <v>-7299.2780999999995</v>
      </c>
      <c r="AQ284" s="125">
        <f>Valores!$C$100</f>
        <v>-280.91</v>
      </c>
      <c r="AR284" s="125">
        <f>IF($F$5=0,Valores!$C$101,(Valores!$C$101+$F$5*(Valores!$C$101)))</f>
        <v>-385</v>
      </c>
      <c r="AS284" s="125">
        <f t="shared" si="47"/>
        <v>165725.9121</v>
      </c>
      <c r="AT284" s="125">
        <f t="shared" si="41"/>
        <v>-17842.679799999998</v>
      </c>
      <c r="AU284" s="125">
        <f>AH284*Valores!$C$74</f>
        <v>-4379.56686</v>
      </c>
      <c r="AV284" s="125">
        <f>AH284*Valores!$C$75</f>
        <v>-486.61854</v>
      </c>
      <c r="AW284" s="125">
        <f t="shared" si="45"/>
        <v>168824.9148</v>
      </c>
      <c r="AX284" s="126"/>
      <c r="AY284" s="126">
        <f t="shared" si="39"/>
        <v>29</v>
      </c>
      <c r="AZ284" s="123" t="s">
        <v>8</v>
      </c>
    </row>
    <row r="285" spans="1:52" s="110" customFormat="1" ht="11.25" customHeight="1">
      <c r="A285" s="123" t="s">
        <v>471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0"/>
        <v>2370</v>
      </c>
      <c r="F285" s="125">
        <f>ROUND(E285*Valores!$C$2,2)</f>
        <v>64277.24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13123.51</v>
      </c>
      <c r="N285" s="125">
        <f t="shared" si="42"/>
        <v>0</v>
      </c>
      <c r="O285" s="125">
        <f>Valores!$C$7*B285</f>
        <v>27592.8</v>
      </c>
      <c r="P285" s="125">
        <f>ROUND(IF(B285&lt;15,(Valores!$E$5*B285),Valores!$D$5),2)</f>
        <v>13864.36</v>
      </c>
      <c r="Q285" s="125">
        <v>0</v>
      </c>
      <c r="R285" s="125">
        <f>IF($F$4="NO",Valores!$C$49*B285,Valores!$C$49*B285/2)</f>
        <v>14534.400000000001</v>
      </c>
      <c r="S285" s="125">
        <f>Valores!$C$18*B285</f>
        <v>8678.4</v>
      </c>
      <c r="T285" s="125">
        <f t="shared" si="48"/>
        <v>8678.4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IF(Valores!$C$97*B285&gt;Valores!$C$96,Valores!$C$96,Valores!$C$97*B285)</f>
        <v>8398.2</v>
      </c>
      <c r="AA285" s="125">
        <f>IF((Valores!$C$28)*B285&gt;Valores!$F$28,Valores!$F$28,(Valores!$C$28)*B285)</f>
        <v>681.5999999999999</v>
      </c>
      <c r="AB285" s="214">
        <v>0</v>
      </c>
      <c r="AC285" s="125">
        <f t="shared" si="43"/>
        <v>0</v>
      </c>
      <c r="AD285" s="125">
        <f>IF(Valores!$C$29*B285&gt;Valores!$F$29,Valores!$F$29,Valores!$C$29*B285)</f>
        <v>567.06</v>
      </c>
      <c r="AE285" s="192">
        <v>0</v>
      </c>
      <c r="AF285" s="125">
        <f>ROUND(AE285*Valores!$C$2,2)</f>
        <v>0</v>
      </c>
      <c r="AG285" s="125">
        <f>IF($F$4="NO",IF(Valores!$D$63*'Escala Docente'!B285&gt;Valores!$F$63,Valores!$F$63,Valores!$D$63*'Escala Docente'!B285),IF(Valores!$D$63*'Escala Docente'!B285&gt;Valores!$F$63,Valores!$F$63,Valores!$D$63*'Escala Docente'!B285)/2)</f>
        <v>12965.96</v>
      </c>
      <c r="AH285" s="125">
        <f t="shared" si="46"/>
        <v>164683.53</v>
      </c>
      <c r="AI285" s="125">
        <f>IF(Valores!$C$32*B285&gt;Valores!$F$32,Valores!$F$32,Valores!$C$32*B285)</f>
        <v>0</v>
      </c>
      <c r="AJ285" s="125">
        <f>IF(Valores!$C$90*B285&gt;Valores!$C$89,Valores!$C$89,Valores!$C$90*B285)</f>
        <v>0</v>
      </c>
      <c r="AK285" s="125">
        <f>IF(Valores!C$39*B285&gt;Valores!F$38,Valores!F$38,Valores!C$39*B285)</f>
        <v>30000</v>
      </c>
      <c r="AL285" s="125">
        <f>IF($F$3="NO",0,IF(Valores!$C$62*B285&gt;Valores!$F$62,Valores!$F$62,Valores!$C$62*B285))</f>
        <v>327.6</v>
      </c>
      <c r="AM285" s="125">
        <f t="shared" si="44"/>
        <v>30327.6</v>
      </c>
      <c r="AN285" s="125">
        <f>AH285*Valores!$C$71</f>
        <v>-18115.1883</v>
      </c>
      <c r="AO285" s="125">
        <f>AH285*-Valores!$C$72</f>
        <v>0</v>
      </c>
      <c r="AP285" s="125">
        <f>AH285*Valores!$C$73</f>
        <v>-7410.758849999999</v>
      </c>
      <c r="AQ285" s="125">
        <f>Valores!$C$100</f>
        <v>-280.91</v>
      </c>
      <c r="AR285" s="125">
        <f>IF($F$5=0,Valores!$C$101,(Valores!$C$101+$F$5*(Valores!$C$101)))</f>
        <v>-385</v>
      </c>
      <c r="AS285" s="125">
        <f t="shared" si="47"/>
        <v>168819.27285</v>
      </c>
      <c r="AT285" s="125">
        <f t="shared" si="41"/>
        <v>-18115.1883</v>
      </c>
      <c r="AU285" s="125">
        <f>AH285*Valores!$C$74</f>
        <v>-4446.45531</v>
      </c>
      <c r="AV285" s="125">
        <f>AH285*Valores!$C$75</f>
        <v>-494.05059</v>
      </c>
      <c r="AW285" s="125">
        <f t="shared" si="45"/>
        <v>171955.4358</v>
      </c>
      <c r="AX285" s="126"/>
      <c r="AY285" s="126">
        <f t="shared" si="39"/>
        <v>30</v>
      </c>
      <c r="AZ285" s="123" t="s">
        <v>4</v>
      </c>
    </row>
    <row r="286" spans="1:52" s="110" customFormat="1" ht="11.25" customHeight="1">
      <c r="A286" s="123" t="s">
        <v>471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0"/>
        <v>2370</v>
      </c>
      <c r="F286" s="125">
        <f>ROUND(E286*Valores!$C$2,2)</f>
        <v>64277.24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13123.51</v>
      </c>
      <c r="N286" s="125">
        <f t="shared" si="42"/>
        <v>0</v>
      </c>
      <c r="O286" s="125">
        <f>Valores!$C$7*B286</f>
        <v>27592.8</v>
      </c>
      <c r="P286" s="125">
        <f>ROUND(IF(B286&lt;15,(Valores!$E$5*B286),Valores!$D$5),2)</f>
        <v>13864.36</v>
      </c>
      <c r="Q286" s="125">
        <v>0</v>
      </c>
      <c r="R286" s="125">
        <f>IF($F$4="NO",Valores!$C$49*B286,Valores!$C$49*B286/2)</f>
        <v>14534.400000000001</v>
      </c>
      <c r="S286" s="125">
        <f>Valores!$C$18*B286</f>
        <v>8678.4</v>
      </c>
      <c r="T286" s="125">
        <f t="shared" si="48"/>
        <v>8678.4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IF(Valores!$C$97*B286&gt;Valores!$C$96,Valores!$C$96,Valores!$C$97*B286)</f>
        <v>8398.2</v>
      </c>
      <c r="AA286" s="125">
        <f>IF((Valores!$C$28)*B286&gt;Valores!$F$28,Valores!$F$28,(Valores!$C$28)*B286)</f>
        <v>681.5999999999999</v>
      </c>
      <c r="AB286" s="214">
        <v>0</v>
      </c>
      <c r="AC286" s="125">
        <f t="shared" si="43"/>
        <v>0</v>
      </c>
      <c r="AD286" s="125">
        <f>IF(Valores!$C$29*B286&gt;Valores!$F$29,Valores!$F$29,Valores!$C$29*B286)</f>
        <v>567.06</v>
      </c>
      <c r="AE286" s="192">
        <v>94</v>
      </c>
      <c r="AF286" s="125">
        <f>ROUND(AE286*Valores!$C$2,2)</f>
        <v>2549.39</v>
      </c>
      <c r="AG286" s="125">
        <f>IF($F$4="NO",IF(Valores!$D$63*'Escala Docente'!B286&gt;Valores!$F$63,Valores!$F$63,Valores!$D$63*'Escala Docente'!B286),IF(Valores!$D$63*'Escala Docente'!B286&gt;Valores!$F$63,Valores!$F$63,Valores!$D$63*'Escala Docente'!B286)/2)</f>
        <v>12965.96</v>
      </c>
      <c r="AH286" s="125">
        <f t="shared" si="46"/>
        <v>167232.92</v>
      </c>
      <c r="AI286" s="125">
        <f>IF(Valores!$C$32*B286&gt;Valores!$F$32,Valores!$F$32,Valores!$C$32*B286)</f>
        <v>0</v>
      </c>
      <c r="AJ286" s="125">
        <f>IF(Valores!$C$90*B286&gt;Valores!$C$89,Valores!$C$89,Valores!$C$90*B286)</f>
        <v>0</v>
      </c>
      <c r="AK286" s="125">
        <f>IF(Valores!C$39*B286&gt;Valores!F$38,Valores!F$38,Valores!C$39*B286)</f>
        <v>30000</v>
      </c>
      <c r="AL286" s="125">
        <f>IF($F$3="NO",0,IF(Valores!$C$62*B286&gt;Valores!$F$62,Valores!$F$62,Valores!$C$62*B286))</f>
        <v>327.6</v>
      </c>
      <c r="AM286" s="125">
        <f t="shared" si="44"/>
        <v>30327.6</v>
      </c>
      <c r="AN286" s="125">
        <f>AH286*Valores!$C$71</f>
        <v>-18395.6212</v>
      </c>
      <c r="AO286" s="125">
        <f>AH286*-Valores!$C$72</f>
        <v>0</v>
      </c>
      <c r="AP286" s="125">
        <f>AH286*Valores!$C$73</f>
        <v>-7525.481400000001</v>
      </c>
      <c r="AQ286" s="125">
        <f>Valores!$C$100</f>
        <v>-280.91</v>
      </c>
      <c r="AR286" s="125">
        <f>IF($F$5=0,Valores!$C$101,(Valores!$C$101+$F$5*(Valores!$C$101)))</f>
        <v>-385</v>
      </c>
      <c r="AS286" s="125">
        <f t="shared" si="47"/>
        <v>170973.5074</v>
      </c>
      <c r="AT286" s="125">
        <f t="shared" si="41"/>
        <v>-18395.6212</v>
      </c>
      <c r="AU286" s="125">
        <f>AH286*Valores!$C$74</f>
        <v>-4515.28884</v>
      </c>
      <c r="AV286" s="125">
        <f>AH286*Valores!$C$75</f>
        <v>-501.69876000000005</v>
      </c>
      <c r="AW286" s="125">
        <f t="shared" si="45"/>
        <v>174147.91120000003</v>
      </c>
      <c r="AX286" s="126"/>
      <c r="AY286" s="126">
        <f t="shared" si="39"/>
        <v>30</v>
      </c>
      <c r="AZ286" s="123" t="s">
        <v>4</v>
      </c>
    </row>
    <row r="287" spans="1:52" s="110" customFormat="1" ht="11.25" customHeight="1">
      <c r="A287" s="123" t="s">
        <v>471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0"/>
        <v>2449</v>
      </c>
      <c r="F287" s="125">
        <f>ROUND(E287*Valores!$C$2,2)</f>
        <v>66419.82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13560.96</v>
      </c>
      <c r="N287" s="125">
        <f t="shared" si="42"/>
        <v>0</v>
      </c>
      <c r="O287" s="125">
        <f>Valores!$C$7*B287</f>
        <v>28512.56</v>
      </c>
      <c r="P287" s="125">
        <f>ROUND(IF(B287&lt;15,(Valores!$E$5*B287),Valores!$D$5),2)</f>
        <v>13864.36</v>
      </c>
      <c r="Q287" s="125">
        <v>0</v>
      </c>
      <c r="R287" s="125">
        <f>IF($F$4="NO",Valores!$C$49*B287,Valores!$C$49*B287/2)</f>
        <v>15018.880000000001</v>
      </c>
      <c r="S287" s="125">
        <f>Valores!$C$18*B287</f>
        <v>8967.679999999998</v>
      </c>
      <c r="T287" s="125">
        <f t="shared" si="48"/>
        <v>8967.68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IF(Valores!$C$97*B287&gt;Valores!$C$96,Valores!$C$96,Valores!$C$97*B287)</f>
        <v>8678.14</v>
      </c>
      <c r="AA287" s="125">
        <f>IF((Valores!$C$28)*B287&gt;Valores!$F$28,Valores!$F$28,(Valores!$C$28)*B287)</f>
        <v>704.3199999999999</v>
      </c>
      <c r="AB287" s="214">
        <v>0</v>
      </c>
      <c r="AC287" s="125">
        <f t="shared" si="43"/>
        <v>0</v>
      </c>
      <c r="AD287" s="125">
        <f>IF(Valores!$C$29*B287&gt;Valores!$F$29,Valores!$F$29,Valores!$C$29*B287)</f>
        <v>567.06</v>
      </c>
      <c r="AE287" s="192">
        <v>0</v>
      </c>
      <c r="AF287" s="125">
        <f>ROUND(AE287*Valores!$C$2,2)</f>
        <v>0</v>
      </c>
      <c r="AG287" s="125">
        <f>IF($F$4="NO",IF(Valores!$D$63*'Escala Docente'!B287&gt;Valores!$F$63,Valores!$F$63,Valores!$D$63*'Escala Docente'!B287),IF(Valores!$D$63*'Escala Docente'!B287&gt;Valores!$F$63,Valores!$F$63,Valores!$D$63*'Escala Docente'!B287)/2)</f>
        <v>12965.96</v>
      </c>
      <c r="AH287" s="125">
        <f t="shared" si="46"/>
        <v>169259.73999999996</v>
      </c>
      <c r="AI287" s="125">
        <f>IF(Valores!$C$32*B287&gt;Valores!$F$32,Valores!$F$32,Valores!$C$32*B287)</f>
        <v>0</v>
      </c>
      <c r="AJ287" s="125">
        <f>IF(Valores!$C$90*B287&gt;Valores!$C$89,Valores!$C$89,Valores!$C$90*B287)</f>
        <v>0</v>
      </c>
      <c r="AK287" s="125">
        <f>IF(Valores!C$39*B287&gt;Valores!F$38,Valores!F$38,Valores!C$39*B287)</f>
        <v>30000</v>
      </c>
      <c r="AL287" s="125">
        <f>IF($F$3="NO",0,IF(Valores!$C$62*B287&gt;Valores!$F$62,Valores!$F$62,Valores!$C$62*B287))</f>
        <v>327.6</v>
      </c>
      <c r="AM287" s="125">
        <f t="shared" si="44"/>
        <v>30327.6</v>
      </c>
      <c r="AN287" s="125">
        <f>AH287*Valores!$C$71</f>
        <v>-18618.571399999997</v>
      </c>
      <c r="AO287" s="125">
        <f>AH287*-Valores!$C$72</f>
        <v>0</v>
      </c>
      <c r="AP287" s="125">
        <f>AH287*Valores!$C$73</f>
        <v>-7616.688299999998</v>
      </c>
      <c r="AQ287" s="125">
        <f>Valores!$C$100</f>
        <v>-280.91</v>
      </c>
      <c r="AR287" s="125">
        <f>IF($F$5=0,Valores!$C$101,(Valores!$C$101+$F$5*(Valores!$C$101)))</f>
        <v>-385</v>
      </c>
      <c r="AS287" s="125">
        <f t="shared" si="47"/>
        <v>172686.17029999997</v>
      </c>
      <c r="AT287" s="125">
        <f t="shared" si="41"/>
        <v>-18618.571399999997</v>
      </c>
      <c r="AU287" s="125">
        <f>AH287*Valores!$C$74</f>
        <v>-4570.012979999999</v>
      </c>
      <c r="AV287" s="125">
        <f>AH287*Valores!$C$75</f>
        <v>-507.7792199999999</v>
      </c>
      <c r="AW287" s="125">
        <f t="shared" si="45"/>
        <v>175890.97639999999</v>
      </c>
      <c r="AX287" s="126"/>
      <c r="AY287" s="126">
        <f aca="true" t="shared" si="49" ref="AY287:AY299">1*B287</f>
        <v>31</v>
      </c>
      <c r="AZ287" s="123" t="s">
        <v>8</v>
      </c>
    </row>
    <row r="288" spans="1:52" s="110" customFormat="1" ht="11.25" customHeight="1">
      <c r="A288" s="123" t="s">
        <v>471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0"/>
        <v>2449</v>
      </c>
      <c r="F288" s="125">
        <f>ROUND(E288*Valores!$C$2,2)</f>
        <v>66419.82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13560.96</v>
      </c>
      <c r="N288" s="125">
        <f t="shared" si="42"/>
        <v>0</v>
      </c>
      <c r="O288" s="125">
        <f>Valores!$C$7*B288</f>
        <v>28512.56</v>
      </c>
      <c r="P288" s="125">
        <f>ROUND(IF(B288&lt;15,(Valores!$E$5*B288),Valores!$D$5),2)</f>
        <v>13864.36</v>
      </c>
      <c r="Q288" s="125">
        <v>0</v>
      </c>
      <c r="R288" s="125">
        <f>IF($F$4="NO",Valores!$C$49*B288,Valores!$C$49*B288/2)</f>
        <v>15018.880000000001</v>
      </c>
      <c r="S288" s="125">
        <f>Valores!$C$18*B288</f>
        <v>8967.679999999998</v>
      </c>
      <c r="T288" s="125">
        <f t="shared" si="48"/>
        <v>8967.68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IF(Valores!$C$97*B288&gt;Valores!$C$96,Valores!$C$96,Valores!$C$97*B288)</f>
        <v>8678.14</v>
      </c>
      <c r="AA288" s="125">
        <f>IF((Valores!$C$28)*B288&gt;Valores!$F$28,Valores!$F$28,(Valores!$C$28)*B288)</f>
        <v>704.3199999999999</v>
      </c>
      <c r="AB288" s="214">
        <v>0</v>
      </c>
      <c r="AC288" s="125">
        <f t="shared" si="43"/>
        <v>0</v>
      </c>
      <c r="AD288" s="125">
        <f>IF(Valores!$C$29*B288&gt;Valores!$F$29,Valores!$F$29,Valores!$C$29*B288)</f>
        <v>567.06</v>
      </c>
      <c r="AE288" s="192">
        <v>94</v>
      </c>
      <c r="AF288" s="125">
        <f>ROUND(AE288*Valores!$C$2,2)</f>
        <v>2549.39</v>
      </c>
      <c r="AG288" s="125">
        <f>IF($F$4="NO",IF(Valores!$D$63*'Escala Docente'!B288&gt;Valores!$F$63,Valores!$F$63,Valores!$D$63*'Escala Docente'!B288),IF(Valores!$D$63*'Escala Docente'!B288&gt;Valores!$F$63,Valores!$F$63,Valores!$D$63*'Escala Docente'!B288)/2)</f>
        <v>12965.96</v>
      </c>
      <c r="AH288" s="125">
        <f t="shared" si="46"/>
        <v>171809.12999999998</v>
      </c>
      <c r="AI288" s="125">
        <f>IF(Valores!$C$32*B288&gt;Valores!$F$32,Valores!$F$32,Valores!$C$32*B288)</f>
        <v>0</v>
      </c>
      <c r="AJ288" s="125">
        <f>IF(Valores!$C$90*B288&gt;Valores!$C$89,Valores!$C$89,Valores!$C$90*B288)</f>
        <v>0</v>
      </c>
      <c r="AK288" s="125">
        <f>IF(Valores!C$39*B288&gt;Valores!F$38,Valores!F$38,Valores!C$39*B288)</f>
        <v>30000</v>
      </c>
      <c r="AL288" s="125">
        <f>IF($F$3="NO",0,IF(Valores!$C$62*B288&gt;Valores!$F$62,Valores!$F$62,Valores!$C$62*B288))</f>
        <v>327.6</v>
      </c>
      <c r="AM288" s="125">
        <f t="shared" si="44"/>
        <v>30327.6</v>
      </c>
      <c r="AN288" s="125">
        <f>AH288*Valores!$C$71</f>
        <v>-18899.004299999997</v>
      </c>
      <c r="AO288" s="125">
        <f>AH288*-Valores!$C$72</f>
        <v>0</v>
      </c>
      <c r="AP288" s="125">
        <f>AH288*Valores!$C$73</f>
        <v>-7731.410849999998</v>
      </c>
      <c r="AQ288" s="125">
        <f>Valores!$C$100</f>
        <v>-280.91</v>
      </c>
      <c r="AR288" s="125">
        <f>IF($F$5=0,Valores!$C$101,(Valores!$C$101+$F$5*(Valores!$C$101)))</f>
        <v>-385</v>
      </c>
      <c r="AS288" s="125">
        <f t="shared" si="47"/>
        <v>174840.40485</v>
      </c>
      <c r="AT288" s="125">
        <f t="shared" si="41"/>
        <v>-18899.004299999997</v>
      </c>
      <c r="AU288" s="125">
        <f>AH288*Valores!$C$74</f>
        <v>-4638.846509999999</v>
      </c>
      <c r="AV288" s="125">
        <f>AH288*Valores!$C$75</f>
        <v>-515.42739</v>
      </c>
      <c r="AW288" s="125">
        <f t="shared" si="45"/>
        <v>178083.45179999998</v>
      </c>
      <c r="AX288" s="126"/>
      <c r="AY288" s="126">
        <f t="shared" si="49"/>
        <v>31</v>
      </c>
      <c r="AZ288" s="123" t="s">
        <v>8</v>
      </c>
    </row>
    <row r="289" spans="1:52" s="110" customFormat="1" ht="11.25" customHeight="1">
      <c r="A289" s="123" t="s">
        <v>471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0"/>
        <v>2528</v>
      </c>
      <c r="F289" s="125">
        <f>ROUND(E289*Valores!$C$2,2)</f>
        <v>68562.39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13998.41</v>
      </c>
      <c r="N289" s="125">
        <f t="shared" si="42"/>
        <v>0</v>
      </c>
      <c r="O289" s="125">
        <f>Valores!$C$7*B289</f>
        <v>29432.32</v>
      </c>
      <c r="P289" s="125">
        <f>ROUND(IF(B289&lt;15,(Valores!$E$5*B289),Valores!$D$5),2)</f>
        <v>13864.36</v>
      </c>
      <c r="Q289" s="125">
        <v>0</v>
      </c>
      <c r="R289" s="125">
        <f>IF($F$4="NO",Valores!$C$49*B289,Valores!$C$49*B289/2)</f>
        <v>15503.36</v>
      </c>
      <c r="S289" s="125">
        <f>Valores!$C$18*B289</f>
        <v>9256.96</v>
      </c>
      <c r="T289" s="125">
        <f t="shared" si="48"/>
        <v>9256.96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IF(Valores!$C$97*B289&gt;Valores!$C$96,Valores!$C$96,Valores!$C$97*B289)</f>
        <v>8958.08</v>
      </c>
      <c r="AA289" s="125">
        <f>IF((Valores!$C$28)*B289&gt;Valores!$F$28,Valores!$F$28,(Valores!$C$28)*B289)</f>
        <v>727.04</v>
      </c>
      <c r="AB289" s="214">
        <v>0</v>
      </c>
      <c r="AC289" s="125">
        <f t="shared" si="43"/>
        <v>0</v>
      </c>
      <c r="AD289" s="125">
        <f>IF(Valores!$C$29*B289&gt;Valores!$F$29,Valores!$F$29,Valores!$C$29*B289)</f>
        <v>567.06</v>
      </c>
      <c r="AE289" s="192">
        <v>0</v>
      </c>
      <c r="AF289" s="125">
        <f>ROUND(AE289*Valores!$C$2,2)</f>
        <v>0</v>
      </c>
      <c r="AG289" s="125">
        <f>IF($F$4="NO",IF(Valores!$D$63*'Escala Docente'!B289&gt;Valores!$F$63,Valores!$F$63,Valores!$D$63*'Escala Docente'!B289),IF(Valores!$D$63*'Escala Docente'!B289&gt;Valores!$F$63,Valores!$F$63,Valores!$D$63*'Escala Docente'!B289)/2)</f>
        <v>12965.96</v>
      </c>
      <c r="AH289" s="125">
        <f t="shared" si="46"/>
        <v>173835.93999999997</v>
      </c>
      <c r="AI289" s="125">
        <f>IF(Valores!$C$32*B289&gt;Valores!$F$32,Valores!$F$32,Valores!$C$32*B289)</f>
        <v>0</v>
      </c>
      <c r="AJ289" s="125">
        <f>IF(Valores!$C$90*B289&gt;Valores!$C$89,Valores!$C$89,Valores!$C$90*B289)</f>
        <v>0</v>
      </c>
      <c r="AK289" s="125">
        <f>IF(Valores!C$39*B289&gt;Valores!F$38,Valores!F$38,Valores!C$39*B289)</f>
        <v>30000</v>
      </c>
      <c r="AL289" s="125">
        <f>IF($F$3="NO",0,IF(Valores!$C$62*B289&gt;Valores!$F$62,Valores!$F$62,Valores!$C$62*B289))</f>
        <v>327.6</v>
      </c>
      <c r="AM289" s="125">
        <f t="shared" si="44"/>
        <v>30327.6</v>
      </c>
      <c r="AN289" s="125">
        <f>AH289*Valores!$C$71</f>
        <v>-19121.9534</v>
      </c>
      <c r="AO289" s="125">
        <f>AH289*-Valores!$C$72</f>
        <v>0</v>
      </c>
      <c r="AP289" s="125">
        <f>AH289*Valores!$C$73</f>
        <v>-7822.617299999998</v>
      </c>
      <c r="AQ289" s="125">
        <f>Valores!$C$100</f>
        <v>-280.91</v>
      </c>
      <c r="AR289" s="125">
        <f>IF($F$5=0,Valores!$C$101,(Valores!$C$101+$F$5*(Valores!$C$101)))</f>
        <v>-385</v>
      </c>
      <c r="AS289" s="125">
        <f t="shared" si="47"/>
        <v>176553.05929999996</v>
      </c>
      <c r="AT289" s="125">
        <f t="shared" si="41"/>
        <v>-19121.9534</v>
      </c>
      <c r="AU289" s="125">
        <f>AH289*Valores!$C$74</f>
        <v>-4693.570379999999</v>
      </c>
      <c r="AV289" s="125">
        <f>AH289*Valores!$C$75</f>
        <v>-521.5078199999999</v>
      </c>
      <c r="AW289" s="125">
        <f t="shared" si="45"/>
        <v>179826.5084</v>
      </c>
      <c r="AX289" s="126"/>
      <c r="AY289" s="126">
        <f t="shared" si="49"/>
        <v>32</v>
      </c>
      <c r="AZ289" s="123" t="s">
        <v>8</v>
      </c>
    </row>
    <row r="290" spans="1:52" s="110" customFormat="1" ht="11.25" customHeight="1">
      <c r="A290" s="123" t="s">
        <v>471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0"/>
        <v>2528</v>
      </c>
      <c r="F290" s="125">
        <f>ROUND(E290*Valores!$C$2,2)</f>
        <v>68562.39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13998.41</v>
      </c>
      <c r="N290" s="125">
        <f t="shared" si="42"/>
        <v>0</v>
      </c>
      <c r="O290" s="125">
        <f>Valores!$C$7*B290</f>
        <v>29432.32</v>
      </c>
      <c r="P290" s="125">
        <f>ROUND(IF(B290&lt;15,(Valores!$E$5*B290),Valores!$D$5),2)</f>
        <v>13864.36</v>
      </c>
      <c r="Q290" s="125">
        <v>0</v>
      </c>
      <c r="R290" s="125">
        <f>IF($F$4="NO",Valores!$C$49*B290,Valores!$C$49*B290/2)</f>
        <v>15503.36</v>
      </c>
      <c r="S290" s="125">
        <f>Valores!$C$18*B290</f>
        <v>9256.96</v>
      </c>
      <c r="T290" s="125">
        <f t="shared" si="48"/>
        <v>9256.96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IF(Valores!$C$97*B290&gt;Valores!$C$96,Valores!$C$96,Valores!$C$97*B290)</f>
        <v>8958.08</v>
      </c>
      <c r="AA290" s="125">
        <f>IF((Valores!$C$28)*B290&gt;Valores!$F$28,Valores!$F$28,(Valores!$C$28)*B290)</f>
        <v>727.04</v>
      </c>
      <c r="AB290" s="214">
        <v>0</v>
      </c>
      <c r="AC290" s="125">
        <f t="shared" si="43"/>
        <v>0</v>
      </c>
      <c r="AD290" s="125">
        <f>IF(Valores!$C$29*B290&gt;Valores!$F$29,Valores!$F$29,Valores!$C$29*B290)</f>
        <v>567.06</v>
      </c>
      <c r="AE290" s="192">
        <v>94</v>
      </c>
      <c r="AF290" s="125">
        <f>ROUND(AE290*Valores!$C$2,2)</f>
        <v>2549.39</v>
      </c>
      <c r="AG290" s="125">
        <f>IF($F$4="NO",IF(Valores!$D$63*'Escala Docente'!B290&gt;Valores!$F$63,Valores!$F$63,Valores!$D$63*'Escala Docente'!B290),IF(Valores!$D$63*'Escala Docente'!B290&gt;Valores!$F$63,Valores!$F$63,Valores!$D$63*'Escala Docente'!B290)/2)</f>
        <v>12965.96</v>
      </c>
      <c r="AH290" s="125">
        <f t="shared" si="46"/>
        <v>176385.33</v>
      </c>
      <c r="AI290" s="125">
        <f>IF(Valores!$C$32*B290&gt;Valores!$F$32,Valores!$F$32,Valores!$C$32*B290)</f>
        <v>0</v>
      </c>
      <c r="AJ290" s="125">
        <f>IF(Valores!$C$90*B290&gt;Valores!$C$89,Valores!$C$89,Valores!$C$90*B290)</f>
        <v>0</v>
      </c>
      <c r="AK290" s="125">
        <f>IF(Valores!C$39*B290&gt;Valores!F$38,Valores!F$38,Valores!C$39*B290)</f>
        <v>30000</v>
      </c>
      <c r="AL290" s="125">
        <f>IF($F$3="NO",0,IF(Valores!$C$62*B290&gt;Valores!$F$62,Valores!$F$62,Valores!$C$62*B290))</f>
        <v>327.6</v>
      </c>
      <c r="AM290" s="125">
        <f t="shared" si="44"/>
        <v>30327.6</v>
      </c>
      <c r="AN290" s="125">
        <f>AH290*Valores!$C$71</f>
        <v>-19402.3863</v>
      </c>
      <c r="AO290" s="125">
        <f>AH290*-Valores!$C$72</f>
        <v>0</v>
      </c>
      <c r="AP290" s="125">
        <f>AH290*Valores!$C$73</f>
        <v>-7937.339849999999</v>
      </c>
      <c r="AQ290" s="125">
        <f>Valores!$C$100</f>
        <v>-280.91</v>
      </c>
      <c r="AR290" s="125">
        <f>IF($F$5=0,Valores!$C$101,(Valores!$C$101+$F$5*(Valores!$C$101)))</f>
        <v>-385</v>
      </c>
      <c r="AS290" s="125">
        <f t="shared" si="47"/>
        <v>178707.29385</v>
      </c>
      <c r="AT290" s="125">
        <f t="shared" si="41"/>
        <v>-19402.3863</v>
      </c>
      <c r="AU290" s="125">
        <f>AH290*Valores!$C$74</f>
        <v>-4762.40391</v>
      </c>
      <c r="AV290" s="125">
        <f>AH290*Valores!$C$75</f>
        <v>-529.15599</v>
      </c>
      <c r="AW290" s="125">
        <f t="shared" si="45"/>
        <v>182018.9838</v>
      </c>
      <c r="AX290" s="126"/>
      <c r="AY290" s="126">
        <f t="shared" si="49"/>
        <v>32</v>
      </c>
      <c r="AZ290" s="123" t="s">
        <v>8</v>
      </c>
    </row>
    <row r="291" spans="1:52" s="110" customFormat="1" ht="11.25" customHeight="1">
      <c r="A291" s="123" t="s">
        <v>471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0" ref="E291:E298">79*B291</f>
        <v>2607</v>
      </c>
      <c r="F291" s="125">
        <f>ROUND(E291*Valores!$C$2,2)</f>
        <v>70704.97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14435.86</v>
      </c>
      <c r="N291" s="125">
        <f t="shared" si="42"/>
        <v>0</v>
      </c>
      <c r="O291" s="125">
        <f>Valores!$C$7*B291</f>
        <v>30352.079999999998</v>
      </c>
      <c r="P291" s="125">
        <f>ROUND(IF(B291&lt;15,(Valores!$E$5*B291),Valores!$D$5),2)</f>
        <v>13864.36</v>
      </c>
      <c r="Q291" s="125">
        <v>0</v>
      </c>
      <c r="R291" s="125">
        <f>IF($F$4="NO",Valores!$C$49*B291,Valores!$C$49*B291/2)</f>
        <v>15987.84</v>
      </c>
      <c r="S291" s="125">
        <f>Valores!$C$18*B291</f>
        <v>9546.24</v>
      </c>
      <c r="T291" s="125">
        <f t="shared" si="48"/>
        <v>9546.24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IF(Valores!$C$97*B291&gt;Valores!$C$96,Valores!$C$96,Valores!$C$97*B291)</f>
        <v>9238.02</v>
      </c>
      <c r="AA291" s="125">
        <f>IF((Valores!$C$28)*B291&gt;Valores!$F$28,Valores!$F$28,(Valores!$C$28)*B291)</f>
        <v>749.76</v>
      </c>
      <c r="AB291" s="214">
        <v>0</v>
      </c>
      <c r="AC291" s="125">
        <f t="shared" si="43"/>
        <v>0</v>
      </c>
      <c r="AD291" s="125">
        <f>IF(Valores!$C$29*B291&gt;Valores!$F$29,Valores!$F$29,Valores!$C$29*B291)</f>
        <v>567.06</v>
      </c>
      <c r="AE291" s="192">
        <v>0</v>
      </c>
      <c r="AF291" s="125">
        <f>ROUND(AE291*Valores!$C$2,2)</f>
        <v>0</v>
      </c>
      <c r="AG291" s="125">
        <f>IF($F$4="NO",IF(Valores!$D$63*'Escala Docente'!B291&gt;Valores!$F$63,Valores!$F$63,Valores!$D$63*'Escala Docente'!B291),IF(Valores!$D$63*'Escala Docente'!B291&gt;Valores!$F$63,Valores!$F$63,Valores!$D$63*'Escala Docente'!B291)/2)</f>
        <v>12965.96</v>
      </c>
      <c r="AH291" s="125">
        <f t="shared" si="46"/>
        <v>178412.15</v>
      </c>
      <c r="AI291" s="125">
        <f>IF(Valores!$C$32*B291&gt;Valores!$F$32,Valores!$F$32,Valores!$C$32*B291)</f>
        <v>0</v>
      </c>
      <c r="AJ291" s="125">
        <f>IF(Valores!$C$90*B291&gt;Valores!$C$89,Valores!$C$89,Valores!$C$90*B291)</f>
        <v>0</v>
      </c>
      <c r="AK291" s="125">
        <f>IF(Valores!C$39*B291&gt;Valores!F$38,Valores!F$38,Valores!C$39*B291)</f>
        <v>30000</v>
      </c>
      <c r="AL291" s="125">
        <f>IF($F$3="NO",0,IF(Valores!$C$62*B291&gt;Valores!$F$62,Valores!$F$62,Valores!$C$62*B291))</f>
        <v>327.6</v>
      </c>
      <c r="AM291" s="125">
        <f t="shared" si="44"/>
        <v>30327.6</v>
      </c>
      <c r="AN291" s="125">
        <f>AH291*Valores!$C$71</f>
        <v>-19625.3365</v>
      </c>
      <c r="AO291" s="125">
        <f>AH291*-Valores!$C$72</f>
        <v>0</v>
      </c>
      <c r="AP291" s="125">
        <f>AH291*Valores!$C$73</f>
        <v>-8028.5467499999995</v>
      </c>
      <c r="AQ291" s="125">
        <f>Valores!$C$100</f>
        <v>-280.91</v>
      </c>
      <c r="AR291" s="125">
        <f>IF($F$5=0,Valores!$C$101,(Valores!$C$101+$F$5*(Valores!$C$101)))</f>
        <v>-385</v>
      </c>
      <c r="AS291" s="125">
        <f t="shared" si="47"/>
        <v>180419.95674999998</v>
      </c>
      <c r="AT291" s="125">
        <f t="shared" si="41"/>
        <v>-19625.3365</v>
      </c>
      <c r="AU291" s="125">
        <f>AH291*Valores!$C$74</f>
        <v>-4817.128049999999</v>
      </c>
      <c r="AV291" s="125">
        <f>AH291*Valores!$C$75</f>
        <v>-535.23645</v>
      </c>
      <c r="AW291" s="125">
        <f t="shared" si="45"/>
        <v>183762.049</v>
      </c>
      <c r="AX291" s="126"/>
      <c r="AY291" s="126">
        <f t="shared" si="49"/>
        <v>33</v>
      </c>
      <c r="AZ291" s="123" t="s">
        <v>8</v>
      </c>
    </row>
    <row r="292" spans="1:52" s="110" customFormat="1" ht="11.25" customHeight="1">
      <c r="A292" s="123" t="s">
        <v>471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0"/>
        <v>2607</v>
      </c>
      <c r="F292" s="125">
        <f>ROUND(E292*Valores!$C$2,2)</f>
        <v>70704.97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14435.86</v>
      </c>
      <c r="N292" s="125">
        <f t="shared" si="42"/>
        <v>0</v>
      </c>
      <c r="O292" s="125">
        <f>Valores!$C$7*B292</f>
        <v>30352.079999999998</v>
      </c>
      <c r="P292" s="125">
        <f>ROUND(IF(B292&lt;15,(Valores!$E$5*B292),Valores!$D$5),2)</f>
        <v>13864.36</v>
      </c>
      <c r="Q292" s="125">
        <v>0</v>
      </c>
      <c r="R292" s="125">
        <f>IF($F$4="NO",Valores!$C$49*B292,Valores!$C$49*B292/2)</f>
        <v>15987.84</v>
      </c>
      <c r="S292" s="125">
        <f>Valores!$C$18*B292</f>
        <v>9546.24</v>
      </c>
      <c r="T292" s="125">
        <f t="shared" si="48"/>
        <v>9546.24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IF(Valores!$C$97*B292&gt;Valores!$C$96,Valores!$C$96,Valores!$C$97*B292)</f>
        <v>9238.02</v>
      </c>
      <c r="AA292" s="125">
        <f>IF((Valores!$C$28)*B292&gt;Valores!$F$28,Valores!$F$28,(Valores!$C$28)*B292)</f>
        <v>749.76</v>
      </c>
      <c r="AB292" s="214">
        <v>0</v>
      </c>
      <c r="AC292" s="125">
        <f t="shared" si="43"/>
        <v>0</v>
      </c>
      <c r="AD292" s="125">
        <f>IF(Valores!$C$29*B292&gt;Valores!$F$29,Valores!$F$29,Valores!$C$29*B292)</f>
        <v>567.06</v>
      </c>
      <c r="AE292" s="192">
        <v>94</v>
      </c>
      <c r="AF292" s="125">
        <f>ROUND(AE292*Valores!$C$2,2)</f>
        <v>2549.39</v>
      </c>
      <c r="AG292" s="125">
        <f>IF($F$4="NO",IF(Valores!$D$63*'Escala Docente'!B292&gt;Valores!$F$63,Valores!$F$63,Valores!$D$63*'Escala Docente'!B292),IF(Valores!$D$63*'Escala Docente'!B292&gt;Valores!$F$63,Valores!$F$63,Valores!$D$63*'Escala Docente'!B292)/2)</f>
        <v>12965.96</v>
      </c>
      <c r="AH292" s="125">
        <f t="shared" si="46"/>
        <v>180961.54</v>
      </c>
      <c r="AI292" s="125">
        <f>IF(Valores!$C$32*B292&gt;Valores!$F$32,Valores!$F$32,Valores!$C$32*B292)</f>
        <v>0</v>
      </c>
      <c r="AJ292" s="125">
        <f>IF(Valores!$C$90*B292&gt;Valores!$C$89,Valores!$C$89,Valores!$C$90*B292)</f>
        <v>0</v>
      </c>
      <c r="AK292" s="125">
        <f>IF(Valores!C$39*B292&gt;Valores!F$38,Valores!F$38,Valores!C$39*B292)</f>
        <v>30000</v>
      </c>
      <c r="AL292" s="125">
        <f>IF($F$3="NO",0,IF(Valores!$C$62*B292&gt;Valores!$F$62,Valores!$F$62,Valores!$C$62*B292))</f>
        <v>327.6</v>
      </c>
      <c r="AM292" s="125">
        <f t="shared" si="44"/>
        <v>30327.6</v>
      </c>
      <c r="AN292" s="125">
        <f>AH292*Valores!$C$71</f>
        <v>-19905.7694</v>
      </c>
      <c r="AO292" s="125">
        <f>AH292*-Valores!$C$72</f>
        <v>0</v>
      </c>
      <c r="AP292" s="125">
        <f>AH292*Valores!$C$73</f>
        <v>-8143.2693</v>
      </c>
      <c r="AQ292" s="125">
        <f>Valores!$C$100</f>
        <v>-280.91</v>
      </c>
      <c r="AR292" s="125">
        <f>IF($F$5=0,Valores!$C$101,(Valores!$C$101+$F$5*(Valores!$C$101)))</f>
        <v>-385</v>
      </c>
      <c r="AS292" s="125">
        <f t="shared" si="47"/>
        <v>182574.1913</v>
      </c>
      <c r="AT292" s="125">
        <f t="shared" si="41"/>
        <v>-19905.7694</v>
      </c>
      <c r="AU292" s="125">
        <f>AH292*Valores!$C$74</f>
        <v>-4885.96158</v>
      </c>
      <c r="AV292" s="125">
        <f>AH292*Valores!$C$75</f>
        <v>-542.88462</v>
      </c>
      <c r="AW292" s="125">
        <f t="shared" si="45"/>
        <v>185954.52440000002</v>
      </c>
      <c r="AX292" s="123"/>
      <c r="AY292" s="126">
        <f t="shared" si="49"/>
        <v>33</v>
      </c>
      <c r="AZ292" s="123" t="s">
        <v>8</v>
      </c>
    </row>
    <row r="293" spans="1:52" s="110" customFormat="1" ht="11.25" customHeight="1">
      <c r="A293" s="123" t="s">
        <v>471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0"/>
        <v>2686</v>
      </c>
      <c r="F293" s="125">
        <f>ROUND(E293*Valores!$C$2,2)</f>
        <v>72847.54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14873.31</v>
      </c>
      <c r="N293" s="125">
        <f t="shared" si="42"/>
        <v>0</v>
      </c>
      <c r="O293" s="125">
        <f>Valores!$C$7*B293</f>
        <v>31271.84</v>
      </c>
      <c r="P293" s="125">
        <f>ROUND(IF(B293&lt;15,(Valores!$E$5*B293),Valores!$D$5),2)</f>
        <v>13864.36</v>
      </c>
      <c r="Q293" s="125">
        <v>0</v>
      </c>
      <c r="R293" s="125">
        <f>IF($F$4="NO",Valores!$C$49*B293,Valores!$C$49*B293/2)</f>
        <v>16472.32</v>
      </c>
      <c r="S293" s="125">
        <f>Valores!$C$18*B293</f>
        <v>9835.519999999999</v>
      </c>
      <c r="T293" s="125">
        <f t="shared" si="48"/>
        <v>9835.52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IF(Valores!$C$97*B293&gt;Valores!$C$96,Valores!$C$96,Valores!$C$97*B293)</f>
        <v>9517.96</v>
      </c>
      <c r="AA293" s="125">
        <f>IF((Valores!$C$28)*B293&gt;Valores!$F$28,Valores!$F$28,(Valores!$C$28)*B293)</f>
        <v>772.48</v>
      </c>
      <c r="AB293" s="214">
        <v>0</v>
      </c>
      <c r="AC293" s="125">
        <f t="shared" si="43"/>
        <v>0</v>
      </c>
      <c r="AD293" s="125">
        <f>IF(Valores!$C$29*B293&gt;Valores!$F$29,Valores!$F$29,Valores!$C$29*B293)</f>
        <v>567.06</v>
      </c>
      <c r="AE293" s="192">
        <v>0</v>
      </c>
      <c r="AF293" s="125">
        <f>ROUND(AE293*Valores!$C$2,2)</f>
        <v>0</v>
      </c>
      <c r="AG293" s="125">
        <f>IF($F$4="NO",IF(Valores!$D$63*'Escala Docente'!B293&gt;Valores!$F$63,Valores!$F$63,Valores!$D$63*'Escala Docente'!B293),IF(Valores!$D$63*'Escala Docente'!B293&gt;Valores!$F$63,Valores!$F$63,Valores!$D$63*'Escala Docente'!B293)/2)</f>
        <v>12965.96</v>
      </c>
      <c r="AH293" s="125">
        <f t="shared" si="46"/>
        <v>182988.34999999998</v>
      </c>
      <c r="AI293" s="125">
        <f>IF(Valores!$C$32*B293&gt;Valores!$F$32,Valores!$F$32,Valores!$C$32*B293)</f>
        <v>0</v>
      </c>
      <c r="AJ293" s="125">
        <f>IF(Valores!$C$90*B293&gt;Valores!$C$89,Valores!$C$89,Valores!$C$90*B293)</f>
        <v>0</v>
      </c>
      <c r="AK293" s="125">
        <f>IF(Valores!C$39*B293&gt;Valores!F$38,Valores!F$38,Valores!C$39*B293)</f>
        <v>30000</v>
      </c>
      <c r="AL293" s="125">
        <f>IF($F$3="NO",0,IF(Valores!$C$62*B293&gt;Valores!$F$62,Valores!$F$62,Valores!$C$62*B293))</f>
        <v>327.6</v>
      </c>
      <c r="AM293" s="125">
        <f t="shared" si="44"/>
        <v>30327.6</v>
      </c>
      <c r="AN293" s="125">
        <f>AH293*Valores!$C$71</f>
        <v>-20128.7185</v>
      </c>
      <c r="AO293" s="125">
        <f>AH293*-Valores!$C$72</f>
        <v>0</v>
      </c>
      <c r="AP293" s="125">
        <f>AH293*Valores!$C$73</f>
        <v>-8234.475749999998</v>
      </c>
      <c r="AQ293" s="125">
        <f>Valores!$C$100</f>
        <v>-280.91</v>
      </c>
      <c r="AR293" s="125">
        <f>IF($F$5=0,Valores!$C$101,(Valores!$C$101+$F$5*(Valores!$C$101)))</f>
        <v>-385</v>
      </c>
      <c r="AS293" s="125">
        <f t="shared" si="47"/>
        <v>184286.84574999998</v>
      </c>
      <c r="AT293" s="125">
        <f t="shared" si="41"/>
        <v>-20128.7185</v>
      </c>
      <c r="AU293" s="125">
        <f>AH293*Valores!$C$74</f>
        <v>-4940.685449999999</v>
      </c>
      <c r="AV293" s="125">
        <f>AH293*Valores!$C$75</f>
        <v>-548.9650499999999</v>
      </c>
      <c r="AW293" s="125">
        <f t="shared" si="45"/>
        <v>187697.58099999998</v>
      </c>
      <c r="AX293" s="126"/>
      <c r="AY293" s="126">
        <f t="shared" si="49"/>
        <v>34</v>
      </c>
      <c r="AZ293" s="123" t="s">
        <v>8</v>
      </c>
    </row>
    <row r="294" spans="1:52" s="110" customFormat="1" ht="11.25" customHeight="1">
      <c r="A294" s="123" t="s">
        <v>471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0"/>
        <v>2686</v>
      </c>
      <c r="F294" s="125">
        <f>ROUND(E294*Valores!$C$2,2)</f>
        <v>72847.54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14873.31</v>
      </c>
      <c r="N294" s="125">
        <f t="shared" si="42"/>
        <v>0</v>
      </c>
      <c r="O294" s="125">
        <f>Valores!$C$7*B294</f>
        <v>31271.84</v>
      </c>
      <c r="P294" s="125">
        <f>ROUND(IF(B294&lt;15,(Valores!$E$5*B294),Valores!$D$5),2)</f>
        <v>13864.36</v>
      </c>
      <c r="Q294" s="125">
        <v>0</v>
      </c>
      <c r="R294" s="125">
        <f>IF($F$4="NO",Valores!$C$49*B294,Valores!$C$49*B294/2)</f>
        <v>16472.32</v>
      </c>
      <c r="S294" s="125">
        <f>Valores!$C$18*B294</f>
        <v>9835.519999999999</v>
      </c>
      <c r="T294" s="125">
        <f t="shared" si="48"/>
        <v>9835.52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IF(Valores!$C$97*B294&gt;Valores!$C$96,Valores!$C$96,Valores!$C$97*B294)</f>
        <v>9517.96</v>
      </c>
      <c r="AA294" s="125">
        <f>IF((Valores!$C$28)*B294&gt;Valores!$F$28,Valores!$F$28,(Valores!$C$28)*B294)</f>
        <v>772.48</v>
      </c>
      <c r="AB294" s="214">
        <v>0</v>
      </c>
      <c r="AC294" s="125">
        <f t="shared" si="43"/>
        <v>0</v>
      </c>
      <c r="AD294" s="125">
        <f>IF(Valores!$C$29*B294&gt;Valores!$F$29,Valores!$F$29,Valores!$C$29*B294)</f>
        <v>567.06</v>
      </c>
      <c r="AE294" s="192">
        <v>94</v>
      </c>
      <c r="AF294" s="125">
        <f>ROUND(AE294*Valores!$C$2,2)</f>
        <v>2549.39</v>
      </c>
      <c r="AG294" s="125">
        <f>IF($F$4="NO",IF(Valores!$D$63*'Escala Docente'!B294&gt;Valores!$F$63,Valores!$F$63,Valores!$D$63*'Escala Docente'!B294),IF(Valores!$D$63*'Escala Docente'!B294&gt;Valores!$F$63,Valores!$F$63,Valores!$D$63*'Escala Docente'!B294)/2)</f>
        <v>12965.96</v>
      </c>
      <c r="AH294" s="125">
        <f t="shared" si="46"/>
        <v>185537.74</v>
      </c>
      <c r="AI294" s="125">
        <f>IF(Valores!$C$32*B294&gt;Valores!$F$32,Valores!$F$32,Valores!$C$32*B294)</f>
        <v>0</v>
      </c>
      <c r="AJ294" s="125">
        <f>IF(Valores!$C$90*B294&gt;Valores!$C$89,Valores!$C$89,Valores!$C$90*B294)</f>
        <v>0</v>
      </c>
      <c r="AK294" s="125">
        <f>IF(Valores!C$39*B294&gt;Valores!F$38,Valores!F$38,Valores!C$39*B294)</f>
        <v>30000</v>
      </c>
      <c r="AL294" s="125">
        <f>IF($F$3="NO",0,IF(Valores!$C$62*B294&gt;Valores!$F$62,Valores!$F$62,Valores!$C$62*B294))</f>
        <v>327.6</v>
      </c>
      <c r="AM294" s="125">
        <f t="shared" si="44"/>
        <v>30327.6</v>
      </c>
      <c r="AN294" s="125">
        <f>AH294*Valores!$C$71</f>
        <v>-20409.1514</v>
      </c>
      <c r="AO294" s="125">
        <f>AH294*-Valores!$C$72</f>
        <v>0</v>
      </c>
      <c r="AP294" s="125">
        <f>AH294*Valores!$C$73</f>
        <v>-8349.1983</v>
      </c>
      <c r="AQ294" s="125">
        <f>Valores!$C$100</f>
        <v>-280.91</v>
      </c>
      <c r="AR294" s="125">
        <f>IF($F$5=0,Valores!$C$101,(Valores!$C$101+$F$5*(Valores!$C$101)))</f>
        <v>-385</v>
      </c>
      <c r="AS294" s="125">
        <f t="shared" si="47"/>
        <v>186441.0803</v>
      </c>
      <c r="AT294" s="125">
        <f t="shared" si="41"/>
        <v>-20409.1514</v>
      </c>
      <c r="AU294" s="125">
        <f>AH294*Valores!$C$74</f>
        <v>-5009.51898</v>
      </c>
      <c r="AV294" s="125">
        <f>AH294*Valores!$C$75</f>
        <v>-556.61322</v>
      </c>
      <c r="AW294" s="125">
        <f t="shared" si="45"/>
        <v>189890.0564</v>
      </c>
      <c r="AX294" s="126"/>
      <c r="AY294" s="126">
        <f t="shared" si="49"/>
        <v>34</v>
      </c>
      <c r="AZ294" s="123" t="s">
        <v>8</v>
      </c>
    </row>
    <row r="295" spans="1:52" s="110" customFormat="1" ht="11.25" customHeight="1">
      <c r="A295" s="123" t="s">
        <v>471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0"/>
        <v>2765</v>
      </c>
      <c r="F295" s="125">
        <f>ROUND(E295*Valores!$C$2,2)</f>
        <v>74990.12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15310.76</v>
      </c>
      <c r="N295" s="125">
        <f t="shared" si="42"/>
        <v>0</v>
      </c>
      <c r="O295" s="125">
        <f>Valores!$C$7*B295</f>
        <v>32191.6</v>
      </c>
      <c r="P295" s="125">
        <f>ROUND(IF(B295&lt;15,(Valores!$E$5*B295),Valores!$D$5),2)</f>
        <v>13864.36</v>
      </c>
      <c r="Q295" s="125">
        <v>0</v>
      </c>
      <c r="R295" s="125">
        <f>IF($F$4="NO",Valores!$C$49*B295,Valores!$C$49*B295/2)</f>
        <v>16956.8</v>
      </c>
      <c r="S295" s="125">
        <f>Valores!$C$18*B295</f>
        <v>10124.8</v>
      </c>
      <c r="T295" s="125">
        <f t="shared" si="48"/>
        <v>10124.8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IF(Valores!$C$97*B295&gt;Valores!$C$96,Valores!$C$96,Valores!$C$97*B295)</f>
        <v>9797.9</v>
      </c>
      <c r="AA295" s="125">
        <f>IF((Valores!$C$28)*B295&gt;Valores!$F$28,Valores!$F$28,(Valores!$C$28)*B295)</f>
        <v>795.1999999999999</v>
      </c>
      <c r="AB295" s="214">
        <v>0</v>
      </c>
      <c r="AC295" s="125">
        <f t="shared" si="43"/>
        <v>0</v>
      </c>
      <c r="AD295" s="125">
        <f>IF(Valores!$C$29*B295&gt;Valores!$F$29,Valores!$F$29,Valores!$C$29*B295)</f>
        <v>567.06</v>
      </c>
      <c r="AE295" s="192">
        <v>0</v>
      </c>
      <c r="AF295" s="125">
        <f>ROUND(AE295*Valores!$C$2,2)</f>
        <v>0</v>
      </c>
      <c r="AG295" s="125">
        <f>IF($F$4="NO",IF(Valores!$D$63*'Escala Docente'!B295&gt;Valores!$F$63,Valores!$F$63,Valores!$D$63*'Escala Docente'!B295),IF(Valores!$D$63*'Escala Docente'!B295&gt;Valores!$F$63,Valores!$F$63,Valores!$D$63*'Escala Docente'!B295)/2)</f>
        <v>12965.96</v>
      </c>
      <c r="AH295" s="125">
        <f t="shared" si="46"/>
        <v>187564.55999999994</v>
      </c>
      <c r="AI295" s="125">
        <f>IF(Valores!$C$32*B295&gt;Valores!$F$32,Valores!$F$32,Valores!$C$32*B295)</f>
        <v>0</v>
      </c>
      <c r="AJ295" s="125">
        <f>IF(Valores!$C$90*B295&gt;Valores!$C$89,Valores!$C$89,Valores!$C$90*B295)</f>
        <v>0</v>
      </c>
      <c r="AK295" s="125">
        <f>IF(Valores!C$39*B295&gt;Valores!F$38,Valores!F$38,Valores!C$39*B295)</f>
        <v>30000</v>
      </c>
      <c r="AL295" s="125">
        <f>IF($F$3="NO",0,IF(Valores!$C$62*B295&gt;Valores!$F$62,Valores!$F$62,Valores!$C$62*B295))</f>
        <v>327.6</v>
      </c>
      <c r="AM295" s="125">
        <f t="shared" si="44"/>
        <v>30327.6</v>
      </c>
      <c r="AN295" s="125">
        <f>AH295*Valores!$C$71</f>
        <v>-20632.101599999995</v>
      </c>
      <c r="AO295" s="125">
        <f>AH295*-Valores!$C$72</f>
        <v>0</v>
      </c>
      <c r="AP295" s="125">
        <f>AH295*Valores!$C$73</f>
        <v>-8440.405199999997</v>
      </c>
      <c r="AQ295" s="125">
        <f>Valores!$C$100</f>
        <v>-280.91</v>
      </c>
      <c r="AR295" s="125">
        <f>IF($F$5=0,Valores!$C$101,(Valores!$C$101+$F$5*(Valores!$C$101)))</f>
        <v>-385</v>
      </c>
      <c r="AS295" s="125">
        <f t="shared" si="47"/>
        <v>188153.74319999994</v>
      </c>
      <c r="AT295" s="125">
        <f t="shared" si="41"/>
        <v>-20632.101599999995</v>
      </c>
      <c r="AU295" s="125">
        <f>AH295*Valores!$C$74</f>
        <v>-5064.243119999998</v>
      </c>
      <c r="AV295" s="125">
        <f>AH295*Valores!$C$75</f>
        <v>-562.6936799999999</v>
      </c>
      <c r="AW295" s="125">
        <f t="shared" si="45"/>
        <v>191633.12159999995</v>
      </c>
      <c r="AX295" s="126"/>
      <c r="AY295" s="126">
        <f t="shared" si="49"/>
        <v>35</v>
      </c>
      <c r="AZ295" s="123" t="s">
        <v>8</v>
      </c>
    </row>
    <row r="296" spans="1:52" s="110" customFormat="1" ht="11.25" customHeight="1">
      <c r="A296" s="123" t="s">
        <v>471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0"/>
        <v>2765</v>
      </c>
      <c r="F296" s="125">
        <f>ROUND(E296*Valores!$C$2,2)</f>
        <v>74990.12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15310.76</v>
      </c>
      <c r="N296" s="125">
        <f t="shared" si="42"/>
        <v>0</v>
      </c>
      <c r="O296" s="125">
        <f>Valores!$C$7*B296</f>
        <v>32191.6</v>
      </c>
      <c r="P296" s="125">
        <f>ROUND(IF(B296&lt;15,(Valores!$E$5*B296),Valores!$D$5),2)</f>
        <v>13864.36</v>
      </c>
      <c r="Q296" s="125">
        <v>0</v>
      </c>
      <c r="R296" s="125">
        <f>IF($F$4="NO",Valores!$C$49*B296,Valores!$C$49*B296/2)</f>
        <v>16956.8</v>
      </c>
      <c r="S296" s="125">
        <f>Valores!$C$18*B296</f>
        <v>10124.8</v>
      </c>
      <c r="T296" s="125">
        <f t="shared" si="48"/>
        <v>10124.8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IF(Valores!$C$97*B296&gt;Valores!$C$96,Valores!$C$96,Valores!$C$97*B296)</f>
        <v>9797.9</v>
      </c>
      <c r="AA296" s="125">
        <f>IF((Valores!$C$28)*B296&gt;Valores!$F$28,Valores!$F$28,(Valores!$C$28)*B296)</f>
        <v>795.1999999999999</v>
      </c>
      <c r="AB296" s="214">
        <v>0</v>
      </c>
      <c r="AC296" s="125">
        <f t="shared" si="43"/>
        <v>0</v>
      </c>
      <c r="AD296" s="125">
        <f>IF(Valores!$C$29*B296&gt;Valores!$F$29,Valores!$F$29,Valores!$C$29*B296)</f>
        <v>567.06</v>
      </c>
      <c r="AE296" s="192">
        <v>94</v>
      </c>
      <c r="AF296" s="125">
        <f>ROUND(AE296*Valores!$C$2,2)</f>
        <v>2549.39</v>
      </c>
      <c r="AG296" s="125">
        <f>IF($F$4="NO",IF(Valores!$D$63*'Escala Docente'!B296&gt;Valores!$F$63,Valores!$F$63,Valores!$D$63*'Escala Docente'!B296),IF(Valores!$D$63*'Escala Docente'!B296&gt;Valores!$F$63,Valores!$F$63,Valores!$D$63*'Escala Docente'!B296)/2)</f>
        <v>12965.96</v>
      </c>
      <c r="AH296" s="125">
        <f t="shared" si="46"/>
        <v>190113.94999999995</v>
      </c>
      <c r="AI296" s="125">
        <f>IF(Valores!$C$32*B296&gt;Valores!$F$32,Valores!$F$32,Valores!$C$32*B296)</f>
        <v>0</v>
      </c>
      <c r="AJ296" s="125">
        <f>IF(Valores!$C$90*B296&gt;Valores!$C$89,Valores!$C$89,Valores!$C$90*B296)</f>
        <v>0</v>
      </c>
      <c r="AK296" s="125">
        <f>IF(Valores!C$39*B296&gt;Valores!F$38,Valores!F$38,Valores!C$39*B296)</f>
        <v>30000</v>
      </c>
      <c r="AL296" s="125">
        <f>IF($F$3="NO",0,IF(Valores!$C$62*B296&gt;Valores!$F$62,Valores!$F$62,Valores!$C$62*B296))</f>
        <v>327.6</v>
      </c>
      <c r="AM296" s="125">
        <f t="shared" si="44"/>
        <v>30327.6</v>
      </c>
      <c r="AN296" s="125">
        <f>AH296*Valores!$C$71</f>
        <v>-20912.534499999994</v>
      </c>
      <c r="AO296" s="125">
        <f>AH296*-Valores!$C$72</f>
        <v>0</v>
      </c>
      <c r="AP296" s="125">
        <f>AH296*Valores!$C$73</f>
        <v>-8555.127749999998</v>
      </c>
      <c r="AQ296" s="125">
        <f>Valores!$C$100</f>
        <v>-280.91</v>
      </c>
      <c r="AR296" s="125">
        <f>IF($F$5=0,Valores!$C$101,(Valores!$C$101+$F$5*(Valores!$C$101)))</f>
        <v>-385</v>
      </c>
      <c r="AS296" s="125">
        <f t="shared" si="47"/>
        <v>190307.97774999996</v>
      </c>
      <c r="AT296" s="125">
        <f t="shared" si="41"/>
        <v>-20912.534499999994</v>
      </c>
      <c r="AU296" s="125">
        <f>AH296*Valores!$C$74</f>
        <v>-5133.076649999999</v>
      </c>
      <c r="AV296" s="125">
        <f>AH296*Valores!$C$75</f>
        <v>-570.3418499999999</v>
      </c>
      <c r="AW296" s="125">
        <f t="shared" si="45"/>
        <v>193825.59699999995</v>
      </c>
      <c r="AX296" s="126"/>
      <c r="AY296" s="126">
        <f t="shared" si="49"/>
        <v>35</v>
      </c>
      <c r="AZ296" s="123" t="s">
        <v>8</v>
      </c>
    </row>
    <row r="297" spans="1:52" s="110" customFormat="1" ht="11.25" customHeight="1">
      <c r="A297" s="123" t="s">
        <v>471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0"/>
        <v>2844</v>
      </c>
      <c r="F297" s="125">
        <f>ROUND(E297*Valores!$C$2,2)</f>
        <v>77132.69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15748.21</v>
      </c>
      <c r="N297" s="125">
        <f t="shared" si="42"/>
        <v>0</v>
      </c>
      <c r="O297" s="125">
        <f>Valores!$C$7*B297</f>
        <v>33111.36</v>
      </c>
      <c r="P297" s="125">
        <f>ROUND(IF(B297&lt;15,(Valores!$E$5*B297),Valores!$D$5),2)</f>
        <v>13864.36</v>
      </c>
      <c r="Q297" s="125">
        <v>0</v>
      </c>
      <c r="R297" s="125">
        <f>IF($F$4="NO",Valores!$C$49*B297,Valores!$C$49*B297/2)</f>
        <v>17441.28</v>
      </c>
      <c r="S297" s="125">
        <f>Valores!$C$18*B297</f>
        <v>10414.079999999998</v>
      </c>
      <c r="T297" s="125">
        <f t="shared" si="48"/>
        <v>10414.08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IF(Valores!$C$97*B297&gt;Valores!$C$96,Valores!$C$96,Valores!$C$97*B297)</f>
        <v>10077.84</v>
      </c>
      <c r="AA297" s="125">
        <f>IF((Valores!$C$28)*B297&gt;Valores!$F$28,Valores!$F$28,(Valores!$C$28)*B297)</f>
        <v>817.92</v>
      </c>
      <c r="AB297" s="214">
        <v>0</v>
      </c>
      <c r="AC297" s="125">
        <f t="shared" si="43"/>
        <v>0</v>
      </c>
      <c r="AD297" s="125">
        <f>IF(Valores!$C$29*B297&gt;Valores!$F$29,Valores!$F$29,Valores!$C$29*B297)</f>
        <v>567.06</v>
      </c>
      <c r="AE297" s="192">
        <v>0</v>
      </c>
      <c r="AF297" s="125">
        <f>ROUND(AE297*Valores!$C$2,2)</f>
        <v>0</v>
      </c>
      <c r="AG297" s="125">
        <f>IF($F$4="NO",IF(Valores!$D$63*'Escala Docente'!B297&gt;Valores!$F$63,Valores!$F$63,Valores!$D$63*'Escala Docente'!B297),IF(Valores!$D$63*'Escala Docente'!B297&gt;Valores!$F$63,Valores!$F$63,Valores!$D$63*'Escala Docente'!B297)/2)</f>
        <v>12965.96</v>
      </c>
      <c r="AH297" s="125">
        <f t="shared" si="46"/>
        <v>192140.75999999998</v>
      </c>
      <c r="AI297" s="125">
        <f>IF(Valores!$C$32*B297&gt;Valores!$F$32,Valores!$F$32,Valores!$C$32*B297)</f>
        <v>0</v>
      </c>
      <c r="AJ297" s="125">
        <f>IF(Valores!$C$90*B297&gt;Valores!$C$89,Valores!$C$89,Valores!$C$90*B297)</f>
        <v>0</v>
      </c>
      <c r="AK297" s="125">
        <f>IF(Valores!C$39*B297&gt;Valores!F$38,Valores!F$38,Valores!C$39*B297)</f>
        <v>30000</v>
      </c>
      <c r="AL297" s="125">
        <f>IF($F$3="NO",0,IF(Valores!$C$62*B297&gt;Valores!$F$62,Valores!$F$62,Valores!$C$62*B297))</f>
        <v>327.6</v>
      </c>
      <c r="AM297" s="125">
        <f t="shared" si="44"/>
        <v>30327.6</v>
      </c>
      <c r="AN297" s="125">
        <f>AH297*Valores!$C$71</f>
        <v>-21135.4836</v>
      </c>
      <c r="AO297" s="125">
        <f>AH297*-Valores!$C$72</f>
        <v>0</v>
      </c>
      <c r="AP297" s="125">
        <f>AH297*Valores!$C$73</f>
        <v>-8646.3342</v>
      </c>
      <c r="AQ297" s="125">
        <f>Valores!$C$100</f>
        <v>-280.91</v>
      </c>
      <c r="AR297" s="125">
        <f>IF($F$5=0,Valores!$C$101,(Valores!$C$101+$F$5*(Valores!$C$101)))</f>
        <v>-385</v>
      </c>
      <c r="AS297" s="125">
        <f t="shared" si="47"/>
        <v>192020.6322</v>
      </c>
      <c r="AT297" s="125">
        <f t="shared" si="41"/>
        <v>-21135.4836</v>
      </c>
      <c r="AU297" s="125">
        <f>AH297*Valores!$C$74</f>
        <v>-5187.80052</v>
      </c>
      <c r="AV297" s="125">
        <f>AH297*Valores!$C$75</f>
        <v>-576.42228</v>
      </c>
      <c r="AW297" s="125">
        <f t="shared" si="45"/>
        <v>195568.6536</v>
      </c>
      <c r="AX297" s="126"/>
      <c r="AY297" s="126">
        <f t="shared" si="49"/>
        <v>36</v>
      </c>
      <c r="AZ297" s="123" t="s">
        <v>8</v>
      </c>
    </row>
    <row r="298" spans="1:52" s="110" customFormat="1" ht="11.25" customHeight="1">
      <c r="A298" s="123" t="s">
        <v>471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0"/>
        <v>2844</v>
      </c>
      <c r="F298" s="125">
        <f>ROUND(E298*Valores!$C$2,2)</f>
        <v>77132.69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15748.21</v>
      </c>
      <c r="N298" s="125">
        <f t="shared" si="42"/>
        <v>0</v>
      </c>
      <c r="O298" s="125">
        <f>Valores!$C$7*B298</f>
        <v>33111.36</v>
      </c>
      <c r="P298" s="125">
        <f>ROUND(IF(B298&lt;15,(Valores!$E$5*B298),Valores!$D$5),2)</f>
        <v>13864.36</v>
      </c>
      <c r="Q298" s="125">
        <v>0</v>
      </c>
      <c r="R298" s="125">
        <f>IF($F$4="NO",Valores!$C$49*B298,Valores!$C$49*B298/2)</f>
        <v>17441.28</v>
      </c>
      <c r="S298" s="125">
        <f>Valores!$C$18*B298</f>
        <v>10414.079999999998</v>
      </c>
      <c r="T298" s="125">
        <f t="shared" si="48"/>
        <v>10414.08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IF(Valores!$C$97*B298&gt;Valores!$C$96,Valores!$C$96,Valores!$C$97*B298)</f>
        <v>10077.84</v>
      </c>
      <c r="AA298" s="125">
        <f>IF((Valores!$C$28)*B298&gt;Valores!$F$28,Valores!$F$28,(Valores!$C$28)*B298)</f>
        <v>817.92</v>
      </c>
      <c r="AB298" s="214">
        <v>0</v>
      </c>
      <c r="AC298" s="125">
        <f t="shared" si="43"/>
        <v>0</v>
      </c>
      <c r="AD298" s="125">
        <f>IF(Valores!$C$29*B298&gt;Valores!$F$29,Valores!$F$29,Valores!$C$29*B298)</f>
        <v>567.06</v>
      </c>
      <c r="AE298" s="192">
        <v>94</v>
      </c>
      <c r="AF298" s="125">
        <f>ROUND(AE298*Valores!$C$2,2)</f>
        <v>2549.39</v>
      </c>
      <c r="AG298" s="125">
        <f>IF($F$4="NO",IF(Valores!$D$63*'Escala Docente'!B298&gt;Valores!$F$63,Valores!$F$63,Valores!$D$63*'Escala Docente'!B298),IF(Valores!$D$63*'Escala Docente'!B298&gt;Valores!$F$63,Valores!$F$63,Valores!$D$63*'Escala Docente'!B298)/2)</f>
        <v>12965.96</v>
      </c>
      <c r="AH298" s="125">
        <f t="shared" si="46"/>
        <v>194690.15</v>
      </c>
      <c r="AI298" s="125">
        <f>IF(Valores!$C$32*B298&gt;Valores!$F$32,Valores!$F$32,Valores!$C$32*B298)</f>
        <v>0</v>
      </c>
      <c r="AJ298" s="125">
        <f>IF(Valores!$C$90*B298&gt;Valores!$C$89,Valores!$C$89,Valores!$C$90*B298)</f>
        <v>0</v>
      </c>
      <c r="AK298" s="125">
        <f>IF(Valores!C$39*B298&gt;Valores!F$38,Valores!F$38,Valores!C$39*B298)</f>
        <v>30000</v>
      </c>
      <c r="AL298" s="125">
        <f>IF($F$3="NO",0,IF(Valores!$C$62*B298&gt;Valores!$F$62,Valores!$F$62,Valores!$C$62*B298))</f>
        <v>327.6</v>
      </c>
      <c r="AM298" s="125">
        <f t="shared" si="44"/>
        <v>30327.6</v>
      </c>
      <c r="AN298" s="125">
        <f>AH298*Valores!$C$71</f>
        <v>-21415.9165</v>
      </c>
      <c r="AO298" s="125">
        <f>AH298*-Valores!$C$72</f>
        <v>0</v>
      </c>
      <c r="AP298" s="125">
        <f>AH298*Valores!$C$73</f>
        <v>-8761.05675</v>
      </c>
      <c r="AQ298" s="125">
        <f>Valores!$C$100</f>
        <v>-280.91</v>
      </c>
      <c r="AR298" s="125">
        <f>IF($F$5=0,Valores!$C$101,(Valores!$C$101+$F$5*(Valores!$C$101)))</f>
        <v>-385</v>
      </c>
      <c r="AS298" s="125">
        <f t="shared" si="47"/>
        <v>194174.86675</v>
      </c>
      <c r="AT298" s="125">
        <f t="shared" si="41"/>
        <v>-21415.9165</v>
      </c>
      <c r="AU298" s="125">
        <f>AH298*Valores!$C$74</f>
        <v>-5256.63405</v>
      </c>
      <c r="AV298" s="125">
        <f>AH298*Valores!$C$75</f>
        <v>-584.07045</v>
      </c>
      <c r="AW298" s="125">
        <f t="shared" si="45"/>
        <v>197761.12900000002</v>
      </c>
      <c r="AX298" s="126"/>
      <c r="AY298" s="126">
        <f t="shared" si="49"/>
        <v>36</v>
      </c>
      <c r="AZ298" s="123" t="s">
        <v>8</v>
      </c>
    </row>
    <row r="299" spans="1:52" s="110" customFormat="1" ht="11.25" customHeight="1">
      <c r="A299" s="123" t="s">
        <v>472</v>
      </c>
      <c r="B299" s="123">
        <v>1</v>
      </c>
      <c r="C299" s="126">
        <v>292</v>
      </c>
      <c r="D299" s="124" t="s">
        <v>473</v>
      </c>
      <c r="E299" s="192">
        <v>79</v>
      </c>
      <c r="F299" s="125">
        <f>ROUND(E299*Valores!$C$2,2)</f>
        <v>2142.57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437.45</v>
      </c>
      <c r="N299" s="125">
        <f t="shared" si="42"/>
        <v>0</v>
      </c>
      <c r="O299" s="125">
        <f>Valores!$C$7*B299</f>
        <v>919.76</v>
      </c>
      <c r="P299" s="125">
        <f>ROUND(IF(B299&lt;15,(Valores!$E$5*B299),Valores!$D$5),2)</f>
        <v>924.29</v>
      </c>
      <c r="Q299" s="125">
        <v>0</v>
      </c>
      <c r="R299" s="125">
        <f>IF($F$4="NO",Valores!$C$49*B299,Valores!$C$49*B299/2)</f>
        <v>484.48</v>
      </c>
      <c r="S299" s="125">
        <f>Valores!$C$18*B299</f>
        <v>289.28</v>
      </c>
      <c r="T299" s="125">
        <f t="shared" si="48"/>
        <v>289.28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IF(Valores!$C$97*B299&gt;Valores!$C$96,Valores!$C$96,Valores!$C$97*B299)</f>
        <v>279.94</v>
      </c>
      <c r="AA299" s="125">
        <f>IF((Valores!$C$28)*B299&gt;Valores!$F$28,Valores!$F$28,(Valores!$C$28)*B299)</f>
        <v>22.72</v>
      </c>
      <c r="AB299" s="214">
        <v>0</v>
      </c>
      <c r="AC299" s="125">
        <f t="shared" si="43"/>
        <v>0</v>
      </c>
      <c r="AD299" s="125">
        <f>IF(Valores!$C$29*B299&gt;Valores!$F$29,Valores!$F$29,Valores!$C$29*B299)</f>
        <v>18.92</v>
      </c>
      <c r="AE299" s="192">
        <v>0</v>
      </c>
      <c r="AF299" s="125">
        <f>ROUND(AE299*Valores!$C$2,2)</f>
        <v>0</v>
      </c>
      <c r="AG299" s="125">
        <f>IF($F$4="NO",IF(Valores!$D$63*'Escala Docente'!B299&gt;Valores!$F$63,Valores!$F$63,Valores!$D$63*'Escala Docente'!B299),IF(Valores!$D$63*'Escala Docente'!B299&gt;Valores!$F$63,Valores!$F$63,Valores!$D$63*'Escala Docente'!B299)/2)</f>
        <v>432.2</v>
      </c>
      <c r="AH299" s="125">
        <f t="shared" si="46"/>
        <v>5951.609999999999</v>
      </c>
      <c r="AI299" s="125">
        <f>IF(Valores!$C$32*B299&gt;Valores!$F$32,Valores!$F$32,Valores!$C$32*B299)</f>
        <v>0</v>
      </c>
      <c r="AJ299" s="125">
        <f>IF(Valores!$C$90*B299&gt;Valores!$C$89,Valores!$C$89,Valores!$C$90*B299)</f>
        <v>0</v>
      </c>
      <c r="AK299" s="125">
        <f>IF(Valores!C$39*B299&gt;Valores!F$38,Valores!F$38,Valores!C$39*B299)</f>
        <v>1000</v>
      </c>
      <c r="AL299" s="125">
        <f>IF($F$3="NO",0,IF(Valores!$C$62*B299&gt;Valores!$F$62,Valores!$F$62,Valores!$C$62*B299))</f>
        <v>11.3559</v>
      </c>
      <c r="AM299" s="125">
        <f t="shared" si="44"/>
        <v>1011.3559</v>
      </c>
      <c r="AN299" s="125">
        <f>AH299*Valores!$C$71</f>
        <v>-654.6770999999999</v>
      </c>
      <c r="AO299" s="125">
        <f>AH299*-Valores!$C$72</f>
        <v>0</v>
      </c>
      <c r="AP299" s="125">
        <f>AH299*Valores!$C$73</f>
        <v>-267.82244999999995</v>
      </c>
      <c r="AQ299" s="125">
        <f>Valores!$C$100</f>
        <v>-280.91</v>
      </c>
      <c r="AR299" s="125">
        <f>IF($F$5=0,Valores!$C$101,(Valores!$C$101+$F$5*(Valores!$C$101)))</f>
        <v>-385</v>
      </c>
      <c r="AS299" s="125">
        <f t="shared" si="47"/>
        <v>5374.556349999999</v>
      </c>
      <c r="AT299" s="125">
        <f t="shared" si="41"/>
        <v>-654.6770999999999</v>
      </c>
      <c r="AU299" s="125">
        <f>AH299*Valores!$C$74</f>
        <v>-160.69346999999996</v>
      </c>
      <c r="AV299" s="125">
        <f>AH299*Valores!$C$75</f>
        <v>-17.854829999999996</v>
      </c>
      <c r="AW299" s="125">
        <f t="shared" si="45"/>
        <v>6129.7405</v>
      </c>
      <c r="AX299" s="126"/>
      <c r="AY299" s="126">
        <f t="shared" si="49"/>
        <v>1</v>
      </c>
      <c r="AZ299" s="123" t="s">
        <v>4</v>
      </c>
    </row>
    <row r="300" spans="1:52" s="110" customFormat="1" ht="11.25" customHeight="1">
      <c r="A300" s="123" t="s">
        <v>474</v>
      </c>
      <c r="B300" s="123">
        <v>2</v>
      </c>
      <c r="C300" s="126">
        <v>293</v>
      </c>
      <c r="D300" s="124" t="s">
        <v>475</v>
      </c>
      <c r="E300" s="194">
        <v>243</v>
      </c>
      <c r="F300" s="125">
        <f>ROUND(E300*Valores!$C$2,2)</f>
        <v>6590.45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2"/>
        <v>0</v>
      </c>
      <c r="O300" s="125">
        <v>0</v>
      </c>
      <c r="P300" s="125">
        <f>ROUND(IF(B300&lt;15,(Valores!$E$5*B300),Valores!$D$5),2)</f>
        <v>1848.58</v>
      </c>
      <c r="Q300" s="125">
        <v>0</v>
      </c>
      <c r="R300" s="125">
        <f>IF($F$4="NO",Valores!C50,Valores!C50/2)</f>
        <v>720.3</v>
      </c>
      <c r="S300" s="125">
        <v>0</v>
      </c>
      <c r="T300" s="125">
        <f aca="true" t="shared" si="51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Valores!$C$98</f>
        <v>631.88</v>
      </c>
      <c r="AA300" s="125">
        <v>0</v>
      </c>
      <c r="AB300" s="214">
        <v>0</v>
      </c>
      <c r="AC300" s="125">
        <f t="shared" si="43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IF($F$4="NO",Valores!$C$64,Valores!$C$64/2)</f>
        <v>652.73</v>
      </c>
      <c r="AH300" s="125">
        <f t="shared" si="46"/>
        <v>10443.939999999997</v>
      </c>
      <c r="AI300" s="125">
        <f>Valores!$C$33</f>
        <v>0</v>
      </c>
      <c r="AJ300" s="125">
        <f>Valores!$C$91</f>
        <v>0</v>
      </c>
      <c r="AK300" s="125">
        <f>AK299*2</f>
        <v>2000</v>
      </c>
      <c r="AL300" s="125">
        <v>0</v>
      </c>
      <c r="AM300" s="125">
        <f t="shared" si="44"/>
        <v>2000</v>
      </c>
      <c r="AN300" s="125">
        <f>AH300*Valores!$C$71</f>
        <v>-1148.8333999999998</v>
      </c>
      <c r="AO300" s="125">
        <f>AH300*-Valores!$C$72</f>
        <v>0</v>
      </c>
      <c r="AP300" s="125">
        <f>AH300*Valores!$C$73</f>
        <v>-469.97729999999984</v>
      </c>
      <c r="AQ300" s="125">
        <f>Valores!$C$100</f>
        <v>-280.91</v>
      </c>
      <c r="AR300" s="125">
        <f>IF($F$5=0,Valores!$C$101,(Valores!$C$101+$F$5*(Valores!$C$101)))</f>
        <v>-385</v>
      </c>
      <c r="AS300" s="125">
        <f t="shared" si="47"/>
        <v>10159.219299999997</v>
      </c>
      <c r="AT300" s="125">
        <f t="shared" si="41"/>
        <v>-1148.8333999999998</v>
      </c>
      <c r="AU300" s="125">
        <f>AH300*Valores!$C$74</f>
        <v>-281.98637999999994</v>
      </c>
      <c r="AV300" s="125">
        <f>AH300*Valores!$C$75</f>
        <v>-31.33181999999999</v>
      </c>
      <c r="AW300" s="125">
        <f t="shared" si="45"/>
        <v>10981.788399999998</v>
      </c>
      <c r="AX300" s="126"/>
      <c r="AY300" s="126">
        <v>8</v>
      </c>
      <c r="AZ300" s="123" t="s">
        <v>4</v>
      </c>
    </row>
    <row r="301" spans="1:52" s="110" customFormat="1" ht="11.25" customHeight="1">
      <c r="A301" s="123" t="s">
        <v>652</v>
      </c>
      <c r="B301" s="123">
        <v>1</v>
      </c>
      <c r="C301" s="126">
        <v>294</v>
      </c>
      <c r="D301" s="124" t="s">
        <v>653</v>
      </c>
      <c r="E301" s="194">
        <f>E300/2</f>
        <v>121.5</v>
      </c>
      <c r="F301" s="125">
        <f>ROUND(E301*Valores!$C$2,2)</f>
        <v>3295.23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2"/>
        <v>0</v>
      </c>
      <c r="O301" s="125">
        <v>0</v>
      </c>
      <c r="P301" s="125">
        <f>ROUND(IF(B301&lt;15,(Valores!$E$5*B301),Valores!$D$5),2)</f>
        <v>924.29</v>
      </c>
      <c r="Q301" s="125">
        <v>0</v>
      </c>
      <c r="R301" s="125">
        <f>IF($F$4="NO",Valores!C51,Valores!C51/2)</f>
        <v>360.15</v>
      </c>
      <c r="S301" s="125">
        <v>0</v>
      </c>
      <c r="T301" s="125">
        <f t="shared" si="51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Valores!$C$99</f>
        <v>315.94</v>
      </c>
      <c r="AA301" s="125">
        <v>0</v>
      </c>
      <c r="AB301" s="214">
        <v>0</v>
      </c>
      <c r="AC301" s="125">
        <f t="shared" si="43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IF($F$4="NO",Valores!$C$65,Valores!$C$65/2)</f>
        <v>326.365</v>
      </c>
      <c r="AH301" s="125">
        <f t="shared" si="46"/>
        <v>5221.974999999999</v>
      </c>
      <c r="AI301" s="125">
        <f>Valores!C34</f>
        <v>0</v>
      </c>
      <c r="AJ301" s="125">
        <f>Valores!$C$92</f>
        <v>0</v>
      </c>
      <c r="AK301" s="125">
        <f>AK300/2</f>
        <v>1000</v>
      </c>
      <c r="AL301" s="125">
        <v>0</v>
      </c>
      <c r="AM301" s="125">
        <f t="shared" si="44"/>
        <v>1000</v>
      </c>
      <c r="AN301" s="125">
        <f>AH301*Valores!$C$71</f>
        <v>-574.41725</v>
      </c>
      <c r="AO301" s="125">
        <v>0</v>
      </c>
      <c r="AP301" s="125">
        <f>AH301*Valores!$C$73</f>
        <v>-234.98887499999998</v>
      </c>
      <c r="AQ301" s="125">
        <f>Valores!$C$100</f>
        <v>-280.91</v>
      </c>
      <c r="AR301" s="125">
        <f>IF($F$5=0,Valores!$C$101,(Valores!$C$101+$F$5*(Valores!$C$101)))</f>
        <v>-385</v>
      </c>
      <c r="AS301" s="125">
        <f t="shared" si="47"/>
        <v>4746.658874999999</v>
      </c>
      <c r="AT301" s="125">
        <f>AN301</f>
        <v>-574.41725</v>
      </c>
      <c r="AU301" s="125">
        <f>AH301*Valores!$C$74</f>
        <v>-140.99332499999997</v>
      </c>
      <c r="AV301" s="125">
        <f>AH301*Valores!$C$75</f>
        <v>-15.665924999999998</v>
      </c>
      <c r="AW301" s="125">
        <f t="shared" si="45"/>
        <v>5490.898499999999</v>
      </c>
      <c r="AX301" s="126"/>
      <c r="AY301" s="126">
        <v>4</v>
      </c>
      <c r="AZ301" s="123" t="s">
        <v>4</v>
      </c>
    </row>
    <row r="302" spans="1:1020" s="142" customFormat="1" ht="11.25" customHeight="1">
      <c r="A302" s="140"/>
      <c r="B302" s="141">
        <v>1</v>
      </c>
      <c r="C302" s="126">
        <v>295</v>
      </c>
      <c r="D302" s="127" t="s">
        <v>476</v>
      </c>
      <c r="E302" s="194">
        <v>700</v>
      </c>
      <c r="F302" s="125">
        <f>ROUND(E302*Valores!$C$2,2)</f>
        <v>18984.84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3937.81</v>
      </c>
      <c r="N302" s="125">
        <f t="shared" si="42"/>
        <v>0</v>
      </c>
      <c r="O302" s="125">
        <v>0</v>
      </c>
      <c r="P302" s="125">
        <v>0</v>
      </c>
      <c r="Q302" s="125">
        <v>0</v>
      </c>
      <c r="R302" s="125">
        <f>IF($F$4="NO",Valores!$C$49*15,Valores!$C$49*15/2)</f>
        <v>7267.200000000001</v>
      </c>
      <c r="S302" s="125">
        <v>0</v>
      </c>
      <c r="T302" s="125">
        <f t="shared" si="51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3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v>0</v>
      </c>
      <c r="AH302" s="125">
        <f t="shared" si="46"/>
        <v>30189.850000000002</v>
      </c>
      <c r="AI302" s="125">
        <v>0</v>
      </c>
      <c r="AJ302" s="125">
        <v>0</v>
      </c>
      <c r="AK302" s="125">
        <v>0</v>
      </c>
      <c r="AL302" s="125">
        <v>0</v>
      </c>
      <c r="AM302" s="125">
        <f t="shared" si="44"/>
        <v>0</v>
      </c>
      <c r="AN302" s="125">
        <f>AH302*Valores!$C$71</f>
        <v>-3320.8835000000004</v>
      </c>
      <c r="AO302" s="125">
        <f>AH302*-Valores!$C$72</f>
        <v>0</v>
      </c>
      <c r="AP302" s="125">
        <f>AH302*Valores!$C$73</f>
        <v>-1358.54325</v>
      </c>
      <c r="AQ302" s="125">
        <v>0</v>
      </c>
      <c r="AR302" s="125">
        <v>0</v>
      </c>
      <c r="AS302" s="125">
        <f t="shared" si="47"/>
        <v>25510.42325</v>
      </c>
      <c r="AT302" s="125">
        <f t="shared" si="41"/>
        <v>-3320.8835000000004</v>
      </c>
      <c r="AU302" s="125">
        <f>AH302*Valores!$C$74</f>
        <v>-815.1259500000001</v>
      </c>
      <c r="AV302" s="125">
        <f>AH302*Valores!$C$75</f>
        <v>-90.56955</v>
      </c>
      <c r="AW302" s="125">
        <f t="shared" si="45"/>
        <v>25963.271</v>
      </c>
      <c r="AX302" s="126"/>
      <c r="AY302" s="126"/>
      <c r="AZ302" s="123" t="s">
        <v>4</v>
      </c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</row>
    <row r="303" spans="1:1020" s="142" customFormat="1" ht="11.25" customHeight="1">
      <c r="A303" s="126"/>
      <c r="B303" s="141">
        <v>1</v>
      </c>
      <c r="C303" s="126">
        <v>296</v>
      </c>
      <c r="D303" s="127" t="s">
        <v>477</v>
      </c>
      <c r="E303" s="194">
        <v>500</v>
      </c>
      <c r="F303" s="125">
        <f>ROUND(E303*Valores!$C$2,2)</f>
        <v>13560.6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2760.81</v>
      </c>
      <c r="N303" s="125">
        <f t="shared" si="42"/>
        <v>0</v>
      </c>
      <c r="O303" s="125">
        <v>0</v>
      </c>
      <c r="P303" s="125">
        <v>0</v>
      </c>
      <c r="Q303" s="125">
        <v>0</v>
      </c>
      <c r="R303" s="125">
        <f>IF($F$4="NO",Valores!$C$49*10,Valores!$C$49*10/2)</f>
        <v>4844.8</v>
      </c>
      <c r="S303" s="125">
        <v>0</v>
      </c>
      <c r="T303" s="125">
        <f t="shared" si="51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3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v>0</v>
      </c>
      <c r="AH303" s="125">
        <f t="shared" si="46"/>
        <v>21166.21</v>
      </c>
      <c r="AI303" s="125">
        <v>0</v>
      </c>
      <c r="AJ303" s="125">
        <v>0</v>
      </c>
      <c r="AK303" s="125">
        <v>0</v>
      </c>
      <c r="AL303" s="125">
        <v>0</v>
      </c>
      <c r="AM303" s="125">
        <f t="shared" si="44"/>
        <v>0</v>
      </c>
      <c r="AN303" s="125">
        <f>AH303*Valores!$C$71</f>
        <v>-2328.2831</v>
      </c>
      <c r="AO303" s="125">
        <f>AH303*-Valores!$C$72</f>
        <v>0</v>
      </c>
      <c r="AP303" s="125">
        <f>AH303*Valores!$C$73</f>
        <v>-952.4794499999999</v>
      </c>
      <c r="AQ303" s="125">
        <v>0</v>
      </c>
      <c r="AR303" s="125">
        <v>0</v>
      </c>
      <c r="AS303" s="125">
        <f t="shared" si="47"/>
        <v>17885.44745</v>
      </c>
      <c r="AT303" s="125">
        <f t="shared" si="41"/>
        <v>-2328.2831</v>
      </c>
      <c r="AU303" s="125">
        <f>AH303*Valores!$C$74</f>
        <v>-571.48767</v>
      </c>
      <c r="AV303" s="125">
        <f>AH303*Valores!$C$75</f>
        <v>-63.49863</v>
      </c>
      <c r="AW303" s="125">
        <f t="shared" si="45"/>
        <v>18202.940599999998</v>
      </c>
      <c r="AX303" s="126"/>
      <c r="AY303" s="126"/>
      <c r="AZ303" s="123" t="s">
        <v>4</v>
      </c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</row>
    <row r="304" spans="1:1020" s="142" customFormat="1" ht="11.25" customHeight="1">
      <c r="A304" s="123"/>
      <c r="B304" s="141">
        <v>1</v>
      </c>
      <c r="C304" s="126">
        <v>297</v>
      </c>
      <c r="D304" s="127" t="s">
        <v>478</v>
      </c>
      <c r="E304" s="194">
        <v>300</v>
      </c>
      <c r="F304" s="125">
        <f>ROUND(E304*Valores!$C$2,2)</f>
        <v>8136.36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1583.81</v>
      </c>
      <c r="N304" s="125">
        <f t="shared" si="42"/>
        <v>0</v>
      </c>
      <c r="O304" s="125">
        <v>0</v>
      </c>
      <c r="P304" s="125">
        <v>0</v>
      </c>
      <c r="Q304" s="125">
        <v>0</v>
      </c>
      <c r="R304" s="125">
        <f>IF($F$4="NO",Valores!$C$49*5,Valores!$C$49*5/2)</f>
        <v>2422.4</v>
      </c>
      <c r="S304" s="125">
        <v>0</v>
      </c>
      <c r="T304" s="125">
        <f t="shared" si="51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3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v>0</v>
      </c>
      <c r="AH304" s="125">
        <f t="shared" si="46"/>
        <v>12142.57</v>
      </c>
      <c r="AI304" s="125">
        <v>0</v>
      </c>
      <c r="AJ304" s="125">
        <v>0</v>
      </c>
      <c r="AK304" s="125">
        <v>0</v>
      </c>
      <c r="AL304" s="125">
        <v>0</v>
      </c>
      <c r="AM304" s="125">
        <f t="shared" si="44"/>
        <v>0</v>
      </c>
      <c r="AN304" s="125">
        <f>AH304*Valores!$C$71</f>
        <v>-1335.6827</v>
      </c>
      <c r="AO304" s="125">
        <f>AH304*-Valores!$C$72</f>
        <v>0</v>
      </c>
      <c r="AP304" s="125">
        <f>AH304*Valores!$C$73</f>
        <v>-546.4156499999999</v>
      </c>
      <c r="AQ304" s="125">
        <v>0</v>
      </c>
      <c r="AR304" s="125">
        <v>0</v>
      </c>
      <c r="AS304" s="125">
        <f t="shared" si="47"/>
        <v>10260.47165</v>
      </c>
      <c r="AT304" s="125">
        <f t="shared" si="41"/>
        <v>-1335.6827</v>
      </c>
      <c r="AU304" s="125">
        <f>AH304*Valores!$C$74</f>
        <v>-327.84938999999997</v>
      </c>
      <c r="AV304" s="125">
        <f>AH304*Valores!$C$75</f>
        <v>-36.42771</v>
      </c>
      <c r="AW304" s="125">
        <f t="shared" si="45"/>
        <v>10442.6102</v>
      </c>
      <c r="AX304" s="126"/>
      <c r="AY304" s="126"/>
      <c r="AZ304" s="123" t="s">
        <v>4</v>
      </c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</row>
    <row r="305" spans="1:1020" s="142" customFormat="1" ht="11.25" customHeight="1">
      <c r="A305" s="126"/>
      <c r="B305" s="141">
        <v>1</v>
      </c>
      <c r="C305" s="126">
        <v>298</v>
      </c>
      <c r="D305" s="127" t="s">
        <v>479</v>
      </c>
      <c r="E305" s="194">
        <v>155</v>
      </c>
      <c r="F305" s="125">
        <f>ROUND(E305*Valores!$C$2,2)</f>
        <v>4203.79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703.24</v>
      </c>
      <c r="N305" s="125">
        <f t="shared" si="42"/>
        <v>0</v>
      </c>
      <c r="O305" s="125">
        <v>0</v>
      </c>
      <c r="P305" s="125">
        <v>0</v>
      </c>
      <c r="Q305" s="125">
        <v>0</v>
      </c>
      <c r="R305" s="125">
        <f>IF($F$4="NO",IF(Valores!$C$49*B305&gt;Valores!$C$46,Valores!$C$46,Valores!$C$49*B305),IF(Valores!$C$49*B305&gt;Valores!$C$46,Valores!$C$46,Valores!$C$49*B305)/2)</f>
        <v>484.48</v>
      </c>
      <c r="S305" s="125">
        <v>0</v>
      </c>
      <c r="T305" s="125">
        <f t="shared" si="51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3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v>0</v>
      </c>
      <c r="AH305" s="125">
        <f t="shared" si="46"/>
        <v>5391.51</v>
      </c>
      <c r="AI305" s="125">
        <v>0</v>
      </c>
      <c r="AJ305" s="125">
        <v>0</v>
      </c>
      <c r="AK305" s="125">
        <v>0</v>
      </c>
      <c r="AL305" s="125">
        <v>0</v>
      </c>
      <c r="AM305" s="125">
        <f t="shared" si="44"/>
        <v>0</v>
      </c>
      <c r="AN305" s="125">
        <f>AH305*Valores!$C$71</f>
        <v>-593.0661</v>
      </c>
      <c r="AO305" s="125">
        <f>AH305*-Valores!$C$72</f>
        <v>0</v>
      </c>
      <c r="AP305" s="125">
        <f>AH305*Valores!$C$73</f>
        <v>-242.61795</v>
      </c>
      <c r="AQ305" s="125">
        <v>0</v>
      </c>
      <c r="AR305" s="125">
        <v>0</v>
      </c>
      <c r="AS305" s="125">
        <f t="shared" si="47"/>
        <v>4555.82595</v>
      </c>
      <c r="AT305" s="125">
        <f t="shared" si="41"/>
        <v>-593.0661</v>
      </c>
      <c r="AU305" s="125">
        <f>AH305*Valores!$C$74</f>
        <v>-145.57077</v>
      </c>
      <c r="AV305" s="125">
        <f>AH305*Valores!$C$75</f>
        <v>-16.17453</v>
      </c>
      <c r="AW305" s="125">
        <f t="shared" si="45"/>
        <v>4636.6986</v>
      </c>
      <c r="AX305" s="126"/>
      <c r="AY305" s="126"/>
      <c r="AZ305" s="123" t="s">
        <v>4</v>
      </c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</row>
    <row r="306" spans="1:1020" s="142" customFormat="1" ht="11.25" customHeight="1">
      <c r="A306" s="123"/>
      <c r="B306" s="141">
        <v>2</v>
      </c>
      <c r="C306" s="126">
        <v>299</v>
      </c>
      <c r="D306" s="127" t="s">
        <v>480</v>
      </c>
      <c r="E306" s="194">
        <f aca="true" t="shared" si="52" ref="E306:E320">155+E305</f>
        <v>310</v>
      </c>
      <c r="F306" s="125">
        <f>ROUND(E306*Valores!$C$2,2)</f>
        <v>8407.57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1406.48</v>
      </c>
      <c r="N306" s="125">
        <f t="shared" si="42"/>
        <v>0</v>
      </c>
      <c r="O306" s="125">
        <v>0</v>
      </c>
      <c r="P306" s="125">
        <v>0</v>
      </c>
      <c r="Q306" s="125">
        <v>0</v>
      </c>
      <c r="R306" s="125">
        <f>IF($F$4="NO",IF(Valores!$C$49*B306&gt;Valores!$C$46,Valores!$C$46,Valores!$C$49*B306),IF(Valores!$C$49*B306&gt;Valores!$C$46,Valores!$C$46,Valores!$C$49*B306)/2)</f>
        <v>968.96</v>
      </c>
      <c r="S306" s="125">
        <v>0</v>
      </c>
      <c r="T306" s="125">
        <f t="shared" si="51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3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v>0</v>
      </c>
      <c r="AH306" s="125">
        <f t="shared" si="46"/>
        <v>10783.009999999998</v>
      </c>
      <c r="AI306" s="125">
        <v>0</v>
      </c>
      <c r="AJ306" s="125">
        <v>0</v>
      </c>
      <c r="AK306" s="125">
        <v>0</v>
      </c>
      <c r="AL306" s="125">
        <v>0</v>
      </c>
      <c r="AM306" s="125">
        <f t="shared" si="44"/>
        <v>0</v>
      </c>
      <c r="AN306" s="125">
        <f>AH306*Valores!$C$71</f>
        <v>-1186.1310999999998</v>
      </c>
      <c r="AO306" s="125">
        <f>AH306*-Valores!$C$72</f>
        <v>0</v>
      </c>
      <c r="AP306" s="125">
        <f>AH306*Valores!$C$73</f>
        <v>-485.2354499999999</v>
      </c>
      <c r="AQ306" s="125">
        <v>0</v>
      </c>
      <c r="AR306" s="125">
        <v>0</v>
      </c>
      <c r="AS306" s="125">
        <f t="shared" si="47"/>
        <v>9111.64345</v>
      </c>
      <c r="AT306" s="125">
        <f t="shared" si="41"/>
        <v>-1186.1310999999998</v>
      </c>
      <c r="AU306" s="125">
        <f>AH306*Valores!$C$74</f>
        <v>-291.14126999999996</v>
      </c>
      <c r="AV306" s="125">
        <f>AH306*Valores!$C$75</f>
        <v>-32.34903</v>
      </c>
      <c r="AW306" s="125">
        <f t="shared" si="45"/>
        <v>9273.388599999998</v>
      </c>
      <c r="AX306" s="126"/>
      <c r="AY306" s="126"/>
      <c r="AZ306" s="123" t="s">
        <v>4</v>
      </c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</row>
    <row r="307" spans="1:1020" s="142" customFormat="1" ht="11.25" customHeight="1">
      <c r="A307" s="123"/>
      <c r="B307" s="141">
        <v>3</v>
      </c>
      <c r="C307" s="126">
        <v>300</v>
      </c>
      <c r="D307" s="127" t="s">
        <v>481</v>
      </c>
      <c r="E307" s="194">
        <f t="shared" si="52"/>
        <v>465</v>
      </c>
      <c r="F307" s="125">
        <f>ROUND(E307*Valores!$C$2,2)</f>
        <v>12611.36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2109.72</v>
      </c>
      <c r="N307" s="125">
        <f t="shared" si="42"/>
        <v>0</v>
      </c>
      <c r="O307" s="125">
        <v>0</v>
      </c>
      <c r="P307" s="125">
        <v>0</v>
      </c>
      <c r="Q307" s="125">
        <v>0</v>
      </c>
      <c r="R307" s="125">
        <f>IF($F$4="NO",IF(Valores!$C$49*B307&gt;Valores!$C$46,Valores!$C$46,Valores!$C$49*B307),IF(Valores!$C$49*B307&gt;Valores!$C$46,Valores!$C$46,Valores!$C$49*B307)/2)</f>
        <v>1453.44</v>
      </c>
      <c r="S307" s="125">
        <v>0</v>
      </c>
      <c r="T307" s="125">
        <f t="shared" si="51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3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v>0</v>
      </c>
      <c r="AH307" s="125">
        <f t="shared" si="46"/>
        <v>16174.52</v>
      </c>
      <c r="AI307" s="125">
        <v>0</v>
      </c>
      <c r="AJ307" s="125">
        <v>0</v>
      </c>
      <c r="AK307" s="125">
        <v>0</v>
      </c>
      <c r="AL307" s="125">
        <v>0</v>
      </c>
      <c r="AM307" s="125">
        <f t="shared" si="44"/>
        <v>0</v>
      </c>
      <c r="AN307" s="125">
        <f>AH307*Valores!$C$71</f>
        <v>-1779.1972</v>
      </c>
      <c r="AO307" s="125">
        <f>AH307*-Valores!$C$72</f>
        <v>0</v>
      </c>
      <c r="AP307" s="125">
        <f>AH307*Valores!$C$73</f>
        <v>-727.8534</v>
      </c>
      <c r="AQ307" s="125">
        <v>0</v>
      </c>
      <c r="AR307" s="125">
        <v>0</v>
      </c>
      <c r="AS307" s="125">
        <f t="shared" si="47"/>
        <v>13667.4694</v>
      </c>
      <c r="AT307" s="125">
        <f t="shared" si="41"/>
        <v>-1779.1972</v>
      </c>
      <c r="AU307" s="125">
        <f>AH307*Valores!$C$74</f>
        <v>-436.71204</v>
      </c>
      <c r="AV307" s="125">
        <f>AH307*Valores!$C$75</f>
        <v>-48.52356</v>
      </c>
      <c r="AW307" s="125">
        <f t="shared" si="45"/>
        <v>13910.0872</v>
      </c>
      <c r="AX307" s="126"/>
      <c r="AY307" s="126"/>
      <c r="AZ307" s="123" t="s">
        <v>4</v>
      </c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</row>
    <row r="308" spans="1:1020" s="142" customFormat="1" ht="11.25" customHeight="1">
      <c r="A308" s="123"/>
      <c r="B308" s="141">
        <v>4</v>
      </c>
      <c r="C308" s="126">
        <v>301</v>
      </c>
      <c r="D308" s="127" t="s">
        <v>482</v>
      </c>
      <c r="E308" s="194">
        <f t="shared" si="52"/>
        <v>620</v>
      </c>
      <c r="F308" s="125">
        <f>ROUND(E308*Valores!$C$2,2)</f>
        <v>16815.14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2812.96</v>
      </c>
      <c r="N308" s="125">
        <f t="shared" si="42"/>
        <v>0</v>
      </c>
      <c r="O308" s="125">
        <v>0</v>
      </c>
      <c r="P308" s="125">
        <v>0</v>
      </c>
      <c r="Q308" s="125">
        <v>0</v>
      </c>
      <c r="R308" s="125">
        <f>IF($F$4="NO",IF(Valores!$C$49*B308&gt;Valores!$C$46,Valores!$C$46,Valores!$C$49*B308),IF(Valores!$C$49*B308&gt;Valores!$C$46,Valores!$C$46,Valores!$C$49*B308)/2)</f>
        <v>1937.92</v>
      </c>
      <c r="S308" s="125">
        <v>0</v>
      </c>
      <c r="T308" s="125">
        <f t="shared" si="51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3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v>0</v>
      </c>
      <c r="AH308" s="125">
        <f t="shared" si="46"/>
        <v>21566.019999999997</v>
      </c>
      <c r="AI308" s="125">
        <v>0</v>
      </c>
      <c r="AJ308" s="125">
        <v>0</v>
      </c>
      <c r="AK308" s="125">
        <v>0</v>
      </c>
      <c r="AL308" s="125">
        <v>0</v>
      </c>
      <c r="AM308" s="125">
        <f t="shared" si="44"/>
        <v>0</v>
      </c>
      <c r="AN308" s="125">
        <f>AH308*Valores!$C$71</f>
        <v>-2372.2621999999997</v>
      </c>
      <c r="AO308" s="125">
        <f>AH308*-Valores!$C$72</f>
        <v>0</v>
      </c>
      <c r="AP308" s="125">
        <f>AH308*Valores!$C$73</f>
        <v>-970.4708999999998</v>
      </c>
      <c r="AQ308" s="125">
        <v>0</v>
      </c>
      <c r="AR308" s="125">
        <v>0</v>
      </c>
      <c r="AS308" s="125">
        <f t="shared" si="47"/>
        <v>18223.2869</v>
      </c>
      <c r="AT308" s="125">
        <f t="shared" si="41"/>
        <v>-2372.2621999999997</v>
      </c>
      <c r="AU308" s="125">
        <f>AH308*Valores!$C$74</f>
        <v>-582.2825399999999</v>
      </c>
      <c r="AV308" s="125">
        <f>AH308*Valores!$C$75</f>
        <v>-64.69806</v>
      </c>
      <c r="AW308" s="125">
        <f t="shared" si="45"/>
        <v>18546.777199999997</v>
      </c>
      <c r="AX308" s="126"/>
      <c r="AY308" s="126"/>
      <c r="AZ308" s="123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</row>
    <row r="309" spans="1:1020" s="142" customFormat="1" ht="11.25" customHeight="1">
      <c r="A309" s="123"/>
      <c r="B309" s="141">
        <v>5</v>
      </c>
      <c r="C309" s="126">
        <v>302</v>
      </c>
      <c r="D309" s="127" t="s">
        <v>483</v>
      </c>
      <c r="E309" s="194">
        <f t="shared" si="52"/>
        <v>775</v>
      </c>
      <c r="F309" s="125">
        <f>ROUND(E309*Valores!$C$2,2)</f>
        <v>21018.93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3516.2</v>
      </c>
      <c r="N309" s="125">
        <f t="shared" si="42"/>
        <v>0</v>
      </c>
      <c r="O309" s="125">
        <v>0</v>
      </c>
      <c r="P309" s="125">
        <v>0</v>
      </c>
      <c r="Q309" s="125">
        <v>0</v>
      </c>
      <c r="R309" s="125">
        <f>IF($F$4="NO",IF(Valores!$C$49*B309&gt;Valores!$C$46,Valores!$C$46,Valores!$C$49*B309),IF(Valores!$C$49*B309&gt;Valores!$C$46,Valores!$C$46,Valores!$C$49*B309)/2)</f>
        <v>2422.4</v>
      </c>
      <c r="S309" s="125">
        <v>0</v>
      </c>
      <c r="T309" s="125">
        <f t="shared" si="51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3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v>0</v>
      </c>
      <c r="AH309" s="125">
        <f t="shared" si="46"/>
        <v>26957.530000000002</v>
      </c>
      <c r="AI309" s="125">
        <v>0</v>
      </c>
      <c r="AJ309" s="125">
        <v>0</v>
      </c>
      <c r="AK309" s="125">
        <v>0</v>
      </c>
      <c r="AL309" s="125">
        <v>0</v>
      </c>
      <c r="AM309" s="125">
        <f t="shared" si="44"/>
        <v>0</v>
      </c>
      <c r="AN309" s="125">
        <f>AH309*Valores!$C$71</f>
        <v>-2965.3283</v>
      </c>
      <c r="AO309" s="125">
        <f>AH309*-Valores!$C$72</f>
        <v>0</v>
      </c>
      <c r="AP309" s="125">
        <f>AH309*Valores!$C$73</f>
        <v>-1213.08885</v>
      </c>
      <c r="AQ309" s="125">
        <v>0</v>
      </c>
      <c r="AR309" s="125">
        <v>0</v>
      </c>
      <c r="AS309" s="125">
        <f t="shared" si="47"/>
        <v>22779.11285</v>
      </c>
      <c r="AT309" s="125">
        <f t="shared" si="41"/>
        <v>-2965.3283</v>
      </c>
      <c r="AU309" s="125">
        <f>AH309*Valores!$C$74</f>
        <v>-727.8533100000001</v>
      </c>
      <c r="AV309" s="125">
        <f>AH309*Valores!$C$75</f>
        <v>-80.87259</v>
      </c>
      <c r="AW309" s="125">
        <f t="shared" si="45"/>
        <v>23183.475800000004</v>
      </c>
      <c r="AX309" s="126"/>
      <c r="AY309" s="126"/>
      <c r="AZ309" s="123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</row>
    <row r="310" spans="1:1020" s="142" customFormat="1" ht="11.25" customHeight="1">
      <c r="A310" s="123"/>
      <c r="B310" s="141">
        <v>6</v>
      </c>
      <c r="C310" s="126">
        <v>303</v>
      </c>
      <c r="D310" s="127" t="s">
        <v>484</v>
      </c>
      <c r="E310" s="194">
        <f t="shared" si="52"/>
        <v>930</v>
      </c>
      <c r="F310" s="125">
        <f>ROUND(E310*Valores!$C$2,2)</f>
        <v>25222.72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4219.44</v>
      </c>
      <c r="N310" s="125">
        <f t="shared" si="42"/>
        <v>0</v>
      </c>
      <c r="O310" s="125">
        <v>0</v>
      </c>
      <c r="P310" s="125">
        <v>0</v>
      </c>
      <c r="Q310" s="125">
        <v>0</v>
      </c>
      <c r="R310" s="125">
        <f>IF($F$4="NO",IF(Valores!$C$49*B310&gt;Valores!$C$46,Valores!$C$46,Valores!$C$49*B310),IF(Valores!$C$49*B310&gt;Valores!$C$46,Valores!$C$46,Valores!$C$49*B310)/2)</f>
        <v>2906.88</v>
      </c>
      <c r="S310" s="125">
        <v>0</v>
      </c>
      <c r="T310" s="125">
        <f t="shared" si="51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3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v>0</v>
      </c>
      <c r="AH310" s="125">
        <f t="shared" si="46"/>
        <v>32349.04</v>
      </c>
      <c r="AI310" s="125">
        <v>0</v>
      </c>
      <c r="AJ310" s="125">
        <v>0</v>
      </c>
      <c r="AK310" s="125">
        <v>0</v>
      </c>
      <c r="AL310" s="125">
        <v>0</v>
      </c>
      <c r="AM310" s="125">
        <f t="shared" si="44"/>
        <v>0</v>
      </c>
      <c r="AN310" s="125">
        <f>AH310*Valores!$C$71</f>
        <v>-3558.3944</v>
      </c>
      <c r="AO310" s="125">
        <f>AH310*-Valores!$C$72</f>
        <v>0</v>
      </c>
      <c r="AP310" s="125">
        <f>AH310*Valores!$C$73</f>
        <v>-1455.7068</v>
      </c>
      <c r="AQ310" s="125">
        <v>0</v>
      </c>
      <c r="AR310" s="125">
        <v>0</v>
      </c>
      <c r="AS310" s="125">
        <f t="shared" si="47"/>
        <v>27334.9388</v>
      </c>
      <c r="AT310" s="125">
        <f t="shared" si="41"/>
        <v>-3558.3944</v>
      </c>
      <c r="AU310" s="125">
        <f>AH310*Valores!$C$74</f>
        <v>-873.42408</v>
      </c>
      <c r="AV310" s="125">
        <f>AH310*Valores!$C$75</f>
        <v>-97.04712</v>
      </c>
      <c r="AW310" s="125">
        <f t="shared" si="45"/>
        <v>27820.1744</v>
      </c>
      <c r="AX310" s="126"/>
      <c r="AY310" s="126"/>
      <c r="AZ310" s="123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</row>
    <row r="311" spans="1:1020" s="142" customFormat="1" ht="11.25" customHeight="1">
      <c r="A311" s="123"/>
      <c r="B311" s="141">
        <v>7</v>
      </c>
      <c r="C311" s="126">
        <v>304</v>
      </c>
      <c r="D311" s="127" t="s">
        <v>485</v>
      </c>
      <c r="E311" s="194">
        <f t="shared" si="52"/>
        <v>1085</v>
      </c>
      <c r="F311" s="125">
        <f>ROUND(E311*Valores!$C$2,2)</f>
        <v>29426.5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4922.68</v>
      </c>
      <c r="N311" s="125">
        <f t="shared" si="42"/>
        <v>0</v>
      </c>
      <c r="O311" s="125">
        <v>0</v>
      </c>
      <c r="P311" s="125">
        <v>0</v>
      </c>
      <c r="Q311" s="125">
        <v>0</v>
      </c>
      <c r="R311" s="125">
        <f>IF($F$4="NO",IF(Valores!$C$49*B311&gt;Valores!$C$46,Valores!$C$46,Valores!$C$49*B311),IF(Valores!$C$49*B311&gt;Valores!$C$46,Valores!$C$46,Valores!$C$49*B311)/2)</f>
        <v>3391.36</v>
      </c>
      <c r="S311" s="125">
        <v>0</v>
      </c>
      <c r="T311" s="125">
        <f t="shared" si="51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3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v>0</v>
      </c>
      <c r="AH311" s="125">
        <f t="shared" si="46"/>
        <v>37740.54</v>
      </c>
      <c r="AI311" s="125">
        <v>0</v>
      </c>
      <c r="AJ311" s="125">
        <v>0</v>
      </c>
      <c r="AK311" s="125">
        <v>0</v>
      </c>
      <c r="AL311" s="125">
        <v>0</v>
      </c>
      <c r="AM311" s="125">
        <f t="shared" si="44"/>
        <v>0</v>
      </c>
      <c r="AN311" s="125">
        <f>AH311*Valores!$C$71</f>
        <v>-4151.4594</v>
      </c>
      <c r="AO311" s="125">
        <f>AH311*-Valores!$C$72</f>
        <v>0</v>
      </c>
      <c r="AP311" s="125">
        <f>AH311*Valores!$C$73</f>
        <v>-1698.3243</v>
      </c>
      <c r="AQ311" s="125">
        <v>0</v>
      </c>
      <c r="AR311" s="125">
        <v>0</v>
      </c>
      <c r="AS311" s="125">
        <f t="shared" si="47"/>
        <v>31890.7563</v>
      </c>
      <c r="AT311" s="125">
        <f t="shared" si="41"/>
        <v>-4151.4594</v>
      </c>
      <c r="AU311" s="125">
        <f>AH311*Valores!$C$74</f>
        <v>-1018.99458</v>
      </c>
      <c r="AV311" s="125">
        <f>AH311*Valores!$C$75</f>
        <v>-113.22162</v>
      </c>
      <c r="AW311" s="125">
        <f t="shared" si="45"/>
        <v>32456.8644</v>
      </c>
      <c r="AX311" s="126"/>
      <c r="AY311" s="126"/>
      <c r="AZ311" s="123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</row>
    <row r="312" spans="1:1020" s="142" customFormat="1" ht="11.25" customHeight="1">
      <c r="A312" s="123"/>
      <c r="B312" s="141">
        <v>8</v>
      </c>
      <c r="C312" s="126">
        <v>305</v>
      </c>
      <c r="D312" s="127" t="s">
        <v>486</v>
      </c>
      <c r="E312" s="194">
        <f t="shared" si="52"/>
        <v>1240</v>
      </c>
      <c r="F312" s="125">
        <f>ROUND(E312*Valores!$C$2,2)</f>
        <v>33630.29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5625.92</v>
      </c>
      <c r="N312" s="125">
        <f t="shared" si="42"/>
        <v>0</v>
      </c>
      <c r="O312" s="125">
        <v>0</v>
      </c>
      <c r="P312" s="125">
        <v>0</v>
      </c>
      <c r="Q312" s="125">
        <v>0</v>
      </c>
      <c r="R312" s="125">
        <f>IF($F$4="NO",IF(Valores!$C$49*B312&gt;Valores!$C$46,Valores!$C$46,Valores!$C$49*B312),IF(Valores!$C$49*B312&gt;Valores!$C$46,Valores!$C$46,Valores!$C$49*B312)/2)</f>
        <v>3875.84</v>
      </c>
      <c r="S312" s="125">
        <v>0</v>
      </c>
      <c r="T312" s="125">
        <f t="shared" si="51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3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v>0</v>
      </c>
      <c r="AH312" s="125">
        <f t="shared" si="46"/>
        <v>43132.05</v>
      </c>
      <c r="AI312" s="125">
        <v>0</v>
      </c>
      <c r="AJ312" s="125">
        <v>0</v>
      </c>
      <c r="AK312" s="125">
        <v>0</v>
      </c>
      <c r="AL312" s="125">
        <v>0</v>
      </c>
      <c r="AM312" s="125">
        <f t="shared" si="44"/>
        <v>0</v>
      </c>
      <c r="AN312" s="125">
        <f>AH312*Valores!$C$71</f>
        <v>-4744.525500000001</v>
      </c>
      <c r="AO312" s="125">
        <f>AH312*-Valores!$C$72</f>
        <v>0</v>
      </c>
      <c r="AP312" s="125">
        <f>AH312*Valores!$C$73</f>
        <v>-1940.94225</v>
      </c>
      <c r="AQ312" s="125">
        <v>0</v>
      </c>
      <c r="AR312" s="125">
        <v>0</v>
      </c>
      <c r="AS312" s="125">
        <f t="shared" si="47"/>
        <v>36446.58225</v>
      </c>
      <c r="AT312" s="125">
        <f t="shared" si="41"/>
        <v>-4744.525500000001</v>
      </c>
      <c r="AU312" s="125">
        <f>AH312*Valores!$C$74</f>
        <v>-1164.56535</v>
      </c>
      <c r="AV312" s="125">
        <f>AH312*Valores!$C$75</f>
        <v>-129.39615</v>
      </c>
      <c r="AW312" s="125">
        <f t="shared" si="45"/>
        <v>37093.563</v>
      </c>
      <c r="AX312" s="126"/>
      <c r="AY312" s="126"/>
      <c r="AZ312" s="123" t="s">
        <v>4</v>
      </c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</row>
    <row r="313" spans="1:1020" s="142" customFormat="1" ht="11.25" customHeight="1">
      <c r="A313" s="123"/>
      <c r="B313" s="141">
        <v>9</v>
      </c>
      <c r="C313" s="126">
        <v>306</v>
      </c>
      <c r="D313" s="127" t="s">
        <v>487</v>
      </c>
      <c r="E313" s="194">
        <f t="shared" si="52"/>
        <v>1395</v>
      </c>
      <c r="F313" s="125">
        <f>ROUND(E313*Valores!$C$2,2)</f>
        <v>37834.07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6329.16</v>
      </c>
      <c r="N313" s="125">
        <f t="shared" si="42"/>
        <v>0</v>
      </c>
      <c r="O313" s="125">
        <v>0</v>
      </c>
      <c r="P313" s="125">
        <v>0</v>
      </c>
      <c r="Q313" s="125">
        <v>0</v>
      </c>
      <c r="R313" s="125">
        <f>IF($F$4="NO",IF(Valores!$C$49*B313&gt;Valores!$C$46,Valores!$C$46,Valores!$C$49*B313),IF(Valores!$C$49*B313&gt;Valores!$C$46,Valores!$C$46,Valores!$C$49*B313)/2)</f>
        <v>4360.32</v>
      </c>
      <c r="S313" s="125">
        <v>0</v>
      </c>
      <c r="T313" s="125">
        <f t="shared" si="51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3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v>0</v>
      </c>
      <c r="AH313" s="125">
        <f t="shared" si="46"/>
        <v>48523.549999999996</v>
      </c>
      <c r="AI313" s="125">
        <v>0</v>
      </c>
      <c r="AJ313" s="125">
        <v>0</v>
      </c>
      <c r="AK313" s="125">
        <v>0</v>
      </c>
      <c r="AL313" s="125">
        <v>0</v>
      </c>
      <c r="AM313" s="125">
        <f t="shared" si="44"/>
        <v>0</v>
      </c>
      <c r="AN313" s="125">
        <f>AH313*Valores!$C$71</f>
        <v>-5337.590499999999</v>
      </c>
      <c r="AO313" s="125">
        <f>AH313*-Valores!$C$72</f>
        <v>0</v>
      </c>
      <c r="AP313" s="125">
        <f>AH313*Valores!$C$73</f>
        <v>-2183.55975</v>
      </c>
      <c r="AQ313" s="125">
        <v>0</v>
      </c>
      <c r="AR313" s="125">
        <v>0</v>
      </c>
      <c r="AS313" s="125">
        <f t="shared" si="47"/>
        <v>41002.39975</v>
      </c>
      <c r="AT313" s="125">
        <f t="shared" si="41"/>
        <v>-5337.590499999999</v>
      </c>
      <c r="AU313" s="125">
        <f>AH313*Valores!$C$74</f>
        <v>-1310.13585</v>
      </c>
      <c r="AV313" s="125">
        <f>AH313*Valores!$C$75</f>
        <v>-145.57065</v>
      </c>
      <c r="AW313" s="125">
        <f t="shared" si="45"/>
        <v>41730.253</v>
      </c>
      <c r="AX313" s="126"/>
      <c r="AY313" s="126"/>
      <c r="AZ313" s="123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</row>
    <row r="314" spans="1:1020" s="142" customFormat="1" ht="11.25" customHeight="1">
      <c r="A314" s="123"/>
      <c r="B314" s="141">
        <v>10</v>
      </c>
      <c r="C314" s="126">
        <v>307</v>
      </c>
      <c r="D314" s="127" t="s">
        <v>488</v>
      </c>
      <c r="E314" s="194">
        <f t="shared" si="52"/>
        <v>1550</v>
      </c>
      <c r="F314" s="125">
        <f>ROUND(E314*Valores!$C$2,2)</f>
        <v>42037.86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7032.4</v>
      </c>
      <c r="N314" s="125">
        <f t="shared" si="42"/>
        <v>0</v>
      </c>
      <c r="O314" s="125">
        <v>0</v>
      </c>
      <c r="P314" s="125">
        <v>0</v>
      </c>
      <c r="Q314" s="125">
        <v>0</v>
      </c>
      <c r="R314" s="125">
        <f>IF($F$4="NO",IF(Valores!$C$49*B314&gt;Valores!$C$46,Valores!$C$46,Valores!$C$49*B314),IF(Valores!$C$49*B314&gt;Valores!$C$46,Valores!$C$46,Valores!$C$49*B314)/2)</f>
        <v>4844.8</v>
      </c>
      <c r="S314" s="125">
        <v>0</v>
      </c>
      <c r="T314" s="125">
        <f t="shared" si="51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3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v>0</v>
      </c>
      <c r="AH314" s="125">
        <f t="shared" si="46"/>
        <v>53915.060000000005</v>
      </c>
      <c r="AI314" s="125">
        <v>0</v>
      </c>
      <c r="AJ314" s="125">
        <v>0</v>
      </c>
      <c r="AK314" s="125">
        <v>0</v>
      </c>
      <c r="AL314" s="125">
        <v>0</v>
      </c>
      <c r="AM314" s="125">
        <f t="shared" si="44"/>
        <v>0</v>
      </c>
      <c r="AN314" s="125">
        <f>AH314*Valores!$C$71</f>
        <v>-5930.6566</v>
      </c>
      <c r="AO314" s="125">
        <f>AH314*-Valores!$C$72</f>
        <v>0</v>
      </c>
      <c r="AP314" s="125">
        <f>AH314*Valores!$C$73</f>
        <v>-2426.1777</v>
      </c>
      <c r="AQ314" s="125">
        <v>0</v>
      </c>
      <c r="AR314" s="125">
        <v>0</v>
      </c>
      <c r="AS314" s="125">
        <f t="shared" si="47"/>
        <v>45558.2257</v>
      </c>
      <c r="AT314" s="125">
        <f t="shared" si="41"/>
        <v>-5930.6566</v>
      </c>
      <c r="AU314" s="125">
        <f>AH314*Valores!$C$74</f>
        <v>-1455.7066200000002</v>
      </c>
      <c r="AV314" s="125">
        <f>AH314*Valores!$C$75</f>
        <v>-161.74518</v>
      </c>
      <c r="AW314" s="125">
        <f t="shared" si="45"/>
        <v>46366.95160000001</v>
      </c>
      <c r="AX314" s="126"/>
      <c r="AY314" s="126"/>
      <c r="AZ314" s="123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</row>
    <row r="315" spans="1:1020" s="142" customFormat="1" ht="11.25" customHeight="1">
      <c r="A315" s="123"/>
      <c r="B315" s="141">
        <v>11</v>
      </c>
      <c r="C315" s="126">
        <v>308</v>
      </c>
      <c r="D315" s="127" t="s">
        <v>489</v>
      </c>
      <c r="E315" s="194">
        <f t="shared" si="52"/>
        <v>1705</v>
      </c>
      <c r="F315" s="125">
        <f>ROUND(E315*Valores!$C$2,2)</f>
        <v>46241.65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7735.64</v>
      </c>
      <c r="N315" s="125">
        <f t="shared" si="42"/>
        <v>0</v>
      </c>
      <c r="O315" s="125">
        <v>0</v>
      </c>
      <c r="P315" s="125">
        <v>0</v>
      </c>
      <c r="Q315" s="125">
        <v>0</v>
      </c>
      <c r="R315" s="125">
        <f>IF($F$4="NO",IF(Valores!$C$49*B315&gt;Valores!$C$46,Valores!$C$46,Valores!$C$49*B315),IF(Valores!$C$49*B315&gt;Valores!$C$46,Valores!$C$46,Valores!$C$49*B315)/2)</f>
        <v>5329.280000000001</v>
      </c>
      <c r="S315" s="125">
        <v>0</v>
      </c>
      <c r="T315" s="125">
        <f t="shared" si="51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3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v>0</v>
      </c>
      <c r="AH315" s="125">
        <f t="shared" si="46"/>
        <v>59306.57</v>
      </c>
      <c r="AI315" s="125">
        <v>0</v>
      </c>
      <c r="AJ315" s="125">
        <v>0</v>
      </c>
      <c r="AK315" s="125">
        <v>0</v>
      </c>
      <c r="AL315" s="125">
        <v>0</v>
      </c>
      <c r="AM315" s="125">
        <f t="shared" si="44"/>
        <v>0</v>
      </c>
      <c r="AN315" s="125">
        <f>AH315*Valores!$C$71</f>
        <v>-6523.7227</v>
      </c>
      <c r="AO315" s="125">
        <f>AH315*-Valores!$C$72</f>
        <v>0</v>
      </c>
      <c r="AP315" s="125">
        <f>AH315*Valores!$C$73</f>
        <v>-2668.79565</v>
      </c>
      <c r="AQ315" s="125">
        <v>0</v>
      </c>
      <c r="AR315" s="125">
        <v>0</v>
      </c>
      <c r="AS315" s="125">
        <f t="shared" si="47"/>
        <v>50114.05165</v>
      </c>
      <c r="AT315" s="125">
        <f t="shared" si="41"/>
        <v>-6523.7227</v>
      </c>
      <c r="AU315" s="125">
        <f>AH315*Valores!$C$74</f>
        <v>-1601.27739</v>
      </c>
      <c r="AV315" s="125">
        <f>AH315*Valores!$C$75</f>
        <v>-177.91971</v>
      </c>
      <c r="AW315" s="125">
        <f t="shared" si="45"/>
        <v>51003.650200000004</v>
      </c>
      <c r="AX315" s="126"/>
      <c r="AY315" s="126"/>
      <c r="AZ315" s="123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</row>
    <row r="316" spans="1:1020" s="142" customFormat="1" ht="11.25" customHeight="1">
      <c r="A316" s="123"/>
      <c r="B316" s="141">
        <v>12</v>
      </c>
      <c r="C316" s="126">
        <v>309</v>
      </c>
      <c r="D316" s="127" t="s">
        <v>490</v>
      </c>
      <c r="E316" s="194">
        <f t="shared" si="52"/>
        <v>1860</v>
      </c>
      <c r="F316" s="125">
        <f>ROUND(E316*Valores!$C$2,2)</f>
        <v>50445.43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8438.88</v>
      </c>
      <c r="N316" s="125">
        <f t="shared" si="42"/>
        <v>0</v>
      </c>
      <c r="O316" s="125">
        <v>0</v>
      </c>
      <c r="P316" s="125">
        <v>0</v>
      </c>
      <c r="Q316" s="125">
        <v>0</v>
      </c>
      <c r="R316" s="125">
        <f>IF($F$4="NO",IF(Valores!$C$49*B316&gt;Valores!$C$46,Valores!$C$46,Valores!$C$49*B316),IF(Valores!$C$49*B316&gt;Valores!$C$46,Valores!$C$46,Valores!$C$49*B316)/2)</f>
        <v>5813.76</v>
      </c>
      <c r="S316" s="125">
        <v>0</v>
      </c>
      <c r="T316" s="125">
        <f t="shared" si="51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3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v>0</v>
      </c>
      <c r="AH316" s="125">
        <f t="shared" si="46"/>
        <v>64698.07</v>
      </c>
      <c r="AI316" s="125">
        <v>0</v>
      </c>
      <c r="AJ316" s="125">
        <v>0</v>
      </c>
      <c r="AK316" s="125">
        <v>0</v>
      </c>
      <c r="AL316" s="125">
        <v>0</v>
      </c>
      <c r="AM316" s="125">
        <f t="shared" si="44"/>
        <v>0</v>
      </c>
      <c r="AN316" s="125">
        <f>AH316*Valores!$C$71</f>
        <v>-7116.7877</v>
      </c>
      <c r="AO316" s="125">
        <f>AH316*-Valores!$C$72</f>
        <v>0</v>
      </c>
      <c r="AP316" s="125">
        <f>AH316*Valores!$C$73</f>
        <v>-2911.41315</v>
      </c>
      <c r="AQ316" s="125">
        <v>0</v>
      </c>
      <c r="AR316" s="125">
        <v>0</v>
      </c>
      <c r="AS316" s="125">
        <f t="shared" si="47"/>
        <v>54669.86915</v>
      </c>
      <c r="AT316" s="125">
        <f t="shared" si="41"/>
        <v>-7116.7877</v>
      </c>
      <c r="AU316" s="125">
        <f>AH316*Valores!$C$74</f>
        <v>-1746.84789</v>
      </c>
      <c r="AV316" s="125">
        <f>AH316*Valores!$C$75</f>
        <v>-194.09421</v>
      </c>
      <c r="AW316" s="125">
        <f t="shared" si="45"/>
        <v>55640.3402</v>
      </c>
      <c r="AX316" s="126"/>
      <c r="AY316" s="126"/>
      <c r="AZ316" s="123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</row>
    <row r="317" spans="1:1020" s="142" customFormat="1" ht="11.25" customHeight="1">
      <c r="A317" s="123"/>
      <c r="B317" s="141">
        <v>13</v>
      </c>
      <c r="C317" s="126">
        <v>310</v>
      </c>
      <c r="D317" s="127" t="s">
        <v>491</v>
      </c>
      <c r="E317" s="194">
        <f t="shared" si="52"/>
        <v>2015</v>
      </c>
      <c r="F317" s="125">
        <f>ROUND(E317*Valores!$C$2,2)</f>
        <v>54649.22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9142.12</v>
      </c>
      <c r="N317" s="125">
        <f t="shared" si="42"/>
        <v>0</v>
      </c>
      <c r="O317" s="125">
        <v>0</v>
      </c>
      <c r="P317" s="125">
        <v>0</v>
      </c>
      <c r="Q317" s="125">
        <v>0</v>
      </c>
      <c r="R317" s="125">
        <f>IF($F$4="NO",IF(Valores!$C$49*B317&gt;Valores!$C$46,Valores!$C$46,Valores!$C$49*B317),IF(Valores!$C$49*B317&gt;Valores!$C$46,Valores!$C$46,Valores!$C$49*B317)/2)</f>
        <v>6298.24</v>
      </c>
      <c r="S317" s="125">
        <v>0</v>
      </c>
      <c r="T317" s="125">
        <f t="shared" si="51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3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v>0</v>
      </c>
      <c r="AH317" s="125">
        <f t="shared" si="46"/>
        <v>70089.58</v>
      </c>
      <c r="AI317" s="125">
        <v>0</v>
      </c>
      <c r="AJ317" s="125">
        <v>0</v>
      </c>
      <c r="AK317" s="125">
        <v>0</v>
      </c>
      <c r="AL317" s="125">
        <v>0</v>
      </c>
      <c r="AM317" s="125">
        <f t="shared" si="44"/>
        <v>0</v>
      </c>
      <c r="AN317" s="125">
        <f>AH317*Valores!$C$71</f>
        <v>-7709.8538</v>
      </c>
      <c r="AO317" s="125">
        <f>AH317*-Valores!$C$72</f>
        <v>0</v>
      </c>
      <c r="AP317" s="125">
        <f>AH317*Valores!$C$73</f>
        <v>-3154.0311</v>
      </c>
      <c r="AQ317" s="125">
        <v>0</v>
      </c>
      <c r="AR317" s="125">
        <v>0</v>
      </c>
      <c r="AS317" s="125">
        <f t="shared" si="47"/>
        <v>59225.6951</v>
      </c>
      <c r="AT317" s="125">
        <f t="shared" si="41"/>
        <v>-7709.8538</v>
      </c>
      <c r="AU317" s="125">
        <f>AH317*Valores!$C$74</f>
        <v>-1892.41866</v>
      </c>
      <c r="AV317" s="125">
        <f>AH317*Valores!$C$75</f>
        <v>-210.26874</v>
      </c>
      <c r="AW317" s="125">
        <f t="shared" si="45"/>
        <v>60277.0388</v>
      </c>
      <c r="AX317" s="126"/>
      <c r="AY317" s="126"/>
      <c r="AZ317" s="123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</row>
    <row r="318" spans="1:1020" s="142" customFormat="1" ht="11.25" customHeight="1">
      <c r="A318" s="123"/>
      <c r="B318" s="141">
        <v>14</v>
      </c>
      <c r="C318" s="126">
        <v>311</v>
      </c>
      <c r="D318" s="127" t="s">
        <v>492</v>
      </c>
      <c r="E318" s="194">
        <f t="shared" si="52"/>
        <v>2170</v>
      </c>
      <c r="F318" s="125">
        <f>ROUND(E318*Valores!$C$2,2)</f>
        <v>58853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9845.36</v>
      </c>
      <c r="N318" s="125">
        <f t="shared" si="42"/>
        <v>0</v>
      </c>
      <c r="O318" s="125">
        <v>0</v>
      </c>
      <c r="P318" s="125">
        <v>0</v>
      </c>
      <c r="Q318" s="125">
        <v>0</v>
      </c>
      <c r="R318" s="125">
        <f>IF($F$4="NO",IF(Valores!$C$49*B318&gt;Valores!$C$46,Valores!$C$46,Valores!$C$49*B318),IF(Valores!$C$49*B318&gt;Valores!$C$46,Valores!$C$46,Valores!$C$49*B318)/2)</f>
        <v>6782.72</v>
      </c>
      <c r="S318" s="125">
        <v>0</v>
      </c>
      <c r="T318" s="125">
        <f t="shared" si="51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3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v>0</v>
      </c>
      <c r="AH318" s="125">
        <f t="shared" si="46"/>
        <v>75481.08</v>
      </c>
      <c r="AI318" s="125">
        <v>0</v>
      </c>
      <c r="AJ318" s="125">
        <v>0</v>
      </c>
      <c r="AK318" s="125">
        <v>0</v>
      </c>
      <c r="AL318" s="125">
        <v>0</v>
      </c>
      <c r="AM318" s="125">
        <f t="shared" si="44"/>
        <v>0</v>
      </c>
      <c r="AN318" s="125">
        <f>AH318*Valores!$C$71</f>
        <v>-8302.9188</v>
      </c>
      <c r="AO318" s="125">
        <f>AH318*-Valores!$C$72</f>
        <v>0</v>
      </c>
      <c r="AP318" s="125">
        <f>AH318*Valores!$C$73</f>
        <v>-3396.6486</v>
      </c>
      <c r="AQ318" s="125">
        <v>0</v>
      </c>
      <c r="AR318" s="125">
        <v>0</v>
      </c>
      <c r="AS318" s="125">
        <f t="shared" si="47"/>
        <v>63781.5126</v>
      </c>
      <c r="AT318" s="125">
        <f t="shared" si="41"/>
        <v>-8302.9188</v>
      </c>
      <c r="AU318" s="125">
        <f>AH318*Valores!$C$74</f>
        <v>-2037.98916</v>
      </c>
      <c r="AV318" s="125">
        <f>AH318*Valores!$C$75</f>
        <v>-226.44324</v>
      </c>
      <c r="AW318" s="125">
        <f t="shared" si="45"/>
        <v>64913.7288</v>
      </c>
      <c r="AX318" s="126"/>
      <c r="AY318" s="126"/>
      <c r="AZ318" s="123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</row>
    <row r="319" spans="1:1020" s="142" customFormat="1" ht="11.25" customHeight="1">
      <c r="A319" s="123"/>
      <c r="B319" s="141">
        <v>15</v>
      </c>
      <c r="C319" s="126">
        <v>312</v>
      </c>
      <c r="D319" s="127" t="s">
        <v>493</v>
      </c>
      <c r="E319" s="194">
        <f t="shared" si="52"/>
        <v>2325</v>
      </c>
      <c r="F319" s="125">
        <f>ROUND(E319*Valores!$C$2,2)</f>
        <v>63056.79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10548.6</v>
      </c>
      <c r="N319" s="125">
        <f t="shared" si="42"/>
        <v>0</v>
      </c>
      <c r="O319" s="125">
        <v>0</v>
      </c>
      <c r="P319" s="125">
        <v>0</v>
      </c>
      <c r="Q319" s="125">
        <v>0</v>
      </c>
      <c r="R319" s="125">
        <f>IF($F$4="NO",IF(Valores!$C$49*B319&gt;Valores!$C$46,Valores!$C$46,Valores!$C$49*B319),IF(Valores!$C$49*B319&gt;Valores!$C$46,Valores!$C$46,Valores!$C$49*B319)/2)</f>
        <v>7267.200000000001</v>
      </c>
      <c r="S319" s="125">
        <v>0</v>
      </c>
      <c r="T319" s="125">
        <f t="shared" si="51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3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v>0</v>
      </c>
      <c r="AH319" s="125">
        <f t="shared" si="46"/>
        <v>80872.59</v>
      </c>
      <c r="AI319" s="125">
        <v>0</v>
      </c>
      <c r="AJ319" s="125">
        <v>0</v>
      </c>
      <c r="AK319" s="125">
        <v>0</v>
      </c>
      <c r="AL319" s="125">
        <v>0</v>
      </c>
      <c r="AM319" s="125">
        <f t="shared" si="44"/>
        <v>0</v>
      </c>
      <c r="AN319" s="125">
        <f>AH319*Valores!$C$71</f>
        <v>-8895.9849</v>
      </c>
      <c r="AO319" s="125">
        <f>AH319*-Valores!$C$72</f>
        <v>0</v>
      </c>
      <c r="AP319" s="125">
        <f>AH319*Valores!$C$73</f>
        <v>-3639.26655</v>
      </c>
      <c r="AQ319" s="125">
        <v>0</v>
      </c>
      <c r="AR319" s="125">
        <v>0</v>
      </c>
      <c r="AS319" s="125">
        <f t="shared" si="47"/>
        <v>68337.33855</v>
      </c>
      <c r="AT319" s="125">
        <f t="shared" si="41"/>
        <v>-8895.9849</v>
      </c>
      <c r="AU319" s="125">
        <f>AH319*Valores!$C$74</f>
        <v>-2183.55993</v>
      </c>
      <c r="AV319" s="125">
        <f>AH319*Valores!$C$75</f>
        <v>-242.61777</v>
      </c>
      <c r="AW319" s="125">
        <f t="shared" si="45"/>
        <v>69550.4274</v>
      </c>
      <c r="AX319" s="126"/>
      <c r="AY319" s="126"/>
      <c r="AZ319" s="123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</row>
    <row r="320" spans="1:1020" s="142" customFormat="1" ht="11.25" customHeight="1">
      <c r="A320" s="123"/>
      <c r="B320" s="141">
        <v>16</v>
      </c>
      <c r="C320" s="126">
        <v>313</v>
      </c>
      <c r="D320" s="127" t="s">
        <v>494</v>
      </c>
      <c r="E320" s="194">
        <f t="shared" si="52"/>
        <v>2480</v>
      </c>
      <c r="F320" s="125">
        <f>ROUND(E320*Valores!$C$2,2)</f>
        <v>67260.58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11251.84</v>
      </c>
      <c r="N320" s="125">
        <f t="shared" si="42"/>
        <v>0</v>
      </c>
      <c r="O320" s="125">
        <v>0</v>
      </c>
      <c r="P320" s="125">
        <v>0</v>
      </c>
      <c r="Q320" s="125">
        <v>0</v>
      </c>
      <c r="R320" s="125">
        <f>IF($F$4="NO",IF(Valores!$C$49*B320&gt;Valores!$C$46,Valores!$C$46,Valores!$C$49*B320),IF(Valores!$C$49*B320&gt;Valores!$C$46,Valores!$C$46,Valores!$C$49*B320)/2)</f>
        <v>7751.68</v>
      </c>
      <c r="S320" s="125">
        <v>0</v>
      </c>
      <c r="T320" s="125">
        <f t="shared" si="51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3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v>0</v>
      </c>
      <c r="AH320" s="125">
        <f t="shared" si="46"/>
        <v>86264.1</v>
      </c>
      <c r="AI320" s="125">
        <v>0</v>
      </c>
      <c r="AJ320" s="125">
        <v>0</v>
      </c>
      <c r="AK320" s="125">
        <v>0</v>
      </c>
      <c r="AL320" s="125">
        <v>0</v>
      </c>
      <c r="AM320" s="125">
        <f t="shared" si="44"/>
        <v>0</v>
      </c>
      <c r="AN320" s="125">
        <f>AH320*Valores!$C$71</f>
        <v>-9489.051000000001</v>
      </c>
      <c r="AO320" s="125">
        <f>AH320*-Valores!$C$72</f>
        <v>0</v>
      </c>
      <c r="AP320" s="125">
        <f>AH320*Valores!$C$73</f>
        <v>-3881.8845</v>
      </c>
      <c r="AQ320" s="125">
        <v>0</v>
      </c>
      <c r="AR320" s="125">
        <v>0</v>
      </c>
      <c r="AS320" s="125">
        <f t="shared" si="47"/>
        <v>72893.1645</v>
      </c>
      <c r="AT320" s="125">
        <f t="shared" si="41"/>
        <v>-9489.051000000001</v>
      </c>
      <c r="AU320" s="125">
        <f>AH320*Valores!$C$74</f>
        <v>-2329.1307</v>
      </c>
      <c r="AV320" s="125">
        <f>AH320*Valores!$C$75</f>
        <v>-258.7923</v>
      </c>
      <c r="AW320" s="125">
        <f t="shared" si="45"/>
        <v>74187.126</v>
      </c>
      <c r="AX320" s="126"/>
      <c r="AY320" s="126"/>
      <c r="AZ320" s="123" t="s">
        <v>4</v>
      </c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</row>
    <row r="321" spans="1:1020" s="142" customFormat="1" ht="11.25" customHeight="1">
      <c r="A321" s="143" t="s">
        <v>474</v>
      </c>
      <c r="B321" s="141">
        <v>1</v>
      </c>
      <c r="C321" s="126">
        <v>314</v>
      </c>
      <c r="D321" s="127" t="s">
        <v>495</v>
      </c>
      <c r="E321" s="194">
        <v>275</v>
      </c>
      <c r="F321" s="125">
        <f>ROUND(E321*Valores!$C$2,2)</f>
        <v>7458.33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2"/>
        <v>0</v>
      </c>
      <c r="O321" s="125">
        <v>0</v>
      </c>
      <c r="P321" s="125">
        <v>0</v>
      </c>
      <c r="Q321" s="125">
        <v>0</v>
      </c>
      <c r="R321" s="125">
        <f>IF($F$4="NO",Valores!$C$50,Valores!$C$50/2)</f>
        <v>720.3</v>
      </c>
      <c r="S321" s="125">
        <v>0</v>
      </c>
      <c r="T321" s="125">
        <f t="shared" si="51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Valores!$C$98</f>
        <v>631.88</v>
      </c>
      <c r="AA321" s="125">
        <v>0</v>
      </c>
      <c r="AB321" s="214">
        <v>0</v>
      </c>
      <c r="AC321" s="125">
        <f t="shared" si="43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Valores!$C$64</f>
        <v>652.73</v>
      </c>
      <c r="AH321" s="125">
        <f t="shared" si="46"/>
        <v>9463.24</v>
      </c>
      <c r="AI321" s="125">
        <f>Valores!$C$33</f>
        <v>0</v>
      </c>
      <c r="AJ321" s="125">
        <f>Valores!$C$91</f>
        <v>0</v>
      </c>
      <c r="AK321" s="125">
        <v>0</v>
      </c>
      <c r="AL321" s="125">
        <v>0</v>
      </c>
      <c r="AM321" s="125">
        <f t="shared" si="44"/>
        <v>0</v>
      </c>
      <c r="AN321" s="125">
        <f>AH321*Valores!$C$71</f>
        <v>-1040.9564</v>
      </c>
      <c r="AO321" s="125">
        <f>AH321*-Valores!$C$72</f>
        <v>0</v>
      </c>
      <c r="AP321" s="125">
        <f>AH321*Valores!$C$73</f>
        <v>-425.8458</v>
      </c>
      <c r="AQ321" s="125">
        <v>0</v>
      </c>
      <c r="AR321" s="125">
        <v>0</v>
      </c>
      <c r="AS321" s="125">
        <f t="shared" si="47"/>
        <v>7996.4378</v>
      </c>
      <c r="AT321" s="125">
        <f t="shared" si="41"/>
        <v>-1040.9564</v>
      </c>
      <c r="AU321" s="125">
        <f>AH321*Valores!$C$74</f>
        <v>-255.50748</v>
      </c>
      <c r="AV321" s="125">
        <f>AH321*Valores!$C$75</f>
        <v>-28.38972</v>
      </c>
      <c r="AW321" s="125">
        <f t="shared" si="45"/>
        <v>8138.386399999999</v>
      </c>
      <c r="AX321" s="126"/>
      <c r="AY321" s="126"/>
      <c r="AZ321" s="123" t="s">
        <v>4</v>
      </c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</row>
    <row r="322" spans="1:1020" s="142" customFormat="1" ht="11.25" customHeight="1">
      <c r="A322" s="144" t="s">
        <v>474</v>
      </c>
      <c r="B322" s="141">
        <v>1</v>
      </c>
      <c r="C322" s="126">
        <v>315</v>
      </c>
      <c r="D322" s="127" t="s">
        <v>496</v>
      </c>
      <c r="E322" s="194">
        <v>245</v>
      </c>
      <c r="F322" s="125">
        <f>ROUND(E322*Valores!$C$2,2)</f>
        <v>6644.69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2"/>
        <v>0</v>
      </c>
      <c r="O322" s="125">
        <v>0</v>
      </c>
      <c r="P322" s="125">
        <v>0</v>
      </c>
      <c r="Q322" s="125">
        <v>0</v>
      </c>
      <c r="R322" s="125">
        <f>IF($F$4="NO",Valores!$C$50,Valores!$C$50/2)</f>
        <v>720.3</v>
      </c>
      <c r="S322" s="125">
        <v>0</v>
      </c>
      <c r="T322" s="125">
        <f t="shared" si="51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Valores!$C$98</f>
        <v>631.88</v>
      </c>
      <c r="AA322" s="125">
        <v>0</v>
      </c>
      <c r="AB322" s="214">
        <v>0</v>
      </c>
      <c r="AC322" s="125">
        <f t="shared" si="43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Valores!$C$64</f>
        <v>652.73</v>
      </c>
      <c r="AH322" s="125">
        <f t="shared" si="46"/>
        <v>8649.6</v>
      </c>
      <c r="AI322" s="125">
        <f>Valores!$C$33</f>
        <v>0</v>
      </c>
      <c r="AJ322" s="125">
        <f>Valores!$C$91</f>
        <v>0</v>
      </c>
      <c r="AK322" s="125">
        <v>0</v>
      </c>
      <c r="AL322" s="125">
        <v>0</v>
      </c>
      <c r="AM322" s="125">
        <f t="shared" si="44"/>
        <v>0</v>
      </c>
      <c r="AN322" s="125">
        <f>AH322*Valores!$C$71</f>
        <v>-951.456</v>
      </c>
      <c r="AO322" s="125">
        <f>AH322*-Valores!$C$72</f>
        <v>0</v>
      </c>
      <c r="AP322" s="125">
        <f>AH322*Valores!$C$73</f>
        <v>-389.232</v>
      </c>
      <c r="AQ322" s="125">
        <v>0</v>
      </c>
      <c r="AR322" s="125">
        <v>0</v>
      </c>
      <c r="AS322" s="125">
        <f t="shared" si="47"/>
        <v>7308.912</v>
      </c>
      <c r="AT322" s="125">
        <f t="shared" si="41"/>
        <v>-951.456</v>
      </c>
      <c r="AU322" s="125">
        <f>AH322*Valores!$C$74</f>
        <v>-233.5392</v>
      </c>
      <c r="AV322" s="125">
        <f>AH322*Valores!$C$75</f>
        <v>-25.948800000000002</v>
      </c>
      <c r="AW322" s="125">
        <f t="shared" si="45"/>
        <v>7438.656000000001</v>
      </c>
      <c r="AX322" s="126"/>
      <c r="AY322" s="126"/>
      <c r="AZ322" s="123" t="s">
        <v>4</v>
      </c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</row>
    <row r="323" spans="1:1020" s="142" customFormat="1" ht="11.25" customHeight="1">
      <c r="A323" s="144" t="s">
        <v>474</v>
      </c>
      <c r="B323" s="141">
        <v>1</v>
      </c>
      <c r="C323" s="126">
        <v>316</v>
      </c>
      <c r="D323" s="127" t="s">
        <v>497</v>
      </c>
      <c r="E323" s="194">
        <v>238</v>
      </c>
      <c r="F323" s="125">
        <f>ROUND(E323*Valores!$C$2,2)</f>
        <v>6454.85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2"/>
        <v>0</v>
      </c>
      <c r="O323" s="125">
        <v>0</v>
      </c>
      <c r="P323" s="125">
        <v>0</v>
      </c>
      <c r="Q323" s="125">
        <v>0</v>
      </c>
      <c r="R323" s="125">
        <f>IF($F$4="NO",Valores!$C$50,Valores!$C$50/2)</f>
        <v>720.3</v>
      </c>
      <c r="S323" s="125">
        <v>0</v>
      </c>
      <c r="T323" s="125">
        <f t="shared" si="51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Valores!$C$98</f>
        <v>631.88</v>
      </c>
      <c r="AA323" s="125">
        <v>0</v>
      </c>
      <c r="AB323" s="214">
        <v>0</v>
      </c>
      <c r="AC323" s="125">
        <f t="shared" si="43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Valores!$C$64</f>
        <v>652.73</v>
      </c>
      <c r="AH323" s="125">
        <f t="shared" si="46"/>
        <v>8459.76</v>
      </c>
      <c r="AI323" s="125">
        <f>Valores!$C$33</f>
        <v>0</v>
      </c>
      <c r="AJ323" s="125">
        <f>Valores!$C$91</f>
        <v>0</v>
      </c>
      <c r="AK323" s="125">
        <v>0</v>
      </c>
      <c r="AL323" s="125">
        <v>0</v>
      </c>
      <c r="AM323" s="125">
        <f t="shared" si="44"/>
        <v>0</v>
      </c>
      <c r="AN323" s="125">
        <f>AH323*Valores!$C$71</f>
        <v>-930.5736</v>
      </c>
      <c r="AO323" s="125">
        <f>AH323*-Valores!$C$72</f>
        <v>0</v>
      </c>
      <c r="AP323" s="125">
        <f>AH323*Valores!$C$73</f>
        <v>-380.68919999999997</v>
      </c>
      <c r="AQ323" s="125">
        <v>0</v>
      </c>
      <c r="AR323" s="125">
        <v>0</v>
      </c>
      <c r="AS323" s="125">
        <f t="shared" si="47"/>
        <v>7148.4972</v>
      </c>
      <c r="AT323" s="125">
        <f t="shared" si="41"/>
        <v>-930.5736</v>
      </c>
      <c r="AU323" s="125">
        <f>AH323*Valores!$C$74</f>
        <v>-228.41352</v>
      </c>
      <c r="AV323" s="125">
        <f>AH323*Valores!$C$75</f>
        <v>-25.37928</v>
      </c>
      <c r="AW323" s="125">
        <f t="shared" si="45"/>
        <v>7275.3936</v>
      </c>
      <c r="AX323" s="126"/>
      <c r="AY323" s="126"/>
      <c r="AZ323" s="123" t="s">
        <v>4</v>
      </c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</row>
    <row r="324" spans="1:1020" s="142" customFormat="1" ht="11.25" customHeight="1">
      <c r="A324" s="144" t="s">
        <v>474</v>
      </c>
      <c r="B324" s="141">
        <v>1</v>
      </c>
      <c r="C324" s="126">
        <v>317</v>
      </c>
      <c r="D324" s="127" t="s">
        <v>498</v>
      </c>
      <c r="E324" s="194">
        <v>245</v>
      </c>
      <c r="F324" s="125">
        <f>ROUND(E324*Valores!$C$2,2)</f>
        <v>6644.69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2"/>
        <v>0</v>
      </c>
      <c r="O324" s="125">
        <v>0</v>
      </c>
      <c r="P324" s="125">
        <v>0</v>
      </c>
      <c r="Q324" s="125">
        <v>0</v>
      </c>
      <c r="R324" s="125">
        <f>IF($F$4="NO",Valores!$C$50,Valores!$C$50/2)</f>
        <v>720.3</v>
      </c>
      <c r="S324" s="125">
        <v>0</v>
      </c>
      <c r="T324" s="125">
        <f t="shared" si="51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Valores!$C$98</f>
        <v>631.88</v>
      </c>
      <c r="AA324" s="125">
        <v>0</v>
      </c>
      <c r="AB324" s="214">
        <v>0</v>
      </c>
      <c r="AC324" s="125">
        <f t="shared" si="43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Valores!$C$64</f>
        <v>652.73</v>
      </c>
      <c r="AH324" s="125">
        <f t="shared" si="46"/>
        <v>8649.6</v>
      </c>
      <c r="AI324" s="125">
        <v>0</v>
      </c>
      <c r="AJ324" s="125">
        <f>Valores!$C$91</f>
        <v>0</v>
      </c>
      <c r="AK324" s="125">
        <v>0</v>
      </c>
      <c r="AL324" s="125">
        <v>0</v>
      </c>
      <c r="AM324" s="125">
        <f t="shared" si="44"/>
        <v>0</v>
      </c>
      <c r="AN324" s="125">
        <f>AH324*Valores!$C$71</f>
        <v>-951.456</v>
      </c>
      <c r="AO324" s="125">
        <f>AH324*-Valores!$C$72</f>
        <v>0</v>
      </c>
      <c r="AP324" s="125">
        <f>AH324*Valores!$C$73</f>
        <v>-389.232</v>
      </c>
      <c r="AQ324" s="125">
        <v>0</v>
      </c>
      <c r="AR324" s="125">
        <v>0</v>
      </c>
      <c r="AS324" s="125">
        <f t="shared" si="47"/>
        <v>7308.912</v>
      </c>
      <c r="AT324" s="125">
        <f t="shared" si="41"/>
        <v>-951.456</v>
      </c>
      <c r="AU324" s="125">
        <f>AH324*Valores!$C$74</f>
        <v>-233.5392</v>
      </c>
      <c r="AV324" s="125">
        <f>AH324*Valores!$C$75</f>
        <v>-25.948800000000002</v>
      </c>
      <c r="AW324" s="125">
        <f t="shared" si="45"/>
        <v>7438.656000000001</v>
      </c>
      <c r="AX324" s="126"/>
      <c r="AY324" s="126"/>
      <c r="AZ324" s="123" t="s">
        <v>4</v>
      </c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</row>
    <row r="325" spans="1:1020" s="142" customFormat="1" ht="11.25" customHeight="1">
      <c r="A325" s="143" t="s">
        <v>474</v>
      </c>
      <c r="B325" s="141">
        <v>1</v>
      </c>
      <c r="C325" s="126">
        <v>318</v>
      </c>
      <c r="D325" s="127" t="s">
        <v>499</v>
      </c>
      <c r="E325" s="194">
        <v>243</v>
      </c>
      <c r="F325" s="125">
        <f>ROUND(E325*Valores!$C$2,2)</f>
        <v>6590.45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2"/>
        <v>0</v>
      </c>
      <c r="O325" s="125">
        <v>0</v>
      </c>
      <c r="P325" s="125">
        <v>0</v>
      </c>
      <c r="Q325" s="125">
        <v>0</v>
      </c>
      <c r="R325" s="125">
        <f>IF($F$4="NO",Valores!$C$50,Valores!$C$50/2)</f>
        <v>720.3</v>
      </c>
      <c r="S325" s="125">
        <v>0</v>
      </c>
      <c r="T325" s="125">
        <f t="shared" si="51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Valores!$C$98</f>
        <v>631.88</v>
      </c>
      <c r="AA325" s="125">
        <v>0</v>
      </c>
      <c r="AB325" s="214">
        <v>0</v>
      </c>
      <c r="AC325" s="125">
        <f t="shared" si="43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Valores!$C$64</f>
        <v>652.73</v>
      </c>
      <c r="AH325" s="125">
        <f t="shared" si="46"/>
        <v>8595.36</v>
      </c>
      <c r="AI325" s="125">
        <v>0</v>
      </c>
      <c r="AJ325" s="125">
        <f>Valores!$C$91</f>
        <v>0</v>
      </c>
      <c r="AK325" s="125">
        <v>0</v>
      </c>
      <c r="AL325" s="125">
        <v>0</v>
      </c>
      <c r="AM325" s="125">
        <f t="shared" si="44"/>
        <v>0</v>
      </c>
      <c r="AN325" s="125">
        <f>AH325*Valores!$C$71</f>
        <v>-945.4896000000001</v>
      </c>
      <c r="AO325" s="125">
        <f>AH325*-Valores!$C$72</f>
        <v>0</v>
      </c>
      <c r="AP325" s="125">
        <f>AH325*Valores!$C$73</f>
        <v>-386.7912</v>
      </c>
      <c r="AQ325" s="125">
        <v>0</v>
      </c>
      <c r="AR325" s="125">
        <v>0</v>
      </c>
      <c r="AS325" s="125">
        <f t="shared" si="47"/>
        <v>7263.0792</v>
      </c>
      <c r="AT325" s="125">
        <f t="shared" si="41"/>
        <v>-945.4896000000001</v>
      </c>
      <c r="AU325" s="125">
        <f>AH325*Valores!$C$74</f>
        <v>-232.07472</v>
      </c>
      <c r="AV325" s="125">
        <f>AH325*Valores!$C$75</f>
        <v>-25.786080000000002</v>
      </c>
      <c r="AW325" s="125">
        <f t="shared" si="45"/>
        <v>7392.0096</v>
      </c>
      <c r="AX325" s="126"/>
      <c r="AY325" s="126"/>
      <c r="AZ325" s="123" t="s">
        <v>4</v>
      </c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</row>
    <row r="326" spans="1:1020" s="142" customFormat="1" ht="11.25" customHeight="1">
      <c r="A326" s="143" t="s">
        <v>474</v>
      </c>
      <c r="B326" s="123">
        <v>1</v>
      </c>
      <c r="C326" s="126">
        <v>319</v>
      </c>
      <c r="D326" s="127" t="s">
        <v>500</v>
      </c>
      <c r="E326" s="194">
        <v>235</v>
      </c>
      <c r="F326" s="125">
        <f>ROUND(E326*Valores!$C$2,2)</f>
        <v>6373.48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2"/>
        <v>0</v>
      </c>
      <c r="O326" s="125">
        <v>0</v>
      </c>
      <c r="P326" s="125">
        <v>0</v>
      </c>
      <c r="Q326" s="125">
        <v>0</v>
      </c>
      <c r="R326" s="125">
        <f>IF($F$4="NO",Valores!$C$50,Valores!$C$50/2)</f>
        <v>720.3</v>
      </c>
      <c r="S326" s="125">
        <v>0</v>
      </c>
      <c r="T326" s="125">
        <f t="shared" si="51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Valores!$C$98</f>
        <v>631.88</v>
      </c>
      <c r="AA326" s="125">
        <v>0</v>
      </c>
      <c r="AB326" s="214">
        <v>0</v>
      </c>
      <c r="AC326" s="125">
        <f t="shared" si="43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Valores!$C$64</f>
        <v>652.73</v>
      </c>
      <c r="AH326" s="125">
        <f t="shared" si="46"/>
        <v>8378.39</v>
      </c>
      <c r="AI326" s="125">
        <v>0</v>
      </c>
      <c r="AJ326" s="125">
        <f>Valores!$C$91</f>
        <v>0</v>
      </c>
      <c r="AK326" s="125">
        <v>0</v>
      </c>
      <c r="AL326" s="125">
        <v>0</v>
      </c>
      <c r="AM326" s="125">
        <f t="shared" si="44"/>
        <v>0</v>
      </c>
      <c r="AN326" s="125">
        <f>AH326*Valores!$C$71</f>
        <v>-921.6229</v>
      </c>
      <c r="AO326" s="125">
        <f>AH326*-Valores!$C$72</f>
        <v>0</v>
      </c>
      <c r="AP326" s="125">
        <f>AH326*Valores!$C$73</f>
        <v>-377.02754999999996</v>
      </c>
      <c r="AQ326" s="125">
        <v>0</v>
      </c>
      <c r="AR326" s="125">
        <v>0</v>
      </c>
      <c r="AS326" s="125">
        <f t="shared" si="47"/>
        <v>7079.739549999999</v>
      </c>
      <c r="AT326" s="125">
        <f>AN326</f>
        <v>-921.6229</v>
      </c>
      <c r="AU326" s="125">
        <f>AH326*Valores!$C$74</f>
        <v>-226.21652999999998</v>
      </c>
      <c r="AV326" s="125">
        <f>AH326*Valores!$C$75</f>
        <v>-25.13517</v>
      </c>
      <c r="AW326" s="125">
        <f t="shared" si="45"/>
        <v>7205.4154</v>
      </c>
      <c r="AX326" s="126"/>
      <c r="AY326" s="126"/>
      <c r="AZ326" s="123" t="s">
        <v>4</v>
      </c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</row>
    <row r="328" spans="6:35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30"/>
      <c r="AI328" s="131"/>
    </row>
    <row r="332" ht="12.75">
      <c r="R332" s="168"/>
    </row>
  </sheetData>
  <autoFilter ref="A7:AZ326"/>
  <mergeCells count="13">
    <mergeCell ref="A1:AL1"/>
    <mergeCell ref="AL2:AL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</mergeCells>
  <dataValidations count="3">
    <dataValidation type="list" allowBlank="1" showInputMessage="1" showErrorMessage="1" error="VALOR INCORRECTO" sqref="F3:F4 AL4:AL5">
      <formula1>$AM$3:$AM$4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661</v>
      </c>
      <c r="B1" t="s">
        <v>662</v>
      </c>
      <c r="C1" t="s">
        <v>76</v>
      </c>
      <c r="D1" t="s">
        <v>692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694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111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113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115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117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119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121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123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125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127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129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131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133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135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137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139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141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143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145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147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149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151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153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155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157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159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161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163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165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167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169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171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173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175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177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177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180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182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184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186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188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190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192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194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196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198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200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202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204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206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208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210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212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214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216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218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220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222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224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226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228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230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232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234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236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238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240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242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244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246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248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250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252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254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256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258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260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262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264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266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268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270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271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273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274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276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277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279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281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283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285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287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289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291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293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295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297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299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301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303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305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307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309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311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313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315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317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319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321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323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325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327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329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331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333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335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337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339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341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343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345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347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349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351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353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355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357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359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361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363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365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367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369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371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373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375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377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379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381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383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385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387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389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391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393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395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397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399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401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403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405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407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408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410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412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413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415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417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419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421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423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425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427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429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431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433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435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437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439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441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443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445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447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449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451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453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455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457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459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461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463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465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467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469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702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698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699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700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701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703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704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705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706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707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708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710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709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711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712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713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714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715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716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717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718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719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720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721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722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723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724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725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726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727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728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729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730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731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732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733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734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735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736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737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738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739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740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741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742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743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744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745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746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747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748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749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750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751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752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753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754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755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756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757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758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759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760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761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762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763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764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765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766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767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768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769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770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771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772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773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774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775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776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777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778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779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780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781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782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783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784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788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786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785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789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787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790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791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792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793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794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795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796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797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798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799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800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801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802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803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804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805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473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475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653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476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477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478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479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480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481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482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483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484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485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486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487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488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489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490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491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492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493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494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495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496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497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498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499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500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664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693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688</v>
      </c>
      <c r="B3" s="204" t="s">
        <v>691</v>
      </c>
      <c r="E3" s="206" t="s">
        <v>806</v>
      </c>
      <c r="F3" s="207"/>
      <c r="G3" s="206" t="s">
        <v>807</v>
      </c>
      <c r="H3" s="207"/>
      <c r="I3" s="206" t="s">
        <v>808</v>
      </c>
      <c r="J3" s="207"/>
      <c r="K3" s="206" t="s">
        <v>695</v>
      </c>
    </row>
    <row r="4" spans="2:11" ht="12.75" hidden="1">
      <c r="B4" t="s">
        <v>690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688</v>
      </c>
      <c r="B5" s="74"/>
      <c r="D5" s="202" t="str">
        <f>_xlfn.IFNA(VLOOKUP(E$4,'Escala Docente'!$C$8:$AW$326,2,FALSE),"SIN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Docente'!$C$8:$AW$326,2,FALSE),"SIN ESPEC")</f>
        <v>Maestro Materia Especial</v>
      </c>
      <c r="G5" s="202" t="str">
        <f>F5</f>
        <v>Maestro Materia Especial</v>
      </c>
      <c r="H5" s="202" t="str">
        <f>_xlfn.IFNA(VLOOKUP(I$4,'Escala Docente'!$C$8:$AW$326,2,FALSE),"SIN ESPEC")</f>
        <v>Prol Jor (13-515) 16 horas</v>
      </c>
      <c r="I5" s="202" t="str">
        <f>H5</f>
        <v>Prol Jor (13-515) 16 horas</v>
      </c>
      <c r="J5" s="202" t="str">
        <f>_xlfn.IFNA(VLOOKUP(K$4,'Escala Docente'!$C$8:$AW$326,2,FALSE),"SIN ESPEC")</f>
        <v>SIN ESPEC</v>
      </c>
      <c r="K5" s="202" t="str">
        <f>J5</f>
        <v>SIN ESPEC</v>
      </c>
    </row>
    <row r="6" spans="1:11" ht="12.75" customHeight="1">
      <c r="A6" t="s">
        <v>665</v>
      </c>
      <c r="C6" s="8">
        <v>0</v>
      </c>
      <c r="D6" s="209">
        <f>_xlfn.IFNA(VLOOKUP(E$4,'Escala Docente'!$C$8:$AW$326,4,FALSE),0)</f>
        <v>6427.72</v>
      </c>
      <c r="E6" s="203">
        <f>ROUND(D6*E$1/30,2)</f>
        <v>6427.72</v>
      </c>
      <c r="F6" s="209">
        <f>_xlfn.IFNA(VLOOKUP(G$4,'Escala Docente'!$C$8:$AW$326,4,FALSE),0)</f>
        <v>26334.69</v>
      </c>
      <c r="G6" s="203">
        <f>ROUND(F6*G$1/30,2)</f>
        <v>26334.69</v>
      </c>
      <c r="H6" s="209">
        <f>_xlfn.IFNA(VLOOKUP(I$4,'Escala Docente'!$C$8:$AW$326,4,FALSE),0)</f>
        <v>67260.58</v>
      </c>
      <c r="I6" s="203">
        <f>ROUND(H6*I$1/30,2)</f>
        <v>67260.58</v>
      </c>
      <c r="J6" s="209">
        <f>_xlfn.IFNA(VLOOKUP(K$4,'Escala Docente'!$C$8:$AW$326,4,FALSE),0)</f>
        <v>0</v>
      </c>
      <c r="K6" s="203">
        <f>ROUND(J6*K$1/30,2)</f>
        <v>0</v>
      </c>
    </row>
    <row r="7" spans="1:11" ht="12.75" customHeight="1">
      <c r="A7" t="s">
        <v>666</v>
      </c>
      <c r="C7" s="8">
        <f>Valores!F89</f>
        <v>0</v>
      </c>
      <c r="D7" s="209">
        <f>_xlfn.IFNA(VLOOKUP(E$4,'Escala Docente'!$C$8:$AW$326,34,FALSE),0)</f>
        <v>0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Docente'!$C$8:$AW$326,34,FALSE),0)</f>
        <v>0</v>
      </c>
      <c r="G7" s="203">
        <f>IF($E7&gt;0,0,ROUND($F7*G$1/30,2))</f>
        <v>0</v>
      </c>
      <c r="H7" s="209">
        <f>_xlfn.IFNA(VLOOKUP(I$4,'Escala Docente'!$C$8:$AW$326,34,FALSE),0)</f>
        <v>0</v>
      </c>
      <c r="I7" s="203">
        <f>IF($E7&gt;0,0,ROUND($H7*I$1/30,2))</f>
        <v>0</v>
      </c>
      <c r="J7" s="209">
        <f>_xlfn.IFNA(VLOOKUP(K$4,'Escala Docente'!$C$8:$AW$326,34,FALSE),0)</f>
        <v>0</v>
      </c>
      <c r="K7" s="203">
        <f>IF($E7&gt;0,0,ROUND($J7*K$1/30,2))</f>
        <v>0</v>
      </c>
    </row>
    <row r="8" spans="1:11" ht="12.75" customHeight="1">
      <c r="A8" t="s">
        <v>667</v>
      </c>
      <c r="C8" s="8">
        <f>Valores!F96</f>
        <v>12637.52</v>
      </c>
      <c r="D8" s="209">
        <f>_xlfn.IFNA(VLOOKUP(E$4,'Escala Docente'!$C$8:$AW$326,24,FALSE),0)</f>
        <v>839.8199999999999</v>
      </c>
      <c r="E8" s="203">
        <f>IF((ROUND(D8*E$1/30,2)+(ROUND(F8*$G$1/30,2))+ROUND(H8*$I$1/30,2)+ROUND(J8*$K$1/30,2))&gt;C8,C8,(ROUND(D8*E$1/30,2)+ROUND(F8*$G$1/30,2)+ROUND(H8*$I$1/30,2)+ROUND(J8*$K$1/30,2)))</f>
        <v>7158.58</v>
      </c>
      <c r="F8" s="209">
        <f>_xlfn.IFNA(VLOOKUP(G$4,'Escala Docente'!$C$8:$AW$326,24,FALSE),0)</f>
        <v>6318.76</v>
      </c>
      <c r="G8" s="203">
        <f>IF($E8&gt;0,0,ROUND($F8*G$1/30,2))</f>
        <v>0</v>
      </c>
      <c r="H8" s="209">
        <f>_xlfn.IFNA(VLOOKUP(I$4,'Escala Docente'!$C$8:$AW$326,24,FALSE),0)</f>
        <v>0</v>
      </c>
      <c r="I8" s="203">
        <f>IF($E8&gt;0,0,ROUND($H8*I$1/30,2))</f>
        <v>0</v>
      </c>
      <c r="J8" s="209">
        <f>_xlfn.IFNA(VLOOKUP(K$4,'Escala Docente'!$C$8:$AW$326,24,FALSE),0)</f>
        <v>0</v>
      </c>
      <c r="K8" s="203">
        <f>IF($E8&gt;0,0,ROUND($J8*K$1/30,2))</f>
        <v>0</v>
      </c>
    </row>
    <row r="9" spans="1:11" ht="12.75" customHeight="1">
      <c r="A9" t="s">
        <v>668</v>
      </c>
      <c r="C9" s="8">
        <v>0</v>
      </c>
      <c r="D9" s="209">
        <f>_xlfn.IFNA(VLOOKUP(E$4,'Escala Docente'!$C$8:$AW$326,13,FALSE),0)</f>
        <v>2759.2799999999997</v>
      </c>
      <c r="E9" s="203">
        <f>ROUND(D9*E$1/30,2)</f>
        <v>2759.28</v>
      </c>
      <c r="F9" s="209">
        <f>_xlfn.IFNA(VLOOKUP(G$4,'Escala Docente'!$C$8:$AW$326,13,FALSE),0)</f>
        <v>23436.25</v>
      </c>
      <c r="G9" s="203">
        <f>ROUND(F9*G$1/30,2)</f>
        <v>23436.25</v>
      </c>
      <c r="H9" s="209">
        <f>_xlfn.IFNA(VLOOKUP(I$4,'Escala Docente'!$C$8:$AW$326,13,FALSE),0)</f>
        <v>0</v>
      </c>
      <c r="I9" s="203">
        <f>ROUND(H9*I$1/30,2)</f>
        <v>0</v>
      </c>
      <c r="J9" s="209">
        <f>_xlfn.IFNA(VLOOKUP(K$4,'Escala Docente'!$C$8:$AW$326,13,FALSE),0)</f>
        <v>0</v>
      </c>
      <c r="K9" s="203">
        <f>ROUND(J9*K$1/30,2)</f>
        <v>0</v>
      </c>
    </row>
    <row r="10" spans="1:11" ht="12.75" customHeight="1">
      <c r="A10" t="s">
        <v>669</v>
      </c>
      <c r="C10" s="8">
        <f>IF('Escala Docente'!$F$4="NO",Valores!F46,Valores!F46/2)</f>
        <v>14493.86</v>
      </c>
      <c r="D10" s="209">
        <f>_xlfn.IFNA(VLOOKUP(E$4,'Escala Docente'!$C$8:$AW$326,16,FALSE),0)</f>
        <v>1453.44</v>
      </c>
      <c r="E10" s="203">
        <f>IF((ROUND(D10*E$1/30,2)+(ROUND(F10*$G$1/30,2))+ROUND(H10*$I$1/30,2)+ROUND(J10*$K$1/30,2))&gt;C10,C10,(ROUND(D10*E$1/30,2)+ROUND(F10*$G$1/30,2)+ROUND(H10*$I$1/30,2)+ROUND(J10*$K$1/30,2)))</f>
        <v>14493.86</v>
      </c>
      <c r="F10" s="209">
        <f>_xlfn.IFNA(VLOOKUP(G$4,'Escala Docente'!$C$8:$AW$326,16,FALSE),0)</f>
        <v>9088.77</v>
      </c>
      <c r="G10" s="203">
        <f>IF($E10&gt;0,0,ROUND($F10*G$1/30,2))</f>
        <v>0</v>
      </c>
      <c r="H10" s="209">
        <f>_xlfn.IFNA(VLOOKUP(I$4,'Escala Docente'!$C$8:$AW$326,16,FALSE),0)</f>
        <v>7751.68</v>
      </c>
      <c r="I10" s="203">
        <f>IF($E10&gt;0,0,ROUND($H10*I$1/30,2))</f>
        <v>0</v>
      </c>
      <c r="J10" s="209">
        <f>_xlfn.IFNA(VLOOKUP(K$4,'Escala Docente'!$C$8:$AW$326,16,FALSE),0)</f>
        <v>0</v>
      </c>
      <c r="K10" s="203">
        <f>IF($E10&gt;0,0,ROUND($J10*K$1/30,2))</f>
        <v>0</v>
      </c>
    </row>
    <row r="11" spans="1:11" ht="12.75">
      <c r="A11" t="s">
        <v>670</v>
      </c>
      <c r="C11" s="8">
        <f>Valores!F26</f>
        <v>567.06</v>
      </c>
      <c r="D11" s="209">
        <f>_xlfn.IFNA(VLOOKUP(E$4,'Escala Docente'!$C$8:$AW$326,27,FALSE),0)</f>
        <v>0</v>
      </c>
      <c r="E11" s="203">
        <f>ROUND(D11*E$1/30,2)</f>
        <v>0</v>
      </c>
      <c r="F11" s="209">
        <f>_xlfn.IFNA(VLOOKUP(G$4,'Escala Docente'!$C$8:$AW$326,27,FALSE),0)</f>
        <v>0</v>
      </c>
      <c r="G11" s="203">
        <f>IF(E11&gt;=C11,0,IF((F11*G$1/30)&gt;(E11-C11),F11*G$1/30,E11-C11))</f>
        <v>0</v>
      </c>
      <c r="H11" s="209">
        <f>_xlfn.IFNA(VLOOKUP(I$4,'Escala Docente'!$C$8:$AW$326,27,FALSE),0)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Docente'!$C$8:$AW$326,27,FALSE),0)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671</v>
      </c>
      <c r="C12" s="8">
        <v>0</v>
      </c>
      <c r="D12" s="209">
        <f>_xlfn.IFNA(VLOOKUP(E$4,'Escala Docente'!$C$8:$AW$326,6,FALSE),0)</f>
        <v>0</v>
      </c>
      <c r="E12" s="203">
        <f>ROUND(D12*E$1/30,2)</f>
        <v>0</v>
      </c>
      <c r="F12" s="209">
        <f>_xlfn.IFNA(VLOOKUP(G$4,'Escala Docente'!$C$8:$AW$326,6,FALSE),0)</f>
        <v>0</v>
      </c>
      <c r="G12" s="203">
        <f>ROUND(F12*G$1/30,2)</f>
        <v>0</v>
      </c>
      <c r="H12" s="209">
        <f>_xlfn.IFNA(VLOOKUP(I$4,'Escala Docente'!$C$8:$AW$326,6,FALSE),0)</f>
        <v>0</v>
      </c>
      <c r="I12" s="203">
        <f>ROUND(H12*I$1/30,2)</f>
        <v>0</v>
      </c>
      <c r="J12" s="209">
        <f>_xlfn.IFNA(VLOOKUP(K$4,'Escala Docente'!$C$8:$AW$326,6,FALSE),0)</f>
        <v>0</v>
      </c>
      <c r="K12" s="203">
        <f>ROUND(J12*K$1/30,2)</f>
        <v>0</v>
      </c>
    </row>
    <row r="13" spans="1:11" ht="12.75" customHeight="1">
      <c r="A13" t="s">
        <v>683</v>
      </c>
      <c r="C13" s="8">
        <v>0</v>
      </c>
      <c r="D13" s="209">
        <f>_xlfn.IFNA(VLOOKUP(E$4,'Escala Docente'!$C$8:$AW$326,15,FALSE),0)</f>
        <v>0</v>
      </c>
      <c r="E13" s="203">
        <f>ROUND(D13*E$1/30,2)</f>
        <v>0</v>
      </c>
      <c r="F13" s="209">
        <f>_xlfn.IFNA(VLOOKUP(G$4,'Escala Docente'!$C$8:$AW$326,15,FALSE),0)</f>
        <v>11512.45</v>
      </c>
      <c r="G13" s="203">
        <f>ROUND(F13*G$1/30,2)</f>
        <v>11512.45</v>
      </c>
      <c r="H13" s="209">
        <f>_xlfn.IFNA(VLOOKUP(I$4,'Escala Docente'!$C$8:$AW$326,15,FALSE),0)</f>
        <v>0</v>
      </c>
      <c r="I13" s="203">
        <f>ROUND(H13*I$1/30,2)</f>
        <v>0</v>
      </c>
      <c r="J13" s="209">
        <f>_xlfn.IFNA(VLOOKUP(K$4,'Escala Docente'!$C$8:$AW$326,15,FALSE),0)</f>
        <v>0</v>
      </c>
      <c r="K13" s="203">
        <f>ROUND(J13*K$1/30,2)</f>
        <v>0</v>
      </c>
    </row>
    <row r="14" spans="1:11" ht="12.75" customHeight="1">
      <c r="A14" t="s">
        <v>672</v>
      </c>
      <c r="C14" s="8">
        <v>0</v>
      </c>
      <c r="D14" s="209">
        <f>_xlfn.IFNA(VLOOKUP(E$4,'Escala Docente'!$C$8:$AW$326,8,FALSE),0)</f>
        <v>0</v>
      </c>
      <c r="E14" s="203">
        <f>ROUND(D14*E$1/30,2)</f>
        <v>0</v>
      </c>
      <c r="F14" s="209">
        <f>_xlfn.IFNA(VLOOKUP(G$4,'Escala Docente'!$C$8:$AW$326,8,FALSE),0)</f>
        <v>0</v>
      </c>
      <c r="G14" s="203">
        <f>ROUND(F14*G$1/30,2)</f>
        <v>0</v>
      </c>
      <c r="H14" s="209">
        <f>_xlfn.IFNA(VLOOKUP(I$4,'Escala Docente'!$C$8:$AW$326,8,FALSE),0)</f>
        <v>0</v>
      </c>
      <c r="I14" s="203">
        <f>ROUND(H14*I$1/30,2)</f>
        <v>0</v>
      </c>
      <c r="J14" s="209">
        <f>_xlfn.IFNA(VLOOKUP(K$4,'Escala Docente'!$C$8:$AW$326,8,FALSE),0)</f>
        <v>0</v>
      </c>
      <c r="K14" s="203">
        <f>ROUND(J14*K$1/30,2)</f>
        <v>0</v>
      </c>
    </row>
    <row r="15" spans="1:11" ht="12.75" customHeight="1">
      <c r="A15" t="s">
        <v>673</v>
      </c>
      <c r="C15" s="8">
        <f>Valores!D5</f>
        <v>13864.36</v>
      </c>
      <c r="D15" s="209">
        <f>_xlfn.IFNA(VLOOKUP(E$4,'Escala Docente'!$C$8:$AW$326,14,FALSE),0)</f>
        <v>2772.87</v>
      </c>
      <c r="E15" s="203">
        <f>IF((ROUND(D15*E$1/30,2)+(ROUND(F15*$G$1/30,2))+ROUND(H15*$I$1/30,2)+ROUND(J15*$K$1/30,2))&gt;C15,C15,(ROUND(D15*E$1/30,2)+ROUND(F15*$G$1/30,2)+ROUND(H15*$I$1/30,2)+ROUND(J15*$K$1/30,2)))</f>
        <v>13864.36</v>
      </c>
      <c r="F15" s="209">
        <f>_xlfn.IFNA(VLOOKUP(G$4,'Escala Docente'!$C$8:$AW$326,14,FALSE),0)</f>
        <v>13864.36</v>
      </c>
      <c r="G15" s="203">
        <f>IF($E15&gt;0,0,ROUND($F15*G$1/30,2))</f>
        <v>0</v>
      </c>
      <c r="H15" s="209">
        <f>_xlfn.IFNA(VLOOKUP(I$4,'Escala Docente'!$C$8:$AW$326,14,FALSE),0)</f>
        <v>0</v>
      </c>
      <c r="I15" s="203">
        <f>IF($E15&gt;0,0,ROUND($H15*I$1/30,2))</f>
        <v>0</v>
      </c>
      <c r="J15" s="209">
        <f>_xlfn.IFNA(VLOOKUP(K$4,'Escala Docente'!$C$8:$AW$326,14,FALSE),0)</f>
        <v>0</v>
      </c>
      <c r="K15" s="203">
        <f>IF($E15&gt;0,0,ROUND($J15*K$1/30,2))</f>
        <v>0</v>
      </c>
    </row>
    <row r="16" spans="1:11" ht="12.75">
      <c r="A16" t="s">
        <v>674</v>
      </c>
      <c r="C16" s="8">
        <f>Valores!F25</f>
        <v>850.5899999999999</v>
      </c>
      <c r="D16" s="209">
        <f>_xlfn.IFNA(VLOOKUP(E$4,'Escala Docente'!$C$8:$AW$326,25,FALSE),0)</f>
        <v>68.16</v>
      </c>
      <c r="E16" s="203">
        <f>ROUND(D16*E$1/30,2)</f>
        <v>68.16</v>
      </c>
      <c r="F16" s="209">
        <f>_xlfn.IFNA(VLOOKUP(G$4,'Escala Docente'!$C$8:$AW$326,25,FALSE),0)</f>
        <v>567.06</v>
      </c>
      <c r="G16" s="203">
        <f>IF(E16&gt;=C16,0,IF((F16*G$1/30)&gt;(E16-C16),F16*G$1/30,E16-C16))</f>
        <v>567.06</v>
      </c>
      <c r="H16" s="209">
        <f>_xlfn.IFNA(VLOOKUP(I$4,'Escala Docente'!$C$8:$AW$326,25,FALSE),0)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Docente'!$C$8:$AW$326,25,FALSE),0)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687</v>
      </c>
      <c r="C17" s="8">
        <v>0</v>
      </c>
      <c r="D17" s="209">
        <f>_xlfn.IFNA(VLOOKUP(E$4,'Escala Docente'!$C$8:$AW$326,22,FALSE),0)</f>
        <v>0</v>
      </c>
      <c r="E17" s="203">
        <f>ROUND(D17*E$1/30,2)</f>
        <v>0</v>
      </c>
      <c r="F17" s="209">
        <f>_xlfn.IFNA(VLOOKUP(G$4,'Escala Docente'!$C$8:$AW$326,22,FALSE),0)</f>
        <v>0</v>
      </c>
      <c r="G17" s="203">
        <f>ROUND(F17*G$1/30,2)</f>
        <v>0</v>
      </c>
      <c r="H17" s="209">
        <f>_xlfn.IFNA(VLOOKUP(I$4,'Escala Docente'!$C$8:$AW$326,22,FALSE),0)</f>
        <v>0</v>
      </c>
      <c r="I17" s="203">
        <f>ROUND(H17*I$1/30,2)</f>
        <v>0</v>
      </c>
      <c r="J17" s="209">
        <f>_xlfn.IFNA(VLOOKUP(K$4,'Escala Docente'!$C$8:$AW$326,22,FALSE),0)</f>
        <v>0</v>
      </c>
      <c r="K17" s="203">
        <f>ROUND(J17*K$1/30,2)</f>
        <v>0</v>
      </c>
    </row>
    <row r="18" spans="1:11" ht="12.75" customHeight="1">
      <c r="A18" t="s">
        <v>686</v>
      </c>
      <c r="C18" s="8">
        <v>0</v>
      </c>
      <c r="D18" s="209">
        <f>_xlfn.IFNA(VLOOKUP(E$4,'Escala Docente'!$C$8:$AW$326,10,FALSE),0)</f>
        <v>0</v>
      </c>
      <c r="E18" s="203">
        <f>ROUND(D18*E$1/30,2)</f>
        <v>0</v>
      </c>
      <c r="F18" s="209">
        <f>_xlfn.IFNA(VLOOKUP(G$4,'Escala Docente'!$C$8:$AW$326,10,FALSE),0)</f>
        <v>0</v>
      </c>
      <c r="G18" s="203">
        <f>ROUND(F18*G$1/30,2)</f>
        <v>0</v>
      </c>
      <c r="H18" s="209">
        <f>_xlfn.IFNA(VLOOKUP(I$4,'Escala Docente'!$C$8:$AW$326,10,FALSE),0)</f>
        <v>0</v>
      </c>
      <c r="I18" s="203">
        <f>ROUND(H18*I$1/30,2)</f>
        <v>0</v>
      </c>
      <c r="J18" s="209">
        <f>_xlfn.IFNA(VLOOKUP(K$4,'Escala Docente'!$C$8:$AW$326,10,FALSE),0)</f>
        <v>0</v>
      </c>
      <c r="K18" s="203">
        <f>ROUND(J18*K$1/30,2)</f>
        <v>0</v>
      </c>
    </row>
    <row r="19" spans="1:11" ht="12.75" customHeight="1">
      <c r="A19" s="102" t="s">
        <v>675</v>
      </c>
      <c r="B19" s="102"/>
      <c r="C19" s="8">
        <v>0</v>
      </c>
      <c r="D19" s="209">
        <f>_xlfn.IFNA(VLOOKUP(E$4,'Escala Docente'!$C$8:$AW$326,12,FALSE),0)</f>
        <v>0</v>
      </c>
      <c r="E19" s="203">
        <f>ROUND(E6+E12+E18+E10+E17,2)*'Escala Docente'!$H$2</f>
        <v>0</v>
      </c>
      <c r="F19" s="209">
        <f>_xlfn.IFNA(VLOOKUP(G$4,'Escala Docente'!$C$8:$AW$326,12,FALSE),0)</f>
        <v>0</v>
      </c>
      <c r="G19" s="203">
        <f>ROUND(G6+G12+G18+G10+G17,2)*'Escala Docente'!$H$2</f>
        <v>0</v>
      </c>
      <c r="H19" s="209">
        <f>_xlfn.IFNA(VLOOKUP(I$4,'Escala Docente'!$C$8:$AW$326,12,FALSE),0)</f>
        <v>0</v>
      </c>
      <c r="I19" s="203">
        <f>ROUND(I6+I12+I18+I10+I17,2)*'Escala Docente'!$H$2</f>
        <v>0</v>
      </c>
      <c r="J19" s="209">
        <f>_xlfn.IFNA(VLOOKUP(K$4,'Escala Docente'!$C$8:$AW$326,12,FALSE),0)</f>
        <v>0</v>
      </c>
      <c r="K19" s="203">
        <f>ROUND(K6+K12+K18+K10+K17,2)*'Escala Docente'!$H$2</f>
        <v>0</v>
      </c>
    </row>
    <row r="20" spans="1:11" ht="12.75" customHeight="1">
      <c r="A20" t="s">
        <v>682</v>
      </c>
      <c r="C20" s="8">
        <v>0</v>
      </c>
      <c r="D20" s="209">
        <f>_xlfn.IFNA(VLOOKUP(E$4,'Escala Docente'!$C$8:$AW$326,29,FALSE),0)</f>
        <v>0</v>
      </c>
      <c r="E20" s="203">
        <f>ROUND(D20*E$1/30,2)</f>
        <v>0</v>
      </c>
      <c r="F20" s="209">
        <f>_xlfn.IFNA(VLOOKUP(G$4,'Escala Docente'!$C$8:$AW$326,29,FALSE),0)</f>
        <v>0</v>
      </c>
      <c r="G20" s="203">
        <f>ROUND(F20*G$1/30,2)</f>
        <v>0</v>
      </c>
      <c r="H20" s="209">
        <f>_xlfn.IFNA(VLOOKUP(I$4,'Escala Docente'!$C$8:$AW$326,29,FALSE),0)</f>
        <v>0</v>
      </c>
      <c r="I20" s="203">
        <f>ROUND(H20*I$1/30,2)</f>
        <v>0</v>
      </c>
      <c r="J20" s="209">
        <f>_xlfn.IFNA(VLOOKUP(K$4,'Escala Docente'!$C$8:$AW$326,29,FALSE),0)</f>
        <v>0</v>
      </c>
      <c r="K20" s="203">
        <f>ROUND(J20*K$1/30,2)</f>
        <v>0</v>
      </c>
    </row>
    <row r="21" spans="1:11" ht="12.75" customHeight="1">
      <c r="A21" t="s">
        <v>676</v>
      </c>
      <c r="C21" s="8">
        <v>0</v>
      </c>
      <c r="D21" s="209">
        <f>_xlfn.IFNA(VLOOKUP(E$4,'Escala Docente'!$C$8:$AW$326,18,FALSE),0)</f>
        <v>867.84</v>
      </c>
      <c r="E21" s="203">
        <f>ROUND(D21*E$1/30,2)</f>
        <v>867.84</v>
      </c>
      <c r="F21" s="209">
        <f>_xlfn.IFNA(VLOOKUP(G$4,'Escala Docente'!$C$8:$AW$326,18,FALSE),0)</f>
        <v>12901.01</v>
      </c>
      <c r="G21" s="203">
        <f>ROUND(F21*G$1/30,2)</f>
        <v>12901.01</v>
      </c>
      <c r="H21" s="209">
        <f>_xlfn.IFNA(VLOOKUP(I$4,'Escala Docente'!$C$8:$AW$326,18,FALSE),0)</f>
        <v>0</v>
      </c>
      <c r="I21" s="203">
        <f>ROUND(H21*I$1/30,2)</f>
        <v>0</v>
      </c>
      <c r="J21" s="209">
        <f>_xlfn.IFNA(VLOOKUP(K$4,'Escala Docente'!$C$8:$AW$326,18,FALSE),0)</f>
        <v>0</v>
      </c>
      <c r="K21" s="203">
        <f>ROUND(J21*K$1/30,2)</f>
        <v>0</v>
      </c>
    </row>
    <row r="22" spans="1:11" ht="12.75" customHeight="1">
      <c r="A22" s="102" t="s">
        <v>680</v>
      </c>
      <c r="B22" s="102"/>
      <c r="C22" s="8">
        <v>0</v>
      </c>
      <c r="D22" s="209">
        <f>_xlfn.IFNA(VLOOKUP(E$4,'Escala Docente'!$C$8:$AW$326,26,FALSE),0)</f>
        <v>0</v>
      </c>
      <c r="E22" s="203">
        <f>ROUND(D22*E$1/30,2)</f>
        <v>0</v>
      </c>
      <c r="F22" s="209">
        <f>_xlfn.IFNA(VLOOKUP(G$4,'Escala Docente'!$C$8:$AW$326,26,FALSE),0)</f>
        <v>0</v>
      </c>
      <c r="G22" s="203">
        <f>ROUND(F22*G$1/30,2)</f>
        <v>0</v>
      </c>
      <c r="H22" s="209">
        <f>_xlfn.IFNA(VLOOKUP(I$4,'Escala Docente'!$C$8:$AW$326,26,FALSE),0)</f>
        <v>0</v>
      </c>
      <c r="I22" s="203">
        <f>ROUND(H22*I$1/30,2)</f>
        <v>0</v>
      </c>
      <c r="J22" s="209">
        <f>_xlfn.IFNA(VLOOKUP(K$4,'Escala Docente'!$C$8:$AW$326,26,FALSE),0)</f>
        <v>0</v>
      </c>
      <c r="K22" s="203">
        <f>ROUND(J22*K$1/30,2)</f>
        <v>0</v>
      </c>
    </row>
    <row r="23" spans="1:11" ht="12.75" customHeight="1">
      <c r="A23" t="s">
        <v>685</v>
      </c>
      <c r="C23" s="8">
        <v>0</v>
      </c>
      <c r="D23" s="209">
        <f>_xlfn.IFNA(VLOOKUP(E$4,'Escala Docente'!$C$8:$AW$326,23,FALSE),0)</f>
        <v>0</v>
      </c>
      <c r="E23" s="203">
        <f>ROUND(D23*E$1/30,2)</f>
        <v>0</v>
      </c>
      <c r="F23" s="209">
        <f>_xlfn.IFNA(VLOOKUP(G$4,'Escala Docente'!$C$8:$AW$326,23,FALSE),0)</f>
        <v>0</v>
      </c>
      <c r="G23" s="203">
        <f>ROUND(F23*G$1/30,2)</f>
        <v>0</v>
      </c>
      <c r="H23" s="209">
        <f>_xlfn.IFNA(VLOOKUP(I$4,'Escala Docente'!$C$8:$AW$326,23,FALSE),0)</f>
        <v>0</v>
      </c>
      <c r="I23" s="203">
        <f>ROUND(H23*I$1/30,2)</f>
        <v>0</v>
      </c>
      <c r="J23" s="209">
        <f>_xlfn.IFNA(VLOOKUP(K$4,'Escala Docente'!$C$8:$AW$326,23,FALSE),0)</f>
        <v>0</v>
      </c>
      <c r="K23" s="203">
        <f>ROUND(J23*K$1/30,2)</f>
        <v>0</v>
      </c>
    </row>
    <row r="24" spans="1:11" ht="12.75" customHeight="1">
      <c r="A24" s="74" t="s">
        <v>696</v>
      </c>
      <c r="C24" s="8">
        <f>Valores!F38</f>
        <v>30000</v>
      </c>
      <c r="D24" s="209">
        <f>_xlfn.IFNA(VLOOKUP(E$4,'Escala Docente'!$C$8:$AW$326,35,FALSE),0)</f>
        <v>3000</v>
      </c>
      <c r="E24" s="203">
        <f>ROUND(D24*E$1/30,2)</f>
        <v>3000</v>
      </c>
      <c r="F24" s="209">
        <f>_xlfn.IFNA(VLOOKUP(G$4,'Escala Docente'!$C$8:$AW$326,35,FALSE),0)</f>
        <v>30000</v>
      </c>
      <c r="G24" s="203">
        <f>ROUND(F24*G$1/30,2)</f>
        <v>30000</v>
      </c>
      <c r="H24" s="209">
        <f>_xlfn.IFNA(VLOOKUP(I$4,'Escala Docente'!$C$8:$AW$326,35,FALSE),0)</f>
        <v>0</v>
      </c>
      <c r="I24" s="203">
        <f>ROUND(H24*I$1/30,2)</f>
        <v>0</v>
      </c>
      <c r="J24" s="209">
        <f>_xlfn.IFNA(VLOOKUP(K$4,'Escala Docente'!$C$8:$AW$326,35,FALSE),0)</f>
        <v>0</v>
      </c>
      <c r="K24" s="203">
        <f>ROUND(J24*K$1/30,2)</f>
        <v>0</v>
      </c>
    </row>
    <row r="25" spans="1:11" ht="12.75" customHeight="1">
      <c r="A25" t="s">
        <v>677</v>
      </c>
      <c r="C25" s="8">
        <f>IF('Escala Docente'!$F$4="NO",Valores!F63,Valores!F63/2)</f>
        <v>12965.96</v>
      </c>
      <c r="D25" s="209">
        <f>_xlfn.IFNA(VLOOKUP(E$4,'Escala Docente'!$C$8:$AW$326,30,FALSE),0)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Docente'!$C$8:$AW$326,30,FALSE),0)</f>
        <v>0</v>
      </c>
      <c r="G25" s="203">
        <f>IF($E25&gt;0,0,ROUND($F25*G$1/30,2))</f>
        <v>0</v>
      </c>
      <c r="H25" s="209">
        <f>_xlfn.IFNA(VLOOKUP(I$4,'Escala Docente'!$C$8:$AW$326,30,FALSE),0)</f>
        <v>0</v>
      </c>
      <c r="I25" s="203">
        <f>IF($E25&gt;0,0,ROUND($H25*I$1/30,2))</f>
        <v>0</v>
      </c>
      <c r="J25" s="209">
        <f>_xlfn.IFNA(VLOOKUP(K$4,'Escala Docente'!$C$8:$AW$326,30,FALSE),0)</f>
        <v>0</v>
      </c>
      <c r="K25" s="203">
        <f>IF($E25&gt;0,0,ROUND($J25*K$1/30,2))</f>
        <v>0</v>
      </c>
    </row>
    <row r="26" spans="1:11" ht="12.75" customHeight="1">
      <c r="A26" t="s">
        <v>678</v>
      </c>
      <c r="C26" s="8">
        <f>Valores!F32</f>
        <v>0</v>
      </c>
      <c r="D26" s="209">
        <f>_xlfn.IFNA(VLOOKUP(E$4,'Escala Docente'!$C$8:$AW$326,33,FALSE),0)</f>
        <v>0</v>
      </c>
      <c r="E26" s="203">
        <f>IF((ROUND(D26*E$1/30,2)+(ROUND(F26*$G$1/30,2))+ROUND(H26*$I$1/30,2)+ROUND(J26*$K$1/30,2))&gt;C26,C26,(ROUND(D26*E$1/30,2)+ROUND(F26*$G$1/30,2)+ROUND(H26*$I$1/30,2)+ROUND(J26*$K$1/30,2)))</f>
        <v>0</v>
      </c>
      <c r="F26" s="209">
        <f>_xlfn.IFNA(VLOOKUP(G$4,'Escala Docente'!$C$8:$AW$326,33,FALSE),0)</f>
        <v>0</v>
      </c>
      <c r="G26" s="203">
        <f>IF($E26&gt;0,0,ROUND($F26*G$1/30,2))</f>
        <v>0</v>
      </c>
      <c r="H26" s="209">
        <f>_xlfn.IFNA(VLOOKUP(I$4,'Escala Docente'!$C$8:$AW$326,33,FALSE),0)</f>
        <v>0</v>
      </c>
      <c r="I26" s="203">
        <f>IF($E26&gt;0,0,ROUND($H26*I$1/30,2))</f>
        <v>0</v>
      </c>
      <c r="J26" s="209">
        <f>_xlfn.IFNA(VLOOKUP(K$4,'Escala Docente'!$C$8:$AW$326,33,FALSE),0)</f>
        <v>0</v>
      </c>
      <c r="K26" s="203">
        <f>IF($E26&gt;0,0,ROUND($J26*K$1/30,2))</f>
        <v>0</v>
      </c>
    </row>
    <row r="27" spans="1:11" ht="12.75" customHeight="1">
      <c r="A27" t="s">
        <v>679</v>
      </c>
      <c r="C27" s="8" t="e">
        <f>IF('Escala Docente'!$F$4="NO",Valores!#REF!,Valores!#REF!/2)</f>
        <v>#REF!</v>
      </c>
      <c r="D27" s="209">
        <f>_xlfn.IFNA(VLOOKUP(E$4,'Escala Docente'!$C$8:$AW$326,31,FALSE),0)</f>
        <v>1296.6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Docente'!$C$8:$AW$326,31,FALSE),0)</f>
        <v>6482.98</v>
      </c>
      <c r="G27" s="203" t="e">
        <f>IF($E27&gt;0,0,ROUND($F27*G$1/30,2))</f>
        <v>#REF!</v>
      </c>
      <c r="H27" s="209">
        <f>_xlfn.IFNA(VLOOKUP(I$4,'Escala Docente'!$C$8:$AW$326,31,FALSE),0)</f>
        <v>0</v>
      </c>
      <c r="I27" s="203" t="e">
        <f>IF($E27&gt;0,0,ROUND($H27*I$1/30,2))</f>
        <v>#REF!</v>
      </c>
      <c r="J27" s="209">
        <f>_xlfn.IFNA(VLOOKUP(K$4,'Escala Docente'!$C$8:$AW$326,31,FALSE),0)</f>
        <v>0</v>
      </c>
      <c r="K27" s="203" t="e">
        <f>IF($E27&gt;0,0,ROUND($J27*K$1/30,2))</f>
        <v>#REF!</v>
      </c>
    </row>
    <row r="28" spans="1:11" ht="12.75">
      <c r="A28" t="s">
        <v>681</v>
      </c>
      <c r="C28" s="8">
        <f>Valores!F62</f>
        <v>327.6</v>
      </c>
      <c r="D28" s="209">
        <f>_xlfn.IFNA(VLOOKUP(E$4,'Escala Docente'!$C$8:$AW$326,36,FALSE),0)</f>
        <v>34.0677</v>
      </c>
      <c r="E28" s="203">
        <f>ROUND(D28*E$1/30,2)</f>
        <v>34.07</v>
      </c>
      <c r="F28" s="209">
        <f>_xlfn.IFNA(VLOOKUP(G$4,'Escala Docente'!$C$8:$AW$326,36,FALSE),0)</f>
        <v>155.18</v>
      </c>
      <c r="G28" s="203">
        <f>IF(E28&gt;=C28,0,IF((F28*G$1/30)&gt;(E28-C28),F28*G$1/30,E28-C28))</f>
        <v>155.18</v>
      </c>
      <c r="H28" s="209">
        <f>_xlfn.IFNA(VLOOKUP(I$4,'Escala Docente'!$C$8:$AW$326,36,FALSE),0)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Docente'!$C$8:$AW$326,36,FALSE),0)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684</v>
      </c>
      <c r="C29" s="8">
        <v>0</v>
      </c>
      <c r="D29" s="209">
        <f>_xlfn.IFNA(VLOOKUP(E$4,'Escala Docente'!$C$8:$AW$326,11,FALSE),0)</f>
        <v>1312.35</v>
      </c>
      <c r="E29" s="210">
        <f>ROUND(IF('Escala Docente'!$H$2=0,IF(AND(MID(E$3,1,5)&lt;&gt;"13930",MID(E$3,1,5)&lt;&gt;"13940"),(SUM(E6+E12+E14+E18+E10+E17+E21)*Valores!$C$4),0),0),2)</f>
        <v>3268.41</v>
      </c>
      <c r="F29" s="209">
        <f>_xlfn.IFNA(VLOOKUP(G$4,'Escala Docente'!$C$8:$AW$326,11,FALSE),0)</f>
        <v>7248.67</v>
      </c>
      <c r="G29" s="210">
        <f>ROUND(IF('Escala Docente'!$H$2=0,IF(AND(MID(G$3,1,5)&lt;&gt;"13930",MID(G$3,1,5)&lt;&gt;"13940"),(SUM(G6+G12+G14+G18+G10+G17+G21)*Valores!$C$4),0),0),2)</f>
        <v>5885.36</v>
      </c>
      <c r="H29" s="209">
        <f>_xlfn.IFNA(VLOOKUP(I$4,'Escala Docente'!$C$8:$AW$326,11,FALSE),0)</f>
        <v>11251.84</v>
      </c>
      <c r="I29" s="210">
        <f>ROUND(IF('Escala Docente'!$H$2=0,IF(AND(MID(I$3,1,5)&lt;&gt;"13930",MID(I$3,1,5)&lt;&gt;"13940"),(SUM(I6+I12+I14+I18+I10+I17+I21)*Valores!$C$4),0),0),2)</f>
        <v>10089.09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3" t="str">
        <f ca="1">MID(CELL("FILENAME",L41),FIND("[",CELL("FILENAME",L41))+1,FIND("]",CELL("FILENAME",L41))-FIND("[",CELL("FILENAME",L41))-1)</f>
        <v>Esc Doc 2023 01 Cba V 1 2.xlsx</v>
      </c>
      <c r="B1" s="233"/>
      <c r="C1" s="233"/>
      <c r="D1" s="233"/>
      <c r="E1" s="233"/>
      <c r="F1" s="233"/>
      <c r="G1" s="233"/>
      <c r="H1" s="233"/>
      <c r="I1" s="233"/>
      <c r="J1" s="23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34" t="s">
        <v>49</v>
      </c>
      <c r="B2" s="234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35" t="s">
        <v>501</v>
      </c>
      <c r="R3" s="235"/>
      <c r="S3" s="235"/>
      <c r="T3" s="236" t="s">
        <v>502</v>
      </c>
      <c r="U3" s="236"/>
      <c r="V3" s="236"/>
      <c r="W3" s="236"/>
      <c r="Y3" s="17"/>
    </row>
    <row r="4" spans="1:25" ht="19.5">
      <c r="A4" s="13"/>
      <c r="B4" s="13"/>
      <c r="C4" s="29" t="s">
        <v>503</v>
      </c>
      <c r="D4" s="30" t="s">
        <v>56</v>
      </c>
      <c r="E4" s="30" t="s">
        <v>504</v>
      </c>
      <c r="F4" s="30" t="s">
        <v>505</v>
      </c>
      <c r="G4" s="31" t="s">
        <v>57</v>
      </c>
      <c r="H4" s="32" t="s">
        <v>58</v>
      </c>
      <c r="I4" s="33" t="s">
        <v>506</v>
      </c>
      <c r="J4" s="34" t="s">
        <v>507</v>
      </c>
      <c r="K4" s="35" t="s">
        <v>506</v>
      </c>
      <c r="Q4" s="36" t="s">
        <v>508</v>
      </c>
      <c r="R4" s="37" t="s">
        <v>509</v>
      </c>
      <c r="S4" s="37" t="s">
        <v>510</v>
      </c>
      <c r="T4" s="38" t="s">
        <v>511</v>
      </c>
      <c r="U4" s="39" t="s">
        <v>512</v>
      </c>
      <c r="V4" s="39" t="s">
        <v>513</v>
      </c>
      <c r="W4" s="39" t="s">
        <v>510</v>
      </c>
      <c r="X4" s="40" t="s">
        <v>514</v>
      </c>
      <c r="Y4" s="40" t="s">
        <v>515</v>
      </c>
    </row>
    <row r="5" spans="1:25" ht="12.75">
      <c r="A5" s="14" t="s">
        <v>76</v>
      </c>
      <c r="B5" s="15" t="s">
        <v>77</v>
      </c>
      <c r="C5" s="41" t="s">
        <v>79</v>
      </c>
      <c r="D5" s="42" t="s">
        <v>86</v>
      </c>
      <c r="E5" s="42" t="s">
        <v>516</v>
      </c>
      <c r="F5" s="43"/>
      <c r="G5" s="43" t="s">
        <v>87</v>
      </c>
      <c r="H5" s="43" t="s">
        <v>88</v>
      </c>
      <c r="I5" s="44" t="s">
        <v>517</v>
      </c>
      <c r="J5" s="45" t="s">
        <v>518</v>
      </c>
      <c r="K5" s="44" t="s">
        <v>519</v>
      </c>
      <c r="L5" s="46" t="s">
        <v>520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521</v>
      </c>
      <c r="B6" s="16" t="s">
        <v>522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523</v>
      </c>
      <c r="B7" s="16" t="s">
        <v>524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525</v>
      </c>
      <c r="B8" s="16" t="s">
        <v>526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528</v>
      </c>
      <c r="B9" s="56" t="s">
        <v>529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530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531</v>
      </c>
      <c r="B10" s="56" t="s">
        <v>532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534</v>
      </c>
      <c r="B11" s="16" t="s">
        <v>535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537</v>
      </c>
      <c r="B12" s="16" t="s">
        <v>538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540</v>
      </c>
      <c r="B13" s="16" t="s">
        <v>541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543</v>
      </c>
      <c r="B14" s="16" t="s">
        <v>544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546</v>
      </c>
      <c r="B15" s="16" t="s">
        <v>547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549</v>
      </c>
      <c r="B16" s="16" t="s">
        <v>550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551</v>
      </c>
      <c r="B17" s="16" t="s">
        <v>552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553</v>
      </c>
      <c r="B18" s="16" t="s">
        <v>554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556</v>
      </c>
      <c r="B19" s="16" t="s">
        <v>557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559</v>
      </c>
      <c r="B20" s="16" t="s">
        <v>560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561</v>
      </c>
      <c r="B21" s="16" t="s">
        <v>562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561</v>
      </c>
      <c r="B22" s="16" t="s">
        <v>563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561</v>
      </c>
      <c r="B23" s="16" t="s">
        <v>564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561</v>
      </c>
      <c r="B24" s="16" t="s">
        <v>565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561</v>
      </c>
      <c r="B25" s="16" t="s">
        <v>566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561</v>
      </c>
      <c r="B26" s="16" t="s">
        <v>567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561</v>
      </c>
      <c r="B27" s="16" t="s">
        <v>568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561</v>
      </c>
      <c r="B28" s="16" t="s">
        <v>569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561</v>
      </c>
      <c r="B29" s="16" t="s">
        <v>570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561</v>
      </c>
      <c r="B30" s="16" t="s">
        <v>571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561</v>
      </c>
      <c r="B31" s="16" t="s">
        <v>572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561</v>
      </c>
      <c r="B32" s="16" t="s">
        <v>573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574</v>
      </c>
      <c r="Y34" s="17"/>
    </row>
    <row r="35" spans="1:25" ht="12.75" customHeight="1">
      <c r="A35" s="53" t="s">
        <v>575</v>
      </c>
      <c r="B35" s="16" t="s">
        <v>576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578</v>
      </c>
      <c r="B36" s="16" t="s">
        <v>579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580</v>
      </c>
      <c r="M36" s="16" t="s">
        <v>581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582</v>
      </c>
      <c r="B37" s="16" t="s">
        <v>583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584</v>
      </c>
      <c r="M37" s="16" t="s">
        <v>585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586</v>
      </c>
      <c r="B38" s="16" t="s">
        <v>587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588</v>
      </c>
      <c r="B39" s="16" t="s">
        <v>589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590</v>
      </c>
      <c r="B40" s="16" t="s">
        <v>591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592</v>
      </c>
      <c r="B41" s="16" t="s">
        <v>593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594</v>
      </c>
      <c r="B42" s="16" t="s">
        <v>595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596</v>
      </c>
      <c r="B43" s="16" t="s">
        <v>597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598</v>
      </c>
      <c r="B44" s="16" t="s">
        <v>599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580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600</v>
      </c>
      <c r="B45" s="16" t="s">
        <v>601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580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602</v>
      </c>
      <c r="B46" s="16" t="s">
        <v>603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580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604</v>
      </c>
      <c r="B47" s="16" t="s">
        <v>605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580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Usuario</cp:lastModifiedBy>
  <cp:lastPrinted>2022-12-23T13:22:59Z</cp:lastPrinted>
  <dcterms:created xsi:type="dcterms:W3CDTF">2005-08-10T23:49:01Z</dcterms:created>
  <dcterms:modified xsi:type="dcterms:W3CDTF">2023-01-18T00:51:14Z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